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TIPS (IN PROGRESS)\Input\"/>
    </mc:Choice>
  </mc:AlternateContent>
  <xr:revisionPtr revIDLastSave="0" documentId="13_ncr:1_{49875937-1AE9-47B4-A8DE-4FD81F762832}" xr6:coauthVersionLast="46" xr6:coauthVersionMax="46" xr10:uidLastSave="{00000000-0000-0000-0000-000000000000}"/>
  <bookViews>
    <workbookView xWindow="-19310" yWindow="-1280" windowWidth="19420" windowHeight="10420" xr2:uid="{69FDFDEB-916A-4DBA-8005-81D6DD11E136}"/>
  </bookViews>
  <sheets>
    <sheet name="Sheet1" sheetId="1" r:id="rId1"/>
  </sheets>
  <definedNames>
    <definedName name="SpreadsheetBuilder_1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624" i="1" l="1"/>
  <c r="I1624" i="1"/>
  <c r="T1623" i="1"/>
  <c r="I1623" i="1"/>
  <c r="T1622" i="1"/>
  <c r="I1622" i="1"/>
  <c r="T1621" i="1"/>
  <c r="I1621" i="1"/>
  <c r="T1620" i="1"/>
  <c r="I1620" i="1"/>
  <c r="T1619" i="1"/>
  <c r="I1619" i="1"/>
  <c r="T1618" i="1"/>
  <c r="I1618" i="1"/>
  <c r="T1617" i="1"/>
  <c r="I1617" i="1"/>
  <c r="T1616" i="1"/>
  <c r="I1616" i="1"/>
  <c r="T1615" i="1"/>
  <c r="I1615" i="1"/>
  <c r="T1614" i="1"/>
  <c r="I1614" i="1"/>
  <c r="T1613" i="1"/>
  <c r="I1613" i="1"/>
  <c r="T1612" i="1"/>
  <c r="I1612" i="1"/>
  <c r="T1611" i="1"/>
  <c r="I1611" i="1"/>
  <c r="T1610" i="1"/>
  <c r="I1610" i="1"/>
  <c r="T1609" i="1"/>
  <c r="I1609" i="1"/>
  <c r="T1608" i="1"/>
  <c r="I1608" i="1"/>
  <c r="T1607" i="1"/>
  <c r="I1607" i="1"/>
  <c r="T1606" i="1"/>
  <c r="I1606" i="1"/>
  <c r="T1605" i="1"/>
  <c r="I1605" i="1"/>
  <c r="T1604" i="1"/>
  <c r="I1604" i="1"/>
  <c r="T1603" i="1"/>
  <c r="I1603" i="1"/>
  <c r="T1602" i="1"/>
  <c r="I1602" i="1"/>
  <c r="T1601" i="1"/>
  <c r="I1601" i="1"/>
  <c r="T1600" i="1"/>
  <c r="I1600" i="1"/>
  <c r="T1599" i="1"/>
  <c r="I1599" i="1"/>
  <c r="T1598" i="1"/>
  <c r="I1598" i="1"/>
  <c r="T1597" i="1"/>
  <c r="I1597" i="1"/>
  <c r="T1596" i="1"/>
  <c r="I1596" i="1"/>
  <c r="T1595" i="1"/>
  <c r="I1595" i="1"/>
  <c r="T1594" i="1"/>
  <c r="I1594" i="1"/>
  <c r="T1593" i="1"/>
  <c r="I1593" i="1"/>
  <c r="T1592" i="1"/>
  <c r="I1592" i="1"/>
  <c r="T1591" i="1"/>
  <c r="I1591" i="1"/>
  <c r="T1590" i="1"/>
  <c r="I1590" i="1"/>
  <c r="T1589" i="1"/>
  <c r="I1589" i="1"/>
  <c r="T1588" i="1"/>
  <c r="I1588" i="1"/>
  <c r="T1587" i="1"/>
  <c r="I1587" i="1"/>
  <c r="T1586" i="1"/>
  <c r="I1586" i="1"/>
  <c r="T1585" i="1"/>
  <c r="I1585" i="1"/>
  <c r="T1584" i="1"/>
  <c r="I1584" i="1"/>
  <c r="T1583" i="1"/>
  <c r="I1583" i="1"/>
  <c r="T1582" i="1"/>
  <c r="I1582" i="1"/>
  <c r="T1581" i="1"/>
  <c r="I1581" i="1"/>
  <c r="T1580" i="1"/>
  <c r="I1580" i="1"/>
  <c r="T1579" i="1"/>
  <c r="I1579" i="1"/>
  <c r="T1578" i="1"/>
  <c r="I1578" i="1"/>
  <c r="T1577" i="1"/>
  <c r="I1577" i="1"/>
  <c r="T1576" i="1"/>
  <c r="I1576" i="1"/>
  <c r="T1575" i="1"/>
  <c r="I1575" i="1"/>
  <c r="T1574" i="1"/>
  <c r="I1574" i="1"/>
  <c r="T1573" i="1"/>
  <c r="I1573" i="1"/>
  <c r="S1624" i="1"/>
  <c r="H1624" i="1"/>
  <c r="S1623" i="1"/>
  <c r="H1623" i="1"/>
  <c r="S1622" i="1"/>
  <c r="H1622" i="1"/>
  <c r="S1621" i="1"/>
  <c r="H1621" i="1"/>
  <c r="S1620" i="1"/>
  <c r="H1620" i="1"/>
  <c r="S1619" i="1"/>
  <c r="H1619" i="1"/>
  <c r="S1618" i="1"/>
  <c r="H1618" i="1"/>
  <c r="S1617" i="1"/>
  <c r="H1617" i="1"/>
  <c r="S1616" i="1"/>
  <c r="H1616" i="1"/>
  <c r="S1615" i="1"/>
  <c r="H1615" i="1"/>
  <c r="S1614" i="1"/>
  <c r="H1614" i="1"/>
  <c r="S1613" i="1"/>
  <c r="H1613" i="1"/>
  <c r="S1612" i="1"/>
  <c r="H1612" i="1"/>
  <c r="S1611" i="1"/>
  <c r="H1611" i="1"/>
  <c r="S1610" i="1"/>
  <c r="H1610" i="1"/>
  <c r="S1609" i="1"/>
  <c r="H1609" i="1"/>
  <c r="S1608" i="1"/>
  <c r="H1608" i="1"/>
  <c r="S1607" i="1"/>
  <c r="H1607" i="1"/>
  <c r="S1606" i="1"/>
  <c r="H1606" i="1"/>
  <c r="S1605" i="1"/>
  <c r="H1605" i="1"/>
  <c r="S1604" i="1"/>
  <c r="H1604" i="1"/>
  <c r="S1603" i="1"/>
  <c r="H1603" i="1"/>
  <c r="S1602" i="1"/>
  <c r="H1602" i="1"/>
  <c r="S1601" i="1"/>
  <c r="H1601" i="1"/>
  <c r="S1600" i="1"/>
  <c r="H1600" i="1"/>
  <c r="S1599" i="1"/>
  <c r="H1599" i="1"/>
  <c r="S1598" i="1"/>
  <c r="H1598" i="1"/>
  <c r="S1597" i="1"/>
  <c r="H1597" i="1"/>
  <c r="S1596" i="1"/>
  <c r="H1596" i="1"/>
  <c r="S1595" i="1"/>
  <c r="H1595" i="1"/>
  <c r="S1594" i="1"/>
  <c r="H1594" i="1"/>
  <c r="S1593" i="1"/>
  <c r="H1593" i="1"/>
  <c r="S1592" i="1"/>
  <c r="H1592" i="1"/>
  <c r="S1591" i="1"/>
  <c r="H1591" i="1"/>
  <c r="S1590" i="1"/>
  <c r="H1590" i="1"/>
  <c r="S1589" i="1"/>
  <c r="H1589" i="1"/>
  <c r="S1588" i="1"/>
  <c r="H1588" i="1"/>
  <c r="S1587" i="1"/>
  <c r="H1587" i="1"/>
  <c r="S1586" i="1"/>
  <c r="H1586" i="1"/>
  <c r="S1585" i="1"/>
  <c r="H1585" i="1"/>
  <c r="S1584" i="1"/>
  <c r="H1584" i="1"/>
  <c r="S1583" i="1"/>
  <c r="H1583" i="1"/>
  <c r="S1582" i="1"/>
  <c r="H1582" i="1"/>
  <c r="S1581" i="1"/>
  <c r="H1581" i="1"/>
  <c r="S1580" i="1"/>
  <c r="H1580" i="1"/>
  <c r="S1579" i="1"/>
  <c r="H1579" i="1"/>
  <c r="S1578" i="1"/>
  <c r="H1578" i="1"/>
  <c r="S1577" i="1"/>
  <c r="H1577" i="1"/>
  <c r="S1576" i="1"/>
  <c r="H1576" i="1"/>
  <c r="S1575" i="1"/>
  <c r="H1575" i="1"/>
  <c r="S1574" i="1"/>
  <c r="H1574" i="1"/>
  <c r="S1573" i="1"/>
  <c r="H1573" i="1"/>
  <c r="S1572" i="1"/>
  <c r="H1572" i="1"/>
  <c r="S1571" i="1"/>
  <c r="H1571" i="1"/>
  <c r="S1570" i="1"/>
  <c r="H1570" i="1"/>
  <c r="S1569" i="1"/>
  <c r="H1569" i="1"/>
  <c r="S1568" i="1"/>
  <c r="H1568" i="1"/>
  <c r="S1567" i="1"/>
  <c r="H1567" i="1"/>
  <c r="S1566" i="1"/>
  <c r="H1566" i="1"/>
  <c r="S1565" i="1"/>
  <c r="H1565" i="1"/>
  <c r="S1564" i="1"/>
  <c r="H1564" i="1"/>
  <c r="S1563" i="1"/>
  <c r="H1563" i="1"/>
  <c r="S1562" i="1"/>
  <c r="H1562" i="1"/>
  <c r="Q1624" i="1"/>
  <c r="G1624" i="1"/>
  <c r="Q1623" i="1"/>
  <c r="G1623" i="1"/>
  <c r="Q1622" i="1"/>
  <c r="G1622" i="1"/>
  <c r="Q1621" i="1"/>
  <c r="G1621" i="1"/>
  <c r="Q1620" i="1"/>
  <c r="G1620" i="1"/>
  <c r="Q1619" i="1"/>
  <c r="G1619" i="1"/>
  <c r="Q1618" i="1"/>
  <c r="G1618" i="1"/>
  <c r="Q1617" i="1"/>
  <c r="G1617" i="1"/>
  <c r="Q1616" i="1"/>
  <c r="G1616" i="1"/>
  <c r="Q1615" i="1"/>
  <c r="G1615" i="1"/>
  <c r="Q1614" i="1"/>
  <c r="G1614" i="1"/>
  <c r="Q1613" i="1"/>
  <c r="G1613" i="1"/>
  <c r="Q1612" i="1"/>
  <c r="G1612" i="1"/>
  <c r="Q1611" i="1"/>
  <c r="G1611" i="1"/>
  <c r="Q1610" i="1"/>
  <c r="G1610" i="1"/>
  <c r="Q1609" i="1"/>
  <c r="G1609" i="1"/>
  <c r="Q1608" i="1"/>
  <c r="G1608" i="1"/>
  <c r="Q1607" i="1"/>
  <c r="G1607" i="1"/>
  <c r="Q1606" i="1"/>
  <c r="G1606" i="1"/>
  <c r="Q1605" i="1"/>
  <c r="G1605" i="1"/>
  <c r="Q1604" i="1"/>
  <c r="G1604" i="1"/>
  <c r="Q1603" i="1"/>
  <c r="G1603" i="1"/>
  <c r="Q1602" i="1"/>
  <c r="G1602" i="1"/>
  <c r="Q1601" i="1"/>
  <c r="G1601" i="1"/>
  <c r="Q1600" i="1"/>
  <c r="G1600" i="1"/>
  <c r="Q1599" i="1"/>
  <c r="G1599" i="1"/>
  <c r="Q1598" i="1"/>
  <c r="G1598" i="1"/>
  <c r="Q1597" i="1"/>
  <c r="G1597" i="1"/>
  <c r="Q1596" i="1"/>
  <c r="G1596" i="1"/>
  <c r="Q1595" i="1"/>
  <c r="G1595" i="1"/>
  <c r="Q1594" i="1"/>
  <c r="G1594" i="1"/>
  <c r="Q1593" i="1"/>
  <c r="G1593" i="1"/>
  <c r="Q1592" i="1"/>
  <c r="G1592" i="1"/>
  <c r="Q1591" i="1"/>
  <c r="G1591" i="1"/>
  <c r="Q1590" i="1"/>
  <c r="G1590" i="1"/>
  <c r="Q1589" i="1"/>
  <c r="G1589" i="1"/>
  <c r="Q1588" i="1"/>
  <c r="G1588" i="1"/>
  <c r="Q1587" i="1"/>
  <c r="G1587" i="1"/>
  <c r="Q1586" i="1"/>
  <c r="G1586" i="1"/>
  <c r="Q1585" i="1"/>
  <c r="G1585" i="1"/>
  <c r="Q1584" i="1"/>
  <c r="G1584" i="1"/>
  <c r="Q1583" i="1"/>
  <c r="G1583" i="1"/>
  <c r="Q1582" i="1"/>
  <c r="G1582" i="1"/>
  <c r="Q1581" i="1"/>
  <c r="G1581" i="1"/>
  <c r="Q1580" i="1"/>
  <c r="G1580" i="1"/>
  <c r="Q1579" i="1"/>
  <c r="G1579" i="1"/>
  <c r="Q1578" i="1"/>
  <c r="G1578" i="1"/>
  <c r="Q1577" i="1"/>
  <c r="G1577" i="1"/>
  <c r="Q1576" i="1"/>
  <c r="G1576" i="1"/>
  <c r="Q1575" i="1"/>
  <c r="G1575" i="1"/>
  <c r="Q1574" i="1"/>
  <c r="G1574" i="1"/>
  <c r="Q1573" i="1"/>
  <c r="G1573" i="1"/>
  <c r="Q1572" i="1"/>
  <c r="G1572" i="1"/>
  <c r="Q1571" i="1"/>
  <c r="G1571" i="1"/>
  <c r="Q1570" i="1"/>
  <c r="G1570" i="1"/>
  <c r="Q1569" i="1"/>
  <c r="G1569" i="1"/>
  <c r="Q1568" i="1"/>
  <c r="G1568" i="1"/>
  <c r="Q1567" i="1"/>
  <c r="G1567" i="1"/>
  <c r="Q1566" i="1"/>
  <c r="G1566" i="1"/>
  <c r="Q1565" i="1"/>
  <c r="G1565" i="1"/>
  <c r="Q1564" i="1"/>
  <c r="G1564" i="1"/>
  <c r="Q1563" i="1"/>
  <c r="G1563" i="1"/>
  <c r="Q1562" i="1"/>
  <c r="G1562" i="1"/>
  <c r="Q1561" i="1"/>
  <c r="P1624" i="1"/>
  <c r="F1624" i="1"/>
  <c r="P1623" i="1"/>
  <c r="F1623" i="1"/>
  <c r="P1622" i="1"/>
  <c r="F1622" i="1"/>
  <c r="P1621" i="1"/>
  <c r="F1621" i="1"/>
  <c r="P1620" i="1"/>
  <c r="F1620" i="1"/>
  <c r="P1619" i="1"/>
  <c r="F1619" i="1"/>
  <c r="P1618" i="1"/>
  <c r="F1618" i="1"/>
  <c r="P1617" i="1"/>
  <c r="F1617" i="1"/>
  <c r="P1616" i="1"/>
  <c r="F1616" i="1"/>
  <c r="P1615" i="1"/>
  <c r="F1615" i="1"/>
  <c r="P1614" i="1"/>
  <c r="F1614" i="1"/>
  <c r="P1613" i="1"/>
  <c r="F1613" i="1"/>
  <c r="P1612" i="1"/>
  <c r="F1612" i="1"/>
  <c r="P1611" i="1"/>
  <c r="F1611" i="1"/>
  <c r="P1610" i="1"/>
  <c r="F1610" i="1"/>
  <c r="P1609" i="1"/>
  <c r="F1609" i="1"/>
  <c r="P1608" i="1"/>
  <c r="F1608" i="1"/>
  <c r="P1607" i="1"/>
  <c r="F1607" i="1"/>
  <c r="P1606" i="1"/>
  <c r="F1606" i="1"/>
  <c r="P1605" i="1"/>
  <c r="F1605" i="1"/>
  <c r="P1604" i="1"/>
  <c r="F1604" i="1"/>
  <c r="P1603" i="1"/>
  <c r="F1603" i="1"/>
  <c r="P1602" i="1"/>
  <c r="F1602" i="1"/>
  <c r="P1601" i="1"/>
  <c r="F1601" i="1"/>
  <c r="P1600" i="1"/>
  <c r="F1600" i="1"/>
  <c r="P1599" i="1"/>
  <c r="F1599" i="1"/>
  <c r="P1598" i="1"/>
  <c r="F1598" i="1"/>
  <c r="P1597" i="1"/>
  <c r="F1597" i="1"/>
  <c r="P1596" i="1"/>
  <c r="F1596" i="1"/>
  <c r="P1595" i="1"/>
  <c r="F1595" i="1"/>
  <c r="P1594" i="1"/>
  <c r="F1594" i="1"/>
  <c r="P1593" i="1"/>
  <c r="F1593" i="1"/>
  <c r="P1592" i="1"/>
  <c r="F1592" i="1"/>
  <c r="P1591" i="1"/>
  <c r="F1591" i="1"/>
  <c r="P1590" i="1"/>
  <c r="F1590" i="1"/>
  <c r="P1589" i="1"/>
  <c r="F1589" i="1"/>
  <c r="P1588" i="1"/>
  <c r="F1588" i="1"/>
  <c r="P1587" i="1"/>
  <c r="F1587" i="1"/>
  <c r="P1586" i="1"/>
  <c r="F1586" i="1"/>
  <c r="P1585" i="1"/>
  <c r="F1585" i="1"/>
  <c r="P1584" i="1"/>
  <c r="F1584" i="1"/>
  <c r="P1583" i="1"/>
  <c r="F1583" i="1"/>
  <c r="P1582" i="1"/>
  <c r="F1582" i="1"/>
  <c r="P1581" i="1"/>
  <c r="F1581" i="1"/>
  <c r="P1580" i="1"/>
  <c r="F1580" i="1"/>
  <c r="P1579" i="1"/>
  <c r="F1579" i="1"/>
  <c r="P1578" i="1"/>
  <c r="F1578" i="1"/>
  <c r="P1577" i="1"/>
  <c r="F1577" i="1"/>
  <c r="P1576" i="1"/>
  <c r="F1576" i="1"/>
  <c r="P1575" i="1"/>
  <c r="O1624" i="1"/>
  <c r="E1624" i="1"/>
  <c r="O1623" i="1"/>
  <c r="E1623" i="1"/>
  <c r="O1622" i="1"/>
  <c r="E1622" i="1"/>
  <c r="O1621" i="1"/>
  <c r="E1621" i="1"/>
  <c r="O1620" i="1"/>
  <c r="E1620" i="1"/>
  <c r="O1619" i="1"/>
  <c r="E1619" i="1"/>
  <c r="O1618" i="1"/>
  <c r="E1618" i="1"/>
  <c r="O1617" i="1"/>
  <c r="E1617" i="1"/>
  <c r="O1616" i="1"/>
  <c r="E1616" i="1"/>
  <c r="O1615" i="1"/>
  <c r="E1615" i="1"/>
  <c r="O1614" i="1"/>
  <c r="E1614" i="1"/>
  <c r="O1613" i="1"/>
  <c r="E1613" i="1"/>
  <c r="O1612" i="1"/>
  <c r="E1612" i="1"/>
  <c r="O1611" i="1"/>
  <c r="E1611" i="1"/>
  <c r="O1610" i="1"/>
  <c r="E1610" i="1"/>
  <c r="O1609" i="1"/>
  <c r="E1609" i="1"/>
  <c r="O1608" i="1"/>
  <c r="E1608" i="1"/>
  <c r="O1607" i="1"/>
  <c r="E1607" i="1"/>
  <c r="O1606" i="1"/>
  <c r="E1606" i="1"/>
  <c r="O1605" i="1"/>
  <c r="E1605" i="1"/>
  <c r="O1604" i="1"/>
  <c r="E1604" i="1"/>
  <c r="O1603" i="1"/>
  <c r="E1603" i="1"/>
  <c r="O1602" i="1"/>
  <c r="E1602" i="1"/>
  <c r="O1601" i="1"/>
  <c r="E1601" i="1"/>
  <c r="O1600" i="1"/>
  <c r="E1600" i="1"/>
  <c r="O1599" i="1"/>
  <c r="E1599" i="1"/>
  <c r="O1598" i="1"/>
  <c r="E1598" i="1"/>
  <c r="O1597" i="1"/>
  <c r="E1597" i="1"/>
  <c r="O1596" i="1"/>
  <c r="E1596" i="1"/>
  <c r="O1595" i="1"/>
  <c r="E1595" i="1"/>
  <c r="O1594" i="1"/>
  <c r="E1594" i="1"/>
  <c r="O1593" i="1"/>
  <c r="E1593" i="1"/>
  <c r="O1592" i="1"/>
  <c r="E1592" i="1"/>
  <c r="O1591" i="1"/>
  <c r="E1591" i="1"/>
  <c r="O1590" i="1"/>
  <c r="E1590" i="1"/>
  <c r="O1589" i="1"/>
  <c r="E1589" i="1"/>
  <c r="O1588" i="1"/>
  <c r="E1588" i="1"/>
  <c r="O1587" i="1"/>
  <c r="E1587" i="1"/>
  <c r="O1586" i="1"/>
  <c r="E1586" i="1"/>
  <c r="O1585" i="1"/>
  <c r="E1585" i="1"/>
  <c r="O1584" i="1"/>
  <c r="E1584" i="1"/>
  <c r="O1583" i="1"/>
  <c r="E1583" i="1"/>
  <c r="O1582" i="1"/>
  <c r="E1582" i="1"/>
  <c r="O1581" i="1"/>
  <c r="E1581" i="1"/>
  <c r="O1580" i="1"/>
  <c r="E1580" i="1"/>
  <c r="O1579" i="1"/>
  <c r="E1579" i="1"/>
  <c r="O1578" i="1"/>
  <c r="E1578" i="1"/>
  <c r="O1577" i="1"/>
  <c r="E1577" i="1"/>
  <c r="O1576" i="1"/>
  <c r="E1576" i="1"/>
  <c r="O1575" i="1"/>
  <c r="E1575" i="1"/>
  <c r="O1574" i="1"/>
  <c r="E1574" i="1"/>
  <c r="O1573" i="1"/>
  <c r="E1573" i="1"/>
  <c r="O1572" i="1"/>
  <c r="E1572" i="1"/>
  <c r="O1571" i="1"/>
  <c r="E1571" i="1"/>
  <c r="O1570" i="1"/>
  <c r="E1570" i="1"/>
  <c r="O1569" i="1"/>
  <c r="E1569" i="1"/>
  <c r="O1568" i="1"/>
  <c r="E1568" i="1"/>
  <c r="O1567" i="1"/>
  <c r="E1567" i="1"/>
  <c r="O1566" i="1"/>
  <c r="E1566" i="1"/>
  <c r="O1565" i="1"/>
  <c r="E1565" i="1"/>
  <c r="O1564" i="1"/>
  <c r="E1564" i="1"/>
  <c r="O1563" i="1"/>
  <c r="E1563" i="1"/>
  <c r="K1624" i="1"/>
  <c r="C1624" i="1"/>
  <c r="K1623" i="1"/>
  <c r="C1623" i="1"/>
  <c r="K1622" i="1"/>
  <c r="C1622" i="1"/>
  <c r="K1621" i="1"/>
  <c r="C1621" i="1"/>
  <c r="K1620" i="1"/>
  <c r="C1620" i="1"/>
  <c r="K1619" i="1"/>
  <c r="C1619" i="1"/>
  <c r="K1618" i="1"/>
  <c r="C1618" i="1"/>
  <c r="K1617" i="1"/>
  <c r="C1617" i="1"/>
  <c r="K1616" i="1"/>
  <c r="C1616" i="1"/>
  <c r="K1615" i="1"/>
  <c r="C1615" i="1"/>
  <c r="K1614" i="1"/>
  <c r="C1614" i="1"/>
  <c r="K1613" i="1"/>
  <c r="C1613" i="1"/>
  <c r="K1612" i="1"/>
  <c r="C1612" i="1"/>
  <c r="K1611" i="1"/>
  <c r="C1611" i="1"/>
  <c r="K1610" i="1"/>
  <c r="C1610" i="1"/>
  <c r="K1609" i="1"/>
  <c r="C1609" i="1"/>
  <c r="K1608" i="1"/>
  <c r="C1608" i="1"/>
  <c r="K1607" i="1"/>
  <c r="C1607" i="1"/>
  <c r="K1606" i="1"/>
  <c r="C1606" i="1"/>
  <c r="K1605" i="1"/>
  <c r="C1605" i="1"/>
  <c r="K1604" i="1"/>
  <c r="C1604" i="1"/>
  <c r="K1603" i="1"/>
  <c r="C1603" i="1"/>
  <c r="K1602" i="1"/>
  <c r="C1602" i="1"/>
  <c r="K1601" i="1"/>
  <c r="C1601" i="1"/>
  <c r="K1600" i="1"/>
  <c r="C1600" i="1"/>
  <c r="K1599" i="1"/>
  <c r="C1599" i="1"/>
  <c r="K1598" i="1"/>
  <c r="C1598" i="1"/>
  <c r="K1597" i="1"/>
  <c r="C1597" i="1"/>
  <c r="K1596" i="1"/>
  <c r="C1596" i="1"/>
  <c r="K1595" i="1"/>
  <c r="C1595" i="1"/>
  <c r="K1594" i="1"/>
  <c r="C1594" i="1"/>
  <c r="K1593" i="1"/>
  <c r="C1593" i="1"/>
  <c r="K1592" i="1"/>
  <c r="C1592" i="1"/>
  <c r="K1591" i="1"/>
  <c r="C1591" i="1"/>
  <c r="K1590" i="1"/>
  <c r="C1590" i="1"/>
  <c r="K1589" i="1"/>
  <c r="C1589" i="1"/>
  <c r="K1588" i="1"/>
  <c r="C1588" i="1"/>
  <c r="K1587" i="1"/>
  <c r="C1587" i="1"/>
  <c r="K1586" i="1"/>
  <c r="C1586" i="1"/>
  <c r="K1585" i="1"/>
  <c r="C1585" i="1"/>
  <c r="K1584" i="1"/>
  <c r="C1584" i="1"/>
  <c r="K1583" i="1"/>
  <c r="C1583" i="1"/>
  <c r="K1582" i="1"/>
  <c r="C1582" i="1"/>
  <c r="K1581" i="1"/>
  <c r="C1581" i="1"/>
  <c r="K1580" i="1"/>
  <c r="C1580" i="1"/>
  <c r="K1579" i="1"/>
  <c r="C1579" i="1"/>
  <c r="K1578" i="1"/>
  <c r="C1578" i="1"/>
  <c r="K1577" i="1"/>
  <c r="C1577" i="1"/>
  <c r="K1576" i="1"/>
  <c r="C1576" i="1"/>
  <c r="K1575" i="1"/>
  <c r="L1624" i="1"/>
  <c r="L1622" i="1"/>
  <c r="L1620" i="1"/>
  <c r="L1618" i="1"/>
  <c r="L1616" i="1"/>
  <c r="L1614" i="1"/>
  <c r="L1612" i="1"/>
  <c r="L1610" i="1"/>
  <c r="L1608" i="1"/>
  <c r="L1606" i="1"/>
  <c r="L1604" i="1"/>
  <c r="L1602" i="1"/>
  <c r="L1600" i="1"/>
  <c r="L1598" i="1"/>
  <c r="L1596" i="1"/>
  <c r="L1594" i="1"/>
  <c r="L1592" i="1"/>
  <c r="L1590" i="1"/>
  <c r="L1588" i="1"/>
  <c r="L1586" i="1"/>
  <c r="L1584" i="1"/>
  <c r="L1582" i="1"/>
  <c r="L1580" i="1"/>
  <c r="L1578" i="1"/>
  <c r="L1576" i="1"/>
  <c r="C1575" i="1"/>
  <c r="C1574" i="1"/>
  <c r="C1573" i="1"/>
  <c r="F1572" i="1"/>
  <c r="J1571" i="1"/>
  <c r="L1570" i="1"/>
  <c r="T1569" i="1"/>
  <c r="C1569" i="1"/>
  <c r="F1568" i="1"/>
  <c r="J1567" i="1"/>
  <c r="L1566" i="1"/>
  <c r="T1565" i="1"/>
  <c r="C1565" i="1"/>
  <c r="F1564" i="1"/>
  <c r="J1563" i="1"/>
  <c r="O1562" i="1"/>
  <c r="C1562" i="1"/>
  <c r="J1561" i="1"/>
  <c r="B1561" i="1"/>
  <c r="J1560" i="1"/>
  <c r="B1560" i="1"/>
  <c r="J1559" i="1"/>
  <c r="B1559" i="1"/>
  <c r="J1558" i="1"/>
  <c r="B1558" i="1"/>
  <c r="J1557" i="1"/>
  <c r="B1557" i="1"/>
  <c r="J1556" i="1"/>
  <c r="B1556" i="1"/>
  <c r="J1555" i="1"/>
  <c r="B1555" i="1"/>
  <c r="J1554" i="1"/>
  <c r="B1554" i="1"/>
  <c r="J1553" i="1"/>
  <c r="B1553" i="1"/>
  <c r="J1552" i="1"/>
  <c r="B1552" i="1"/>
  <c r="J1551" i="1"/>
  <c r="B1551" i="1"/>
  <c r="J1550" i="1"/>
  <c r="B1550" i="1"/>
  <c r="J1549" i="1"/>
  <c r="B1549" i="1"/>
  <c r="J1548" i="1"/>
  <c r="B1548" i="1"/>
  <c r="J1547" i="1"/>
  <c r="B1547" i="1"/>
  <c r="J1546" i="1"/>
  <c r="B1546" i="1"/>
  <c r="J1545" i="1"/>
  <c r="B1545" i="1"/>
  <c r="J1544" i="1"/>
  <c r="B1544" i="1"/>
  <c r="J1543" i="1"/>
  <c r="B1543" i="1"/>
  <c r="J1542" i="1"/>
  <c r="B1542" i="1"/>
  <c r="J1541" i="1"/>
  <c r="B1541" i="1"/>
  <c r="J1540" i="1"/>
  <c r="B1540" i="1"/>
  <c r="J1539" i="1"/>
  <c r="B1539" i="1"/>
  <c r="J1538" i="1"/>
  <c r="B1538" i="1"/>
  <c r="J1537" i="1"/>
  <c r="B1537" i="1"/>
  <c r="J1536" i="1"/>
  <c r="B1536" i="1"/>
  <c r="J1535" i="1"/>
  <c r="B1535" i="1"/>
  <c r="J1534" i="1"/>
  <c r="B1534" i="1"/>
  <c r="J1533" i="1"/>
  <c r="B1533" i="1"/>
  <c r="J1532" i="1"/>
  <c r="B1532" i="1"/>
  <c r="J1531" i="1"/>
  <c r="B1531" i="1"/>
  <c r="J1530" i="1"/>
  <c r="B1530" i="1"/>
  <c r="J1529" i="1"/>
  <c r="B1529" i="1"/>
  <c r="J1528" i="1"/>
  <c r="B1528" i="1"/>
  <c r="J1527" i="1"/>
  <c r="B1527" i="1"/>
  <c r="J1526" i="1"/>
  <c r="B1526" i="1"/>
  <c r="J1525" i="1"/>
  <c r="B1525" i="1"/>
  <c r="J1524" i="1"/>
  <c r="B1524" i="1"/>
  <c r="J1523" i="1"/>
  <c r="B1523" i="1"/>
  <c r="J1522" i="1"/>
  <c r="B1522" i="1"/>
  <c r="J1521" i="1"/>
  <c r="B1521" i="1"/>
  <c r="J1520" i="1"/>
  <c r="B1520" i="1"/>
  <c r="J1519" i="1"/>
  <c r="J1624" i="1"/>
  <c r="J1622" i="1"/>
  <c r="J1620" i="1"/>
  <c r="J1618" i="1"/>
  <c r="J1616" i="1"/>
  <c r="J1614" i="1"/>
  <c r="J1612" i="1"/>
  <c r="J1610" i="1"/>
  <c r="J1608" i="1"/>
  <c r="J1606" i="1"/>
  <c r="J1604" i="1"/>
  <c r="J1602" i="1"/>
  <c r="J1600" i="1"/>
  <c r="J1598" i="1"/>
  <c r="J1596" i="1"/>
  <c r="J1594" i="1"/>
  <c r="J1592" i="1"/>
  <c r="J1590" i="1"/>
  <c r="J1588" i="1"/>
  <c r="J1586" i="1"/>
  <c r="J1584" i="1"/>
  <c r="J1582" i="1"/>
  <c r="J1580" i="1"/>
  <c r="J1578" i="1"/>
  <c r="J1576" i="1"/>
  <c r="B1575" i="1"/>
  <c r="B1574" i="1"/>
  <c r="B1573" i="1"/>
  <c r="D1572" i="1"/>
  <c r="I1571" i="1"/>
  <c r="K1570" i="1"/>
  <c r="P1569" i="1"/>
  <c r="B1569" i="1"/>
  <c r="D1568" i="1"/>
  <c r="I1567" i="1"/>
  <c r="K1566" i="1"/>
  <c r="P1565" i="1"/>
  <c r="B1565" i="1"/>
  <c r="D1564" i="1"/>
  <c r="I1563" i="1"/>
  <c r="L1562" i="1"/>
  <c r="B1562" i="1"/>
  <c r="I1561" i="1"/>
  <c r="T1560" i="1"/>
  <c r="I1560" i="1"/>
  <c r="T1559" i="1"/>
  <c r="I1559" i="1"/>
  <c r="T1558" i="1"/>
  <c r="I1558" i="1"/>
  <c r="T1557" i="1"/>
  <c r="I1557" i="1"/>
  <c r="T1556" i="1"/>
  <c r="I1556" i="1"/>
  <c r="T1555" i="1"/>
  <c r="I1555" i="1"/>
  <c r="T1554" i="1"/>
  <c r="I1554" i="1"/>
  <c r="T1553" i="1"/>
  <c r="I1553" i="1"/>
  <c r="T1552" i="1"/>
  <c r="I1552" i="1"/>
  <c r="T1551" i="1"/>
  <c r="I1551" i="1"/>
  <c r="T1550" i="1"/>
  <c r="I1550" i="1"/>
  <c r="T1549" i="1"/>
  <c r="I1549" i="1"/>
  <c r="T1548" i="1"/>
  <c r="I1548" i="1"/>
  <c r="T1547" i="1"/>
  <c r="I1547" i="1"/>
  <c r="T1546" i="1"/>
  <c r="I1546" i="1"/>
  <c r="T1545" i="1"/>
  <c r="I1545" i="1"/>
  <c r="T1544" i="1"/>
  <c r="I1544" i="1"/>
  <c r="T1543" i="1"/>
  <c r="I1543" i="1"/>
  <c r="T1542" i="1"/>
  <c r="I1542" i="1"/>
  <c r="T1541" i="1"/>
  <c r="I1541" i="1"/>
  <c r="T1540" i="1"/>
  <c r="I1540" i="1"/>
  <c r="T1539" i="1"/>
  <c r="I1539" i="1"/>
  <c r="T1538" i="1"/>
  <c r="I1538" i="1"/>
  <c r="T1537" i="1"/>
  <c r="I1537" i="1"/>
  <c r="T1536" i="1"/>
  <c r="I1536" i="1"/>
  <c r="T1535" i="1"/>
  <c r="I1535" i="1"/>
  <c r="T1534" i="1"/>
  <c r="I1534" i="1"/>
  <c r="T1533" i="1"/>
  <c r="I1533" i="1"/>
  <c r="T1532" i="1"/>
  <c r="I1532" i="1"/>
  <c r="T1531" i="1"/>
  <c r="I1531" i="1"/>
  <c r="T1530" i="1"/>
  <c r="I1530" i="1"/>
  <c r="T1529" i="1"/>
  <c r="I1529" i="1"/>
  <c r="T1528" i="1"/>
  <c r="I1528" i="1"/>
  <c r="T1527" i="1"/>
  <c r="I1527" i="1"/>
  <c r="T1526" i="1"/>
  <c r="I1526" i="1"/>
  <c r="D1624" i="1"/>
  <c r="D1622" i="1"/>
  <c r="D1620" i="1"/>
  <c r="D1618" i="1"/>
  <c r="D1616" i="1"/>
  <c r="D1614" i="1"/>
  <c r="D1612" i="1"/>
  <c r="D1610" i="1"/>
  <c r="D1608" i="1"/>
  <c r="D1606" i="1"/>
  <c r="D1604" i="1"/>
  <c r="D1602" i="1"/>
  <c r="D1600" i="1"/>
  <c r="D1598" i="1"/>
  <c r="D1596" i="1"/>
  <c r="D1594" i="1"/>
  <c r="D1592" i="1"/>
  <c r="D1590" i="1"/>
  <c r="D1588" i="1"/>
  <c r="D1586" i="1"/>
  <c r="D1584" i="1"/>
  <c r="D1582" i="1"/>
  <c r="D1580" i="1"/>
  <c r="D1578" i="1"/>
  <c r="D1576" i="1"/>
  <c r="P1574" i="1"/>
  <c r="P1573" i="1"/>
  <c r="T1572" i="1"/>
  <c r="C1572" i="1"/>
  <c r="F1571" i="1"/>
  <c r="J1570" i="1"/>
  <c r="L1569" i="1"/>
  <c r="T1568" i="1"/>
  <c r="C1568" i="1"/>
  <c r="F1567" i="1"/>
  <c r="J1566" i="1"/>
  <c r="L1565" i="1"/>
  <c r="T1564" i="1"/>
  <c r="C1564" i="1"/>
  <c r="F1563" i="1"/>
  <c r="K1562" i="1"/>
  <c r="T1561" i="1"/>
  <c r="H1561" i="1"/>
  <c r="S1560" i="1"/>
  <c r="H1560" i="1"/>
  <c r="S1559" i="1"/>
  <c r="H1559" i="1"/>
  <c r="S1558" i="1"/>
  <c r="H1558" i="1"/>
  <c r="S1557" i="1"/>
  <c r="H1557" i="1"/>
  <c r="S1556" i="1"/>
  <c r="H1556" i="1"/>
  <c r="S1555" i="1"/>
  <c r="H1555" i="1"/>
  <c r="S1554" i="1"/>
  <c r="H1554" i="1"/>
  <c r="S1553" i="1"/>
  <c r="H1553" i="1"/>
  <c r="S1552" i="1"/>
  <c r="H1552" i="1"/>
  <c r="S1551" i="1"/>
  <c r="H1551" i="1"/>
  <c r="S1550" i="1"/>
  <c r="H1550" i="1"/>
  <c r="S1549" i="1"/>
  <c r="H1549" i="1"/>
  <c r="S1548" i="1"/>
  <c r="H1548" i="1"/>
  <c r="S1547" i="1"/>
  <c r="H1547" i="1"/>
  <c r="S1546" i="1"/>
  <c r="H1546" i="1"/>
  <c r="S1545" i="1"/>
  <c r="H1545" i="1"/>
  <c r="S1544" i="1"/>
  <c r="H1544" i="1"/>
  <c r="S1543" i="1"/>
  <c r="H1543" i="1"/>
  <c r="S1542" i="1"/>
  <c r="H1542" i="1"/>
  <c r="S1541" i="1"/>
  <c r="H1541" i="1"/>
  <c r="S1540" i="1"/>
  <c r="H1540" i="1"/>
  <c r="S1539" i="1"/>
  <c r="H1539" i="1"/>
  <c r="S1538" i="1"/>
  <c r="H1538" i="1"/>
  <c r="S1537" i="1"/>
  <c r="B1624" i="1"/>
  <c r="B1622" i="1"/>
  <c r="B1620" i="1"/>
  <c r="B1618" i="1"/>
  <c r="B1616" i="1"/>
  <c r="B1614" i="1"/>
  <c r="B1612" i="1"/>
  <c r="B1610" i="1"/>
  <c r="B1608" i="1"/>
  <c r="B1606" i="1"/>
  <c r="B1604" i="1"/>
  <c r="B1602" i="1"/>
  <c r="B1600" i="1"/>
  <c r="B1598" i="1"/>
  <c r="B1596" i="1"/>
  <c r="B1594" i="1"/>
  <c r="B1592" i="1"/>
  <c r="B1590" i="1"/>
  <c r="B1588" i="1"/>
  <c r="B1586" i="1"/>
  <c r="B1584" i="1"/>
  <c r="B1582" i="1"/>
  <c r="B1580" i="1"/>
  <c r="B1578" i="1"/>
  <c r="B1576" i="1"/>
  <c r="L1574" i="1"/>
  <c r="L1573" i="1"/>
  <c r="P1572" i="1"/>
  <c r="B1572" i="1"/>
  <c r="D1571" i="1"/>
  <c r="I1570" i="1"/>
  <c r="K1569" i="1"/>
  <c r="P1568" i="1"/>
  <c r="B1568" i="1"/>
  <c r="D1567" i="1"/>
  <c r="I1566" i="1"/>
  <c r="K1565" i="1"/>
  <c r="P1564" i="1"/>
  <c r="B1564" i="1"/>
  <c r="D1563" i="1"/>
  <c r="J1562" i="1"/>
  <c r="S1561" i="1"/>
  <c r="G1561" i="1"/>
  <c r="Q1560" i="1"/>
  <c r="G1560" i="1"/>
  <c r="Q1559" i="1"/>
  <c r="G1559" i="1"/>
  <c r="Q1558" i="1"/>
  <c r="G1558" i="1"/>
  <c r="Q1557" i="1"/>
  <c r="G1557" i="1"/>
  <c r="Q1556" i="1"/>
  <c r="G1556" i="1"/>
  <c r="Q1555" i="1"/>
  <c r="G1555" i="1"/>
  <c r="Q1554" i="1"/>
  <c r="G1554" i="1"/>
  <c r="Q1553" i="1"/>
  <c r="G1553" i="1"/>
  <c r="Q1552" i="1"/>
  <c r="G1552" i="1"/>
  <c r="Q1551" i="1"/>
  <c r="G1551" i="1"/>
  <c r="Q1550" i="1"/>
  <c r="G1550" i="1"/>
  <c r="Q1549" i="1"/>
  <c r="G1549" i="1"/>
  <c r="Q1548" i="1"/>
  <c r="G1548" i="1"/>
  <c r="Q1547" i="1"/>
  <c r="G1547" i="1"/>
  <c r="Q1546" i="1"/>
  <c r="G1546" i="1"/>
  <c r="Q1545" i="1"/>
  <c r="G1545" i="1"/>
  <c r="Q1544" i="1"/>
  <c r="G1544" i="1"/>
  <c r="Q1543" i="1"/>
  <c r="G1543" i="1"/>
  <c r="Q1542" i="1"/>
  <c r="G1542" i="1"/>
  <c r="Q1541" i="1"/>
  <c r="G1541" i="1"/>
  <c r="Q1540" i="1"/>
  <c r="G1540" i="1"/>
  <c r="L1623" i="1"/>
  <c r="L1621" i="1"/>
  <c r="L1619" i="1"/>
  <c r="L1617" i="1"/>
  <c r="L1615" i="1"/>
  <c r="L1613" i="1"/>
  <c r="L1611" i="1"/>
  <c r="L1609" i="1"/>
  <c r="L1607" i="1"/>
  <c r="L1605" i="1"/>
  <c r="L1603" i="1"/>
  <c r="L1601" i="1"/>
  <c r="L1599" i="1"/>
  <c r="L1597" i="1"/>
  <c r="L1595" i="1"/>
  <c r="L1593" i="1"/>
  <c r="L1591" i="1"/>
  <c r="L1589" i="1"/>
  <c r="L1587" i="1"/>
  <c r="L1585" i="1"/>
  <c r="L1583" i="1"/>
  <c r="L1581" i="1"/>
  <c r="L1579" i="1"/>
  <c r="L1577" i="1"/>
  <c r="L1575" i="1"/>
  <c r="K1574" i="1"/>
  <c r="K1573" i="1"/>
  <c r="L1572" i="1"/>
  <c r="T1571" i="1"/>
  <c r="C1571" i="1"/>
  <c r="F1570" i="1"/>
  <c r="J1569" i="1"/>
  <c r="L1568" i="1"/>
  <c r="T1567" i="1"/>
  <c r="C1567" i="1"/>
  <c r="F1566" i="1"/>
  <c r="J1565" i="1"/>
  <c r="L1564" i="1"/>
  <c r="T1563" i="1"/>
  <c r="C1563" i="1"/>
  <c r="I1562" i="1"/>
  <c r="P1561" i="1"/>
  <c r="F1561" i="1"/>
  <c r="P1560" i="1"/>
  <c r="F1560" i="1"/>
  <c r="P1559" i="1"/>
  <c r="F1559" i="1"/>
  <c r="P1558" i="1"/>
  <c r="F1558" i="1"/>
  <c r="P1557" i="1"/>
  <c r="F1557" i="1"/>
  <c r="P1556" i="1"/>
  <c r="F1556" i="1"/>
  <c r="P1555" i="1"/>
  <c r="F1555" i="1"/>
  <c r="P1554" i="1"/>
  <c r="F1554" i="1"/>
  <c r="P1553" i="1"/>
  <c r="F1553" i="1"/>
  <c r="P1552" i="1"/>
  <c r="F1552" i="1"/>
  <c r="P1551" i="1"/>
  <c r="F1551" i="1"/>
  <c r="P1550" i="1"/>
  <c r="F1550" i="1"/>
  <c r="P1549" i="1"/>
  <c r="F1549" i="1"/>
  <c r="P1548" i="1"/>
  <c r="F1548" i="1"/>
  <c r="P1547" i="1"/>
  <c r="F1547" i="1"/>
  <c r="P1546" i="1"/>
  <c r="F1546" i="1"/>
  <c r="P1545" i="1"/>
  <c r="F1545" i="1"/>
  <c r="P1544" i="1"/>
  <c r="F1544" i="1"/>
  <c r="P1543" i="1"/>
  <c r="F1543" i="1"/>
  <c r="P1542" i="1"/>
  <c r="F1542" i="1"/>
  <c r="P1541" i="1"/>
  <c r="F1541" i="1"/>
  <c r="P1540" i="1"/>
  <c r="F1540" i="1"/>
  <c r="P1539" i="1"/>
  <c r="F1539" i="1"/>
  <c r="P1538" i="1"/>
  <c r="F1538" i="1"/>
  <c r="P1537" i="1"/>
  <c r="F1537" i="1"/>
  <c r="P1536" i="1"/>
  <c r="F1536" i="1"/>
  <c r="P1535" i="1"/>
  <c r="F1535" i="1"/>
  <c r="P1534" i="1"/>
  <c r="F1534" i="1"/>
  <c r="P1533" i="1"/>
  <c r="F1533" i="1"/>
  <c r="P1532" i="1"/>
  <c r="F1532" i="1"/>
  <c r="P1531" i="1"/>
  <c r="F1531" i="1"/>
  <c r="P1530" i="1"/>
  <c r="F1530" i="1"/>
  <c r="P1529" i="1"/>
  <c r="F1529" i="1"/>
  <c r="P1528" i="1"/>
  <c r="F1528" i="1"/>
  <c r="P1527" i="1"/>
  <c r="F1527" i="1"/>
  <c r="P1526" i="1"/>
  <c r="D1623" i="1"/>
  <c r="D1621" i="1"/>
  <c r="D1619" i="1"/>
  <c r="D1617" i="1"/>
  <c r="D1615" i="1"/>
  <c r="D1613" i="1"/>
  <c r="D1611" i="1"/>
  <c r="D1609" i="1"/>
  <c r="D1607" i="1"/>
  <c r="D1605" i="1"/>
  <c r="D1603" i="1"/>
  <c r="D1601" i="1"/>
  <c r="D1599" i="1"/>
  <c r="J1623" i="1"/>
  <c r="J1615" i="1"/>
  <c r="J1607" i="1"/>
  <c r="J1599" i="1"/>
  <c r="J1593" i="1"/>
  <c r="B1589" i="1"/>
  <c r="D1583" i="1"/>
  <c r="J1577" i="1"/>
  <c r="D1574" i="1"/>
  <c r="L1571" i="1"/>
  <c r="I1569" i="1"/>
  <c r="K1567" i="1"/>
  <c r="F1565" i="1"/>
  <c r="B1563" i="1"/>
  <c r="K1561" i="1"/>
  <c r="D1560" i="1"/>
  <c r="O1558" i="1"/>
  <c r="K1557" i="1"/>
  <c r="D1556" i="1"/>
  <c r="O1554" i="1"/>
  <c r="K1553" i="1"/>
  <c r="D1552" i="1"/>
  <c r="O1550" i="1"/>
  <c r="K1549" i="1"/>
  <c r="D1548" i="1"/>
  <c r="O1546" i="1"/>
  <c r="K1545" i="1"/>
  <c r="D1544" i="1"/>
  <c r="O1542" i="1"/>
  <c r="K1541" i="1"/>
  <c r="D1540" i="1"/>
  <c r="D1539" i="1"/>
  <c r="D1538" i="1"/>
  <c r="E1537" i="1"/>
  <c r="H1536" i="1"/>
  <c r="L1535" i="1"/>
  <c r="Q1534" i="1"/>
  <c r="C1534" i="1"/>
  <c r="E1533" i="1"/>
  <c r="H1532" i="1"/>
  <c r="L1531" i="1"/>
  <c r="Q1530" i="1"/>
  <c r="C1530" i="1"/>
  <c r="E1529" i="1"/>
  <c r="H1528" i="1"/>
  <c r="L1527" i="1"/>
  <c r="Q1526" i="1"/>
  <c r="D1526" i="1"/>
  <c r="K1525" i="1"/>
  <c r="T1524" i="1"/>
  <c r="H1524" i="1"/>
  <c r="Q1523" i="1"/>
  <c r="F1523" i="1"/>
  <c r="O1522" i="1"/>
  <c r="D1522" i="1"/>
  <c r="K1521" i="1"/>
  <c r="T1520" i="1"/>
  <c r="H1520" i="1"/>
  <c r="Q1519" i="1"/>
  <c r="F1519" i="1"/>
  <c r="P1518" i="1"/>
  <c r="F1518" i="1"/>
  <c r="P1517" i="1"/>
  <c r="F1517" i="1"/>
  <c r="P1516" i="1"/>
  <c r="F1516" i="1"/>
  <c r="P1515" i="1"/>
  <c r="F1515" i="1"/>
  <c r="P1514" i="1"/>
  <c r="F1514" i="1"/>
  <c r="P1513" i="1"/>
  <c r="F1513" i="1"/>
  <c r="P1512" i="1"/>
  <c r="F1512" i="1"/>
  <c r="P1511" i="1"/>
  <c r="F1511" i="1"/>
  <c r="P1510" i="1"/>
  <c r="F1510" i="1"/>
  <c r="P1509" i="1"/>
  <c r="F1509" i="1"/>
  <c r="P1508" i="1"/>
  <c r="F1508" i="1"/>
  <c r="P1507" i="1"/>
  <c r="F1507" i="1"/>
  <c r="P1506" i="1"/>
  <c r="F1506" i="1"/>
  <c r="P1505" i="1"/>
  <c r="F1505" i="1"/>
  <c r="P1504" i="1"/>
  <c r="F1504" i="1"/>
  <c r="P1503" i="1"/>
  <c r="F1503" i="1"/>
  <c r="P1502" i="1"/>
  <c r="F1502" i="1"/>
  <c r="P1501" i="1"/>
  <c r="F1501" i="1"/>
  <c r="P1500" i="1"/>
  <c r="F1500" i="1"/>
  <c r="P1499" i="1"/>
  <c r="F1499" i="1"/>
  <c r="P1498" i="1"/>
  <c r="F1498" i="1"/>
  <c r="P1497" i="1"/>
  <c r="F1497" i="1"/>
  <c r="P1496" i="1"/>
  <c r="F1496" i="1"/>
  <c r="P1495" i="1"/>
  <c r="F1495" i="1"/>
  <c r="P1494" i="1"/>
  <c r="F1494" i="1"/>
  <c r="P1493" i="1"/>
  <c r="F1493" i="1"/>
  <c r="P1492" i="1"/>
  <c r="F1492" i="1"/>
  <c r="P1491" i="1"/>
  <c r="F1491" i="1"/>
  <c r="P1490" i="1"/>
  <c r="F1490" i="1"/>
  <c r="P1489" i="1"/>
  <c r="F1489" i="1"/>
  <c r="P1488" i="1"/>
  <c r="F1488" i="1"/>
  <c r="P1487" i="1"/>
  <c r="F1487" i="1"/>
  <c r="P1486" i="1"/>
  <c r="F1486" i="1"/>
  <c r="P1485" i="1"/>
  <c r="F1485" i="1"/>
  <c r="P1484" i="1"/>
  <c r="F1484" i="1"/>
  <c r="B1623" i="1"/>
  <c r="B1615" i="1"/>
  <c r="B1607" i="1"/>
  <c r="B1599" i="1"/>
  <c r="D1593" i="1"/>
  <c r="J1587" i="1"/>
  <c r="B1583" i="1"/>
  <c r="D1577" i="1"/>
  <c r="J1573" i="1"/>
  <c r="K1571" i="1"/>
  <c r="F1569" i="1"/>
  <c r="B1567" i="1"/>
  <c r="D1565" i="1"/>
  <c r="T1562" i="1"/>
  <c r="E1561" i="1"/>
  <c r="C1560" i="1"/>
  <c r="L1558" i="1"/>
  <c r="E1557" i="1"/>
  <c r="C1556" i="1"/>
  <c r="L1554" i="1"/>
  <c r="E1553" i="1"/>
  <c r="C1552" i="1"/>
  <c r="L1550" i="1"/>
  <c r="E1549" i="1"/>
  <c r="C1548" i="1"/>
  <c r="L1546" i="1"/>
  <c r="E1545" i="1"/>
  <c r="C1544" i="1"/>
  <c r="L1542" i="1"/>
  <c r="E1541" i="1"/>
  <c r="C1540" i="1"/>
  <c r="C1539" i="1"/>
  <c r="C1538" i="1"/>
  <c r="D1537" i="1"/>
  <c r="G1536" i="1"/>
  <c r="K1535" i="1"/>
  <c r="O1534" i="1"/>
  <c r="S1533" i="1"/>
  <c r="D1533" i="1"/>
  <c r="G1532" i="1"/>
  <c r="K1531" i="1"/>
  <c r="O1530" i="1"/>
  <c r="S1529" i="1"/>
  <c r="D1529" i="1"/>
  <c r="G1528" i="1"/>
  <c r="K1527" i="1"/>
  <c r="O1526" i="1"/>
  <c r="C1526" i="1"/>
  <c r="I1525" i="1"/>
  <c r="S1524" i="1"/>
  <c r="G1524" i="1"/>
  <c r="P1523" i="1"/>
  <c r="E1523" i="1"/>
  <c r="L1522" i="1"/>
  <c r="C1522" i="1"/>
  <c r="I1521" i="1"/>
  <c r="S1520" i="1"/>
  <c r="G1520" i="1"/>
  <c r="P1519" i="1"/>
  <c r="E1519" i="1"/>
  <c r="O1518" i="1"/>
  <c r="E1518" i="1"/>
  <c r="O1517" i="1"/>
  <c r="E1517" i="1"/>
  <c r="O1516" i="1"/>
  <c r="E1516" i="1"/>
  <c r="O1515" i="1"/>
  <c r="E1515" i="1"/>
  <c r="O1514" i="1"/>
  <c r="E1514" i="1"/>
  <c r="O1513" i="1"/>
  <c r="E1513" i="1"/>
  <c r="O1512" i="1"/>
  <c r="E1512" i="1"/>
  <c r="O1511" i="1"/>
  <c r="E1511" i="1"/>
  <c r="O1510" i="1"/>
  <c r="E1510" i="1"/>
  <c r="O1509" i="1"/>
  <c r="E1509" i="1"/>
  <c r="O1508" i="1"/>
  <c r="E1508" i="1"/>
  <c r="O1507" i="1"/>
  <c r="E1507" i="1"/>
  <c r="O1506" i="1"/>
  <c r="E1506" i="1"/>
  <c r="O1505" i="1"/>
  <c r="E1505" i="1"/>
  <c r="O1504" i="1"/>
  <c r="E1504" i="1"/>
  <c r="O1503" i="1"/>
  <c r="E1503" i="1"/>
  <c r="O1502" i="1"/>
  <c r="E1502" i="1"/>
  <c r="O1501" i="1"/>
  <c r="E1501" i="1"/>
  <c r="O1500" i="1"/>
  <c r="E1500" i="1"/>
  <c r="O1499" i="1"/>
  <c r="E1499" i="1"/>
  <c r="O1498" i="1"/>
  <c r="E1498" i="1"/>
  <c r="O1497" i="1"/>
  <c r="E1497" i="1"/>
  <c r="O1496" i="1"/>
  <c r="E1496" i="1"/>
  <c r="O1495" i="1"/>
  <c r="E1495" i="1"/>
  <c r="O1494" i="1"/>
  <c r="E1494" i="1"/>
  <c r="O1493" i="1"/>
  <c r="E1493" i="1"/>
  <c r="O1492" i="1"/>
  <c r="E1492" i="1"/>
  <c r="O1491" i="1"/>
  <c r="E1491" i="1"/>
  <c r="O1490" i="1"/>
  <c r="E1490" i="1"/>
  <c r="O1489" i="1"/>
  <c r="E1489" i="1"/>
  <c r="O1488" i="1"/>
  <c r="E1488" i="1"/>
  <c r="O1487" i="1"/>
  <c r="E1487" i="1"/>
  <c r="O1486" i="1"/>
  <c r="E1486" i="1"/>
  <c r="J1621" i="1"/>
  <c r="J1613" i="1"/>
  <c r="J1605" i="1"/>
  <c r="J1597" i="1"/>
  <c r="B1593" i="1"/>
  <c r="D1587" i="1"/>
  <c r="J1581" i="1"/>
  <c r="B1577" i="1"/>
  <c r="F1573" i="1"/>
  <c r="B1571" i="1"/>
  <c r="D1569" i="1"/>
  <c r="T1566" i="1"/>
  <c r="K1564" i="1"/>
  <c r="P1562" i="1"/>
  <c r="D1561" i="1"/>
  <c r="O1559" i="1"/>
  <c r="K1558" i="1"/>
  <c r="D1557" i="1"/>
  <c r="O1555" i="1"/>
  <c r="K1554" i="1"/>
  <c r="D1553" i="1"/>
  <c r="O1551" i="1"/>
  <c r="K1550" i="1"/>
  <c r="D1549" i="1"/>
  <c r="O1547" i="1"/>
  <c r="K1546" i="1"/>
  <c r="D1545" i="1"/>
  <c r="O1543" i="1"/>
  <c r="K1542" i="1"/>
  <c r="D1541" i="1"/>
  <c r="Q1539" i="1"/>
  <c r="Q1538" i="1"/>
  <c r="Q1537" i="1"/>
  <c r="C1537" i="1"/>
  <c r="E1536" i="1"/>
  <c r="H1535" i="1"/>
  <c r="L1534" i="1"/>
  <c r="Q1533" i="1"/>
  <c r="C1533" i="1"/>
  <c r="E1532" i="1"/>
  <c r="H1531" i="1"/>
  <c r="L1530" i="1"/>
  <c r="Q1529" i="1"/>
  <c r="C1529" i="1"/>
  <c r="E1528" i="1"/>
  <c r="H1527" i="1"/>
  <c r="L1526" i="1"/>
  <c r="T1525" i="1"/>
  <c r="H1525" i="1"/>
  <c r="Q1524" i="1"/>
  <c r="F1524" i="1"/>
  <c r="O1523" i="1"/>
  <c r="D1523" i="1"/>
  <c r="K1522" i="1"/>
  <c r="T1521" i="1"/>
  <c r="H1521" i="1"/>
  <c r="Q1520" i="1"/>
  <c r="F1520" i="1"/>
  <c r="O1519" i="1"/>
  <c r="D1519" i="1"/>
  <c r="L1518" i="1"/>
  <c r="D1518" i="1"/>
  <c r="L1517" i="1"/>
  <c r="D1517" i="1"/>
  <c r="L1516" i="1"/>
  <c r="D1516" i="1"/>
  <c r="L1515" i="1"/>
  <c r="D1515" i="1"/>
  <c r="L1514" i="1"/>
  <c r="D1514" i="1"/>
  <c r="L1513" i="1"/>
  <c r="D1513" i="1"/>
  <c r="L1512" i="1"/>
  <c r="D1512" i="1"/>
  <c r="L1511" i="1"/>
  <c r="D1511" i="1"/>
  <c r="L1510" i="1"/>
  <c r="D1510" i="1"/>
  <c r="L1509" i="1"/>
  <c r="D1509" i="1"/>
  <c r="L1508" i="1"/>
  <c r="D1508" i="1"/>
  <c r="L1507" i="1"/>
  <c r="D1507" i="1"/>
  <c r="L1506" i="1"/>
  <c r="D1506" i="1"/>
  <c r="L1505" i="1"/>
  <c r="D1505" i="1"/>
  <c r="L1504" i="1"/>
  <c r="D1504" i="1"/>
  <c r="L1503" i="1"/>
  <c r="D1503" i="1"/>
  <c r="L1502" i="1"/>
  <c r="D1502" i="1"/>
  <c r="L1501" i="1"/>
  <c r="D1501" i="1"/>
  <c r="L1500" i="1"/>
  <c r="D1500" i="1"/>
  <c r="L1499" i="1"/>
  <c r="D1499" i="1"/>
  <c r="L1498" i="1"/>
  <c r="D1498" i="1"/>
  <c r="L1497" i="1"/>
  <c r="D1497" i="1"/>
  <c r="L1496" i="1"/>
  <c r="D1496" i="1"/>
  <c r="L1495" i="1"/>
  <c r="D1495" i="1"/>
  <c r="L1494" i="1"/>
  <c r="D1494" i="1"/>
  <c r="L1493" i="1"/>
  <c r="D1493" i="1"/>
  <c r="L1492" i="1"/>
  <c r="D1492" i="1"/>
  <c r="L1491" i="1"/>
  <c r="D1491" i="1"/>
  <c r="L1490" i="1"/>
  <c r="D1490" i="1"/>
  <c r="L1489" i="1"/>
  <c r="D1489" i="1"/>
  <c r="L1488" i="1"/>
  <c r="D1488" i="1"/>
  <c r="L1487" i="1"/>
  <c r="D1487" i="1"/>
  <c r="L1486" i="1"/>
  <c r="D1486" i="1"/>
  <c r="J1619" i="1"/>
  <c r="J1611" i="1"/>
  <c r="J1603" i="1"/>
  <c r="B1597" i="1"/>
  <c r="D1591" i="1"/>
  <c r="J1585" i="1"/>
  <c r="B1581" i="1"/>
  <c r="F1575" i="1"/>
  <c r="K1572" i="1"/>
  <c r="P1570" i="1"/>
  <c r="J1568" i="1"/>
  <c r="D1566" i="1"/>
  <c r="I1564" i="1"/>
  <c r="E1562" i="1"/>
  <c r="O1560" i="1"/>
  <c r="K1559" i="1"/>
  <c r="D1558" i="1"/>
  <c r="O1556" i="1"/>
  <c r="K1555" i="1"/>
  <c r="D1554" i="1"/>
  <c r="O1552" i="1"/>
  <c r="K1551" i="1"/>
  <c r="D1550" i="1"/>
  <c r="O1548" i="1"/>
  <c r="K1547" i="1"/>
  <c r="D1546" i="1"/>
  <c r="O1544" i="1"/>
  <c r="K1543" i="1"/>
  <c r="D1542" i="1"/>
  <c r="O1540" i="1"/>
  <c r="L1539" i="1"/>
  <c r="L1538" i="1"/>
  <c r="L1537" i="1"/>
  <c r="Q1536" i="1"/>
  <c r="C1536" i="1"/>
  <c r="E1535" i="1"/>
  <c r="H1534" i="1"/>
  <c r="L1533" i="1"/>
  <c r="Q1532" i="1"/>
  <c r="C1532" i="1"/>
  <c r="E1531" i="1"/>
  <c r="H1530" i="1"/>
  <c r="L1529" i="1"/>
  <c r="Q1528" i="1"/>
  <c r="C1528" i="1"/>
  <c r="E1527" i="1"/>
  <c r="H1526" i="1"/>
  <c r="Q1525" i="1"/>
  <c r="F1525" i="1"/>
  <c r="O1524" i="1"/>
  <c r="D1524" i="1"/>
  <c r="K1523" i="1"/>
  <c r="T1522" i="1"/>
  <c r="H1522" i="1"/>
  <c r="Q1521" i="1"/>
  <c r="F1521" i="1"/>
  <c r="O1520" i="1"/>
  <c r="D1520" i="1"/>
  <c r="K1519" i="1"/>
  <c r="B1519" i="1"/>
  <c r="J1518" i="1"/>
  <c r="B1518" i="1"/>
  <c r="J1517" i="1"/>
  <c r="B1517" i="1"/>
  <c r="J1516" i="1"/>
  <c r="B1516" i="1"/>
  <c r="J1515" i="1"/>
  <c r="B1515" i="1"/>
  <c r="J1514" i="1"/>
  <c r="B1514" i="1"/>
  <c r="J1513" i="1"/>
  <c r="B1513" i="1"/>
  <c r="J1512" i="1"/>
  <c r="B1512" i="1"/>
  <c r="J1511" i="1"/>
  <c r="B1511" i="1"/>
  <c r="J1510" i="1"/>
  <c r="B1510" i="1"/>
  <c r="J1509" i="1"/>
  <c r="B1509" i="1"/>
  <c r="J1508" i="1"/>
  <c r="B1508" i="1"/>
  <c r="J1507" i="1"/>
  <c r="B1507" i="1"/>
  <c r="J1506" i="1"/>
  <c r="B1506" i="1"/>
  <c r="J1505" i="1"/>
  <c r="B1505" i="1"/>
  <c r="J1504" i="1"/>
  <c r="B1504" i="1"/>
  <c r="J1503" i="1"/>
  <c r="B1503" i="1"/>
  <c r="J1502" i="1"/>
  <c r="B1502" i="1"/>
  <c r="J1501" i="1"/>
  <c r="B1501" i="1"/>
  <c r="J1500" i="1"/>
  <c r="B1500" i="1"/>
  <c r="J1499" i="1"/>
  <c r="B1499" i="1"/>
  <c r="J1498" i="1"/>
  <c r="B1498" i="1"/>
  <c r="J1497" i="1"/>
  <c r="B1497" i="1"/>
  <c r="J1496" i="1"/>
  <c r="B1496" i="1"/>
  <c r="J1495" i="1"/>
  <c r="B1495" i="1"/>
  <c r="J1494" i="1"/>
  <c r="B1494" i="1"/>
  <c r="J1493" i="1"/>
  <c r="B1493" i="1"/>
  <c r="J1492" i="1"/>
  <c r="B1492" i="1"/>
  <c r="J1491" i="1"/>
  <c r="B1491" i="1"/>
  <c r="J1490" i="1"/>
  <c r="B1490" i="1"/>
  <c r="J1489" i="1"/>
  <c r="B1489" i="1"/>
  <c r="J1488" i="1"/>
  <c r="B1488" i="1"/>
  <c r="J1487" i="1"/>
  <c r="B1487" i="1"/>
  <c r="J1486" i="1"/>
  <c r="B1486" i="1"/>
  <c r="J1485" i="1"/>
  <c r="B1619" i="1"/>
  <c r="B1611" i="1"/>
  <c r="B1603" i="1"/>
  <c r="J1595" i="1"/>
  <c r="B1591" i="1"/>
  <c r="D1585" i="1"/>
  <c r="J1579" i="1"/>
  <c r="D1575" i="1"/>
  <c r="J1572" i="1"/>
  <c r="D1570" i="1"/>
  <c r="I1568" i="1"/>
  <c r="C1566" i="1"/>
  <c r="P1563" i="1"/>
  <c r="D1562" i="1"/>
  <c r="L1560" i="1"/>
  <c r="E1559" i="1"/>
  <c r="C1558" i="1"/>
  <c r="L1556" i="1"/>
  <c r="E1555" i="1"/>
  <c r="C1554" i="1"/>
  <c r="L1552" i="1"/>
  <c r="E1551" i="1"/>
  <c r="C1550" i="1"/>
  <c r="L1548" i="1"/>
  <c r="E1547" i="1"/>
  <c r="C1546" i="1"/>
  <c r="L1544" i="1"/>
  <c r="E1543" i="1"/>
  <c r="C1542" i="1"/>
  <c r="L1540" i="1"/>
  <c r="K1539" i="1"/>
  <c r="K1538" i="1"/>
  <c r="K1537" i="1"/>
  <c r="O1536" i="1"/>
  <c r="S1535" i="1"/>
  <c r="D1535" i="1"/>
  <c r="G1534" i="1"/>
  <c r="K1533" i="1"/>
  <c r="O1532" i="1"/>
  <c r="S1531" i="1"/>
  <c r="D1531" i="1"/>
  <c r="G1530" i="1"/>
  <c r="K1529" i="1"/>
  <c r="O1528" i="1"/>
  <c r="S1527" i="1"/>
  <c r="D1527" i="1"/>
  <c r="G1526" i="1"/>
  <c r="P1525" i="1"/>
  <c r="E1525" i="1"/>
  <c r="L1524" i="1"/>
  <c r="C1524" i="1"/>
  <c r="I1523" i="1"/>
  <c r="S1522" i="1"/>
  <c r="G1522" i="1"/>
  <c r="P1521" i="1"/>
  <c r="E1521" i="1"/>
  <c r="L1520" i="1"/>
  <c r="C1520" i="1"/>
  <c r="I1519" i="1"/>
  <c r="T1518" i="1"/>
  <c r="I1518" i="1"/>
  <c r="T1517" i="1"/>
  <c r="I1517" i="1"/>
  <c r="T1516" i="1"/>
  <c r="I1516" i="1"/>
  <c r="T1515" i="1"/>
  <c r="I1515" i="1"/>
  <c r="T1514" i="1"/>
  <c r="I1514" i="1"/>
  <c r="T1513" i="1"/>
  <c r="I1513" i="1"/>
  <c r="T1512" i="1"/>
  <c r="I1512" i="1"/>
  <c r="T1511" i="1"/>
  <c r="I1511" i="1"/>
  <c r="T1510" i="1"/>
  <c r="I1510" i="1"/>
  <c r="T1509" i="1"/>
  <c r="I1509" i="1"/>
  <c r="T1508" i="1"/>
  <c r="I1508" i="1"/>
  <c r="T1507" i="1"/>
  <c r="I1507" i="1"/>
  <c r="T1506" i="1"/>
  <c r="I1506" i="1"/>
  <c r="T1505" i="1"/>
  <c r="I1505" i="1"/>
  <c r="T1504" i="1"/>
  <c r="I1504" i="1"/>
  <c r="T1503" i="1"/>
  <c r="I1503" i="1"/>
  <c r="T1502" i="1"/>
  <c r="I1502" i="1"/>
  <c r="T1501" i="1"/>
  <c r="I1501" i="1"/>
  <c r="T1500" i="1"/>
  <c r="I1500" i="1"/>
  <c r="T1499" i="1"/>
  <c r="I1499" i="1"/>
  <c r="T1498" i="1"/>
  <c r="I1498" i="1"/>
  <c r="T1497" i="1"/>
  <c r="I1497" i="1"/>
  <c r="T1496" i="1"/>
  <c r="I1496" i="1"/>
  <c r="T1495" i="1"/>
  <c r="I1495" i="1"/>
  <c r="T1494" i="1"/>
  <c r="I1494" i="1"/>
  <c r="T1493" i="1"/>
  <c r="I1493" i="1"/>
  <c r="T1492" i="1"/>
  <c r="I1492" i="1"/>
  <c r="T1491" i="1"/>
  <c r="I1491" i="1"/>
  <c r="T1490" i="1"/>
  <c r="I1490" i="1"/>
  <c r="T1489" i="1"/>
  <c r="B1621" i="1"/>
  <c r="B1601" i="1"/>
  <c r="B1585" i="1"/>
  <c r="D1573" i="1"/>
  <c r="L1567" i="1"/>
  <c r="O1561" i="1"/>
  <c r="E1558" i="1"/>
  <c r="C1555" i="1"/>
  <c r="D1551" i="1"/>
  <c r="L1547" i="1"/>
  <c r="E1544" i="1"/>
  <c r="K1540" i="1"/>
  <c r="O1537" i="1"/>
  <c r="O1535" i="1"/>
  <c r="H1533" i="1"/>
  <c r="G1531" i="1"/>
  <c r="G1529" i="1"/>
  <c r="C1527" i="1"/>
  <c r="G1525" i="1"/>
  <c r="S1523" i="1"/>
  <c r="F1522" i="1"/>
  <c r="P1520" i="1"/>
  <c r="G1519" i="1"/>
  <c r="S1517" i="1"/>
  <c r="K1516" i="1"/>
  <c r="G1515" i="1"/>
  <c r="S1513" i="1"/>
  <c r="K1512" i="1"/>
  <c r="G1511" i="1"/>
  <c r="S1509" i="1"/>
  <c r="K1508" i="1"/>
  <c r="G1507" i="1"/>
  <c r="S1505" i="1"/>
  <c r="K1504" i="1"/>
  <c r="G1503" i="1"/>
  <c r="S1501" i="1"/>
  <c r="K1500" i="1"/>
  <c r="G1499" i="1"/>
  <c r="S1497" i="1"/>
  <c r="K1496" i="1"/>
  <c r="G1495" i="1"/>
  <c r="S1493" i="1"/>
  <c r="K1492" i="1"/>
  <c r="G1491" i="1"/>
  <c r="S1489" i="1"/>
  <c r="S1488" i="1"/>
  <c r="S1487" i="1"/>
  <c r="S1486" i="1"/>
  <c r="S1485" i="1"/>
  <c r="E1485" i="1"/>
  <c r="L1484" i="1"/>
  <c r="C1484" i="1"/>
  <c r="K1483" i="1"/>
  <c r="C1483" i="1"/>
  <c r="K1482" i="1"/>
  <c r="C1482" i="1"/>
  <c r="K1481" i="1"/>
  <c r="C1481" i="1"/>
  <c r="K1480" i="1"/>
  <c r="C1480" i="1"/>
  <c r="K1479" i="1"/>
  <c r="C1479" i="1"/>
  <c r="K1478" i="1"/>
  <c r="C1478" i="1"/>
  <c r="K1477" i="1"/>
  <c r="C1477" i="1"/>
  <c r="K1476" i="1"/>
  <c r="C1476" i="1"/>
  <c r="K1475" i="1"/>
  <c r="C1475" i="1"/>
  <c r="K1474" i="1"/>
  <c r="C1474" i="1"/>
  <c r="K1473" i="1"/>
  <c r="C1473" i="1"/>
  <c r="K1472" i="1"/>
  <c r="C1472" i="1"/>
  <c r="K1471" i="1"/>
  <c r="C1471" i="1"/>
  <c r="K1470" i="1"/>
  <c r="C1470" i="1"/>
  <c r="J1617" i="1"/>
  <c r="D1597" i="1"/>
  <c r="J1583" i="1"/>
  <c r="I1572" i="1"/>
  <c r="P1566" i="1"/>
  <c r="L1561" i="1"/>
  <c r="O1557" i="1"/>
  <c r="E1554" i="1"/>
  <c r="C1551" i="1"/>
  <c r="D1547" i="1"/>
  <c r="L1543" i="1"/>
  <c r="E1540" i="1"/>
  <c r="H1537" i="1"/>
  <c r="G1535" i="1"/>
  <c r="G1533" i="1"/>
  <c r="C1531" i="1"/>
  <c r="S1528" i="1"/>
  <c r="S1526" i="1"/>
  <c r="D1525" i="1"/>
  <c r="L1523" i="1"/>
  <c r="E1522" i="1"/>
  <c r="K1520" i="1"/>
  <c r="C1519" i="1"/>
  <c r="Q1517" i="1"/>
  <c r="H1516" i="1"/>
  <c r="C1515" i="1"/>
  <c r="Q1513" i="1"/>
  <c r="H1512" i="1"/>
  <c r="C1511" i="1"/>
  <c r="Q1509" i="1"/>
  <c r="H1508" i="1"/>
  <c r="C1507" i="1"/>
  <c r="Q1505" i="1"/>
  <c r="H1504" i="1"/>
  <c r="C1503" i="1"/>
  <c r="Q1501" i="1"/>
  <c r="H1500" i="1"/>
  <c r="C1499" i="1"/>
  <c r="Q1497" i="1"/>
  <c r="H1496" i="1"/>
  <c r="C1495" i="1"/>
  <c r="Q1493" i="1"/>
  <c r="H1492" i="1"/>
  <c r="C1491" i="1"/>
  <c r="Q1489" i="1"/>
  <c r="Q1488" i="1"/>
  <c r="Q1487" i="1"/>
  <c r="Q1486" i="1"/>
  <c r="Q1485" i="1"/>
  <c r="D1485" i="1"/>
  <c r="K1484" i="1"/>
  <c r="B1484" i="1"/>
  <c r="J1483" i="1"/>
  <c r="B1483" i="1"/>
  <c r="J1482" i="1"/>
  <c r="B1482" i="1"/>
  <c r="J1481" i="1"/>
  <c r="B1481" i="1"/>
  <c r="J1480" i="1"/>
  <c r="B1480" i="1"/>
  <c r="J1479" i="1"/>
  <c r="B1479" i="1"/>
  <c r="J1478" i="1"/>
  <c r="B1478" i="1"/>
  <c r="J1477" i="1"/>
  <c r="B1477" i="1"/>
  <c r="J1476" i="1"/>
  <c r="B1476" i="1"/>
  <c r="J1475" i="1"/>
  <c r="B1475" i="1"/>
  <c r="J1474" i="1"/>
  <c r="B1474" i="1"/>
  <c r="J1473" i="1"/>
  <c r="B1473" i="1"/>
  <c r="J1472" i="1"/>
  <c r="B1472" i="1"/>
  <c r="J1471" i="1"/>
  <c r="B1471" i="1"/>
  <c r="J1470" i="1"/>
  <c r="B1470" i="1"/>
  <c r="B1617" i="1"/>
  <c r="D1595" i="1"/>
  <c r="D1581" i="1"/>
  <c r="P1571" i="1"/>
  <c r="B1566" i="1"/>
  <c r="C1561" i="1"/>
  <c r="L1557" i="1"/>
  <c r="O1553" i="1"/>
  <c r="E1550" i="1"/>
  <c r="C1547" i="1"/>
  <c r="D1543" i="1"/>
  <c r="O1539" i="1"/>
  <c r="G1537" i="1"/>
  <c r="C1535" i="1"/>
  <c r="S1532" i="1"/>
  <c r="S1530" i="1"/>
  <c r="L1528" i="1"/>
  <c r="K1526" i="1"/>
  <c r="C1525" i="1"/>
  <c r="H1523" i="1"/>
  <c r="S1521" i="1"/>
  <c r="I1520" i="1"/>
  <c r="S1518" i="1"/>
  <c r="K1517" i="1"/>
  <c r="G1516" i="1"/>
  <c r="S1514" i="1"/>
  <c r="K1513" i="1"/>
  <c r="G1512" i="1"/>
  <c r="S1510" i="1"/>
  <c r="K1509" i="1"/>
  <c r="G1508" i="1"/>
  <c r="S1506" i="1"/>
  <c r="K1505" i="1"/>
  <c r="G1504" i="1"/>
  <c r="S1502" i="1"/>
  <c r="K1501" i="1"/>
  <c r="G1500" i="1"/>
  <c r="S1498" i="1"/>
  <c r="K1497" i="1"/>
  <c r="G1496" i="1"/>
  <c r="S1494" i="1"/>
  <c r="K1493" i="1"/>
  <c r="G1492" i="1"/>
  <c r="S1490" i="1"/>
  <c r="K1489" i="1"/>
  <c r="K1488" i="1"/>
  <c r="K1487" i="1"/>
  <c r="K1486" i="1"/>
  <c r="O1485" i="1"/>
  <c r="C1485" i="1"/>
  <c r="J1484" i="1"/>
  <c r="T1483" i="1"/>
  <c r="I1483" i="1"/>
  <c r="T1482" i="1"/>
  <c r="I1482" i="1"/>
  <c r="T1481" i="1"/>
  <c r="I1481" i="1"/>
  <c r="T1480" i="1"/>
  <c r="I1480" i="1"/>
  <c r="T1479" i="1"/>
  <c r="I1479" i="1"/>
  <c r="T1478" i="1"/>
  <c r="I1478" i="1"/>
  <c r="T1477" i="1"/>
  <c r="I1477" i="1"/>
  <c r="T1476" i="1"/>
  <c r="I1476" i="1"/>
  <c r="T1475" i="1"/>
  <c r="I1475" i="1"/>
  <c r="T1474" i="1"/>
  <c r="I1474" i="1"/>
  <c r="T1473" i="1"/>
  <c r="I1473" i="1"/>
  <c r="T1472" i="1"/>
  <c r="I1472" i="1"/>
  <c r="T1471" i="1"/>
  <c r="I1471" i="1"/>
  <c r="T1470" i="1"/>
  <c r="I1470" i="1"/>
  <c r="T1469" i="1"/>
  <c r="I1469" i="1"/>
  <c r="T1468" i="1"/>
  <c r="I1468" i="1"/>
  <c r="T1467" i="1"/>
  <c r="I1467" i="1"/>
  <c r="T1466" i="1"/>
  <c r="I1466" i="1"/>
  <c r="T1465" i="1"/>
  <c r="I1465" i="1"/>
  <c r="T1464" i="1"/>
  <c r="I1464" i="1"/>
  <c r="T1463" i="1"/>
  <c r="I1463" i="1"/>
  <c r="T1462" i="1"/>
  <c r="I1462" i="1"/>
  <c r="T1461" i="1"/>
  <c r="I1461" i="1"/>
  <c r="T1460" i="1"/>
  <c r="I1460" i="1"/>
  <c r="T1459" i="1"/>
  <c r="I1459" i="1"/>
  <c r="T1458" i="1"/>
  <c r="I1458" i="1"/>
  <c r="T1457" i="1"/>
  <c r="I1457" i="1"/>
  <c r="T1456" i="1"/>
  <c r="I1456" i="1"/>
  <c r="T1455" i="1"/>
  <c r="I1455" i="1"/>
  <c r="T1454" i="1"/>
  <c r="I1454" i="1"/>
  <c r="T1453" i="1"/>
  <c r="I1453" i="1"/>
  <c r="T1452" i="1"/>
  <c r="I1452" i="1"/>
  <c r="T1451" i="1"/>
  <c r="I1451" i="1"/>
  <c r="T1450" i="1"/>
  <c r="I1450" i="1"/>
  <c r="T1449" i="1"/>
  <c r="I1449" i="1"/>
  <c r="T1448" i="1"/>
  <c r="I1448" i="1"/>
  <c r="T1447" i="1"/>
  <c r="I1447" i="1"/>
  <c r="T1446" i="1"/>
  <c r="I1446" i="1"/>
  <c r="T1445" i="1"/>
  <c r="I1445" i="1"/>
  <c r="T1444" i="1"/>
  <c r="I1444" i="1"/>
  <c r="T1443" i="1"/>
  <c r="I1443" i="1"/>
  <c r="T1442" i="1"/>
  <c r="I1442" i="1"/>
  <c r="T1441" i="1"/>
  <c r="I1441" i="1"/>
  <c r="T1440" i="1"/>
  <c r="I1440" i="1"/>
  <c r="T1439" i="1"/>
  <c r="B1613" i="1"/>
  <c r="B1595" i="1"/>
  <c r="D1579" i="1"/>
  <c r="T1570" i="1"/>
  <c r="I1565" i="1"/>
  <c r="K1560" i="1"/>
  <c r="C1557" i="1"/>
  <c r="L1553" i="1"/>
  <c r="O1549" i="1"/>
  <c r="E1546" i="1"/>
  <c r="C1543" i="1"/>
  <c r="G1539" i="1"/>
  <c r="S1536" i="1"/>
  <c r="S1534" i="1"/>
  <c r="L1532" i="1"/>
  <c r="K1530" i="1"/>
  <c r="K1528" i="1"/>
  <c r="F1526" i="1"/>
  <c r="P1524" i="1"/>
  <c r="G1523" i="1"/>
  <c r="O1521" i="1"/>
  <c r="E1520" i="1"/>
  <c r="Q1518" i="1"/>
  <c r="H1517" i="1"/>
  <c r="C1516" i="1"/>
  <c r="Q1514" i="1"/>
  <c r="H1513" i="1"/>
  <c r="C1512" i="1"/>
  <c r="Q1510" i="1"/>
  <c r="H1509" i="1"/>
  <c r="C1508" i="1"/>
  <c r="Q1506" i="1"/>
  <c r="H1505" i="1"/>
  <c r="C1504" i="1"/>
  <c r="Q1502" i="1"/>
  <c r="H1501" i="1"/>
  <c r="C1500" i="1"/>
  <c r="Q1498" i="1"/>
  <c r="H1497" i="1"/>
  <c r="C1496" i="1"/>
  <c r="Q1494" i="1"/>
  <c r="H1493" i="1"/>
  <c r="C1492" i="1"/>
  <c r="Q1490" i="1"/>
  <c r="I1489" i="1"/>
  <c r="I1488" i="1"/>
  <c r="I1487" i="1"/>
  <c r="I1486" i="1"/>
  <c r="L1485" i="1"/>
  <c r="B1485" i="1"/>
  <c r="I1484" i="1"/>
  <c r="S1483" i="1"/>
  <c r="H1483" i="1"/>
  <c r="S1482" i="1"/>
  <c r="H1482" i="1"/>
  <c r="S1481" i="1"/>
  <c r="H1481" i="1"/>
  <c r="S1480" i="1"/>
  <c r="H1480" i="1"/>
  <c r="S1479" i="1"/>
  <c r="H1479" i="1"/>
  <c r="S1478" i="1"/>
  <c r="H1478" i="1"/>
  <c r="S1477" i="1"/>
  <c r="H1477" i="1"/>
  <c r="S1476" i="1"/>
  <c r="H1476" i="1"/>
  <c r="S1475" i="1"/>
  <c r="H1475" i="1"/>
  <c r="S1474" i="1"/>
  <c r="H1474" i="1"/>
  <c r="S1473" i="1"/>
  <c r="H1473" i="1"/>
  <c r="S1472" i="1"/>
  <c r="H1472" i="1"/>
  <c r="S1471" i="1"/>
  <c r="H1471" i="1"/>
  <c r="S1470" i="1"/>
  <c r="H1470" i="1"/>
  <c r="S1469" i="1"/>
  <c r="H1469" i="1"/>
  <c r="S1468" i="1"/>
  <c r="H1468" i="1"/>
  <c r="S1467" i="1"/>
  <c r="H1467" i="1"/>
  <c r="S1466" i="1"/>
  <c r="H1466" i="1"/>
  <c r="S1465" i="1"/>
  <c r="H1465" i="1"/>
  <c r="S1464" i="1"/>
  <c r="H1464" i="1"/>
  <c r="S1463" i="1"/>
  <c r="H1463" i="1"/>
  <c r="S1462" i="1"/>
  <c r="H1462" i="1"/>
  <c r="S1461" i="1"/>
  <c r="H1461" i="1"/>
  <c r="S1460" i="1"/>
  <c r="B1605" i="1"/>
  <c r="D1589" i="1"/>
  <c r="J1574" i="1"/>
  <c r="K1568" i="1"/>
  <c r="K1563" i="1"/>
  <c r="D1559" i="1"/>
  <c r="L1555" i="1"/>
  <c r="E1552" i="1"/>
  <c r="K1548" i="1"/>
  <c r="C1545" i="1"/>
  <c r="L1541" i="1"/>
  <c r="G1538" i="1"/>
  <c r="D1536" i="1"/>
  <c r="D1534" i="1"/>
  <c r="Q1531" i="1"/>
  <c r="O1529" i="1"/>
  <c r="O1527" i="1"/>
  <c r="O1525" i="1"/>
  <c r="E1524" i="1"/>
  <c r="P1522" i="1"/>
  <c r="D1521" i="1"/>
  <c r="L1519" i="1"/>
  <c r="G1518" i="1"/>
  <c r="S1516" i="1"/>
  <c r="K1515" i="1"/>
  <c r="G1514" i="1"/>
  <c r="S1512" i="1"/>
  <c r="K1511" i="1"/>
  <c r="G1510" i="1"/>
  <c r="S1508" i="1"/>
  <c r="K1507" i="1"/>
  <c r="G1506" i="1"/>
  <c r="S1504" i="1"/>
  <c r="K1503" i="1"/>
  <c r="G1502" i="1"/>
  <c r="J1601" i="1"/>
  <c r="B1587" i="1"/>
  <c r="F1574" i="1"/>
  <c r="P1567" i="1"/>
  <c r="F1562" i="1"/>
  <c r="C1559" i="1"/>
  <c r="D1555" i="1"/>
  <c r="L1551" i="1"/>
  <c r="E1548" i="1"/>
  <c r="K1544" i="1"/>
  <c r="C1541" i="1"/>
  <c r="E1538" i="1"/>
  <c r="Q1535" i="1"/>
  <c r="O1533" i="1"/>
  <c r="O1531" i="1"/>
  <c r="H1529" i="1"/>
  <c r="G1527" i="1"/>
  <c r="L1525" i="1"/>
  <c r="T1523" i="1"/>
  <c r="I1522" i="1"/>
  <c r="C1521" i="1"/>
  <c r="H1519" i="1"/>
  <c r="C1518" i="1"/>
  <c r="Q1516" i="1"/>
  <c r="H1515" i="1"/>
  <c r="C1514" i="1"/>
  <c r="Q1512" i="1"/>
  <c r="H1511" i="1"/>
  <c r="C1510" i="1"/>
  <c r="Q1508" i="1"/>
  <c r="H1507" i="1"/>
  <c r="C1506" i="1"/>
  <c r="Q1504" i="1"/>
  <c r="H1503" i="1"/>
  <c r="C1502" i="1"/>
  <c r="Q1500" i="1"/>
  <c r="H1499" i="1"/>
  <c r="C1498" i="1"/>
  <c r="Q1496" i="1"/>
  <c r="H1495" i="1"/>
  <c r="C1494" i="1"/>
  <c r="Q1492" i="1"/>
  <c r="H1491" i="1"/>
  <c r="C1490" i="1"/>
  <c r="T1488" i="1"/>
  <c r="T1487" i="1"/>
  <c r="T1486" i="1"/>
  <c r="T1485" i="1"/>
  <c r="G1485" i="1"/>
  <c r="O1484" i="1"/>
  <c r="D1484" i="1"/>
  <c r="L1483" i="1"/>
  <c r="D1483" i="1"/>
  <c r="L1482" i="1"/>
  <c r="D1482" i="1"/>
  <c r="L1481" i="1"/>
  <c r="D1481" i="1"/>
  <c r="L1480" i="1"/>
  <c r="D1480" i="1"/>
  <c r="L1479" i="1"/>
  <c r="D1479" i="1"/>
  <c r="L1478" i="1"/>
  <c r="D1478" i="1"/>
  <c r="L1477" i="1"/>
  <c r="D1477" i="1"/>
  <c r="L1476" i="1"/>
  <c r="D1476" i="1"/>
  <c r="L1475" i="1"/>
  <c r="D1475" i="1"/>
  <c r="L1474" i="1"/>
  <c r="D1474" i="1"/>
  <c r="L1473" i="1"/>
  <c r="D1473" i="1"/>
  <c r="L1472" i="1"/>
  <c r="D1472" i="1"/>
  <c r="L1471" i="1"/>
  <c r="D1471" i="1"/>
  <c r="L1470" i="1"/>
  <c r="D1470" i="1"/>
  <c r="L1469" i="1"/>
  <c r="D1469" i="1"/>
  <c r="L1468" i="1"/>
  <c r="D1468" i="1"/>
  <c r="L1467" i="1"/>
  <c r="D1467" i="1"/>
  <c r="L1466" i="1"/>
  <c r="D1466" i="1"/>
  <c r="L1465" i="1"/>
  <c r="D1465" i="1"/>
  <c r="L1464" i="1"/>
  <c r="D1464" i="1"/>
  <c r="L1463" i="1"/>
  <c r="D1463" i="1"/>
  <c r="L1462" i="1"/>
  <c r="D1462" i="1"/>
  <c r="L1461" i="1"/>
  <c r="D1461" i="1"/>
  <c r="L1460" i="1"/>
  <c r="D1460" i="1"/>
  <c r="L1459" i="1"/>
  <c r="D1459" i="1"/>
  <c r="L1458" i="1"/>
  <c r="D1458" i="1"/>
  <c r="L1457" i="1"/>
  <c r="D1457" i="1"/>
  <c r="L1456" i="1"/>
  <c r="D1456" i="1"/>
  <c r="L1455" i="1"/>
  <c r="D1455" i="1"/>
  <c r="L1454" i="1"/>
  <c r="D1454" i="1"/>
  <c r="L1453" i="1"/>
  <c r="D1453" i="1"/>
  <c r="L1452" i="1"/>
  <c r="D1452" i="1"/>
  <c r="L1451" i="1"/>
  <c r="D1451" i="1"/>
  <c r="L1450" i="1"/>
  <c r="D1450" i="1"/>
  <c r="L1449" i="1"/>
  <c r="D1449" i="1"/>
  <c r="L1448" i="1"/>
  <c r="D1448" i="1"/>
  <c r="L1447" i="1"/>
  <c r="D1447" i="1"/>
  <c r="L1446" i="1"/>
  <c r="D1446" i="1"/>
  <c r="J1609" i="1"/>
  <c r="J1564" i="1"/>
  <c r="L1549" i="1"/>
  <c r="L1536" i="1"/>
  <c r="D1528" i="1"/>
  <c r="L1521" i="1"/>
  <c r="S1515" i="1"/>
  <c r="K1510" i="1"/>
  <c r="G1505" i="1"/>
  <c r="S1500" i="1"/>
  <c r="C1497" i="1"/>
  <c r="G1493" i="1"/>
  <c r="G1490" i="1"/>
  <c r="G1487" i="1"/>
  <c r="T1484" i="1"/>
  <c r="B1609" i="1"/>
  <c r="L1563" i="1"/>
  <c r="C1549" i="1"/>
  <c r="K1536" i="1"/>
  <c r="Q1527" i="1"/>
  <c r="G1521" i="1"/>
  <c r="Q1515" i="1"/>
  <c r="H1510" i="1"/>
  <c r="C1505" i="1"/>
  <c r="S1499" i="1"/>
  <c r="S1496" i="1"/>
  <c r="C1493" i="1"/>
  <c r="H1489" i="1"/>
  <c r="C1487" i="1"/>
  <c r="S1484" i="1"/>
  <c r="G1483" i="1"/>
  <c r="E1482" i="1"/>
  <c r="P1480" i="1"/>
  <c r="G1479" i="1"/>
  <c r="E1478" i="1"/>
  <c r="P1476" i="1"/>
  <c r="G1475" i="1"/>
  <c r="E1474" i="1"/>
  <c r="P1472" i="1"/>
  <c r="G1471" i="1"/>
  <c r="E1470" i="1"/>
  <c r="E1469" i="1"/>
  <c r="G1468" i="1"/>
  <c r="K1467" i="1"/>
  <c r="P1466" i="1"/>
  <c r="B1466" i="1"/>
  <c r="E1465" i="1"/>
  <c r="G1464" i="1"/>
  <c r="K1463" i="1"/>
  <c r="P1462" i="1"/>
  <c r="B1462" i="1"/>
  <c r="E1461" i="1"/>
  <c r="H1460" i="1"/>
  <c r="P1459" i="1"/>
  <c r="C1459" i="1"/>
  <c r="H1458" i="1"/>
  <c r="P1457" i="1"/>
  <c r="C1457" i="1"/>
  <c r="H1456" i="1"/>
  <c r="P1455" i="1"/>
  <c r="C1455" i="1"/>
  <c r="H1454" i="1"/>
  <c r="P1453" i="1"/>
  <c r="C1453" i="1"/>
  <c r="H1452" i="1"/>
  <c r="P1451" i="1"/>
  <c r="C1451" i="1"/>
  <c r="H1450" i="1"/>
  <c r="P1449" i="1"/>
  <c r="C1449" i="1"/>
  <c r="H1448" i="1"/>
  <c r="P1447" i="1"/>
  <c r="C1447" i="1"/>
  <c r="H1446" i="1"/>
  <c r="P1445" i="1"/>
  <c r="E1445" i="1"/>
  <c r="L1444" i="1"/>
  <c r="C1444" i="1"/>
  <c r="J1443" i="1"/>
  <c r="S1442" i="1"/>
  <c r="G1442" i="1"/>
  <c r="P1441" i="1"/>
  <c r="E1441" i="1"/>
  <c r="L1440" i="1"/>
  <c r="C1440" i="1"/>
  <c r="J1439" i="1"/>
  <c r="B1439" i="1"/>
  <c r="J1438" i="1"/>
  <c r="B1438" i="1"/>
  <c r="J1437" i="1"/>
  <c r="B1437" i="1"/>
  <c r="J1436" i="1"/>
  <c r="B1436" i="1"/>
  <c r="J1435" i="1"/>
  <c r="B1435" i="1"/>
  <c r="J1434" i="1"/>
  <c r="B1434" i="1"/>
  <c r="J1433" i="1"/>
  <c r="B1433" i="1"/>
  <c r="J1432" i="1"/>
  <c r="B1432" i="1"/>
  <c r="J1431" i="1"/>
  <c r="B1431" i="1"/>
  <c r="J1430" i="1"/>
  <c r="B1430" i="1"/>
  <c r="J1429" i="1"/>
  <c r="B1429" i="1"/>
  <c r="J1428" i="1"/>
  <c r="B1428" i="1"/>
  <c r="J1427" i="1"/>
  <c r="B1427" i="1"/>
  <c r="J1426" i="1"/>
  <c r="B1426" i="1"/>
  <c r="J1425" i="1"/>
  <c r="B1425" i="1"/>
  <c r="J1424" i="1"/>
  <c r="B1424" i="1"/>
  <c r="J1423" i="1"/>
  <c r="B1423" i="1"/>
  <c r="J1422" i="1"/>
  <c r="B1422" i="1"/>
  <c r="J1421" i="1"/>
  <c r="J1591" i="1"/>
  <c r="E1560" i="1"/>
  <c r="O1545" i="1"/>
  <c r="K1534" i="1"/>
  <c r="E1526" i="1"/>
  <c r="T1519" i="1"/>
  <c r="K1514" i="1"/>
  <c r="G1509" i="1"/>
  <c r="S1503" i="1"/>
  <c r="Q1499" i="1"/>
  <c r="S1495" i="1"/>
  <c r="S1492" i="1"/>
  <c r="G1489" i="1"/>
  <c r="H1486" i="1"/>
  <c r="Q1484" i="1"/>
  <c r="F1483" i="1"/>
  <c r="Q1481" i="1"/>
  <c r="O1480" i="1"/>
  <c r="F1479" i="1"/>
  <c r="Q1477" i="1"/>
  <c r="O1476" i="1"/>
  <c r="F1475" i="1"/>
  <c r="Q1473" i="1"/>
  <c r="O1472" i="1"/>
  <c r="F1471" i="1"/>
  <c r="Q1469" i="1"/>
  <c r="C1469" i="1"/>
  <c r="F1468" i="1"/>
  <c r="J1467" i="1"/>
  <c r="O1466" i="1"/>
  <c r="Q1465" i="1"/>
  <c r="C1465" i="1"/>
  <c r="F1464" i="1"/>
  <c r="J1463" i="1"/>
  <c r="O1462" i="1"/>
  <c r="Q1461" i="1"/>
  <c r="C1461" i="1"/>
  <c r="G1460" i="1"/>
  <c r="O1459" i="1"/>
  <c r="B1459" i="1"/>
  <c r="G1458" i="1"/>
  <c r="O1457" i="1"/>
  <c r="B1457" i="1"/>
  <c r="G1456" i="1"/>
  <c r="O1455" i="1"/>
  <c r="B1455" i="1"/>
  <c r="G1454" i="1"/>
  <c r="O1453" i="1"/>
  <c r="B1453" i="1"/>
  <c r="G1452" i="1"/>
  <c r="O1451" i="1"/>
  <c r="B1451" i="1"/>
  <c r="G1450" i="1"/>
  <c r="O1449" i="1"/>
  <c r="B1449" i="1"/>
  <c r="G1448" i="1"/>
  <c r="O1447" i="1"/>
  <c r="B1447" i="1"/>
  <c r="G1446" i="1"/>
  <c r="O1445" i="1"/>
  <c r="D1445" i="1"/>
  <c r="K1444" i="1"/>
  <c r="B1444" i="1"/>
  <c r="H1443" i="1"/>
  <c r="Q1442" i="1"/>
  <c r="F1442" i="1"/>
  <c r="O1441" i="1"/>
  <c r="D1441" i="1"/>
  <c r="K1440" i="1"/>
  <c r="B1440" i="1"/>
  <c r="I1439" i="1"/>
  <c r="T1438" i="1"/>
  <c r="I1438" i="1"/>
  <c r="T1437" i="1"/>
  <c r="I1437" i="1"/>
  <c r="T1436" i="1"/>
  <c r="I1436" i="1"/>
  <c r="T1435" i="1"/>
  <c r="I1435" i="1"/>
  <c r="T1434" i="1"/>
  <c r="I1434" i="1"/>
  <c r="T1433" i="1"/>
  <c r="I1433" i="1"/>
  <c r="T1432" i="1"/>
  <c r="I1432" i="1"/>
  <c r="T1431" i="1"/>
  <c r="I1431" i="1"/>
  <c r="T1430" i="1"/>
  <c r="I1430" i="1"/>
  <c r="T1429" i="1"/>
  <c r="I1429" i="1"/>
  <c r="T1428" i="1"/>
  <c r="I1428" i="1"/>
  <c r="T1427" i="1"/>
  <c r="I1427" i="1"/>
  <c r="T1426" i="1"/>
  <c r="I1426" i="1"/>
  <c r="T1425" i="1"/>
  <c r="I1425" i="1"/>
  <c r="T1424" i="1"/>
  <c r="I1424" i="1"/>
  <c r="T1423" i="1"/>
  <c r="I1423" i="1"/>
  <c r="T1422" i="1"/>
  <c r="I1422" i="1"/>
  <c r="T1421" i="1"/>
  <c r="I1421" i="1"/>
  <c r="T1420" i="1"/>
  <c r="I1420" i="1"/>
  <c r="T1419" i="1"/>
  <c r="I1419" i="1"/>
  <c r="T1418" i="1"/>
  <c r="I1418" i="1"/>
  <c r="T1417" i="1"/>
  <c r="I1417" i="1"/>
  <c r="T1416" i="1"/>
  <c r="I1416" i="1"/>
  <c r="T1415" i="1"/>
  <c r="I1415" i="1"/>
  <c r="T1414" i="1"/>
  <c r="I1414" i="1"/>
  <c r="T1413" i="1"/>
  <c r="I1413" i="1"/>
  <c r="T1412" i="1"/>
  <c r="I1412" i="1"/>
  <c r="T1411" i="1"/>
  <c r="I1411" i="1"/>
  <c r="J1589" i="1"/>
  <c r="L1559" i="1"/>
  <c r="L1545" i="1"/>
  <c r="E1534" i="1"/>
  <c r="S1525" i="1"/>
  <c r="S1519" i="1"/>
  <c r="H1514" i="1"/>
  <c r="C1509" i="1"/>
  <c r="Q1503" i="1"/>
  <c r="K1499" i="1"/>
  <c r="Q1495" i="1"/>
  <c r="S1491" i="1"/>
  <c r="C1489" i="1"/>
  <c r="G1486" i="1"/>
  <c r="H1484" i="1"/>
  <c r="E1483" i="1"/>
  <c r="P1481" i="1"/>
  <c r="G1480" i="1"/>
  <c r="E1479" i="1"/>
  <c r="P1477" i="1"/>
  <c r="G1476" i="1"/>
  <c r="E1475" i="1"/>
  <c r="P1473" i="1"/>
  <c r="G1472" i="1"/>
  <c r="E1471" i="1"/>
  <c r="P1469" i="1"/>
  <c r="B1469" i="1"/>
  <c r="E1468" i="1"/>
  <c r="G1467" i="1"/>
  <c r="K1466" i="1"/>
  <c r="P1465" i="1"/>
  <c r="B1465" i="1"/>
  <c r="E1464" i="1"/>
  <c r="G1463" i="1"/>
  <c r="K1462" i="1"/>
  <c r="P1461" i="1"/>
  <c r="B1461" i="1"/>
  <c r="F1460" i="1"/>
  <c r="K1459" i="1"/>
  <c r="S1458" i="1"/>
  <c r="F1458" i="1"/>
  <c r="K1457" i="1"/>
  <c r="S1456" i="1"/>
  <c r="F1456" i="1"/>
  <c r="K1455" i="1"/>
  <c r="S1454" i="1"/>
  <c r="F1454" i="1"/>
  <c r="K1453" i="1"/>
  <c r="S1452" i="1"/>
  <c r="F1452" i="1"/>
  <c r="K1451" i="1"/>
  <c r="S1450" i="1"/>
  <c r="F1450" i="1"/>
  <c r="K1449" i="1"/>
  <c r="S1448" i="1"/>
  <c r="F1448" i="1"/>
  <c r="K1447" i="1"/>
  <c r="S1446" i="1"/>
  <c r="F1446" i="1"/>
  <c r="L1445" i="1"/>
  <c r="C1445" i="1"/>
  <c r="J1444" i="1"/>
  <c r="S1443" i="1"/>
  <c r="G1443" i="1"/>
  <c r="P1442" i="1"/>
  <c r="E1442" i="1"/>
  <c r="L1441" i="1"/>
  <c r="C1441" i="1"/>
  <c r="J1440" i="1"/>
  <c r="S1439" i="1"/>
  <c r="H1439" i="1"/>
  <c r="S1438" i="1"/>
  <c r="H1438" i="1"/>
  <c r="S1437" i="1"/>
  <c r="H1437" i="1"/>
  <c r="S1436" i="1"/>
  <c r="H1436" i="1"/>
  <c r="S1435" i="1"/>
  <c r="H1435" i="1"/>
  <c r="S1434" i="1"/>
  <c r="H1434" i="1"/>
  <c r="S1433" i="1"/>
  <c r="H1433" i="1"/>
  <c r="S1432" i="1"/>
  <c r="H1432" i="1"/>
  <c r="S1431" i="1"/>
  <c r="H1431" i="1"/>
  <c r="S1430" i="1"/>
  <c r="H1430" i="1"/>
  <c r="S1429" i="1"/>
  <c r="H1429" i="1"/>
  <c r="S1428" i="1"/>
  <c r="H1428" i="1"/>
  <c r="S1427" i="1"/>
  <c r="H1427" i="1"/>
  <c r="S1426" i="1"/>
  <c r="H1426" i="1"/>
  <c r="S1425" i="1"/>
  <c r="H1425" i="1"/>
  <c r="S1424" i="1"/>
  <c r="H1424" i="1"/>
  <c r="S1423" i="1"/>
  <c r="H1423" i="1"/>
  <c r="S1422" i="1"/>
  <c r="H1422" i="1"/>
  <c r="S1421" i="1"/>
  <c r="H1421" i="1"/>
  <c r="S1420" i="1"/>
  <c r="H1420" i="1"/>
  <c r="S1419" i="1"/>
  <c r="H1419" i="1"/>
  <c r="S1418" i="1"/>
  <c r="H1418" i="1"/>
  <c r="S1417" i="1"/>
  <c r="H1417" i="1"/>
  <c r="S1416" i="1"/>
  <c r="H1416" i="1"/>
  <c r="S1415" i="1"/>
  <c r="H1415" i="1"/>
  <c r="S1414" i="1"/>
  <c r="H1414" i="1"/>
  <c r="S1413" i="1"/>
  <c r="H1413" i="1"/>
  <c r="S1412" i="1"/>
  <c r="H1412" i="1"/>
  <c r="S1411" i="1"/>
  <c r="H1411" i="1"/>
  <c r="B1579" i="1"/>
  <c r="E1542" i="1"/>
  <c r="K1524" i="1"/>
  <c r="G1513" i="1"/>
  <c r="K1502" i="1"/>
  <c r="K1495" i="1"/>
  <c r="H1488" i="1"/>
  <c r="G1484" i="1"/>
  <c r="G1482" i="1"/>
  <c r="E1480" i="1"/>
  <c r="F1478" i="1"/>
  <c r="Q1475" i="1"/>
  <c r="O1473" i="1"/>
  <c r="P1471" i="1"/>
  <c r="K1469" i="1"/>
  <c r="J1468" i="1"/>
  <c r="C1467" i="1"/>
  <c r="O1465" i="1"/>
  <c r="K1464" i="1"/>
  <c r="E1463" i="1"/>
  <c r="C1462" i="1"/>
  <c r="O1460" i="1"/>
  <c r="J1459" i="1"/>
  <c r="K1458" i="1"/>
  <c r="H1457" i="1"/>
  <c r="J1456" i="1"/>
  <c r="G1455" i="1"/>
  <c r="E1454" i="1"/>
  <c r="F1453" i="1"/>
  <c r="C1452" i="1"/>
  <c r="E1451" i="1"/>
  <c r="B1450" i="1"/>
  <c r="Q1448" i="1"/>
  <c r="S1447" i="1"/>
  <c r="P1446" i="1"/>
  <c r="Q1445" i="1"/>
  <c r="Q1444" i="1"/>
  <c r="Q1443" i="1"/>
  <c r="C1443" i="1"/>
  <c r="C1442" i="1"/>
  <c r="F1441" i="1"/>
  <c r="F1440" i="1"/>
  <c r="G1439" i="1"/>
  <c r="L1438" i="1"/>
  <c r="P1437" i="1"/>
  <c r="C1437" i="1"/>
  <c r="E1436" i="1"/>
  <c r="G1435" i="1"/>
  <c r="L1434" i="1"/>
  <c r="P1433" i="1"/>
  <c r="C1433" i="1"/>
  <c r="E1432" i="1"/>
  <c r="G1431" i="1"/>
  <c r="L1430" i="1"/>
  <c r="P1429" i="1"/>
  <c r="C1429" i="1"/>
  <c r="E1428" i="1"/>
  <c r="G1427" i="1"/>
  <c r="L1426" i="1"/>
  <c r="P1425" i="1"/>
  <c r="C1425" i="1"/>
  <c r="E1424" i="1"/>
  <c r="G1423" i="1"/>
  <c r="L1422" i="1"/>
  <c r="P1421" i="1"/>
  <c r="C1421" i="1"/>
  <c r="G1420" i="1"/>
  <c r="O1419" i="1"/>
  <c r="C1419" i="1"/>
  <c r="G1418" i="1"/>
  <c r="O1417" i="1"/>
  <c r="C1417" i="1"/>
  <c r="G1416" i="1"/>
  <c r="O1415" i="1"/>
  <c r="C1415" i="1"/>
  <c r="G1414" i="1"/>
  <c r="O1413" i="1"/>
  <c r="C1413" i="1"/>
  <c r="G1412" i="1"/>
  <c r="O1411" i="1"/>
  <c r="C1411" i="1"/>
  <c r="K1410" i="1"/>
  <c r="C1410" i="1"/>
  <c r="K1409" i="1"/>
  <c r="C1409" i="1"/>
  <c r="K1408" i="1"/>
  <c r="C1408" i="1"/>
  <c r="K1407" i="1"/>
  <c r="C1407" i="1"/>
  <c r="K1406" i="1"/>
  <c r="C1406" i="1"/>
  <c r="K1405" i="1"/>
  <c r="C1405" i="1"/>
  <c r="K1404" i="1"/>
  <c r="C1404" i="1"/>
  <c r="K1403" i="1"/>
  <c r="C1403" i="1"/>
  <c r="K1402" i="1"/>
  <c r="C1402" i="1"/>
  <c r="K1401" i="1"/>
  <c r="C1401" i="1"/>
  <c r="K1400" i="1"/>
  <c r="C1400" i="1"/>
  <c r="K1399" i="1"/>
  <c r="C1399" i="1"/>
  <c r="K1398" i="1"/>
  <c r="C1398" i="1"/>
  <c r="K1397" i="1"/>
  <c r="C1397" i="1"/>
  <c r="K1396" i="1"/>
  <c r="C1396" i="1"/>
  <c r="K1395" i="1"/>
  <c r="C1395" i="1"/>
  <c r="K1394" i="1"/>
  <c r="C1394" i="1"/>
  <c r="K1393" i="1"/>
  <c r="C1393" i="1"/>
  <c r="K1392" i="1"/>
  <c r="C1392" i="1"/>
  <c r="K1391" i="1"/>
  <c r="C1391" i="1"/>
  <c r="K1390" i="1"/>
  <c r="C1390" i="1"/>
  <c r="K1389" i="1"/>
  <c r="C1389" i="1"/>
  <c r="K1388" i="1"/>
  <c r="C1388" i="1"/>
  <c r="K1387" i="1"/>
  <c r="C1387" i="1"/>
  <c r="K1386" i="1"/>
  <c r="C1386" i="1"/>
  <c r="K1385" i="1"/>
  <c r="C1385" i="1"/>
  <c r="K1384" i="1"/>
  <c r="C1384" i="1"/>
  <c r="K1383" i="1"/>
  <c r="C1383" i="1"/>
  <c r="K1382" i="1"/>
  <c r="J1575" i="1"/>
  <c r="O1541" i="1"/>
  <c r="I1524" i="1"/>
  <c r="C1513" i="1"/>
  <c r="H1502" i="1"/>
  <c r="K1494" i="1"/>
  <c r="G1488" i="1"/>
  <c r="E1484" i="1"/>
  <c r="F1482" i="1"/>
  <c r="Q1479" i="1"/>
  <c r="O1477" i="1"/>
  <c r="P1475" i="1"/>
  <c r="G1473" i="1"/>
  <c r="O1471" i="1"/>
  <c r="J1469" i="1"/>
  <c r="C1468" i="1"/>
  <c r="B1467" i="1"/>
  <c r="K1465" i="1"/>
  <c r="J1464" i="1"/>
  <c r="C1463" i="1"/>
  <c r="O1461" i="1"/>
  <c r="K1460" i="1"/>
  <c r="H1459" i="1"/>
  <c r="J1458" i="1"/>
  <c r="G1457" i="1"/>
  <c r="E1456" i="1"/>
  <c r="F1455" i="1"/>
  <c r="C1454" i="1"/>
  <c r="E1453" i="1"/>
  <c r="B1452" i="1"/>
  <c r="Q1450" i="1"/>
  <c r="S1449" i="1"/>
  <c r="P1448" i="1"/>
  <c r="Q1447" i="1"/>
  <c r="O1446" i="1"/>
  <c r="K1445" i="1"/>
  <c r="P1444" i="1"/>
  <c r="P1443" i="1"/>
  <c r="B1443" i="1"/>
  <c r="B1442" i="1"/>
  <c r="B1441" i="1"/>
  <c r="E1440" i="1"/>
  <c r="F1439" i="1"/>
  <c r="K1438" i="1"/>
  <c r="O1437" i="1"/>
  <c r="Q1436" i="1"/>
  <c r="D1436" i="1"/>
  <c r="F1435" i="1"/>
  <c r="K1434" i="1"/>
  <c r="O1433" i="1"/>
  <c r="Q1432" i="1"/>
  <c r="D1432" i="1"/>
  <c r="F1431" i="1"/>
  <c r="K1430" i="1"/>
  <c r="O1429" i="1"/>
  <c r="Q1428" i="1"/>
  <c r="D1428" i="1"/>
  <c r="F1427" i="1"/>
  <c r="K1426" i="1"/>
  <c r="O1425" i="1"/>
  <c r="Q1424" i="1"/>
  <c r="D1424" i="1"/>
  <c r="F1423" i="1"/>
  <c r="K1422" i="1"/>
  <c r="O1421" i="1"/>
  <c r="B1421" i="1"/>
  <c r="F1420" i="1"/>
  <c r="L1419" i="1"/>
  <c r="B1419" i="1"/>
  <c r="F1418" i="1"/>
  <c r="L1417" i="1"/>
  <c r="B1417" i="1"/>
  <c r="F1416" i="1"/>
  <c r="L1415" i="1"/>
  <c r="B1415" i="1"/>
  <c r="F1414" i="1"/>
  <c r="L1413" i="1"/>
  <c r="B1413" i="1"/>
  <c r="F1412" i="1"/>
  <c r="L1411" i="1"/>
  <c r="B1411" i="1"/>
  <c r="J1410" i="1"/>
  <c r="B1410" i="1"/>
  <c r="J1409" i="1"/>
  <c r="B1409" i="1"/>
  <c r="J1408" i="1"/>
  <c r="B1408" i="1"/>
  <c r="J1407" i="1"/>
  <c r="B1407" i="1"/>
  <c r="J1406" i="1"/>
  <c r="B1406" i="1"/>
  <c r="J1405" i="1"/>
  <c r="B1405" i="1"/>
  <c r="J1404" i="1"/>
  <c r="B1404" i="1"/>
  <c r="J1403" i="1"/>
  <c r="B1403" i="1"/>
  <c r="J1402" i="1"/>
  <c r="B1402" i="1"/>
  <c r="J1401" i="1"/>
  <c r="B1401" i="1"/>
  <c r="J1400" i="1"/>
  <c r="B1400" i="1"/>
  <c r="J1399" i="1"/>
  <c r="B1399" i="1"/>
  <c r="J1398" i="1"/>
  <c r="B1398" i="1"/>
  <c r="J1397" i="1"/>
  <c r="B1397" i="1"/>
  <c r="C1570" i="1"/>
  <c r="E1539" i="1"/>
  <c r="C1523" i="1"/>
  <c r="S1511" i="1"/>
  <c r="G1501" i="1"/>
  <c r="H1494" i="1"/>
  <c r="C1488" i="1"/>
  <c r="Q1483" i="1"/>
  <c r="O1481" i="1"/>
  <c r="P1479" i="1"/>
  <c r="G1477" i="1"/>
  <c r="O1475" i="1"/>
  <c r="F1473" i="1"/>
  <c r="Q1470" i="1"/>
  <c r="G1469" i="1"/>
  <c r="B1468" i="1"/>
  <c r="Q1466" i="1"/>
  <c r="J1465" i="1"/>
  <c r="C1464" i="1"/>
  <c r="B1463" i="1"/>
  <c r="K1461" i="1"/>
  <c r="J1460" i="1"/>
  <c r="G1459" i="1"/>
  <c r="E1458" i="1"/>
  <c r="F1457" i="1"/>
  <c r="C1456" i="1"/>
  <c r="E1455" i="1"/>
  <c r="B1454" i="1"/>
  <c r="Q1452" i="1"/>
  <c r="S1451" i="1"/>
  <c r="P1450" i="1"/>
  <c r="Q1449" i="1"/>
  <c r="O1448" i="1"/>
  <c r="J1447" i="1"/>
  <c r="K1446" i="1"/>
  <c r="J1445" i="1"/>
  <c r="O1444" i="1"/>
  <c r="O1443" i="1"/>
  <c r="O1442" i="1"/>
  <c r="S1441" i="1"/>
  <c r="S1440" i="1"/>
  <c r="D1440" i="1"/>
  <c r="E1439" i="1"/>
  <c r="G1438" i="1"/>
  <c r="L1437" i="1"/>
  <c r="P1436" i="1"/>
  <c r="C1436" i="1"/>
  <c r="E1435" i="1"/>
  <c r="G1434" i="1"/>
  <c r="L1433" i="1"/>
  <c r="P1432" i="1"/>
  <c r="C1432" i="1"/>
  <c r="E1431" i="1"/>
  <c r="G1430" i="1"/>
  <c r="L1429" i="1"/>
  <c r="P1428" i="1"/>
  <c r="C1428" i="1"/>
  <c r="E1427" i="1"/>
  <c r="G1426" i="1"/>
  <c r="L1425" i="1"/>
  <c r="P1424" i="1"/>
  <c r="C1424" i="1"/>
  <c r="E1423" i="1"/>
  <c r="G1422" i="1"/>
  <c r="L1421" i="1"/>
  <c r="Q1420" i="1"/>
  <c r="E1420" i="1"/>
  <c r="K1419" i="1"/>
  <c r="Q1418" i="1"/>
  <c r="E1418" i="1"/>
  <c r="K1417" i="1"/>
  <c r="Q1416" i="1"/>
  <c r="E1416" i="1"/>
  <c r="K1415" i="1"/>
  <c r="Q1414" i="1"/>
  <c r="E1414" i="1"/>
  <c r="K1413" i="1"/>
  <c r="Q1412" i="1"/>
  <c r="E1412" i="1"/>
  <c r="K1411" i="1"/>
  <c r="T1410" i="1"/>
  <c r="I1410" i="1"/>
  <c r="T1409" i="1"/>
  <c r="I1409" i="1"/>
  <c r="T1408" i="1"/>
  <c r="I1408" i="1"/>
  <c r="T1407" i="1"/>
  <c r="I1407" i="1"/>
  <c r="T1406" i="1"/>
  <c r="I1406" i="1"/>
  <c r="T1405" i="1"/>
  <c r="I1405" i="1"/>
  <c r="T1404" i="1"/>
  <c r="I1404" i="1"/>
  <c r="T1403" i="1"/>
  <c r="I1403" i="1"/>
  <c r="T1402" i="1"/>
  <c r="I1402" i="1"/>
  <c r="T1401" i="1"/>
  <c r="I1401" i="1"/>
  <c r="T1400" i="1"/>
  <c r="I1400" i="1"/>
  <c r="T1399" i="1"/>
  <c r="I1399" i="1"/>
  <c r="T1398" i="1"/>
  <c r="I1398" i="1"/>
  <c r="T1397" i="1"/>
  <c r="I1397" i="1"/>
  <c r="T1396" i="1"/>
  <c r="I1396" i="1"/>
  <c r="T1395" i="1"/>
  <c r="I1395" i="1"/>
  <c r="T1394" i="1"/>
  <c r="I1394" i="1"/>
  <c r="T1393" i="1"/>
  <c r="I1393" i="1"/>
  <c r="B1570" i="1"/>
  <c r="O1538" i="1"/>
  <c r="Q1522" i="1"/>
  <c r="Q1511" i="1"/>
  <c r="C1501" i="1"/>
  <c r="G1494" i="1"/>
  <c r="H1487" i="1"/>
  <c r="P1483" i="1"/>
  <c r="G1481" i="1"/>
  <c r="O1479" i="1"/>
  <c r="F1477" i="1"/>
  <c r="Q1474" i="1"/>
  <c r="E1473" i="1"/>
  <c r="P1470" i="1"/>
  <c r="F1469" i="1"/>
  <c r="Q1467" i="1"/>
  <c r="J1466" i="1"/>
  <c r="G1465" i="1"/>
  <c r="B1464" i="1"/>
  <c r="Q1462" i="1"/>
  <c r="J1461" i="1"/>
  <c r="E1460" i="1"/>
  <c r="F1459" i="1"/>
  <c r="C1458" i="1"/>
  <c r="E1457" i="1"/>
  <c r="B1456" i="1"/>
  <c r="Q1454" i="1"/>
  <c r="S1453" i="1"/>
  <c r="P1452" i="1"/>
  <c r="Q1451" i="1"/>
  <c r="O1450" i="1"/>
  <c r="J1449" i="1"/>
  <c r="K1448" i="1"/>
  <c r="H1447" i="1"/>
  <c r="J1446" i="1"/>
  <c r="H1445" i="1"/>
  <c r="H1444" i="1"/>
  <c r="L1443" i="1"/>
  <c r="L1442" i="1"/>
  <c r="Q1441" i="1"/>
  <c r="Q1440" i="1"/>
  <c r="Q1439" i="1"/>
  <c r="D1439" i="1"/>
  <c r="F1438" i="1"/>
  <c r="K1437" i="1"/>
  <c r="O1436" i="1"/>
  <c r="Q1435" i="1"/>
  <c r="D1435" i="1"/>
  <c r="F1434" i="1"/>
  <c r="K1433" i="1"/>
  <c r="O1432" i="1"/>
  <c r="Q1431" i="1"/>
  <c r="D1431" i="1"/>
  <c r="F1430" i="1"/>
  <c r="K1429" i="1"/>
  <c r="O1428" i="1"/>
  <c r="Q1427" i="1"/>
  <c r="D1427" i="1"/>
  <c r="F1426" i="1"/>
  <c r="K1425" i="1"/>
  <c r="O1424" i="1"/>
  <c r="Q1423" i="1"/>
  <c r="D1423" i="1"/>
  <c r="F1422" i="1"/>
  <c r="K1421" i="1"/>
  <c r="P1420" i="1"/>
  <c r="D1420" i="1"/>
  <c r="J1419" i="1"/>
  <c r="P1418" i="1"/>
  <c r="D1418" i="1"/>
  <c r="J1417" i="1"/>
  <c r="P1416" i="1"/>
  <c r="D1416" i="1"/>
  <c r="J1415" i="1"/>
  <c r="P1414" i="1"/>
  <c r="D1414" i="1"/>
  <c r="J1413" i="1"/>
  <c r="P1412" i="1"/>
  <c r="D1412" i="1"/>
  <c r="J1411" i="1"/>
  <c r="S1410" i="1"/>
  <c r="H1410" i="1"/>
  <c r="S1409" i="1"/>
  <c r="H1409" i="1"/>
  <c r="S1408" i="1"/>
  <c r="H1408" i="1"/>
  <c r="S1407" i="1"/>
  <c r="H1407" i="1"/>
  <c r="S1406" i="1"/>
  <c r="H1406" i="1"/>
  <c r="S1405" i="1"/>
  <c r="H1405" i="1"/>
  <c r="S1404" i="1"/>
  <c r="H1404" i="1"/>
  <c r="S1403" i="1"/>
  <c r="H1403" i="1"/>
  <c r="S1402" i="1"/>
  <c r="H1402" i="1"/>
  <c r="S1401" i="1"/>
  <c r="H1401" i="1"/>
  <c r="S1400" i="1"/>
  <c r="H1400" i="1"/>
  <c r="S1399" i="1"/>
  <c r="H1399" i="1"/>
  <c r="S1398" i="1"/>
  <c r="H1398" i="1"/>
  <c r="S1397" i="1"/>
  <c r="H1397" i="1"/>
  <c r="S1396" i="1"/>
  <c r="H1396" i="1"/>
  <c r="S1395" i="1"/>
  <c r="H1395" i="1"/>
  <c r="S1394" i="1"/>
  <c r="H1394" i="1"/>
  <c r="S1393" i="1"/>
  <c r="H1393" i="1"/>
  <c r="S1392" i="1"/>
  <c r="H1392" i="1"/>
  <c r="S1391" i="1"/>
  <c r="H1391" i="1"/>
  <c r="S1390" i="1"/>
  <c r="H1390" i="1"/>
  <c r="S1389" i="1"/>
  <c r="H1389" i="1"/>
  <c r="S1388" i="1"/>
  <c r="H1388" i="1"/>
  <c r="C1553" i="1"/>
  <c r="E1530" i="1"/>
  <c r="G1517" i="1"/>
  <c r="K1506" i="1"/>
  <c r="G1498" i="1"/>
  <c r="K1490" i="1"/>
  <c r="I1485" i="1"/>
  <c r="P1482" i="1"/>
  <c r="Q1480" i="1"/>
  <c r="O1478" i="1"/>
  <c r="F1476" i="1"/>
  <c r="G1474" i="1"/>
  <c r="E1472" i="1"/>
  <c r="F1470" i="1"/>
  <c r="O1468" i="1"/>
  <c r="F1467" i="1"/>
  <c r="E1466" i="1"/>
  <c r="P1464" i="1"/>
  <c r="O1463" i="1"/>
  <c r="F1462" i="1"/>
  <c r="Q1460" i="1"/>
  <c r="S1459" i="1"/>
  <c r="P1458" i="1"/>
  <c r="Q1457" i="1"/>
  <c r="O1456" i="1"/>
  <c r="J1455" i="1"/>
  <c r="K1454" i="1"/>
  <c r="H1453" i="1"/>
  <c r="J1452" i="1"/>
  <c r="G1451" i="1"/>
  <c r="E1450" i="1"/>
  <c r="F1449" i="1"/>
  <c r="C1448" i="1"/>
  <c r="E1447" i="1"/>
  <c r="B1446" i="1"/>
  <c r="B1445" i="1"/>
  <c r="E1444" i="1"/>
  <c r="E1443" i="1"/>
  <c r="H1442" i="1"/>
  <c r="H1441" i="1"/>
  <c r="H1440" i="1"/>
  <c r="L1439" i="1"/>
  <c r="P1438" i="1"/>
  <c r="C1438" i="1"/>
  <c r="E1437" i="1"/>
  <c r="G1436" i="1"/>
  <c r="L1435" i="1"/>
  <c r="P1434" i="1"/>
  <c r="C1434" i="1"/>
  <c r="E1433" i="1"/>
  <c r="G1432" i="1"/>
  <c r="L1431" i="1"/>
  <c r="P1430" i="1"/>
  <c r="C1430" i="1"/>
  <c r="E1429" i="1"/>
  <c r="G1428" i="1"/>
  <c r="L1427" i="1"/>
  <c r="P1426" i="1"/>
  <c r="C1426" i="1"/>
  <c r="E1425" i="1"/>
  <c r="G1424" i="1"/>
  <c r="L1423" i="1"/>
  <c r="P1422" i="1"/>
  <c r="C1422" i="1"/>
  <c r="E1421" i="1"/>
  <c r="K1420" i="1"/>
  <c r="Q1419" i="1"/>
  <c r="E1419" i="1"/>
  <c r="K1418" i="1"/>
  <c r="Q1417" i="1"/>
  <c r="E1417" i="1"/>
  <c r="K1416" i="1"/>
  <c r="Q1415" i="1"/>
  <c r="E1415" i="1"/>
  <c r="K1414" i="1"/>
  <c r="Q1413" i="1"/>
  <c r="E1413" i="1"/>
  <c r="K1412" i="1"/>
  <c r="Q1411" i="1"/>
  <c r="E1411" i="1"/>
  <c r="O1410" i="1"/>
  <c r="E1410" i="1"/>
  <c r="O1409" i="1"/>
  <c r="E1409" i="1"/>
  <c r="O1408" i="1"/>
  <c r="E1408" i="1"/>
  <c r="O1407" i="1"/>
  <c r="E1407" i="1"/>
  <c r="O1406" i="1"/>
  <c r="E1406" i="1"/>
  <c r="O1405" i="1"/>
  <c r="E1405" i="1"/>
  <c r="O1404" i="1"/>
  <c r="E1404" i="1"/>
  <c r="O1403" i="1"/>
  <c r="E1403" i="1"/>
  <c r="O1402" i="1"/>
  <c r="E1402" i="1"/>
  <c r="O1401" i="1"/>
  <c r="E1401" i="1"/>
  <c r="O1400" i="1"/>
  <c r="E1400" i="1"/>
  <c r="O1399" i="1"/>
  <c r="E1399" i="1"/>
  <c r="O1398" i="1"/>
  <c r="E1398" i="1"/>
  <c r="O1397" i="1"/>
  <c r="E1397" i="1"/>
  <c r="O1396" i="1"/>
  <c r="E1396" i="1"/>
  <c r="O1395" i="1"/>
  <c r="E1395" i="1"/>
  <c r="O1394" i="1"/>
  <c r="E1394" i="1"/>
  <c r="O1393" i="1"/>
  <c r="E1393" i="1"/>
  <c r="O1392" i="1"/>
  <c r="E1392" i="1"/>
  <c r="O1391" i="1"/>
  <c r="E1391" i="1"/>
  <c r="O1390" i="1"/>
  <c r="E1390" i="1"/>
  <c r="O1389" i="1"/>
  <c r="E1389" i="1"/>
  <c r="O1388" i="1"/>
  <c r="E1388" i="1"/>
  <c r="O1387" i="1"/>
  <c r="K1556" i="1"/>
  <c r="C1517" i="1"/>
  <c r="K1491" i="1"/>
  <c r="F1481" i="1"/>
  <c r="E1476" i="1"/>
  <c r="G1470" i="1"/>
  <c r="G1466" i="1"/>
  <c r="F1463" i="1"/>
  <c r="B1460" i="1"/>
  <c r="Q1456" i="1"/>
  <c r="J1454" i="1"/>
  <c r="H1451" i="1"/>
  <c r="J1448" i="1"/>
  <c r="S1445" i="1"/>
  <c r="F1443" i="1"/>
  <c r="P1440" i="1"/>
  <c r="O1438" i="1"/>
  <c r="K1436" i="1"/>
  <c r="E1434" i="1"/>
  <c r="F1432" i="1"/>
  <c r="D1430" i="1"/>
  <c r="P1427" i="1"/>
  <c r="Q1425" i="1"/>
  <c r="O1423" i="1"/>
  <c r="G1421" i="1"/>
  <c r="P1419" i="1"/>
  <c r="B1418" i="1"/>
  <c r="C1416" i="1"/>
  <c r="J1414" i="1"/>
  <c r="L1412" i="1"/>
  <c r="Q1410" i="1"/>
  <c r="L1409" i="1"/>
  <c r="F1408" i="1"/>
  <c r="Q1406" i="1"/>
  <c r="L1405" i="1"/>
  <c r="F1404" i="1"/>
  <c r="Q1402" i="1"/>
  <c r="L1401" i="1"/>
  <c r="F1400" i="1"/>
  <c r="Q1398" i="1"/>
  <c r="L1397" i="1"/>
  <c r="G1396" i="1"/>
  <c r="G1395" i="1"/>
  <c r="G1394" i="1"/>
  <c r="G1393" i="1"/>
  <c r="J1392" i="1"/>
  <c r="P1391" i="1"/>
  <c r="T1390" i="1"/>
  <c r="D1390" i="1"/>
  <c r="G1389" i="1"/>
  <c r="J1388" i="1"/>
  <c r="Q1387" i="1"/>
  <c r="E1387" i="1"/>
  <c r="L1386" i="1"/>
  <c r="B1386" i="1"/>
  <c r="I1385" i="1"/>
  <c r="S1384" i="1"/>
  <c r="G1384" i="1"/>
  <c r="P1383" i="1"/>
  <c r="E1383" i="1"/>
  <c r="L1382" i="1"/>
  <c r="C1382" i="1"/>
  <c r="K1381" i="1"/>
  <c r="C1381" i="1"/>
  <c r="K1380" i="1"/>
  <c r="C1380" i="1"/>
  <c r="K1379" i="1"/>
  <c r="C1379" i="1"/>
  <c r="K1378" i="1"/>
  <c r="C1378" i="1"/>
  <c r="K1377" i="1"/>
  <c r="C1377" i="1"/>
  <c r="K1376" i="1"/>
  <c r="C1376" i="1"/>
  <c r="K1375" i="1"/>
  <c r="C1375" i="1"/>
  <c r="K1374" i="1"/>
  <c r="C1374" i="1"/>
  <c r="K1373" i="1"/>
  <c r="C1373" i="1"/>
  <c r="K1372" i="1"/>
  <c r="C1372" i="1"/>
  <c r="K1371" i="1"/>
  <c r="C1371" i="1"/>
  <c r="K1370" i="1"/>
  <c r="C1370" i="1"/>
  <c r="K1369" i="1"/>
  <c r="C1369" i="1"/>
  <c r="K1368" i="1"/>
  <c r="C1368" i="1"/>
  <c r="K1367" i="1"/>
  <c r="C1367" i="1"/>
  <c r="K1366" i="1"/>
  <c r="C1366" i="1"/>
  <c r="K1365" i="1"/>
  <c r="C1365" i="1"/>
  <c r="K1364" i="1"/>
  <c r="C1364" i="1"/>
  <c r="K1363" i="1"/>
  <c r="C1363" i="1"/>
  <c r="K1362" i="1"/>
  <c r="C1362" i="1"/>
  <c r="K1361" i="1"/>
  <c r="C1361" i="1"/>
  <c r="K1360" i="1"/>
  <c r="C1360" i="1"/>
  <c r="K1359" i="1"/>
  <c r="C1359" i="1"/>
  <c r="K1358" i="1"/>
  <c r="C1358" i="1"/>
  <c r="K1357" i="1"/>
  <c r="C1357" i="1"/>
  <c r="K1356" i="1"/>
  <c r="C1356" i="1"/>
  <c r="K1355" i="1"/>
  <c r="C1355" i="1"/>
  <c r="K1354" i="1"/>
  <c r="C1354" i="1"/>
  <c r="K1353" i="1"/>
  <c r="C1353" i="1"/>
  <c r="K1352" i="1"/>
  <c r="C1352" i="1"/>
  <c r="K1351" i="1"/>
  <c r="C1351" i="1"/>
  <c r="K1350" i="1"/>
  <c r="C1350" i="1"/>
  <c r="E1556" i="1"/>
  <c r="S1507" i="1"/>
  <c r="H1490" i="1"/>
  <c r="E1481" i="1"/>
  <c r="P1474" i="1"/>
  <c r="O1469" i="1"/>
  <c r="F1466" i="1"/>
  <c r="J1462" i="1"/>
  <c r="Q1459" i="1"/>
  <c r="P1456" i="1"/>
  <c r="Q1453" i="1"/>
  <c r="F1451" i="1"/>
  <c r="E1448" i="1"/>
  <c r="G1445" i="1"/>
  <c r="D1443" i="1"/>
  <c r="O1440" i="1"/>
  <c r="E1438" i="1"/>
  <c r="F1436" i="1"/>
  <c r="D1434" i="1"/>
  <c r="P1431" i="1"/>
  <c r="Q1429" i="1"/>
  <c r="O1427" i="1"/>
  <c r="G1425" i="1"/>
  <c r="K1423" i="1"/>
  <c r="F1421" i="1"/>
  <c r="G1419" i="1"/>
  <c r="P1417" i="1"/>
  <c r="B1416" i="1"/>
  <c r="C1414" i="1"/>
  <c r="J1412" i="1"/>
  <c r="P1410" i="1"/>
  <c r="G1409" i="1"/>
  <c r="D1408" i="1"/>
  <c r="P1406" i="1"/>
  <c r="G1405" i="1"/>
  <c r="D1404" i="1"/>
  <c r="P1402" i="1"/>
  <c r="G1401" i="1"/>
  <c r="D1400" i="1"/>
  <c r="P1398" i="1"/>
  <c r="G1397" i="1"/>
  <c r="F1396" i="1"/>
  <c r="F1395" i="1"/>
  <c r="F1394" i="1"/>
  <c r="F1393" i="1"/>
  <c r="I1392" i="1"/>
  <c r="L1391" i="1"/>
  <c r="Q1390" i="1"/>
  <c r="B1390" i="1"/>
  <c r="F1389" i="1"/>
  <c r="I1388" i="1"/>
  <c r="P1387" i="1"/>
  <c r="D1387" i="1"/>
  <c r="J1386" i="1"/>
  <c r="T1385" i="1"/>
  <c r="H1385" i="1"/>
  <c r="Q1384" i="1"/>
  <c r="F1384" i="1"/>
  <c r="O1383" i="1"/>
  <c r="D1383" i="1"/>
  <c r="J1382" i="1"/>
  <c r="B1382" i="1"/>
  <c r="J1381" i="1"/>
  <c r="B1381" i="1"/>
  <c r="J1380" i="1"/>
  <c r="B1380" i="1"/>
  <c r="J1379" i="1"/>
  <c r="B1379" i="1"/>
  <c r="J1378" i="1"/>
  <c r="B1378" i="1"/>
  <c r="J1377" i="1"/>
  <c r="B1377" i="1"/>
  <c r="J1376" i="1"/>
  <c r="B1376" i="1"/>
  <c r="J1375" i="1"/>
  <c r="B1375" i="1"/>
  <c r="J1374" i="1"/>
  <c r="B1374" i="1"/>
  <c r="J1373" i="1"/>
  <c r="B1373" i="1"/>
  <c r="J1372" i="1"/>
  <c r="B1372" i="1"/>
  <c r="J1371" i="1"/>
  <c r="B1371" i="1"/>
  <c r="J1370" i="1"/>
  <c r="B1370" i="1"/>
  <c r="J1369" i="1"/>
  <c r="B1369" i="1"/>
  <c r="J1368" i="1"/>
  <c r="B1368" i="1"/>
  <c r="J1367" i="1"/>
  <c r="B1367" i="1"/>
  <c r="J1366" i="1"/>
  <c r="B1366" i="1"/>
  <c r="J1365" i="1"/>
  <c r="B1365" i="1"/>
  <c r="J1364" i="1"/>
  <c r="B1364" i="1"/>
  <c r="J1363" i="1"/>
  <c r="B1363" i="1"/>
  <c r="J1362" i="1"/>
  <c r="B1362" i="1"/>
  <c r="J1361" i="1"/>
  <c r="B1361" i="1"/>
  <c r="J1360" i="1"/>
  <c r="B1360" i="1"/>
  <c r="J1359" i="1"/>
  <c r="B1359" i="1"/>
  <c r="J1358" i="1"/>
  <c r="B1358" i="1"/>
  <c r="J1357" i="1"/>
  <c r="B1357" i="1"/>
  <c r="J1356" i="1"/>
  <c r="B1356" i="1"/>
  <c r="J1355" i="1"/>
  <c r="B1355" i="1"/>
  <c r="J1354" i="1"/>
  <c r="B1354" i="1"/>
  <c r="J1353" i="1"/>
  <c r="B1353" i="1"/>
  <c r="J1352" i="1"/>
  <c r="B1352" i="1"/>
  <c r="J1351" i="1"/>
  <c r="B1351" i="1"/>
  <c r="J1350" i="1"/>
  <c r="B1350" i="1"/>
  <c r="J1349" i="1"/>
  <c r="K1552" i="1"/>
  <c r="Q1507" i="1"/>
  <c r="C1486" i="1"/>
  <c r="F1480" i="1"/>
  <c r="O1474" i="1"/>
  <c r="Q1468" i="1"/>
  <c r="C1466" i="1"/>
  <c r="G1462" i="1"/>
  <c r="E1459" i="1"/>
  <c r="K1456" i="1"/>
  <c r="J1453" i="1"/>
  <c r="K1450" i="1"/>
  <c r="B1448" i="1"/>
  <c r="F1445" i="1"/>
  <c r="K1442" i="1"/>
  <c r="G1440" i="1"/>
  <c r="D1438" i="1"/>
  <c r="P1435" i="1"/>
  <c r="Q1433" i="1"/>
  <c r="O1431" i="1"/>
  <c r="G1429" i="1"/>
  <c r="K1427" i="1"/>
  <c r="F1425" i="1"/>
  <c r="C1423" i="1"/>
  <c r="D1421" i="1"/>
  <c r="F1419" i="1"/>
  <c r="G1417" i="1"/>
  <c r="P1415" i="1"/>
  <c r="B1414" i="1"/>
  <c r="C1412" i="1"/>
  <c r="L1410" i="1"/>
  <c r="F1409" i="1"/>
  <c r="Q1407" i="1"/>
  <c r="L1406" i="1"/>
  <c r="F1405" i="1"/>
  <c r="Q1403" i="1"/>
  <c r="L1402" i="1"/>
  <c r="F1401" i="1"/>
  <c r="Q1399" i="1"/>
  <c r="L1398" i="1"/>
  <c r="F1397" i="1"/>
  <c r="D1396" i="1"/>
  <c r="D1395" i="1"/>
  <c r="D1394" i="1"/>
  <c r="D1393" i="1"/>
  <c r="G1392" i="1"/>
  <c r="J1391" i="1"/>
  <c r="P1390" i="1"/>
  <c r="T1389" i="1"/>
  <c r="D1389" i="1"/>
  <c r="G1388" i="1"/>
  <c r="L1387" i="1"/>
  <c r="B1387" i="1"/>
  <c r="I1386" i="1"/>
  <c r="S1385" i="1"/>
  <c r="G1385" i="1"/>
  <c r="P1384" i="1"/>
  <c r="E1384" i="1"/>
  <c r="L1383" i="1"/>
  <c r="B1383" i="1"/>
  <c r="I1382" i="1"/>
  <c r="T1381" i="1"/>
  <c r="I1381" i="1"/>
  <c r="T1380" i="1"/>
  <c r="I1380" i="1"/>
  <c r="T1379" i="1"/>
  <c r="I1379" i="1"/>
  <c r="T1378" i="1"/>
  <c r="I1378" i="1"/>
  <c r="T1377" i="1"/>
  <c r="I1377" i="1"/>
  <c r="T1376" i="1"/>
  <c r="I1376" i="1"/>
  <c r="T1375" i="1"/>
  <c r="I1375" i="1"/>
  <c r="T1374" i="1"/>
  <c r="I1374" i="1"/>
  <c r="T1373" i="1"/>
  <c r="I1373" i="1"/>
  <c r="T1372" i="1"/>
  <c r="I1372" i="1"/>
  <c r="T1371" i="1"/>
  <c r="I1371" i="1"/>
  <c r="T1370" i="1"/>
  <c r="I1370" i="1"/>
  <c r="T1369" i="1"/>
  <c r="I1369" i="1"/>
  <c r="T1368" i="1"/>
  <c r="I1368" i="1"/>
  <c r="T1367" i="1"/>
  <c r="I1367" i="1"/>
  <c r="T1366" i="1"/>
  <c r="I1366" i="1"/>
  <c r="T1365" i="1"/>
  <c r="I1365" i="1"/>
  <c r="T1364" i="1"/>
  <c r="I1364" i="1"/>
  <c r="T1363" i="1"/>
  <c r="I1363" i="1"/>
  <c r="T1362" i="1"/>
  <c r="I1362" i="1"/>
  <c r="T1361" i="1"/>
  <c r="I1361" i="1"/>
  <c r="T1360" i="1"/>
  <c r="I1360" i="1"/>
  <c r="T1359" i="1"/>
  <c r="I1359" i="1"/>
  <c r="T1358" i="1"/>
  <c r="I1358" i="1"/>
  <c r="T1357" i="1"/>
  <c r="I1357" i="1"/>
  <c r="T1356" i="1"/>
  <c r="I1356" i="1"/>
  <c r="T1355" i="1"/>
  <c r="I1355" i="1"/>
  <c r="T1354" i="1"/>
  <c r="I1354" i="1"/>
  <c r="T1353" i="1"/>
  <c r="I1353" i="1"/>
  <c r="T1352" i="1"/>
  <c r="I1352" i="1"/>
  <c r="T1351" i="1"/>
  <c r="I1351" i="1"/>
  <c r="T1350" i="1"/>
  <c r="I1350" i="1"/>
  <c r="T1349" i="1"/>
  <c r="I1349" i="1"/>
  <c r="T1348" i="1"/>
  <c r="I1348" i="1"/>
  <c r="T1347" i="1"/>
  <c r="I1347" i="1"/>
  <c r="T1346" i="1"/>
  <c r="I1346" i="1"/>
  <c r="T1345" i="1"/>
  <c r="I1345" i="1"/>
  <c r="T1344" i="1"/>
  <c r="I1344" i="1"/>
  <c r="T1343" i="1"/>
  <c r="I1343" i="1"/>
  <c r="T1342" i="1"/>
  <c r="I1342" i="1"/>
  <c r="T1341" i="1"/>
  <c r="I1341" i="1"/>
  <c r="T1340" i="1"/>
  <c r="I1340" i="1"/>
  <c r="T1339" i="1"/>
  <c r="I1339" i="1"/>
  <c r="T1338" i="1"/>
  <c r="I1338" i="1"/>
  <c r="T1337" i="1"/>
  <c r="I1337" i="1"/>
  <c r="T1336" i="1"/>
  <c r="I1336" i="1"/>
  <c r="K1532" i="1"/>
  <c r="H1506" i="1"/>
  <c r="K1485" i="1"/>
  <c r="Q1478" i="1"/>
  <c r="F1474" i="1"/>
  <c r="P1468" i="1"/>
  <c r="F1465" i="1"/>
  <c r="E1462" i="1"/>
  <c r="Q1458" i="1"/>
  <c r="S1455" i="1"/>
  <c r="G1453" i="1"/>
  <c r="J1450" i="1"/>
  <c r="G1447" i="1"/>
  <c r="S1444" i="1"/>
  <c r="J1442" i="1"/>
  <c r="P1439" i="1"/>
  <c r="Q1437" i="1"/>
  <c r="O1435" i="1"/>
  <c r="G1433" i="1"/>
  <c r="K1431" i="1"/>
  <c r="F1429" i="1"/>
  <c r="C1427" i="1"/>
  <c r="D1425" i="1"/>
  <c r="Q1422" i="1"/>
  <c r="O1420" i="1"/>
  <c r="D1419" i="1"/>
  <c r="F1417" i="1"/>
  <c r="G1415" i="1"/>
  <c r="P1413" i="1"/>
  <c r="B1412" i="1"/>
  <c r="G1410" i="1"/>
  <c r="D1409" i="1"/>
  <c r="P1407" i="1"/>
  <c r="G1406" i="1"/>
  <c r="D1405" i="1"/>
  <c r="P1403" i="1"/>
  <c r="G1402" i="1"/>
  <c r="D1401" i="1"/>
  <c r="P1399" i="1"/>
  <c r="G1398" i="1"/>
  <c r="D1397" i="1"/>
  <c r="B1396" i="1"/>
  <c r="B1395" i="1"/>
  <c r="B1394" i="1"/>
  <c r="B1393" i="1"/>
  <c r="F1392" i="1"/>
  <c r="I1391" i="1"/>
  <c r="L1390" i="1"/>
  <c r="Q1389" i="1"/>
  <c r="B1389" i="1"/>
  <c r="F1388" i="1"/>
  <c r="J1387" i="1"/>
  <c r="T1386" i="1"/>
  <c r="H1386" i="1"/>
  <c r="Q1385" i="1"/>
  <c r="F1385" i="1"/>
  <c r="O1384" i="1"/>
  <c r="D1384" i="1"/>
  <c r="J1383" i="1"/>
  <c r="T1382" i="1"/>
  <c r="H1382" i="1"/>
  <c r="S1381" i="1"/>
  <c r="H1381" i="1"/>
  <c r="S1380" i="1"/>
  <c r="H1380" i="1"/>
  <c r="S1379" i="1"/>
  <c r="H1379" i="1"/>
  <c r="S1378" i="1"/>
  <c r="H1378" i="1"/>
  <c r="S1377" i="1"/>
  <c r="H1377" i="1"/>
  <c r="S1376" i="1"/>
  <c r="H1376" i="1"/>
  <c r="S1375" i="1"/>
  <c r="H1375" i="1"/>
  <c r="S1374" i="1"/>
  <c r="H1374" i="1"/>
  <c r="S1373" i="1"/>
  <c r="H1373" i="1"/>
  <c r="S1372" i="1"/>
  <c r="H1372" i="1"/>
  <c r="S1371" i="1"/>
  <c r="H1371" i="1"/>
  <c r="S1370" i="1"/>
  <c r="H1370" i="1"/>
  <c r="S1369" i="1"/>
  <c r="H1369" i="1"/>
  <c r="S1368" i="1"/>
  <c r="H1368" i="1"/>
  <c r="S1367" i="1"/>
  <c r="H1367" i="1"/>
  <c r="S1366" i="1"/>
  <c r="H1366" i="1"/>
  <c r="S1365" i="1"/>
  <c r="H1365" i="1"/>
  <c r="S1364" i="1"/>
  <c r="H1364" i="1"/>
  <c r="S1363" i="1"/>
  <c r="H1363" i="1"/>
  <c r="S1362" i="1"/>
  <c r="H1362" i="1"/>
  <c r="S1361" i="1"/>
  <c r="H1361" i="1"/>
  <c r="S1360" i="1"/>
  <c r="H1360" i="1"/>
  <c r="S1359" i="1"/>
  <c r="H1359" i="1"/>
  <c r="S1358" i="1"/>
  <c r="H1358" i="1"/>
  <c r="S1357" i="1"/>
  <c r="H1357" i="1"/>
  <c r="S1356" i="1"/>
  <c r="H1356" i="1"/>
  <c r="S1355" i="1"/>
  <c r="H1355" i="1"/>
  <c r="S1354" i="1"/>
  <c r="H1354" i="1"/>
  <c r="S1353" i="1"/>
  <c r="H1353" i="1"/>
  <c r="S1352" i="1"/>
  <c r="H1352" i="1"/>
  <c r="S1351" i="1"/>
  <c r="H1351" i="1"/>
  <c r="S1350" i="1"/>
  <c r="H1350" i="1"/>
  <c r="S1349" i="1"/>
  <c r="H1349" i="1"/>
  <c r="S1348" i="1"/>
  <c r="H1348" i="1"/>
  <c r="S1347" i="1"/>
  <c r="H1347" i="1"/>
  <c r="S1346" i="1"/>
  <c r="H1346" i="1"/>
  <c r="S1345" i="1"/>
  <c r="H1345" i="1"/>
  <c r="S1344" i="1"/>
  <c r="H1344" i="1"/>
  <c r="S1343" i="1"/>
  <c r="H1343" i="1"/>
  <c r="S1342" i="1"/>
  <c r="K1518" i="1"/>
  <c r="G1497" i="1"/>
  <c r="Q1482" i="1"/>
  <c r="E1477" i="1"/>
  <c r="Q1471" i="1"/>
  <c r="O1467" i="1"/>
  <c r="Q1463" i="1"/>
  <c r="P1460" i="1"/>
  <c r="S1457" i="1"/>
  <c r="P1454" i="1"/>
  <c r="E1452" i="1"/>
  <c r="G1449" i="1"/>
  <c r="E1446" i="1"/>
  <c r="D1444" i="1"/>
  <c r="J1441" i="1"/>
  <c r="C1439" i="1"/>
  <c r="D1437" i="1"/>
  <c r="Q1434" i="1"/>
  <c r="L1432" i="1"/>
  <c r="O1430" i="1"/>
  <c r="K1428" i="1"/>
  <c r="E1426" i="1"/>
  <c r="F1424" i="1"/>
  <c r="D1422" i="1"/>
  <c r="C1420" i="1"/>
  <c r="J1418" i="1"/>
  <c r="L1416" i="1"/>
  <c r="O1414" i="1"/>
  <c r="D1413" i="1"/>
  <c r="F1411" i="1"/>
  <c r="Q1409" i="1"/>
  <c r="L1408" i="1"/>
  <c r="F1407" i="1"/>
  <c r="Q1405" i="1"/>
  <c r="L1404" i="1"/>
  <c r="F1403" i="1"/>
  <c r="Q1401" i="1"/>
  <c r="L1400" i="1"/>
  <c r="F1399" i="1"/>
  <c r="Q1397" i="1"/>
  <c r="L1396" i="1"/>
  <c r="L1395" i="1"/>
  <c r="L1394" i="1"/>
  <c r="L1393" i="1"/>
  <c r="P1392" i="1"/>
  <c r="T1391" i="1"/>
  <c r="D1391" i="1"/>
  <c r="G1390" i="1"/>
  <c r="J1389" i="1"/>
  <c r="P1388" i="1"/>
  <c r="T1387" i="1"/>
  <c r="G1387" i="1"/>
  <c r="P1386" i="1"/>
  <c r="E1386" i="1"/>
  <c r="L1385" i="1"/>
  <c r="B1385" i="1"/>
  <c r="I1384" i="1"/>
  <c r="S1383" i="1"/>
  <c r="G1383" i="1"/>
  <c r="P1382" i="1"/>
  <c r="E1382" i="1"/>
  <c r="O1381" i="1"/>
  <c r="E1381" i="1"/>
  <c r="O1380" i="1"/>
  <c r="E1380" i="1"/>
  <c r="O1379" i="1"/>
  <c r="E1379" i="1"/>
  <c r="O1378" i="1"/>
  <c r="E1378" i="1"/>
  <c r="O1377" i="1"/>
  <c r="E1377" i="1"/>
  <c r="O1376" i="1"/>
  <c r="E1376" i="1"/>
  <c r="O1375" i="1"/>
  <c r="E1375" i="1"/>
  <c r="O1374" i="1"/>
  <c r="E1374" i="1"/>
  <c r="O1373" i="1"/>
  <c r="E1373" i="1"/>
  <c r="O1372" i="1"/>
  <c r="E1372" i="1"/>
  <c r="O1371" i="1"/>
  <c r="E1371" i="1"/>
  <c r="O1370" i="1"/>
  <c r="E1370" i="1"/>
  <c r="O1369" i="1"/>
  <c r="E1369" i="1"/>
  <c r="O1368" i="1"/>
  <c r="E1368" i="1"/>
  <c r="O1367" i="1"/>
  <c r="E1367" i="1"/>
  <c r="O1366" i="1"/>
  <c r="E1366" i="1"/>
  <c r="O1365" i="1"/>
  <c r="E1365" i="1"/>
  <c r="O1364" i="1"/>
  <c r="E1364" i="1"/>
  <c r="O1363" i="1"/>
  <c r="E1363" i="1"/>
  <c r="O1362" i="1"/>
  <c r="E1362" i="1"/>
  <c r="O1361" i="1"/>
  <c r="E1361" i="1"/>
  <c r="O1360" i="1"/>
  <c r="E1360" i="1"/>
  <c r="O1359" i="1"/>
  <c r="E1359" i="1"/>
  <c r="O1358" i="1"/>
  <c r="E1358" i="1"/>
  <c r="O1357" i="1"/>
  <c r="E1357" i="1"/>
  <c r="O1356" i="1"/>
  <c r="E1356" i="1"/>
  <c r="O1355" i="1"/>
  <c r="E1355" i="1"/>
  <c r="O1354" i="1"/>
  <c r="E1354" i="1"/>
  <c r="O1353" i="1"/>
  <c r="E1353" i="1"/>
  <c r="O1352" i="1"/>
  <c r="E1352" i="1"/>
  <c r="O1351" i="1"/>
  <c r="E1351" i="1"/>
  <c r="O1350" i="1"/>
  <c r="E1350" i="1"/>
  <c r="O1349" i="1"/>
  <c r="E1349" i="1"/>
  <c r="O1348" i="1"/>
  <c r="E1348" i="1"/>
  <c r="O1347" i="1"/>
  <c r="E1347" i="1"/>
  <c r="O1346" i="1"/>
  <c r="E1346" i="1"/>
  <c r="O1345" i="1"/>
  <c r="E1345" i="1"/>
  <c r="O1344" i="1"/>
  <c r="E1344" i="1"/>
  <c r="O1343" i="1"/>
  <c r="E1343" i="1"/>
  <c r="D1532" i="1"/>
  <c r="O1482" i="1"/>
  <c r="P1467" i="1"/>
  <c r="O1458" i="1"/>
  <c r="J1451" i="1"/>
  <c r="F1444" i="1"/>
  <c r="G1437" i="1"/>
  <c r="K1432" i="1"/>
  <c r="O1426" i="1"/>
  <c r="L1420" i="1"/>
  <c r="J1416" i="1"/>
  <c r="G1411" i="1"/>
  <c r="L1407" i="1"/>
  <c r="G1404" i="1"/>
  <c r="P1400" i="1"/>
  <c r="Q1396" i="1"/>
  <c r="J1394" i="1"/>
  <c r="B1392" i="1"/>
  <c r="P1389" i="1"/>
  <c r="S1387" i="1"/>
  <c r="F1386" i="1"/>
  <c r="L1384" i="1"/>
  <c r="F1383" i="1"/>
  <c r="P1381" i="1"/>
  <c r="G1380" i="1"/>
  <c r="D1379" i="1"/>
  <c r="P1377" i="1"/>
  <c r="G1376" i="1"/>
  <c r="D1375" i="1"/>
  <c r="P1373" i="1"/>
  <c r="G1372" i="1"/>
  <c r="D1371" i="1"/>
  <c r="P1369" i="1"/>
  <c r="G1368" i="1"/>
  <c r="D1367" i="1"/>
  <c r="P1365" i="1"/>
  <c r="G1364" i="1"/>
  <c r="D1363" i="1"/>
  <c r="P1361" i="1"/>
  <c r="G1360" i="1"/>
  <c r="D1359" i="1"/>
  <c r="P1357" i="1"/>
  <c r="G1356" i="1"/>
  <c r="D1355" i="1"/>
  <c r="P1353" i="1"/>
  <c r="G1352" i="1"/>
  <c r="D1351" i="1"/>
  <c r="P1349" i="1"/>
  <c r="Q1348" i="1"/>
  <c r="C1348" i="1"/>
  <c r="F1347" i="1"/>
  <c r="J1346" i="1"/>
  <c r="L1345" i="1"/>
  <c r="Q1344" i="1"/>
  <c r="C1344" i="1"/>
  <c r="F1343" i="1"/>
  <c r="K1342" i="1"/>
  <c r="B1342" i="1"/>
  <c r="H1341" i="1"/>
  <c r="Q1340" i="1"/>
  <c r="F1340" i="1"/>
  <c r="D1530" i="1"/>
  <c r="P1478" i="1"/>
  <c r="E1467" i="1"/>
  <c r="B1458" i="1"/>
  <c r="C1450" i="1"/>
  <c r="K1443" i="1"/>
  <c r="F1437" i="1"/>
  <c r="C1431" i="1"/>
  <c r="D1426" i="1"/>
  <c r="J1420" i="1"/>
  <c r="F1415" i="1"/>
  <c r="D1411" i="1"/>
  <c r="G1407" i="1"/>
  <c r="L1403" i="1"/>
  <c r="G1400" i="1"/>
  <c r="P1396" i="1"/>
  <c r="Q1393" i="1"/>
  <c r="Q1391" i="1"/>
  <c r="L1389" i="1"/>
  <c r="I1387" i="1"/>
  <c r="D1386" i="1"/>
  <c r="J1384" i="1"/>
  <c r="S1382" i="1"/>
  <c r="L1381" i="1"/>
  <c r="F1380" i="1"/>
  <c r="Q1378" i="1"/>
  <c r="L1377" i="1"/>
  <c r="F1376" i="1"/>
  <c r="Q1374" i="1"/>
  <c r="L1373" i="1"/>
  <c r="F1372" i="1"/>
  <c r="Q1370" i="1"/>
  <c r="L1369" i="1"/>
  <c r="F1368" i="1"/>
  <c r="Q1366" i="1"/>
  <c r="L1365" i="1"/>
  <c r="F1364" i="1"/>
  <c r="Q1362" i="1"/>
  <c r="L1361" i="1"/>
  <c r="F1360" i="1"/>
  <c r="Q1358" i="1"/>
  <c r="L1357" i="1"/>
  <c r="F1356" i="1"/>
  <c r="Q1354" i="1"/>
  <c r="L1353" i="1"/>
  <c r="F1352" i="1"/>
  <c r="Q1350" i="1"/>
  <c r="L1349" i="1"/>
  <c r="P1348" i="1"/>
  <c r="B1348" i="1"/>
  <c r="D1347" i="1"/>
  <c r="G1346" i="1"/>
  <c r="K1345" i="1"/>
  <c r="P1344" i="1"/>
  <c r="B1344" i="1"/>
  <c r="D1343" i="1"/>
  <c r="J1342" i="1"/>
  <c r="S1341" i="1"/>
  <c r="G1341" i="1"/>
  <c r="P1340" i="1"/>
  <c r="E1340" i="1"/>
  <c r="L1339" i="1"/>
  <c r="C1339" i="1"/>
  <c r="J1338" i="1"/>
  <c r="S1337" i="1"/>
  <c r="G1337" i="1"/>
  <c r="P1336" i="1"/>
  <c r="E1336" i="1"/>
  <c r="O1335" i="1"/>
  <c r="E1335" i="1"/>
  <c r="O1334" i="1"/>
  <c r="E1334" i="1"/>
  <c r="O1333" i="1"/>
  <c r="E1333" i="1"/>
  <c r="O1332" i="1"/>
  <c r="E1332" i="1"/>
  <c r="O1331" i="1"/>
  <c r="E1331" i="1"/>
  <c r="O1330" i="1"/>
  <c r="E1330" i="1"/>
  <c r="O1329" i="1"/>
  <c r="E1329" i="1"/>
  <c r="O1328" i="1"/>
  <c r="E1328" i="1"/>
  <c r="O1327" i="1"/>
  <c r="E1327" i="1"/>
  <c r="O1326" i="1"/>
  <c r="E1326" i="1"/>
  <c r="O1325" i="1"/>
  <c r="E1325" i="1"/>
  <c r="H1518" i="1"/>
  <c r="G1478" i="1"/>
  <c r="Q1464" i="1"/>
  <c r="J1457" i="1"/>
  <c r="H1449" i="1"/>
  <c r="D1442" i="1"/>
  <c r="L1436" i="1"/>
  <c r="Q1430" i="1"/>
  <c r="L1424" i="1"/>
  <c r="B1420" i="1"/>
  <c r="D1415" i="1"/>
  <c r="F1410" i="1"/>
  <c r="D1407" i="1"/>
  <c r="G1403" i="1"/>
  <c r="L1399" i="1"/>
  <c r="J1396" i="1"/>
  <c r="P1393" i="1"/>
  <c r="G1391" i="1"/>
  <c r="I1389" i="1"/>
  <c r="H1387" i="1"/>
  <c r="P1385" i="1"/>
  <c r="H1384" i="1"/>
  <c r="Q1382" i="1"/>
  <c r="G1381" i="1"/>
  <c r="D1380" i="1"/>
  <c r="P1378" i="1"/>
  <c r="G1377" i="1"/>
  <c r="D1376" i="1"/>
  <c r="P1374" i="1"/>
  <c r="G1373" i="1"/>
  <c r="D1372" i="1"/>
  <c r="H1498" i="1"/>
  <c r="Q1472" i="1"/>
  <c r="P1463" i="1"/>
  <c r="H1455" i="1"/>
  <c r="F1447" i="1"/>
  <c r="G1441" i="1"/>
  <c r="C1435" i="1"/>
  <c r="D1429" i="1"/>
  <c r="P1423" i="1"/>
  <c r="L1418" i="1"/>
  <c r="G1413" i="1"/>
  <c r="P1409" i="1"/>
  <c r="D1406" i="1"/>
  <c r="F1402" i="1"/>
  <c r="D1399" i="1"/>
  <c r="P1395" i="1"/>
  <c r="T1392" i="1"/>
  <c r="B1391" i="1"/>
  <c r="Q1388" i="1"/>
  <c r="S1386" i="1"/>
  <c r="J1385" i="1"/>
  <c r="T1383" i="1"/>
  <c r="G1382" i="1"/>
  <c r="D1381" i="1"/>
  <c r="P1379" i="1"/>
  <c r="G1378" i="1"/>
  <c r="D1377" i="1"/>
  <c r="P1375" i="1"/>
  <c r="G1374" i="1"/>
  <c r="D1373" i="1"/>
  <c r="P1371" i="1"/>
  <c r="G1370" i="1"/>
  <c r="D1369" i="1"/>
  <c r="P1367" i="1"/>
  <c r="G1366" i="1"/>
  <c r="D1365" i="1"/>
  <c r="P1363" i="1"/>
  <c r="G1362" i="1"/>
  <c r="D1361" i="1"/>
  <c r="P1359" i="1"/>
  <c r="G1358" i="1"/>
  <c r="D1357" i="1"/>
  <c r="P1355" i="1"/>
  <c r="G1354" i="1"/>
  <c r="D1353" i="1"/>
  <c r="P1351" i="1"/>
  <c r="G1350" i="1"/>
  <c r="F1349" i="1"/>
  <c r="J1348" i="1"/>
  <c r="L1347" i="1"/>
  <c r="Q1346" i="1"/>
  <c r="C1346" i="1"/>
  <c r="F1345" i="1"/>
  <c r="J1344" i="1"/>
  <c r="L1343" i="1"/>
  <c r="Q1342" i="1"/>
  <c r="F1342" i="1"/>
  <c r="O1341" i="1"/>
  <c r="D1341" i="1"/>
  <c r="K1340" i="1"/>
  <c r="B1340" i="1"/>
  <c r="H1339" i="1"/>
  <c r="Q1338" i="1"/>
  <c r="F1338" i="1"/>
  <c r="O1337" i="1"/>
  <c r="D1337" i="1"/>
  <c r="K1336" i="1"/>
  <c r="B1336" i="1"/>
  <c r="J1335" i="1"/>
  <c r="B1335" i="1"/>
  <c r="J1334" i="1"/>
  <c r="B1334" i="1"/>
  <c r="J1333" i="1"/>
  <c r="B1333" i="1"/>
  <c r="J1332" i="1"/>
  <c r="B1332" i="1"/>
  <c r="J1331" i="1"/>
  <c r="B1331" i="1"/>
  <c r="J1330" i="1"/>
  <c r="B1330" i="1"/>
  <c r="J1329" i="1"/>
  <c r="B1329" i="1"/>
  <c r="J1328" i="1"/>
  <c r="B1328" i="1"/>
  <c r="J1327" i="1"/>
  <c r="B1327" i="1"/>
  <c r="J1326" i="1"/>
  <c r="B1326" i="1"/>
  <c r="J1325" i="1"/>
  <c r="B1325" i="1"/>
  <c r="J1324" i="1"/>
  <c r="B1324" i="1"/>
  <c r="J1323" i="1"/>
  <c r="B1323" i="1"/>
  <c r="J1322" i="1"/>
  <c r="B1322" i="1"/>
  <c r="J1321" i="1"/>
  <c r="B1321" i="1"/>
  <c r="J1320" i="1"/>
  <c r="B1320" i="1"/>
  <c r="J1319" i="1"/>
  <c r="B1319" i="1"/>
  <c r="J1318" i="1"/>
  <c r="B1318" i="1"/>
  <c r="J1317" i="1"/>
  <c r="B1317" i="1"/>
  <c r="J1316" i="1"/>
  <c r="B1316" i="1"/>
  <c r="J1315" i="1"/>
  <c r="B1315" i="1"/>
  <c r="Q1491" i="1"/>
  <c r="F1472" i="1"/>
  <c r="G1461" i="1"/>
  <c r="O1454" i="1"/>
  <c r="Q1446" i="1"/>
  <c r="O1439" i="1"/>
  <c r="O1434" i="1"/>
  <c r="L1428" i="1"/>
  <c r="O1422" i="1"/>
  <c r="C1418" i="1"/>
  <c r="F1413" i="1"/>
  <c r="Q1408" i="1"/>
  <c r="P1405" i="1"/>
  <c r="D1402" i="1"/>
  <c r="F1398" i="1"/>
  <c r="J1395" i="1"/>
  <c r="Q1392" i="1"/>
  <c r="J1390" i="1"/>
  <c r="L1388" i="1"/>
  <c r="Q1386" i="1"/>
  <c r="E1385" i="1"/>
  <c r="Q1383" i="1"/>
  <c r="F1382" i="1"/>
  <c r="Q1380" i="1"/>
  <c r="L1379" i="1"/>
  <c r="F1378" i="1"/>
  <c r="Q1376" i="1"/>
  <c r="L1375" i="1"/>
  <c r="F1374" i="1"/>
  <c r="Q1372" i="1"/>
  <c r="L1371" i="1"/>
  <c r="F1370" i="1"/>
  <c r="Q1368" i="1"/>
  <c r="L1367" i="1"/>
  <c r="F1366" i="1"/>
  <c r="Q1364" i="1"/>
  <c r="L1363" i="1"/>
  <c r="F1362" i="1"/>
  <c r="Q1360" i="1"/>
  <c r="L1359" i="1"/>
  <c r="F1358" i="1"/>
  <c r="Q1356" i="1"/>
  <c r="L1355" i="1"/>
  <c r="F1354" i="1"/>
  <c r="Q1352" i="1"/>
  <c r="L1351" i="1"/>
  <c r="F1350" i="1"/>
  <c r="D1349" i="1"/>
  <c r="G1348" i="1"/>
  <c r="K1347" i="1"/>
  <c r="P1346" i="1"/>
  <c r="B1346" i="1"/>
  <c r="D1345" i="1"/>
  <c r="G1344" i="1"/>
  <c r="K1343" i="1"/>
  <c r="P1342" i="1"/>
  <c r="E1342" i="1"/>
  <c r="L1341" i="1"/>
  <c r="C1341" i="1"/>
  <c r="J1340" i="1"/>
  <c r="S1339" i="1"/>
  <c r="G1339" i="1"/>
  <c r="P1338" i="1"/>
  <c r="E1338" i="1"/>
  <c r="L1337" i="1"/>
  <c r="C1337" i="1"/>
  <c r="J1336" i="1"/>
  <c r="T1335" i="1"/>
  <c r="I1335" i="1"/>
  <c r="T1334" i="1"/>
  <c r="I1334" i="1"/>
  <c r="T1333" i="1"/>
  <c r="I1333" i="1"/>
  <c r="T1332" i="1"/>
  <c r="I1332" i="1"/>
  <c r="T1331" i="1"/>
  <c r="I1331" i="1"/>
  <c r="T1330" i="1"/>
  <c r="I1330" i="1"/>
  <c r="T1329" i="1"/>
  <c r="I1329" i="1"/>
  <c r="T1328" i="1"/>
  <c r="I1328" i="1"/>
  <c r="T1327" i="1"/>
  <c r="I1327" i="1"/>
  <c r="T1326" i="1"/>
  <c r="I1326" i="1"/>
  <c r="T1325" i="1"/>
  <c r="I1325" i="1"/>
  <c r="T1324" i="1"/>
  <c r="I1324" i="1"/>
  <c r="T1323" i="1"/>
  <c r="I1323" i="1"/>
  <c r="T1322" i="1"/>
  <c r="I1322" i="1"/>
  <c r="T1321" i="1"/>
  <c r="I1321" i="1"/>
  <c r="T1320" i="1"/>
  <c r="I1320" i="1"/>
  <c r="T1319" i="1"/>
  <c r="I1319" i="1"/>
  <c r="T1318" i="1"/>
  <c r="I1318" i="1"/>
  <c r="T1317" i="1"/>
  <c r="I1317" i="1"/>
  <c r="T1316" i="1"/>
  <c r="I1316" i="1"/>
  <c r="T1315" i="1"/>
  <c r="I1315" i="1"/>
  <c r="T1314" i="1"/>
  <c r="I1314" i="1"/>
  <c r="T1313" i="1"/>
  <c r="I1313" i="1"/>
  <c r="T1312" i="1"/>
  <c r="I1312" i="1"/>
  <c r="T1311" i="1"/>
  <c r="I1311" i="1"/>
  <c r="T1310" i="1"/>
  <c r="I1310" i="1"/>
  <c r="T1309" i="1"/>
  <c r="I1309" i="1"/>
  <c r="T1308" i="1"/>
  <c r="I1308" i="1"/>
  <c r="T1307" i="1"/>
  <c r="I1307" i="1"/>
  <c r="T1306" i="1"/>
  <c r="I1306" i="1"/>
  <c r="K1498" i="1"/>
  <c r="C1460" i="1"/>
  <c r="K1439" i="1"/>
  <c r="K1424" i="1"/>
  <c r="P1411" i="1"/>
  <c r="P1401" i="1"/>
  <c r="J1393" i="1"/>
  <c r="B1388" i="1"/>
  <c r="I1383" i="1"/>
  <c r="Q1379" i="1"/>
  <c r="L1376" i="1"/>
  <c r="P1372" i="1"/>
  <c r="Q1369" i="1"/>
  <c r="F1367" i="1"/>
  <c r="L1364" i="1"/>
  <c r="Q1361" i="1"/>
  <c r="F1359" i="1"/>
  <c r="L1356" i="1"/>
  <c r="Q1353" i="1"/>
  <c r="F1351" i="1"/>
  <c r="B1349" i="1"/>
  <c r="G1347" i="1"/>
  <c r="P1345" i="1"/>
  <c r="D1344" i="1"/>
  <c r="L1342" i="1"/>
  <c r="J1341" i="1"/>
  <c r="G1340" i="1"/>
  <c r="F1339" i="1"/>
  <c r="H1338" i="1"/>
  <c r="J1337" i="1"/>
  <c r="L1336" i="1"/>
  <c r="P1335" i="1"/>
  <c r="S1334" i="1"/>
  <c r="D1334" i="1"/>
  <c r="G1333" i="1"/>
  <c r="K1332" i="1"/>
  <c r="P1331" i="1"/>
  <c r="S1330" i="1"/>
  <c r="D1330" i="1"/>
  <c r="G1329" i="1"/>
  <c r="K1328" i="1"/>
  <c r="P1327" i="1"/>
  <c r="S1326" i="1"/>
  <c r="D1326" i="1"/>
  <c r="G1325" i="1"/>
  <c r="L1324" i="1"/>
  <c r="S1323" i="1"/>
  <c r="F1323" i="1"/>
  <c r="L1322" i="1"/>
  <c r="S1321" i="1"/>
  <c r="F1321" i="1"/>
  <c r="L1320" i="1"/>
  <c r="S1319" i="1"/>
  <c r="F1319" i="1"/>
  <c r="L1318" i="1"/>
  <c r="S1317" i="1"/>
  <c r="F1317" i="1"/>
  <c r="L1316" i="1"/>
  <c r="S1315" i="1"/>
  <c r="F1315" i="1"/>
  <c r="L1314" i="1"/>
  <c r="C1314" i="1"/>
  <c r="J1313" i="1"/>
  <c r="S1312" i="1"/>
  <c r="G1312" i="1"/>
  <c r="P1311" i="1"/>
  <c r="E1311" i="1"/>
  <c r="L1310" i="1"/>
  <c r="C1310" i="1"/>
  <c r="J1309" i="1"/>
  <c r="S1308" i="1"/>
  <c r="G1308" i="1"/>
  <c r="P1307" i="1"/>
  <c r="E1307" i="1"/>
  <c r="L1306" i="1"/>
  <c r="C1306" i="1"/>
  <c r="K1305" i="1"/>
  <c r="C1305" i="1"/>
  <c r="K1304" i="1"/>
  <c r="C1304" i="1"/>
  <c r="K1303" i="1"/>
  <c r="C1303" i="1"/>
  <c r="K1302" i="1"/>
  <c r="C1302" i="1"/>
  <c r="K1301" i="1"/>
  <c r="C1301" i="1"/>
  <c r="K1300" i="1"/>
  <c r="C1300" i="1"/>
  <c r="K1299" i="1"/>
  <c r="C1299" i="1"/>
  <c r="K1298" i="1"/>
  <c r="C1298" i="1"/>
  <c r="K1297" i="1"/>
  <c r="C1297" i="1"/>
  <c r="K1296" i="1"/>
  <c r="C1296" i="1"/>
  <c r="K1295" i="1"/>
  <c r="C1295" i="1"/>
  <c r="K1294" i="1"/>
  <c r="C1294" i="1"/>
  <c r="K1293" i="1"/>
  <c r="C1293" i="1"/>
  <c r="K1292" i="1"/>
  <c r="C1292" i="1"/>
  <c r="K1291" i="1"/>
  <c r="C1291" i="1"/>
  <c r="K1290" i="1"/>
  <c r="C1290" i="1"/>
  <c r="K1289" i="1"/>
  <c r="C1289" i="1"/>
  <c r="K1288" i="1"/>
  <c r="C1288" i="1"/>
  <c r="K1287" i="1"/>
  <c r="C1287" i="1"/>
  <c r="K1286" i="1"/>
  <c r="C1286" i="1"/>
  <c r="K1285" i="1"/>
  <c r="C1285" i="1"/>
  <c r="K1284" i="1"/>
  <c r="C1284" i="1"/>
  <c r="K1283" i="1"/>
  <c r="C1283" i="1"/>
  <c r="K1282" i="1"/>
  <c r="C1282" i="1"/>
  <c r="K1281" i="1"/>
  <c r="C1281" i="1"/>
  <c r="K1280" i="1"/>
  <c r="C1280" i="1"/>
  <c r="K1279" i="1"/>
  <c r="C1279" i="1"/>
  <c r="K1278" i="1"/>
  <c r="C1278" i="1"/>
  <c r="K1277" i="1"/>
  <c r="C1277" i="1"/>
  <c r="K1276" i="1"/>
  <c r="C1276" i="1"/>
  <c r="K1275" i="1"/>
  <c r="C1275" i="1"/>
  <c r="K1274" i="1"/>
  <c r="C1274" i="1"/>
  <c r="K1273" i="1"/>
  <c r="C1273" i="1"/>
  <c r="K1272" i="1"/>
  <c r="C1272" i="1"/>
  <c r="K1271" i="1"/>
  <c r="C1271" i="1"/>
  <c r="K1270" i="1"/>
  <c r="C1270" i="1"/>
  <c r="K1269" i="1"/>
  <c r="C1269" i="1"/>
  <c r="K1268" i="1"/>
  <c r="C1268" i="1"/>
  <c r="K1267" i="1"/>
  <c r="C1267" i="1"/>
  <c r="K1266" i="1"/>
  <c r="C1266" i="1"/>
  <c r="K1265" i="1"/>
  <c r="C1265" i="1"/>
  <c r="K1264" i="1"/>
  <c r="C1264" i="1"/>
  <c r="K1263" i="1"/>
  <c r="C1263" i="1"/>
  <c r="K1262" i="1"/>
  <c r="C1262" i="1"/>
  <c r="K1261" i="1"/>
  <c r="C1261" i="1"/>
  <c r="K1260" i="1"/>
  <c r="C1260" i="1"/>
  <c r="K1259" i="1"/>
  <c r="C1259" i="1"/>
  <c r="K1258" i="1"/>
  <c r="C1258" i="1"/>
  <c r="K1257" i="1"/>
  <c r="C1257" i="1"/>
  <c r="K1256" i="1"/>
  <c r="C1256" i="1"/>
  <c r="K1255" i="1"/>
  <c r="C1255" i="1"/>
  <c r="K1254" i="1"/>
  <c r="C1254" i="1"/>
  <c r="K1253" i="1"/>
  <c r="C1253" i="1"/>
  <c r="K1252" i="1"/>
  <c r="H1485" i="1"/>
  <c r="Q1455" i="1"/>
  <c r="Q1438" i="1"/>
  <c r="E1422" i="1"/>
  <c r="D1410" i="1"/>
  <c r="Q1400" i="1"/>
  <c r="L1392" i="1"/>
  <c r="F1387" i="1"/>
  <c r="H1383" i="1"/>
  <c r="G1379" i="1"/>
  <c r="Q1375" i="1"/>
  <c r="L1372" i="1"/>
  <c r="G1369" i="1"/>
  <c r="P1366" i="1"/>
  <c r="D1364" i="1"/>
  <c r="G1361" i="1"/>
  <c r="P1358" i="1"/>
  <c r="D1356" i="1"/>
  <c r="G1353" i="1"/>
  <c r="P1350" i="1"/>
  <c r="L1348" i="1"/>
  <c r="C1347" i="1"/>
  <c r="J1345" i="1"/>
  <c r="Q1343" i="1"/>
  <c r="H1342" i="1"/>
  <c r="F1341" i="1"/>
  <c r="D1340" i="1"/>
  <c r="E1339" i="1"/>
  <c r="G1338" i="1"/>
  <c r="H1337" i="1"/>
  <c r="H1336" i="1"/>
  <c r="L1335" i="1"/>
  <c r="Q1334" i="1"/>
  <c r="C1334" i="1"/>
  <c r="F1333" i="1"/>
  <c r="H1332" i="1"/>
  <c r="L1331" i="1"/>
  <c r="Q1330" i="1"/>
  <c r="C1330" i="1"/>
  <c r="F1329" i="1"/>
  <c r="H1328" i="1"/>
  <c r="L1327" i="1"/>
  <c r="Q1326" i="1"/>
  <c r="C1326" i="1"/>
  <c r="F1325" i="1"/>
  <c r="K1324" i="1"/>
  <c r="Q1323" i="1"/>
  <c r="E1323" i="1"/>
  <c r="K1322" i="1"/>
  <c r="Q1321" i="1"/>
  <c r="E1321" i="1"/>
  <c r="K1320" i="1"/>
  <c r="Q1319" i="1"/>
  <c r="E1319" i="1"/>
  <c r="K1318" i="1"/>
  <c r="Q1317" i="1"/>
  <c r="E1317" i="1"/>
  <c r="K1316" i="1"/>
  <c r="Q1315" i="1"/>
  <c r="E1315" i="1"/>
  <c r="K1314" i="1"/>
  <c r="B1314" i="1"/>
  <c r="H1313" i="1"/>
  <c r="Q1312" i="1"/>
  <c r="F1312" i="1"/>
  <c r="O1311" i="1"/>
  <c r="D1311" i="1"/>
  <c r="K1310" i="1"/>
  <c r="B1310" i="1"/>
  <c r="H1309" i="1"/>
  <c r="Q1308" i="1"/>
  <c r="F1308" i="1"/>
  <c r="O1307" i="1"/>
  <c r="D1307" i="1"/>
  <c r="K1306" i="1"/>
  <c r="B1306" i="1"/>
  <c r="J1305" i="1"/>
  <c r="B1305" i="1"/>
  <c r="J1304" i="1"/>
  <c r="B1304" i="1"/>
  <c r="J1303" i="1"/>
  <c r="B1303" i="1"/>
  <c r="J1302" i="1"/>
  <c r="B1302" i="1"/>
  <c r="J1301" i="1"/>
  <c r="B1301" i="1"/>
  <c r="J1300" i="1"/>
  <c r="B1300" i="1"/>
  <c r="J1299" i="1"/>
  <c r="B1299" i="1"/>
  <c r="J1298" i="1"/>
  <c r="B1298" i="1"/>
  <c r="J1297" i="1"/>
  <c r="B1297" i="1"/>
  <c r="J1296" i="1"/>
  <c r="B1296" i="1"/>
  <c r="J1295" i="1"/>
  <c r="B1295" i="1"/>
  <c r="J1294" i="1"/>
  <c r="B1294" i="1"/>
  <c r="J1293" i="1"/>
  <c r="B1293" i="1"/>
  <c r="J1292" i="1"/>
  <c r="B1292" i="1"/>
  <c r="J1291" i="1"/>
  <c r="B1291" i="1"/>
  <c r="J1290" i="1"/>
  <c r="B1290" i="1"/>
  <c r="J1289" i="1"/>
  <c r="B1289" i="1"/>
  <c r="J1288" i="1"/>
  <c r="B1288" i="1"/>
  <c r="J1287" i="1"/>
  <c r="B1287" i="1"/>
  <c r="J1286" i="1"/>
  <c r="B1286" i="1"/>
  <c r="J1285" i="1"/>
  <c r="B1285" i="1"/>
  <c r="J1284" i="1"/>
  <c r="B1284" i="1"/>
  <c r="J1283" i="1"/>
  <c r="B1283" i="1"/>
  <c r="J1282" i="1"/>
  <c r="B1282" i="1"/>
  <c r="J1281" i="1"/>
  <c r="B1281" i="1"/>
  <c r="J1280" i="1"/>
  <c r="B1280" i="1"/>
  <c r="J1279" i="1"/>
  <c r="B1279" i="1"/>
  <c r="J1278" i="1"/>
  <c r="B1278" i="1"/>
  <c r="J1277" i="1"/>
  <c r="B1277" i="1"/>
  <c r="J1276" i="1"/>
  <c r="B1276" i="1"/>
  <c r="J1275" i="1"/>
  <c r="B1275" i="1"/>
  <c r="J1274" i="1"/>
  <c r="B1274" i="1"/>
  <c r="J1273" i="1"/>
  <c r="B1273" i="1"/>
  <c r="J1272" i="1"/>
  <c r="B1272" i="1"/>
  <c r="J1271" i="1"/>
  <c r="B1271" i="1"/>
  <c r="J1270" i="1"/>
  <c r="B1270" i="1"/>
  <c r="J1269" i="1"/>
  <c r="B1269" i="1"/>
  <c r="J1268" i="1"/>
  <c r="B1268" i="1"/>
  <c r="J1267" i="1"/>
  <c r="B1267" i="1"/>
  <c r="J1266" i="1"/>
  <c r="B1266" i="1"/>
  <c r="J1265" i="1"/>
  <c r="B1265" i="1"/>
  <c r="J1264" i="1"/>
  <c r="B1264" i="1"/>
  <c r="J1263" i="1"/>
  <c r="B1263" i="1"/>
  <c r="J1262" i="1"/>
  <c r="B1262" i="1"/>
  <c r="J1261" i="1"/>
  <c r="B1261" i="1"/>
  <c r="J1260" i="1"/>
  <c r="B1260" i="1"/>
  <c r="J1259" i="1"/>
  <c r="B1259" i="1"/>
  <c r="J1258" i="1"/>
  <c r="B1258" i="1"/>
  <c r="J1257" i="1"/>
  <c r="B1257" i="1"/>
  <c r="J1256" i="1"/>
  <c r="B1256" i="1"/>
  <c r="J1255" i="1"/>
  <c r="B1255" i="1"/>
  <c r="J1254" i="1"/>
  <c r="B1254" i="1"/>
  <c r="J1253" i="1"/>
  <c r="B1253" i="1"/>
  <c r="J1252" i="1"/>
  <c r="B1252" i="1"/>
  <c r="J1251" i="1"/>
  <c r="B1251" i="1"/>
  <c r="J1250" i="1"/>
  <c r="B1250" i="1"/>
  <c r="J1249" i="1"/>
  <c r="B1249" i="1"/>
  <c r="J1248" i="1"/>
  <c r="B1248" i="1"/>
  <c r="J1247" i="1"/>
  <c r="B1247" i="1"/>
  <c r="J1246" i="1"/>
  <c r="B1246" i="1"/>
  <c r="J1245" i="1"/>
  <c r="B1245" i="1"/>
  <c r="J1244" i="1"/>
  <c r="B1244" i="1"/>
  <c r="J1243" i="1"/>
  <c r="B1243" i="1"/>
  <c r="J1242" i="1"/>
  <c r="B1242" i="1"/>
  <c r="J1241" i="1"/>
  <c r="B1241" i="1"/>
  <c r="J1240" i="1"/>
  <c r="B1240" i="1"/>
  <c r="J1239" i="1"/>
  <c r="B1239" i="1"/>
  <c r="J1238" i="1"/>
  <c r="B1238" i="1"/>
  <c r="J1237" i="1"/>
  <c r="B1237" i="1"/>
  <c r="J1236" i="1"/>
  <c r="B1236" i="1"/>
  <c r="J1235" i="1"/>
  <c r="B1235" i="1"/>
  <c r="J1234" i="1"/>
  <c r="B1234" i="1"/>
  <c r="J1233" i="1"/>
  <c r="B1233" i="1"/>
  <c r="J1232" i="1"/>
  <c r="B1232" i="1"/>
  <c r="J1231" i="1"/>
  <c r="B1231" i="1"/>
  <c r="J1230" i="1"/>
  <c r="B1230" i="1"/>
  <c r="J1229" i="1"/>
  <c r="B1229" i="1"/>
  <c r="J1228" i="1"/>
  <c r="B1228" i="1"/>
  <c r="J1227" i="1"/>
  <c r="B1227" i="1"/>
  <c r="J1226" i="1"/>
  <c r="B1226" i="1"/>
  <c r="J1225" i="1"/>
  <c r="B1225" i="1"/>
  <c r="J1224" i="1"/>
  <c r="B1224" i="1"/>
  <c r="J1223" i="1"/>
  <c r="B1223" i="1"/>
  <c r="J1222" i="1"/>
  <c r="B1222" i="1"/>
  <c r="J1221" i="1"/>
  <c r="B1221" i="1"/>
  <c r="J1220" i="1"/>
  <c r="B1220" i="1"/>
  <c r="J1219" i="1"/>
  <c r="B1219" i="1"/>
  <c r="J1218" i="1"/>
  <c r="B1218" i="1"/>
  <c r="J1217" i="1"/>
  <c r="B1217" i="1"/>
  <c r="J1216" i="1"/>
  <c r="O1483" i="1"/>
  <c r="O1452" i="1"/>
  <c r="K1435" i="1"/>
  <c r="Q1421" i="1"/>
  <c r="P1408" i="1"/>
  <c r="G1399" i="1"/>
  <c r="D1392" i="1"/>
  <c r="O1386" i="1"/>
  <c r="O1382" i="1"/>
  <c r="F1379" i="1"/>
  <c r="G1375" i="1"/>
  <c r="Q1371" i="1"/>
  <c r="F1369" i="1"/>
  <c r="L1366" i="1"/>
  <c r="Q1363" i="1"/>
  <c r="F1361" i="1"/>
  <c r="L1358" i="1"/>
  <c r="Q1355" i="1"/>
  <c r="F1353" i="1"/>
  <c r="L1350" i="1"/>
  <c r="K1348" i="1"/>
  <c r="B1347" i="1"/>
  <c r="G1345" i="1"/>
  <c r="P1343" i="1"/>
  <c r="G1342" i="1"/>
  <c r="E1341" i="1"/>
  <c r="C1340" i="1"/>
  <c r="D1339" i="1"/>
  <c r="D1338" i="1"/>
  <c r="F1337" i="1"/>
  <c r="G1336" i="1"/>
  <c r="K1335" i="1"/>
  <c r="P1334" i="1"/>
  <c r="S1333" i="1"/>
  <c r="D1333" i="1"/>
  <c r="G1332" i="1"/>
  <c r="K1331" i="1"/>
  <c r="P1330" i="1"/>
  <c r="S1329" i="1"/>
  <c r="D1329" i="1"/>
  <c r="G1328" i="1"/>
  <c r="K1327" i="1"/>
  <c r="P1326" i="1"/>
  <c r="S1325" i="1"/>
  <c r="D1325" i="1"/>
  <c r="H1324" i="1"/>
  <c r="P1323" i="1"/>
  <c r="D1323" i="1"/>
  <c r="H1322" i="1"/>
  <c r="P1321" i="1"/>
  <c r="D1321" i="1"/>
  <c r="H1320" i="1"/>
  <c r="P1319" i="1"/>
  <c r="D1319" i="1"/>
  <c r="H1318" i="1"/>
  <c r="P1317" i="1"/>
  <c r="D1317" i="1"/>
  <c r="H1316" i="1"/>
  <c r="P1315" i="1"/>
  <c r="D1315" i="1"/>
  <c r="J1314" i="1"/>
  <c r="S1313" i="1"/>
  <c r="G1313" i="1"/>
  <c r="P1312" i="1"/>
  <c r="E1312" i="1"/>
  <c r="L1311" i="1"/>
  <c r="C1311" i="1"/>
  <c r="J1310" i="1"/>
  <c r="S1309" i="1"/>
  <c r="G1309" i="1"/>
  <c r="P1308" i="1"/>
  <c r="E1308" i="1"/>
  <c r="L1307" i="1"/>
  <c r="C1307" i="1"/>
  <c r="J1306" i="1"/>
  <c r="T1305" i="1"/>
  <c r="I1305" i="1"/>
  <c r="T1304" i="1"/>
  <c r="I1304" i="1"/>
  <c r="T1303" i="1"/>
  <c r="I1303" i="1"/>
  <c r="T1302" i="1"/>
  <c r="I1302" i="1"/>
  <c r="T1301" i="1"/>
  <c r="I1301" i="1"/>
  <c r="T1300" i="1"/>
  <c r="I1300" i="1"/>
  <c r="T1299" i="1"/>
  <c r="I1299" i="1"/>
  <c r="T1298" i="1"/>
  <c r="I1298" i="1"/>
  <c r="T1297" i="1"/>
  <c r="I1297" i="1"/>
  <c r="T1296" i="1"/>
  <c r="I1296" i="1"/>
  <c r="T1295" i="1"/>
  <c r="I1295" i="1"/>
  <c r="T1294" i="1"/>
  <c r="I1294" i="1"/>
  <c r="T1293" i="1"/>
  <c r="I1293" i="1"/>
  <c r="T1292" i="1"/>
  <c r="I1292" i="1"/>
  <c r="T1291" i="1"/>
  <c r="I1291" i="1"/>
  <c r="T1290" i="1"/>
  <c r="I1290" i="1"/>
  <c r="T1289" i="1"/>
  <c r="I1289" i="1"/>
  <c r="T1288" i="1"/>
  <c r="I1288" i="1"/>
  <c r="T1287" i="1"/>
  <c r="I1287" i="1"/>
  <c r="T1286" i="1"/>
  <c r="I1286" i="1"/>
  <c r="T1285" i="1"/>
  <c r="I1285" i="1"/>
  <c r="T1284" i="1"/>
  <c r="I1284" i="1"/>
  <c r="T1283" i="1"/>
  <c r="I1283" i="1"/>
  <c r="T1282" i="1"/>
  <c r="I1282" i="1"/>
  <c r="T1281" i="1"/>
  <c r="I1281" i="1"/>
  <c r="T1280" i="1"/>
  <c r="I1280" i="1"/>
  <c r="T1279" i="1"/>
  <c r="I1279" i="1"/>
  <c r="T1278" i="1"/>
  <c r="I1278" i="1"/>
  <c r="T1277" i="1"/>
  <c r="I1277" i="1"/>
  <c r="T1276" i="1"/>
  <c r="I1276" i="1"/>
  <c r="Q1476" i="1"/>
  <c r="K1452" i="1"/>
  <c r="F1433" i="1"/>
  <c r="O1418" i="1"/>
  <c r="G1408" i="1"/>
  <c r="D1398" i="1"/>
  <c r="F1391" i="1"/>
  <c r="G1386" i="1"/>
  <c r="D1382" i="1"/>
  <c r="L1378" i="1"/>
  <c r="F1375" i="1"/>
  <c r="G1371" i="1"/>
  <c r="P1368" i="1"/>
  <c r="D1366" i="1"/>
  <c r="G1363" i="1"/>
  <c r="P1360" i="1"/>
  <c r="D1358" i="1"/>
  <c r="G1355" i="1"/>
  <c r="P1352" i="1"/>
  <c r="D1350" i="1"/>
  <c r="F1348" i="1"/>
  <c r="L1346" i="1"/>
  <c r="C1345" i="1"/>
  <c r="J1343" i="1"/>
  <c r="D1342" i="1"/>
  <c r="B1341" i="1"/>
  <c r="Q1339" i="1"/>
  <c r="B1339" i="1"/>
  <c r="C1338" i="1"/>
  <c r="E1337" i="1"/>
  <c r="F1336" i="1"/>
  <c r="H1335" i="1"/>
  <c r="L1334" i="1"/>
  <c r="Q1333" i="1"/>
  <c r="C1333" i="1"/>
  <c r="F1332" i="1"/>
  <c r="H1331" i="1"/>
  <c r="L1330" i="1"/>
  <c r="Q1329" i="1"/>
  <c r="C1329" i="1"/>
  <c r="F1328" i="1"/>
  <c r="H1327" i="1"/>
  <c r="L1326" i="1"/>
  <c r="Q1325" i="1"/>
  <c r="C1325" i="1"/>
  <c r="G1324" i="1"/>
  <c r="O1323" i="1"/>
  <c r="C1323" i="1"/>
  <c r="G1322" i="1"/>
  <c r="O1321" i="1"/>
  <c r="C1321" i="1"/>
  <c r="G1320" i="1"/>
  <c r="O1319" i="1"/>
  <c r="C1319" i="1"/>
  <c r="G1318" i="1"/>
  <c r="O1317" i="1"/>
  <c r="C1317" i="1"/>
  <c r="G1316" i="1"/>
  <c r="O1315" i="1"/>
  <c r="C1315" i="1"/>
  <c r="H1314" i="1"/>
  <c r="Q1313" i="1"/>
  <c r="F1313" i="1"/>
  <c r="O1312" i="1"/>
  <c r="D1312" i="1"/>
  <c r="K1311" i="1"/>
  <c r="B1311" i="1"/>
  <c r="H1310" i="1"/>
  <c r="Q1309" i="1"/>
  <c r="F1309" i="1"/>
  <c r="O1308" i="1"/>
  <c r="D1308" i="1"/>
  <c r="K1307" i="1"/>
  <c r="B1307" i="1"/>
  <c r="H1306" i="1"/>
  <c r="S1305" i="1"/>
  <c r="H1305" i="1"/>
  <c r="S1304" i="1"/>
  <c r="H1304" i="1"/>
  <c r="S1303" i="1"/>
  <c r="H1303" i="1"/>
  <c r="S1302" i="1"/>
  <c r="H1302" i="1"/>
  <c r="S1301" i="1"/>
  <c r="H1301" i="1"/>
  <c r="S1300" i="1"/>
  <c r="H1300" i="1"/>
  <c r="S1299" i="1"/>
  <c r="H1299" i="1"/>
  <c r="S1298" i="1"/>
  <c r="H1298" i="1"/>
  <c r="S1297" i="1"/>
  <c r="H1297" i="1"/>
  <c r="S1296" i="1"/>
  <c r="H1296" i="1"/>
  <c r="S1295" i="1"/>
  <c r="H1295" i="1"/>
  <c r="S1294" i="1"/>
  <c r="H1294" i="1"/>
  <c r="S1293" i="1"/>
  <c r="H1293" i="1"/>
  <c r="S1292" i="1"/>
  <c r="H1292" i="1"/>
  <c r="S1291" i="1"/>
  <c r="H1291" i="1"/>
  <c r="S1290" i="1"/>
  <c r="H1290" i="1"/>
  <c r="S1289" i="1"/>
  <c r="H1289" i="1"/>
  <c r="S1288" i="1"/>
  <c r="H1288" i="1"/>
  <c r="S1287" i="1"/>
  <c r="H1287" i="1"/>
  <c r="S1286" i="1"/>
  <c r="H1286" i="1"/>
  <c r="S1285" i="1"/>
  <c r="H1285" i="1"/>
  <c r="S1284" i="1"/>
  <c r="H1284" i="1"/>
  <c r="S1283" i="1"/>
  <c r="H1283" i="1"/>
  <c r="S1282" i="1"/>
  <c r="H1282" i="1"/>
  <c r="S1281" i="1"/>
  <c r="H1281" i="1"/>
  <c r="S1280" i="1"/>
  <c r="H1280" i="1"/>
  <c r="S1279" i="1"/>
  <c r="H1279" i="1"/>
  <c r="S1278" i="1"/>
  <c r="H1278" i="1"/>
  <c r="S1277" i="1"/>
  <c r="H1277" i="1"/>
  <c r="S1276" i="1"/>
  <c r="H1276" i="1"/>
  <c r="S1275" i="1"/>
  <c r="H1275" i="1"/>
  <c r="S1274" i="1"/>
  <c r="H1274" i="1"/>
  <c r="S1273" i="1"/>
  <c r="H1273" i="1"/>
  <c r="S1272" i="1"/>
  <c r="H1272" i="1"/>
  <c r="S1271" i="1"/>
  <c r="H1271" i="1"/>
  <c r="S1270" i="1"/>
  <c r="H1270" i="1"/>
  <c r="S1269" i="1"/>
  <c r="H1269" i="1"/>
  <c r="S1268" i="1"/>
  <c r="H1268" i="1"/>
  <c r="S1267" i="1"/>
  <c r="H1267" i="1"/>
  <c r="S1266" i="1"/>
  <c r="H1266" i="1"/>
  <c r="S1265" i="1"/>
  <c r="H1265" i="1"/>
  <c r="S1264" i="1"/>
  <c r="H1264" i="1"/>
  <c r="S1263" i="1"/>
  <c r="H1263" i="1"/>
  <c r="S1262" i="1"/>
  <c r="H1262" i="1"/>
  <c r="S1261" i="1"/>
  <c r="H1261" i="1"/>
  <c r="S1260" i="1"/>
  <c r="H1260" i="1"/>
  <c r="S1259" i="1"/>
  <c r="H1259" i="1"/>
  <c r="S1258" i="1"/>
  <c r="H1258" i="1"/>
  <c r="S1257" i="1"/>
  <c r="H1257" i="1"/>
  <c r="S1256" i="1"/>
  <c r="H1256" i="1"/>
  <c r="S1255" i="1"/>
  <c r="H1255" i="1"/>
  <c r="S1254" i="1"/>
  <c r="H1254" i="1"/>
  <c r="S1253" i="1"/>
  <c r="H1253" i="1"/>
  <c r="S1252" i="1"/>
  <c r="H1252" i="1"/>
  <c r="S1251" i="1"/>
  <c r="H1251" i="1"/>
  <c r="S1250" i="1"/>
  <c r="H1250" i="1"/>
  <c r="S1249" i="1"/>
  <c r="H1249" i="1"/>
  <c r="S1248" i="1"/>
  <c r="H1248" i="1"/>
  <c r="S1247" i="1"/>
  <c r="H1247" i="1"/>
  <c r="S1246" i="1"/>
  <c r="H1246" i="1"/>
  <c r="S1245" i="1"/>
  <c r="H1245" i="1"/>
  <c r="S1244" i="1"/>
  <c r="H1244" i="1"/>
  <c r="S1243" i="1"/>
  <c r="H1243" i="1"/>
  <c r="S1242" i="1"/>
  <c r="H1242" i="1"/>
  <c r="S1241" i="1"/>
  <c r="H1241" i="1"/>
  <c r="S1240" i="1"/>
  <c r="H1240" i="1"/>
  <c r="S1239" i="1"/>
  <c r="H1239" i="1"/>
  <c r="O1470" i="1"/>
  <c r="E1449" i="1"/>
  <c r="D1433" i="1"/>
  <c r="D1417" i="1"/>
  <c r="F1406" i="1"/>
  <c r="P1397" i="1"/>
  <c r="I1390" i="1"/>
  <c r="O1385" i="1"/>
  <c r="Q1381" i="1"/>
  <c r="D1378" i="1"/>
  <c r="L1374" i="1"/>
  <c r="F1371" i="1"/>
  <c r="L1368" i="1"/>
  <c r="Q1365" i="1"/>
  <c r="F1363" i="1"/>
  <c r="L1360" i="1"/>
  <c r="Q1357" i="1"/>
  <c r="F1355" i="1"/>
  <c r="L1352" i="1"/>
  <c r="Q1349" i="1"/>
  <c r="D1348" i="1"/>
  <c r="K1346" i="1"/>
  <c r="B1345" i="1"/>
  <c r="G1343" i="1"/>
  <c r="C1342" i="1"/>
  <c r="S1340" i="1"/>
  <c r="P1339" i="1"/>
  <c r="S1338" i="1"/>
  <c r="B1338" i="1"/>
  <c r="B1337" i="1"/>
  <c r="D1336" i="1"/>
  <c r="G1335" i="1"/>
  <c r="K1334" i="1"/>
  <c r="P1333" i="1"/>
  <c r="S1332" i="1"/>
  <c r="D1332" i="1"/>
  <c r="G1331" i="1"/>
  <c r="K1330" i="1"/>
  <c r="P1329" i="1"/>
  <c r="S1328" i="1"/>
  <c r="D1328" i="1"/>
  <c r="G1327" i="1"/>
  <c r="K1326" i="1"/>
  <c r="P1325" i="1"/>
  <c r="S1324" i="1"/>
  <c r="F1324" i="1"/>
  <c r="L1323" i="1"/>
  <c r="S1322" i="1"/>
  <c r="F1322" i="1"/>
  <c r="L1321" i="1"/>
  <c r="S1320" i="1"/>
  <c r="F1320" i="1"/>
  <c r="L1319" i="1"/>
  <c r="S1318" i="1"/>
  <c r="F1318" i="1"/>
  <c r="L1317" i="1"/>
  <c r="S1316" i="1"/>
  <c r="F1316" i="1"/>
  <c r="L1315" i="1"/>
  <c r="S1314" i="1"/>
  <c r="G1314" i="1"/>
  <c r="P1313" i="1"/>
  <c r="E1313" i="1"/>
  <c r="L1312" i="1"/>
  <c r="C1312" i="1"/>
  <c r="J1311" i="1"/>
  <c r="S1310" i="1"/>
  <c r="G1310" i="1"/>
  <c r="P1309" i="1"/>
  <c r="E1309" i="1"/>
  <c r="L1308" i="1"/>
  <c r="C1308" i="1"/>
  <c r="J1307" i="1"/>
  <c r="S1306" i="1"/>
  <c r="G1306" i="1"/>
  <c r="Q1305" i="1"/>
  <c r="G1305" i="1"/>
  <c r="Q1304" i="1"/>
  <c r="G1304" i="1"/>
  <c r="Q1303" i="1"/>
  <c r="G1303" i="1"/>
  <c r="Q1302" i="1"/>
  <c r="G1302" i="1"/>
  <c r="Q1301" i="1"/>
  <c r="G1301" i="1"/>
  <c r="Q1300" i="1"/>
  <c r="G1300" i="1"/>
  <c r="Q1299" i="1"/>
  <c r="G1299" i="1"/>
  <c r="Q1298" i="1"/>
  <c r="G1298" i="1"/>
  <c r="Q1297" i="1"/>
  <c r="G1297" i="1"/>
  <c r="Q1296" i="1"/>
  <c r="G1296" i="1"/>
  <c r="Q1295" i="1"/>
  <c r="G1295" i="1"/>
  <c r="Q1294" i="1"/>
  <c r="G1294" i="1"/>
  <c r="Q1293" i="1"/>
  <c r="G1293" i="1"/>
  <c r="Q1292" i="1"/>
  <c r="G1292" i="1"/>
  <c r="Q1291" i="1"/>
  <c r="G1291" i="1"/>
  <c r="Q1290" i="1"/>
  <c r="G1290" i="1"/>
  <c r="Q1289" i="1"/>
  <c r="G1289" i="1"/>
  <c r="Q1288" i="1"/>
  <c r="G1288" i="1"/>
  <c r="Q1287" i="1"/>
  <c r="G1287" i="1"/>
  <c r="Q1286" i="1"/>
  <c r="G1286" i="1"/>
  <c r="Q1285" i="1"/>
  <c r="G1285" i="1"/>
  <c r="Q1284" i="1"/>
  <c r="G1284" i="1"/>
  <c r="Q1283" i="1"/>
  <c r="G1283" i="1"/>
  <c r="Q1282" i="1"/>
  <c r="G1282" i="1"/>
  <c r="Q1281" i="1"/>
  <c r="O1464" i="1"/>
  <c r="G1444" i="1"/>
  <c r="F1428" i="1"/>
  <c r="L1414" i="1"/>
  <c r="P1404" i="1"/>
  <c r="Q1394" i="1"/>
  <c r="T1388" i="1"/>
  <c r="T1384" i="1"/>
  <c r="P1380" i="1"/>
  <c r="F1377" i="1"/>
  <c r="Q1373" i="1"/>
  <c r="L1370" i="1"/>
  <c r="Q1367" i="1"/>
  <c r="F1365" i="1"/>
  <c r="L1362" i="1"/>
  <c r="Q1359" i="1"/>
  <c r="F1357" i="1"/>
  <c r="L1354" i="1"/>
  <c r="Q1351" i="1"/>
  <c r="G1349" i="1"/>
  <c r="P1347" i="1"/>
  <c r="D1346" i="1"/>
  <c r="K1344" i="1"/>
  <c r="B1343" i="1"/>
  <c r="P1341" i="1"/>
  <c r="L1340" i="1"/>
  <c r="K1339" i="1"/>
  <c r="L1338" i="1"/>
  <c r="P1337" i="1"/>
  <c r="Q1336" i="1"/>
  <c r="S1335" i="1"/>
  <c r="D1335" i="1"/>
  <c r="G1334" i="1"/>
  <c r="K1333" i="1"/>
  <c r="P1332" i="1"/>
  <c r="S1331" i="1"/>
  <c r="D1331" i="1"/>
  <c r="G1330" i="1"/>
  <c r="K1329" i="1"/>
  <c r="P1328" i="1"/>
  <c r="S1327" i="1"/>
  <c r="D1327" i="1"/>
  <c r="G1326" i="1"/>
  <c r="K1325" i="1"/>
  <c r="P1324" i="1"/>
  <c r="D1324" i="1"/>
  <c r="H1323" i="1"/>
  <c r="P1322" i="1"/>
  <c r="D1322" i="1"/>
  <c r="H1321" i="1"/>
  <c r="P1320" i="1"/>
  <c r="D1320" i="1"/>
  <c r="H1319" i="1"/>
  <c r="P1318" i="1"/>
  <c r="D1318" i="1"/>
  <c r="K1468" i="1"/>
  <c r="Q1404" i="1"/>
  <c r="F1381" i="1"/>
  <c r="D1368" i="1"/>
  <c r="G1357" i="1"/>
  <c r="Q1347" i="1"/>
  <c r="Q1341" i="1"/>
  <c r="Q1337" i="1"/>
  <c r="H1334" i="1"/>
  <c r="F1331" i="1"/>
  <c r="C1328" i="1"/>
  <c r="Q1324" i="1"/>
  <c r="E1322" i="1"/>
  <c r="K1319" i="1"/>
  <c r="G1317" i="1"/>
  <c r="H1315" i="1"/>
  <c r="O1313" i="1"/>
  <c r="H1312" i="1"/>
  <c r="P1310" i="1"/>
  <c r="D1309" i="1"/>
  <c r="Q1307" i="1"/>
  <c r="E1306" i="1"/>
  <c r="P1304" i="1"/>
  <c r="L1303" i="1"/>
  <c r="E1302" i="1"/>
  <c r="P1300" i="1"/>
  <c r="L1299" i="1"/>
  <c r="E1298" i="1"/>
  <c r="P1296" i="1"/>
  <c r="L1295" i="1"/>
  <c r="E1294" i="1"/>
  <c r="P1292" i="1"/>
  <c r="L1291" i="1"/>
  <c r="E1290" i="1"/>
  <c r="P1288" i="1"/>
  <c r="L1287" i="1"/>
  <c r="E1286" i="1"/>
  <c r="P1284" i="1"/>
  <c r="L1283" i="1"/>
  <c r="E1282" i="1"/>
  <c r="D1281" i="1"/>
  <c r="D1280" i="1"/>
  <c r="D1279" i="1"/>
  <c r="D1278" i="1"/>
  <c r="D1277" i="1"/>
  <c r="D1276" i="1"/>
  <c r="F1275" i="1"/>
  <c r="I1274" i="1"/>
  <c r="O1273" i="1"/>
  <c r="Q1272" i="1"/>
  <c r="D1272" i="1"/>
  <c r="F1271" i="1"/>
  <c r="I1270" i="1"/>
  <c r="O1269" i="1"/>
  <c r="Q1268" i="1"/>
  <c r="D1268" i="1"/>
  <c r="F1267" i="1"/>
  <c r="I1266" i="1"/>
  <c r="O1265" i="1"/>
  <c r="Q1264" i="1"/>
  <c r="D1264" i="1"/>
  <c r="F1263" i="1"/>
  <c r="I1262" i="1"/>
  <c r="O1261" i="1"/>
  <c r="Q1260" i="1"/>
  <c r="D1260" i="1"/>
  <c r="F1259" i="1"/>
  <c r="I1258" i="1"/>
  <c r="O1257" i="1"/>
  <c r="Q1256" i="1"/>
  <c r="D1256" i="1"/>
  <c r="F1255" i="1"/>
  <c r="I1254" i="1"/>
  <c r="O1253" i="1"/>
  <c r="Q1252" i="1"/>
  <c r="D1252" i="1"/>
  <c r="I1251" i="1"/>
  <c r="P1250" i="1"/>
  <c r="D1250" i="1"/>
  <c r="I1249" i="1"/>
  <c r="P1248" i="1"/>
  <c r="D1248" i="1"/>
  <c r="I1247" i="1"/>
  <c r="P1246" i="1"/>
  <c r="D1246" i="1"/>
  <c r="I1245" i="1"/>
  <c r="P1244" i="1"/>
  <c r="D1244" i="1"/>
  <c r="I1243" i="1"/>
  <c r="P1242" i="1"/>
  <c r="D1242" i="1"/>
  <c r="I1241" i="1"/>
  <c r="P1240" i="1"/>
  <c r="D1240" i="1"/>
  <c r="I1239" i="1"/>
  <c r="Q1238" i="1"/>
  <c r="F1238" i="1"/>
  <c r="O1237" i="1"/>
  <c r="D1237" i="1"/>
  <c r="K1236" i="1"/>
  <c r="T1235" i="1"/>
  <c r="H1235" i="1"/>
  <c r="Q1234" i="1"/>
  <c r="F1234" i="1"/>
  <c r="O1233" i="1"/>
  <c r="D1233" i="1"/>
  <c r="K1232" i="1"/>
  <c r="T1231" i="1"/>
  <c r="H1231" i="1"/>
  <c r="Q1230" i="1"/>
  <c r="F1230" i="1"/>
  <c r="O1229" i="1"/>
  <c r="D1229" i="1"/>
  <c r="K1228" i="1"/>
  <c r="T1227" i="1"/>
  <c r="H1227" i="1"/>
  <c r="Q1226" i="1"/>
  <c r="F1226" i="1"/>
  <c r="O1225" i="1"/>
  <c r="D1225" i="1"/>
  <c r="K1224" i="1"/>
  <c r="T1223" i="1"/>
  <c r="H1223" i="1"/>
  <c r="Q1222" i="1"/>
  <c r="F1222" i="1"/>
  <c r="O1221" i="1"/>
  <c r="D1221" i="1"/>
  <c r="K1220" i="1"/>
  <c r="T1219" i="1"/>
  <c r="H1219" i="1"/>
  <c r="Q1218" i="1"/>
  <c r="F1218" i="1"/>
  <c r="O1217" i="1"/>
  <c r="D1217" i="1"/>
  <c r="K1216" i="1"/>
  <c r="B1216" i="1"/>
  <c r="J1215" i="1"/>
  <c r="B1215" i="1"/>
  <c r="J1214" i="1"/>
  <c r="B1214" i="1"/>
  <c r="J1213" i="1"/>
  <c r="B1213" i="1"/>
  <c r="J1212" i="1"/>
  <c r="B1212" i="1"/>
  <c r="J1211" i="1"/>
  <c r="B1211" i="1"/>
  <c r="J1210" i="1"/>
  <c r="B1210" i="1"/>
  <c r="J1209" i="1"/>
  <c r="B1209" i="1"/>
  <c r="J1208" i="1"/>
  <c r="B1208" i="1"/>
  <c r="J1207" i="1"/>
  <c r="B1207" i="1"/>
  <c r="J1206" i="1"/>
  <c r="B1206" i="1"/>
  <c r="J1205" i="1"/>
  <c r="B1205" i="1"/>
  <c r="J1204" i="1"/>
  <c r="B1204" i="1"/>
  <c r="J1203" i="1"/>
  <c r="B1203" i="1"/>
  <c r="J1202" i="1"/>
  <c r="B1202" i="1"/>
  <c r="J1201" i="1"/>
  <c r="B1201" i="1"/>
  <c r="J1200" i="1"/>
  <c r="B1200" i="1"/>
  <c r="J1199" i="1"/>
  <c r="B1199" i="1"/>
  <c r="J1198" i="1"/>
  <c r="B1198" i="1"/>
  <c r="J1197" i="1"/>
  <c r="B1197" i="1"/>
  <c r="J1196" i="1"/>
  <c r="B1196" i="1"/>
  <c r="J1195" i="1"/>
  <c r="B1195" i="1"/>
  <c r="J1194" i="1"/>
  <c r="B1194" i="1"/>
  <c r="J1193" i="1"/>
  <c r="B1193" i="1"/>
  <c r="J1192" i="1"/>
  <c r="B1192" i="1"/>
  <c r="J1191" i="1"/>
  <c r="B1191" i="1"/>
  <c r="J1190" i="1"/>
  <c r="B1190" i="1"/>
  <c r="J1189" i="1"/>
  <c r="B1189" i="1"/>
  <c r="J1188" i="1"/>
  <c r="B1188" i="1"/>
  <c r="J1187" i="1"/>
  <c r="B1187" i="1"/>
  <c r="J1186" i="1"/>
  <c r="B1186" i="1"/>
  <c r="J1185" i="1"/>
  <c r="B1185" i="1"/>
  <c r="J1184" i="1"/>
  <c r="B1184" i="1"/>
  <c r="J1183" i="1"/>
  <c r="B1183" i="1"/>
  <c r="J1182" i="1"/>
  <c r="B1182" i="1"/>
  <c r="J1181" i="1"/>
  <c r="B1181" i="1"/>
  <c r="J1180" i="1"/>
  <c r="B1180" i="1"/>
  <c r="J1179" i="1"/>
  <c r="B1179" i="1"/>
  <c r="J1178" i="1"/>
  <c r="B1178" i="1"/>
  <c r="J1177" i="1"/>
  <c r="B1177" i="1"/>
  <c r="J1176" i="1"/>
  <c r="B1176" i="1"/>
  <c r="J1175" i="1"/>
  <c r="B1175" i="1"/>
  <c r="J1174" i="1"/>
  <c r="B1174" i="1"/>
  <c r="J1173" i="1"/>
  <c r="B1173" i="1"/>
  <c r="J1172" i="1"/>
  <c r="B1172" i="1"/>
  <c r="J1171" i="1"/>
  <c r="B1171" i="1"/>
  <c r="J1170" i="1"/>
  <c r="B1170" i="1"/>
  <c r="J1169" i="1"/>
  <c r="B1169" i="1"/>
  <c r="J1168" i="1"/>
  <c r="B1168" i="1"/>
  <c r="J1167" i="1"/>
  <c r="B1167" i="1"/>
  <c r="J1166" i="1"/>
  <c r="B1166" i="1"/>
  <c r="J1165" i="1"/>
  <c r="B1165" i="1"/>
  <c r="J1164" i="1"/>
  <c r="B1164" i="1"/>
  <c r="J1163" i="1"/>
  <c r="B1163" i="1"/>
  <c r="J1162" i="1"/>
  <c r="B1162" i="1"/>
  <c r="J1161" i="1"/>
  <c r="B1161" i="1"/>
  <c r="J1160" i="1"/>
  <c r="B1160" i="1"/>
  <c r="J1159" i="1"/>
  <c r="B1159" i="1"/>
  <c r="J1158" i="1"/>
  <c r="B1158" i="1"/>
  <c r="J1157" i="1"/>
  <c r="B1157" i="1"/>
  <c r="J1156" i="1"/>
  <c r="F1461" i="1"/>
  <c r="D1403" i="1"/>
  <c r="L1380" i="1"/>
  <c r="G1367" i="1"/>
  <c r="P1356" i="1"/>
  <c r="J1347" i="1"/>
  <c r="K1341" i="1"/>
  <c r="K1337" i="1"/>
  <c r="F1334" i="1"/>
  <c r="C1331" i="1"/>
  <c r="Q1327" i="1"/>
  <c r="O1324" i="1"/>
  <c r="C1322" i="1"/>
  <c r="G1319" i="1"/>
  <c r="Q1316" i="1"/>
  <c r="G1315" i="1"/>
  <c r="L1313" i="1"/>
  <c r="B1312" i="1"/>
  <c r="O1310" i="1"/>
  <c r="C1309" i="1"/>
  <c r="H1307" i="1"/>
  <c r="D1306" i="1"/>
  <c r="O1304" i="1"/>
  <c r="F1303" i="1"/>
  <c r="D1302" i="1"/>
  <c r="O1300" i="1"/>
  <c r="F1299" i="1"/>
  <c r="D1298" i="1"/>
  <c r="O1296" i="1"/>
  <c r="F1295" i="1"/>
  <c r="D1294" i="1"/>
  <c r="O1292" i="1"/>
  <c r="F1291" i="1"/>
  <c r="D1290" i="1"/>
  <c r="O1288" i="1"/>
  <c r="F1287" i="1"/>
  <c r="D1286" i="1"/>
  <c r="O1284" i="1"/>
  <c r="F1283" i="1"/>
  <c r="D1282" i="1"/>
  <c r="Q1280" i="1"/>
  <c r="Q1279" i="1"/>
  <c r="Q1278" i="1"/>
  <c r="Q1277" i="1"/>
  <c r="Q1276" i="1"/>
  <c r="T1275" i="1"/>
  <c r="E1275" i="1"/>
  <c r="G1274" i="1"/>
  <c r="L1273" i="1"/>
  <c r="P1272" i="1"/>
  <c r="T1271" i="1"/>
  <c r="E1271" i="1"/>
  <c r="G1270" i="1"/>
  <c r="L1269" i="1"/>
  <c r="P1268" i="1"/>
  <c r="T1267" i="1"/>
  <c r="E1267" i="1"/>
  <c r="G1266" i="1"/>
  <c r="L1265" i="1"/>
  <c r="P1264" i="1"/>
  <c r="T1263" i="1"/>
  <c r="E1263" i="1"/>
  <c r="G1262" i="1"/>
  <c r="L1261" i="1"/>
  <c r="P1260" i="1"/>
  <c r="T1259" i="1"/>
  <c r="E1259" i="1"/>
  <c r="G1258" i="1"/>
  <c r="L1257" i="1"/>
  <c r="P1256" i="1"/>
  <c r="T1255" i="1"/>
  <c r="E1255" i="1"/>
  <c r="G1254" i="1"/>
  <c r="L1253" i="1"/>
  <c r="P1252" i="1"/>
  <c r="C1252" i="1"/>
  <c r="G1251" i="1"/>
  <c r="O1250" i="1"/>
  <c r="C1250" i="1"/>
  <c r="G1249" i="1"/>
  <c r="O1248" i="1"/>
  <c r="C1248" i="1"/>
  <c r="G1247" i="1"/>
  <c r="O1246" i="1"/>
  <c r="C1246" i="1"/>
  <c r="G1245" i="1"/>
  <c r="O1244" i="1"/>
  <c r="C1244" i="1"/>
  <c r="G1243" i="1"/>
  <c r="O1242" i="1"/>
  <c r="C1242" i="1"/>
  <c r="G1241" i="1"/>
  <c r="O1240" i="1"/>
  <c r="C1240" i="1"/>
  <c r="G1239" i="1"/>
  <c r="P1238" i="1"/>
  <c r="E1238" i="1"/>
  <c r="L1237" i="1"/>
  <c r="C1237" i="1"/>
  <c r="I1236" i="1"/>
  <c r="S1235" i="1"/>
  <c r="G1235" i="1"/>
  <c r="P1234" i="1"/>
  <c r="E1234" i="1"/>
  <c r="L1233" i="1"/>
  <c r="C1233" i="1"/>
  <c r="I1232" i="1"/>
  <c r="S1231" i="1"/>
  <c r="G1231" i="1"/>
  <c r="P1230" i="1"/>
  <c r="E1230" i="1"/>
  <c r="L1229" i="1"/>
  <c r="C1229" i="1"/>
  <c r="I1228" i="1"/>
  <c r="S1227" i="1"/>
  <c r="G1227" i="1"/>
  <c r="P1226" i="1"/>
  <c r="E1226" i="1"/>
  <c r="L1225" i="1"/>
  <c r="C1225" i="1"/>
  <c r="I1224" i="1"/>
  <c r="S1223" i="1"/>
  <c r="G1223" i="1"/>
  <c r="P1222" i="1"/>
  <c r="E1222" i="1"/>
  <c r="L1221" i="1"/>
  <c r="C1221" i="1"/>
  <c r="I1220" i="1"/>
  <c r="S1219" i="1"/>
  <c r="G1219" i="1"/>
  <c r="P1218" i="1"/>
  <c r="E1218" i="1"/>
  <c r="L1217" i="1"/>
  <c r="C1217" i="1"/>
  <c r="I1216" i="1"/>
  <c r="T1215" i="1"/>
  <c r="I1215" i="1"/>
  <c r="C1446" i="1"/>
  <c r="Q1395" i="1"/>
  <c r="Q1377" i="1"/>
  <c r="G1365" i="1"/>
  <c r="P1354" i="1"/>
  <c r="F1346" i="1"/>
  <c r="O1340" i="1"/>
  <c r="S1336" i="1"/>
  <c r="L1333" i="1"/>
  <c r="H1330" i="1"/>
  <c r="F1327" i="1"/>
  <c r="E1324" i="1"/>
  <c r="K1321" i="1"/>
  <c r="Q1318" i="1"/>
  <c r="P1316" i="1"/>
  <c r="Q1314" i="1"/>
  <c r="K1313" i="1"/>
  <c r="S1311" i="1"/>
  <c r="F1310" i="1"/>
  <c r="B1309" i="1"/>
  <c r="G1307" i="1"/>
  <c r="P1305" i="1"/>
  <c r="L1304" i="1"/>
  <c r="E1303" i="1"/>
  <c r="P1301" i="1"/>
  <c r="L1300" i="1"/>
  <c r="E1299" i="1"/>
  <c r="P1297" i="1"/>
  <c r="L1296" i="1"/>
  <c r="E1295" i="1"/>
  <c r="P1293" i="1"/>
  <c r="L1292" i="1"/>
  <c r="E1291" i="1"/>
  <c r="P1289" i="1"/>
  <c r="L1288" i="1"/>
  <c r="E1287" i="1"/>
  <c r="P1285" i="1"/>
  <c r="L1284" i="1"/>
  <c r="E1283" i="1"/>
  <c r="P1281" i="1"/>
  <c r="P1280" i="1"/>
  <c r="P1279" i="1"/>
  <c r="P1278" i="1"/>
  <c r="P1277" i="1"/>
  <c r="P1276" i="1"/>
  <c r="Q1275" i="1"/>
  <c r="D1275" i="1"/>
  <c r="F1274" i="1"/>
  <c r="I1273" i="1"/>
  <c r="O1272" i="1"/>
  <c r="Q1271" i="1"/>
  <c r="D1271" i="1"/>
  <c r="F1270" i="1"/>
  <c r="I1269" i="1"/>
  <c r="O1268" i="1"/>
  <c r="Q1267" i="1"/>
  <c r="D1267" i="1"/>
  <c r="F1266" i="1"/>
  <c r="I1265" i="1"/>
  <c r="O1264" i="1"/>
  <c r="Q1263" i="1"/>
  <c r="D1263" i="1"/>
  <c r="F1262" i="1"/>
  <c r="I1261" i="1"/>
  <c r="O1260" i="1"/>
  <c r="Q1259" i="1"/>
  <c r="D1259" i="1"/>
  <c r="F1258" i="1"/>
  <c r="I1257" i="1"/>
  <c r="O1256" i="1"/>
  <c r="Q1255" i="1"/>
  <c r="D1255" i="1"/>
  <c r="F1254" i="1"/>
  <c r="I1253" i="1"/>
  <c r="O1252" i="1"/>
  <c r="T1251" i="1"/>
  <c r="F1251" i="1"/>
  <c r="L1250" i="1"/>
  <c r="T1249" i="1"/>
  <c r="F1249" i="1"/>
  <c r="L1248" i="1"/>
  <c r="T1247" i="1"/>
  <c r="F1247" i="1"/>
  <c r="L1246" i="1"/>
  <c r="T1245" i="1"/>
  <c r="F1245" i="1"/>
  <c r="L1244" i="1"/>
  <c r="T1243" i="1"/>
  <c r="F1243" i="1"/>
  <c r="L1242" i="1"/>
  <c r="T1241" i="1"/>
  <c r="F1241" i="1"/>
  <c r="L1240" i="1"/>
  <c r="T1239" i="1"/>
  <c r="F1239" i="1"/>
  <c r="O1238" i="1"/>
  <c r="D1238" i="1"/>
  <c r="K1237" i="1"/>
  <c r="T1236" i="1"/>
  <c r="H1236" i="1"/>
  <c r="Q1235" i="1"/>
  <c r="F1235" i="1"/>
  <c r="O1234" i="1"/>
  <c r="D1234" i="1"/>
  <c r="K1233" i="1"/>
  <c r="T1232" i="1"/>
  <c r="H1232" i="1"/>
  <c r="Q1231" i="1"/>
  <c r="F1231" i="1"/>
  <c r="O1230" i="1"/>
  <c r="D1230" i="1"/>
  <c r="K1229" i="1"/>
  <c r="T1228" i="1"/>
  <c r="H1228" i="1"/>
  <c r="Q1227" i="1"/>
  <c r="F1227" i="1"/>
  <c r="O1226" i="1"/>
  <c r="D1226" i="1"/>
  <c r="K1225" i="1"/>
  <c r="T1224" i="1"/>
  <c r="H1224" i="1"/>
  <c r="Q1223" i="1"/>
  <c r="F1223" i="1"/>
  <c r="O1222" i="1"/>
  <c r="D1222" i="1"/>
  <c r="K1221" i="1"/>
  <c r="T1220" i="1"/>
  <c r="H1220" i="1"/>
  <c r="Q1219" i="1"/>
  <c r="F1219" i="1"/>
  <c r="O1218" i="1"/>
  <c r="D1218" i="1"/>
  <c r="K1217" i="1"/>
  <c r="T1216" i="1"/>
  <c r="H1216" i="1"/>
  <c r="S1215" i="1"/>
  <c r="H1215" i="1"/>
  <c r="S1214" i="1"/>
  <c r="H1214" i="1"/>
  <c r="S1213" i="1"/>
  <c r="H1213" i="1"/>
  <c r="S1212" i="1"/>
  <c r="H1212" i="1"/>
  <c r="S1211" i="1"/>
  <c r="H1211" i="1"/>
  <c r="S1210" i="1"/>
  <c r="H1210" i="1"/>
  <c r="S1209" i="1"/>
  <c r="H1209" i="1"/>
  <c r="S1208" i="1"/>
  <c r="H1208" i="1"/>
  <c r="S1207" i="1"/>
  <c r="H1207" i="1"/>
  <c r="S1206" i="1"/>
  <c r="H1206" i="1"/>
  <c r="S1205" i="1"/>
  <c r="H1205" i="1"/>
  <c r="S1204" i="1"/>
  <c r="H1204" i="1"/>
  <c r="S1203" i="1"/>
  <c r="H1203" i="1"/>
  <c r="S1202" i="1"/>
  <c r="H1202" i="1"/>
  <c r="S1201" i="1"/>
  <c r="H1201" i="1"/>
  <c r="S1200" i="1"/>
  <c r="H1200" i="1"/>
  <c r="S1199" i="1"/>
  <c r="H1199" i="1"/>
  <c r="S1198" i="1"/>
  <c r="H1198" i="1"/>
  <c r="S1197" i="1"/>
  <c r="H1197" i="1"/>
  <c r="S1196" i="1"/>
  <c r="H1196" i="1"/>
  <c r="S1195" i="1"/>
  <c r="H1195" i="1"/>
  <c r="S1194" i="1"/>
  <c r="H1194" i="1"/>
  <c r="S1193" i="1"/>
  <c r="H1193" i="1"/>
  <c r="S1192" i="1"/>
  <c r="H1192" i="1"/>
  <c r="S1191" i="1"/>
  <c r="H1191" i="1"/>
  <c r="S1190" i="1"/>
  <c r="H1190" i="1"/>
  <c r="S1189" i="1"/>
  <c r="H1189" i="1"/>
  <c r="S1188" i="1"/>
  <c r="H1188" i="1"/>
  <c r="S1187" i="1"/>
  <c r="H1187" i="1"/>
  <c r="S1186" i="1"/>
  <c r="H1186" i="1"/>
  <c r="S1185" i="1"/>
  <c r="H1185" i="1"/>
  <c r="S1184" i="1"/>
  <c r="H1184" i="1"/>
  <c r="S1183" i="1"/>
  <c r="H1183" i="1"/>
  <c r="S1182" i="1"/>
  <c r="H1182" i="1"/>
  <c r="S1181" i="1"/>
  <c r="H1181" i="1"/>
  <c r="S1180" i="1"/>
  <c r="H1180" i="1"/>
  <c r="S1179" i="1"/>
  <c r="H1179" i="1"/>
  <c r="S1178" i="1"/>
  <c r="H1178" i="1"/>
  <c r="S1177" i="1"/>
  <c r="H1177" i="1"/>
  <c r="S1176" i="1"/>
  <c r="H1176" i="1"/>
  <c r="S1175" i="1"/>
  <c r="H1175" i="1"/>
  <c r="S1174" i="1"/>
  <c r="H1174" i="1"/>
  <c r="S1173" i="1"/>
  <c r="H1173" i="1"/>
  <c r="S1172" i="1"/>
  <c r="H1172" i="1"/>
  <c r="S1171" i="1"/>
  <c r="H1171" i="1"/>
  <c r="S1170" i="1"/>
  <c r="H1170" i="1"/>
  <c r="S1169" i="1"/>
  <c r="H1169" i="1"/>
  <c r="S1168" i="1"/>
  <c r="H1168" i="1"/>
  <c r="S1167" i="1"/>
  <c r="H1167" i="1"/>
  <c r="S1166" i="1"/>
  <c r="H1166" i="1"/>
  <c r="S1165" i="1"/>
  <c r="H1165" i="1"/>
  <c r="S1164" i="1"/>
  <c r="H1164" i="1"/>
  <c r="S1163" i="1"/>
  <c r="H1163" i="1"/>
  <c r="S1162" i="1"/>
  <c r="H1162" i="1"/>
  <c r="S1161" i="1"/>
  <c r="K1441" i="1"/>
  <c r="P1394" i="1"/>
  <c r="P1376" i="1"/>
  <c r="P1364" i="1"/>
  <c r="D1354" i="1"/>
  <c r="Q1345" i="1"/>
  <c r="H1340" i="1"/>
  <c r="O1336" i="1"/>
  <c r="H1333" i="1"/>
  <c r="F1330" i="1"/>
  <c r="C1327" i="1"/>
  <c r="C1324" i="1"/>
  <c r="G1321" i="1"/>
  <c r="O1318" i="1"/>
  <c r="O1316" i="1"/>
  <c r="P1314" i="1"/>
  <c r="D1313" i="1"/>
  <c r="Q1311" i="1"/>
  <c r="E1310" i="1"/>
  <c r="K1308" i="1"/>
  <c r="F1307" i="1"/>
  <c r="O1305" i="1"/>
  <c r="F1304" i="1"/>
  <c r="D1303" i="1"/>
  <c r="O1301" i="1"/>
  <c r="F1300" i="1"/>
  <c r="D1299" i="1"/>
  <c r="O1297" i="1"/>
  <c r="F1296" i="1"/>
  <c r="D1295" i="1"/>
  <c r="O1293" i="1"/>
  <c r="F1292" i="1"/>
  <c r="D1291" i="1"/>
  <c r="O1289" i="1"/>
  <c r="F1288" i="1"/>
  <c r="D1287" i="1"/>
  <c r="O1285" i="1"/>
  <c r="F1284" i="1"/>
  <c r="D1283" i="1"/>
  <c r="O1281" i="1"/>
  <c r="O1280" i="1"/>
  <c r="O1279" i="1"/>
  <c r="O1278" i="1"/>
  <c r="O1277" i="1"/>
  <c r="O1276" i="1"/>
  <c r="P1275" i="1"/>
  <c r="T1274" i="1"/>
  <c r="E1274" i="1"/>
  <c r="G1273" i="1"/>
  <c r="L1272" i="1"/>
  <c r="P1271" i="1"/>
  <c r="T1270" i="1"/>
  <c r="E1270" i="1"/>
  <c r="G1269" i="1"/>
  <c r="L1268" i="1"/>
  <c r="P1267" i="1"/>
  <c r="T1266" i="1"/>
  <c r="E1266" i="1"/>
  <c r="G1265" i="1"/>
  <c r="L1264" i="1"/>
  <c r="P1263" i="1"/>
  <c r="T1262" i="1"/>
  <c r="E1262" i="1"/>
  <c r="G1261" i="1"/>
  <c r="L1260" i="1"/>
  <c r="P1259" i="1"/>
  <c r="T1258" i="1"/>
  <c r="E1258" i="1"/>
  <c r="G1257" i="1"/>
  <c r="L1256" i="1"/>
  <c r="P1255" i="1"/>
  <c r="T1254" i="1"/>
  <c r="E1254" i="1"/>
  <c r="G1253" i="1"/>
  <c r="L1252" i="1"/>
  <c r="Q1251" i="1"/>
  <c r="E1251" i="1"/>
  <c r="K1250" i="1"/>
  <c r="Q1249" i="1"/>
  <c r="E1249" i="1"/>
  <c r="K1248" i="1"/>
  <c r="Q1247" i="1"/>
  <c r="E1247" i="1"/>
  <c r="K1246" i="1"/>
  <c r="Q1245" i="1"/>
  <c r="E1245" i="1"/>
  <c r="K1244" i="1"/>
  <c r="E1430" i="1"/>
  <c r="F1390" i="1"/>
  <c r="D1374" i="1"/>
  <c r="P1362" i="1"/>
  <c r="D1352" i="1"/>
  <c r="L1344" i="1"/>
  <c r="O1339" i="1"/>
  <c r="C1336" i="1"/>
  <c r="Q1332" i="1"/>
  <c r="L1329" i="1"/>
  <c r="H1326" i="1"/>
  <c r="K1323" i="1"/>
  <c r="Q1320" i="1"/>
  <c r="E1318" i="1"/>
  <c r="E1316" i="1"/>
  <c r="O1314" i="1"/>
  <c r="C1313" i="1"/>
  <c r="H1311" i="1"/>
  <c r="D1310" i="1"/>
  <c r="J1308" i="1"/>
  <c r="Q1306" i="1"/>
  <c r="L1305" i="1"/>
  <c r="E1304" i="1"/>
  <c r="P1302" i="1"/>
  <c r="L1301" i="1"/>
  <c r="E1300" i="1"/>
  <c r="P1298" i="1"/>
  <c r="L1297" i="1"/>
  <c r="E1296" i="1"/>
  <c r="P1294" i="1"/>
  <c r="L1293" i="1"/>
  <c r="E1292" i="1"/>
  <c r="P1290" i="1"/>
  <c r="L1289" i="1"/>
  <c r="E1288" i="1"/>
  <c r="P1286" i="1"/>
  <c r="L1285" i="1"/>
  <c r="E1284" i="1"/>
  <c r="P1282" i="1"/>
  <c r="L1281" i="1"/>
  <c r="L1280" i="1"/>
  <c r="L1279" i="1"/>
  <c r="L1278" i="1"/>
  <c r="L1277" i="1"/>
  <c r="L1276" i="1"/>
  <c r="O1275" i="1"/>
  <c r="Q1274" i="1"/>
  <c r="D1274" i="1"/>
  <c r="F1273" i="1"/>
  <c r="I1272" i="1"/>
  <c r="O1271" i="1"/>
  <c r="Q1270" i="1"/>
  <c r="D1270" i="1"/>
  <c r="F1269" i="1"/>
  <c r="I1268" i="1"/>
  <c r="O1267" i="1"/>
  <c r="Q1266" i="1"/>
  <c r="D1266" i="1"/>
  <c r="F1265" i="1"/>
  <c r="I1264" i="1"/>
  <c r="O1263" i="1"/>
  <c r="Q1262" i="1"/>
  <c r="D1262" i="1"/>
  <c r="F1261" i="1"/>
  <c r="I1260" i="1"/>
  <c r="O1259" i="1"/>
  <c r="Q1258" i="1"/>
  <c r="D1258" i="1"/>
  <c r="F1257" i="1"/>
  <c r="I1256" i="1"/>
  <c r="O1255" i="1"/>
  <c r="Q1254" i="1"/>
  <c r="D1254" i="1"/>
  <c r="F1253" i="1"/>
  <c r="I1252" i="1"/>
  <c r="P1251" i="1"/>
  <c r="D1251" i="1"/>
  <c r="I1250" i="1"/>
  <c r="P1249" i="1"/>
  <c r="D1249" i="1"/>
  <c r="I1248" i="1"/>
  <c r="P1247" i="1"/>
  <c r="D1247" i="1"/>
  <c r="I1246" i="1"/>
  <c r="P1245" i="1"/>
  <c r="D1245" i="1"/>
  <c r="I1244" i="1"/>
  <c r="P1243" i="1"/>
  <c r="D1243" i="1"/>
  <c r="I1242" i="1"/>
  <c r="P1241" i="1"/>
  <c r="D1241" i="1"/>
  <c r="I1240" i="1"/>
  <c r="P1239" i="1"/>
  <c r="D1239" i="1"/>
  <c r="K1238" i="1"/>
  <c r="T1237" i="1"/>
  <c r="H1237" i="1"/>
  <c r="Q1236" i="1"/>
  <c r="F1236" i="1"/>
  <c r="O1235" i="1"/>
  <c r="D1235" i="1"/>
  <c r="K1234" i="1"/>
  <c r="T1233" i="1"/>
  <c r="H1233" i="1"/>
  <c r="Q1232" i="1"/>
  <c r="F1232" i="1"/>
  <c r="O1231" i="1"/>
  <c r="D1231" i="1"/>
  <c r="K1230" i="1"/>
  <c r="T1229" i="1"/>
  <c r="H1229" i="1"/>
  <c r="Q1228" i="1"/>
  <c r="F1228" i="1"/>
  <c r="O1227" i="1"/>
  <c r="D1227" i="1"/>
  <c r="K1226" i="1"/>
  <c r="T1225" i="1"/>
  <c r="H1225" i="1"/>
  <c r="Q1224" i="1"/>
  <c r="F1224" i="1"/>
  <c r="O1223" i="1"/>
  <c r="D1223" i="1"/>
  <c r="K1222" i="1"/>
  <c r="T1221" i="1"/>
  <c r="H1221" i="1"/>
  <c r="Q1220" i="1"/>
  <c r="F1220" i="1"/>
  <c r="O1219" i="1"/>
  <c r="D1219" i="1"/>
  <c r="K1218" i="1"/>
  <c r="T1217" i="1"/>
  <c r="H1217" i="1"/>
  <c r="Q1216" i="1"/>
  <c r="F1216" i="1"/>
  <c r="P1215" i="1"/>
  <c r="F1215" i="1"/>
  <c r="P1214" i="1"/>
  <c r="F1214" i="1"/>
  <c r="P1213" i="1"/>
  <c r="F1213" i="1"/>
  <c r="P1212" i="1"/>
  <c r="F1212" i="1"/>
  <c r="P1211" i="1"/>
  <c r="F1211" i="1"/>
  <c r="P1210" i="1"/>
  <c r="F1210" i="1"/>
  <c r="P1209" i="1"/>
  <c r="F1209" i="1"/>
  <c r="P1208" i="1"/>
  <c r="F1208" i="1"/>
  <c r="P1207" i="1"/>
  <c r="F1207" i="1"/>
  <c r="P1206" i="1"/>
  <c r="F1206" i="1"/>
  <c r="P1205" i="1"/>
  <c r="F1205" i="1"/>
  <c r="P1204" i="1"/>
  <c r="F1204" i="1"/>
  <c r="P1203" i="1"/>
  <c r="F1203" i="1"/>
  <c r="P1202" i="1"/>
  <c r="F1202" i="1"/>
  <c r="P1201" i="1"/>
  <c r="F1201" i="1"/>
  <c r="P1200" i="1"/>
  <c r="F1200" i="1"/>
  <c r="P1199" i="1"/>
  <c r="F1199" i="1"/>
  <c r="P1198" i="1"/>
  <c r="F1198" i="1"/>
  <c r="P1197" i="1"/>
  <c r="F1197" i="1"/>
  <c r="P1196" i="1"/>
  <c r="F1196" i="1"/>
  <c r="P1195" i="1"/>
  <c r="F1195" i="1"/>
  <c r="P1194" i="1"/>
  <c r="F1194" i="1"/>
  <c r="P1193" i="1"/>
  <c r="F1193" i="1"/>
  <c r="P1192" i="1"/>
  <c r="F1192" i="1"/>
  <c r="P1191" i="1"/>
  <c r="F1191" i="1"/>
  <c r="P1190" i="1"/>
  <c r="F1190" i="1"/>
  <c r="P1189" i="1"/>
  <c r="F1189" i="1"/>
  <c r="P1188" i="1"/>
  <c r="F1188" i="1"/>
  <c r="P1187" i="1"/>
  <c r="F1187" i="1"/>
  <c r="P1186" i="1"/>
  <c r="F1186" i="1"/>
  <c r="P1185" i="1"/>
  <c r="F1185" i="1"/>
  <c r="P1184" i="1"/>
  <c r="F1184" i="1"/>
  <c r="P1183" i="1"/>
  <c r="F1183" i="1"/>
  <c r="P1182" i="1"/>
  <c r="F1182" i="1"/>
  <c r="P1181" i="1"/>
  <c r="F1181" i="1"/>
  <c r="P1180" i="1"/>
  <c r="F1180" i="1"/>
  <c r="P1179" i="1"/>
  <c r="F1179" i="1"/>
  <c r="P1178" i="1"/>
  <c r="F1178" i="1"/>
  <c r="P1177" i="1"/>
  <c r="F1177" i="1"/>
  <c r="P1176" i="1"/>
  <c r="F1176" i="1"/>
  <c r="P1175" i="1"/>
  <c r="F1175" i="1"/>
  <c r="P1174" i="1"/>
  <c r="F1174" i="1"/>
  <c r="P1173" i="1"/>
  <c r="F1173" i="1"/>
  <c r="P1172" i="1"/>
  <c r="F1172" i="1"/>
  <c r="P1171" i="1"/>
  <c r="F1171" i="1"/>
  <c r="P1170" i="1"/>
  <c r="F1170" i="1"/>
  <c r="P1169" i="1"/>
  <c r="F1169" i="1"/>
  <c r="P1168" i="1"/>
  <c r="F1168" i="1"/>
  <c r="P1167" i="1"/>
  <c r="F1167" i="1"/>
  <c r="P1166" i="1"/>
  <c r="F1166" i="1"/>
  <c r="P1165" i="1"/>
  <c r="F1165" i="1"/>
  <c r="P1164" i="1"/>
  <c r="F1164" i="1"/>
  <c r="P1163" i="1"/>
  <c r="F1163" i="1"/>
  <c r="P1162" i="1"/>
  <c r="F1162" i="1"/>
  <c r="P1161" i="1"/>
  <c r="F1161" i="1"/>
  <c r="P1160" i="1"/>
  <c r="F1160" i="1"/>
  <c r="P1159" i="1"/>
  <c r="F1159" i="1"/>
  <c r="P1158" i="1"/>
  <c r="F1158" i="1"/>
  <c r="P1157" i="1"/>
  <c r="F1157" i="1"/>
  <c r="P1156" i="1"/>
  <c r="F1156" i="1"/>
  <c r="Q1426" i="1"/>
  <c r="D1388" i="1"/>
  <c r="F1373" i="1"/>
  <c r="D1362" i="1"/>
  <c r="G1351" i="1"/>
  <c r="F1344" i="1"/>
  <c r="J1339" i="1"/>
  <c r="Q1335" i="1"/>
  <c r="L1332" i="1"/>
  <c r="H1329" i="1"/>
  <c r="F1326" i="1"/>
  <c r="G1323" i="1"/>
  <c r="O1320" i="1"/>
  <c r="C1318" i="1"/>
  <c r="D1316" i="1"/>
  <c r="F1314" i="1"/>
  <c r="B1313" i="1"/>
  <c r="G1311" i="1"/>
  <c r="O1309" i="1"/>
  <c r="H1308" i="1"/>
  <c r="P1306" i="1"/>
  <c r="F1305" i="1"/>
  <c r="D1304" i="1"/>
  <c r="O1302" i="1"/>
  <c r="F1301" i="1"/>
  <c r="D1300" i="1"/>
  <c r="O1298" i="1"/>
  <c r="F1297" i="1"/>
  <c r="D1296" i="1"/>
  <c r="O1294" i="1"/>
  <c r="F1293" i="1"/>
  <c r="D1292" i="1"/>
  <c r="O1290" i="1"/>
  <c r="F1289" i="1"/>
  <c r="D1288" i="1"/>
  <c r="O1286" i="1"/>
  <c r="F1285" i="1"/>
  <c r="D1284" i="1"/>
  <c r="O1282" i="1"/>
  <c r="G1281" i="1"/>
  <c r="G1280" i="1"/>
  <c r="G1279" i="1"/>
  <c r="G1278" i="1"/>
  <c r="G1277" i="1"/>
  <c r="G1276" i="1"/>
  <c r="L1275" i="1"/>
  <c r="P1274" i="1"/>
  <c r="T1273" i="1"/>
  <c r="E1273" i="1"/>
  <c r="G1272" i="1"/>
  <c r="L1271" i="1"/>
  <c r="P1270" i="1"/>
  <c r="T1269" i="1"/>
  <c r="E1269" i="1"/>
  <c r="G1268" i="1"/>
  <c r="L1267" i="1"/>
  <c r="P1266" i="1"/>
  <c r="T1265" i="1"/>
  <c r="E1265" i="1"/>
  <c r="G1264" i="1"/>
  <c r="L1263" i="1"/>
  <c r="P1262" i="1"/>
  <c r="T1261" i="1"/>
  <c r="E1261" i="1"/>
  <c r="G1260" i="1"/>
  <c r="L1259" i="1"/>
  <c r="P1258" i="1"/>
  <c r="T1257" i="1"/>
  <c r="E1257" i="1"/>
  <c r="G1256" i="1"/>
  <c r="L1255" i="1"/>
  <c r="P1254" i="1"/>
  <c r="T1253" i="1"/>
  <c r="E1253" i="1"/>
  <c r="G1252" i="1"/>
  <c r="O1251" i="1"/>
  <c r="C1251" i="1"/>
  <c r="G1250" i="1"/>
  <c r="O1249" i="1"/>
  <c r="C1249" i="1"/>
  <c r="G1248" i="1"/>
  <c r="O1247" i="1"/>
  <c r="C1247" i="1"/>
  <c r="G1246" i="1"/>
  <c r="O1245" i="1"/>
  <c r="C1245" i="1"/>
  <c r="G1244" i="1"/>
  <c r="O1243" i="1"/>
  <c r="C1243" i="1"/>
  <c r="G1242" i="1"/>
  <c r="O1241" i="1"/>
  <c r="C1241" i="1"/>
  <c r="G1240" i="1"/>
  <c r="O1239" i="1"/>
  <c r="C1239" i="1"/>
  <c r="I1238" i="1"/>
  <c r="S1237" i="1"/>
  <c r="G1237" i="1"/>
  <c r="P1236" i="1"/>
  <c r="E1236" i="1"/>
  <c r="L1235" i="1"/>
  <c r="C1235" i="1"/>
  <c r="I1234" i="1"/>
  <c r="S1233" i="1"/>
  <c r="G1233" i="1"/>
  <c r="P1232" i="1"/>
  <c r="E1232" i="1"/>
  <c r="L1231" i="1"/>
  <c r="C1231" i="1"/>
  <c r="I1230" i="1"/>
  <c r="S1229" i="1"/>
  <c r="G1229" i="1"/>
  <c r="P1228" i="1"/>
  <c r="E1228" i="1"/>
  <c r="L1227" i="1"/>
  <c r="C1227" i="1"/>
  <c r="I1226" i="1"/>
  <c r="S1225" i="1"/>
  <c r="G1225" i="1"/>
  <c r="P1224" i="1"/>
  <c r="E1224" i="1"/>
  <c r="L1223" i="1"/>
  <c r="C1223" i="1"/>
  <c r="I1222" i="1"/>
  <c r="S1221" i="1"/>
  <c r="O1416" i="1"/>
  <c r="K1349" i="1"/>
  <c r="C1332" i="1"/>
  <c r="E1320" i="1"/>
  <c r="K1312" i="1"/>
  <c r="O1306" i="1"/>
  <c r="E1301" i="1"/>
  <c r="P1295" i="1"/>
  <c r="L1290" i="1"/>
  <c r="E1285" i="1"/>
  <c r="F1280" i="1"/>
  <c r="F1276" i="1"/>
  <c r="D1273" i="1"/>
  <c r="Q1269" i="1"/>
  <c r="O1266" i="1"/>
  <c r="I1263" i="1"/>
  <c r="F1260" i="1"/>
  <c r="D1257" i="1"/>
  <c r="Q1253" i="1"/>
  <c r="T1250" i="1"/>
  <c r="F1248" i="1"/>
  <c r="L1245" i="1"/>
  <c r="K1243" i="1"/>
  <c r="L1241" i="1"/>
  <c r="Q1239" i="1"/>
  <c r="G1238" i="1"/>
  <c r="O1236" i="1"/>
  <c r="E1235" i="1"/>
  <c r="P1233" i="1"/>
  <c r="D1232" i="1"/>
  <c r="L1230" i="1"/>
  <c r="E1229" i="1"/>
  <c r="K1227" i="1"/>
  <c r="C1226" i="1"/>
  <c r="L1224" i="1"/>
  <c r="T1222" i="1"/>
  <c r="I1221" i="1"/>
  <c r="G1220" i="1"/>
  <c r="E1219" i="1"/>
  <c r="C1218" i="1"/>
  <c r="S1216" i="1"/>
  <c r="Q1215" i="1"/>
  <c r="T1214" i="1"/>
  <c r="D1214" i="1"/>
  <c r="G1213" i="1"/>
  <c r="K1212" i="1"/>
  <c r="O1211" i="1"/>
  <c r="T1210" i="1"/>
  <c r="D1210" i="1"/>
  <c r="G1209" i="1"/>
  <c r="K1208" i="1"/>
  <c r="O1207" i="1"/>
  <c r="T1206" i="1"/>
  <c r="D1206" i="1"/>
  <c r="G1205" i="1"/>
  <c r="K1204" i="1"/>
  <c r="O1203" i="1"/>
  <c r="T1202" i="1"/>
  <c r="D1202" i="1"/>
  <c r="G1201" i="1"/>
  <c r="K1200" i="1"/>
  <c r="O1199" i="1"/>
  <c r="T1198" i="1"/>
  <c r="D1198" i="1"/>
  <c r="G1197" i="1"/>
  <c r="K1196" i="1"/>
  <c r="O1195" i="1"/>
  <c r="T1194" i="1"/>
  <c r="D1194" i="1"/>
  <c r="G1193" i="1"/>
  <c r="K1192" i="1"/>
  <c r="O1191" i="1"/>
  <c r="T1190" i="1"/>
  <c r="D1190" i="1"/>
  <c r="G1189" i="1"/>
  <c r="K1188" i="1"/>
  <c r="O1187" i="1"/>
  <c r="T1186" i="1"/>
  <c r="D1186" i="1"/>
  <c r="G1185" i="1"/>
  <c r="K1184" i="1"/>
  <c r="O1183" i="1"/>
  <c r="T1182" i="1"/>
  <c r="D1182" i="1"/>
  <c r="G1181" i="1"/>
  <c r="K1180" i="1"/>
  <c r="O1179" i="1"/>
  <c r="T1178" i="1"/>
  <c r="D1178" i="1"/>
  <c r="G1177" i="1"/>
  <c r="K1176" i="1"/>
  <c r="O1175" i="1"/>
  <c r="T1174" i="1"/>
  <c r="D1174" i="1"/>
  <c r="G1173" i="1"/>
  <c r="K1172" i="1"/>
  <c r="O1171" i="1"/>
  <c r="T1170" i="1"/>
  <c r="D1170" i="1"/>
  <c r="G1169" i="1"/>
  <c r="K1168" i="1"/>
  <c r="O1167" i="1"/>
  <c r="T1166" i="1"/>
  <c r="D1166" i="1"/>
  <c r="G1165" i="1"/>
  <c r="K1164" i="1"/>
  <c r="O1163" i="1"/>
  <c r="T1162" i="1"/>
  <c r="D1162" i="1"/>
  <c r="H1161" i="1"/>
  <c r="O1160" i="1"/>
  <c r="C1160" i="1"/>
  <c r="H1159" i="1"/>
  <c r="O1158" i="1"/>
  <c r="C1158" i="1"/>
  <c r="H1157" i="1"/>
  <c r="O1156" i="1"/>
  <c r="C1156" i="1"/>
  <c r="K1155" i="1"/>
  <c r="C1155" i="1"/>
  <c r="K1154" i="1"/>
  <c r="C1154" i="1"/>
  <c r="K1153" i="1"/>
  <c r="C1153" i="1"/>
  <c r="K1152" i="1"/>
  <c r="C1152" i="1"/>
  <c r="K1151" i="1"/>
  <c r="C1151" i="1"/>
  <c r="K1150" i="1"/>
  <c r="C1150" i="1"/>
  <c r="K1149" i="1"/>
  <c r="C1149" i="1"/>
  <c r="K1148" i="1"/>
  <c r="C1148" i="1"/>
  <c r="K1147" i="1"/>
  <c r="C1147" i="1"/>
  <c r="K1146" i="1"/>
  <c r="C1146" i="1"/>
  <c r="K1145" i="1"/>
  <c r="C1145" i="1"/>
  <c r="K1144" i="1"/>
  <c r="C1144" i="1"/>
  <c r="K1143" i="1"/>
  <c r="C1143" i="1"/>
  <c r="K1142" i="1"/>
  <c r="C1142" i="1"/>
  <c r="K1141" i="1"/>
  <c r="C1141" i="1"/>
  <c r="K1140" i="1"/>
  <c r="C1140" i="1"/>
  <c r="K1139" i="1"/>
  <c r="C1139" i="1"/>
  <c r="K1138" i="1"/>
  <c r="C1138" i="1"/>
  <c r="K1137" i="1"/>
  <c r="C1137" i="1"/>
  <c r="K1136" i="1"/>
  <c r="C1136" i="1"/>
  <c r="K1135" i="1"/>
  <c r="C1135" i="1"/>
  <c r="K1134" i="1"/>
  <c r="C1134" i="1"/>
  <c r="K1133" i="1"/>
  <c r="C1133" i="1"/>
  <c r="K1132" i="1"/>
  <c r="C1132" i="1"/>
  <c r="K1131" i="1"/>
  <c r="C1131" i="1"/>
  <c r="K1130" i="1"/>
  <c r="C1130" i="1"/>
  <c r="K1129" i="1"/>
  <c r="C1129" i="1"/>
  <c r="K1128" i="1"/>
  <c r="C1128" i="1"/>
  <c r="K1127" i="1"/>
  <c r="C1127" i="1"/>
  <c r="K1126" i="1"/>
  <c r="C1126" i="1"/>
  <c r="K1125" i="1"/>
  <c r="C1125" i="1"/>
  <c r="K1124" i="1"/>
  <c r="C1124" i="1"/>
  <c r="K1123" i="1"/>
  <c r="C1123" i="1"/>
  <c r="K1122" i="1"/>
  <c r="C1122" i="1"/>
  <c r="K1121" i="1"/>
  <c r="C1121" i="1"/>
  <c r="K1120" i="1"/>
  <c r="C1120" i="1"/>
  <c r="K1119" i="1"/>
  <c r="C1119" i="1"/>
  <c r="K1118" i="1"/>
  <c r="C1118" i="1"/>
  <c r="K1117" i="1"/>
  <c r="C1117" i="1"/>
  <c r="K1116" i="1"/>
  <c r="C1116" i="1"/>
  <c r="K1115" i="1"/>
  <c r="C1115" i="1"/>
  <c r="K1114" i="1"/>
  <c r="C1114" i="1"/>
  <c r="K1113" i="1"/>
  <c r="C1113" i="1"/>
  <c r="K1112" i="1"/>
  <c r="C1112" i="1"/>
  <c r="K1111" i="1"/>
  <c r="C1111" i="1"/>
  <c r="K1110" i="1"/>
  <c r="C1110" i="1"/>
  <c r="K1109" i="1"/>
  <c r="C1109" i="1"/>
  <c r="K1108" i="1"/>
  <c r="C1108" i="1"/>
  <c r="K1107" i="1"/>
  <c r="C1107" i="1"/>
  <c r="K1106" i="1"/>
  <c r="C1106" i="1"/>
  <c r="K1105" i="1"/>
  <c r="C1105" i="1"/>
  <c r="K1104" i="1"/>
  <c r="C1104" i="1"/>
  <c r="K1103" i="1"/>
  <c r="C1103" i="1"/>
  <c r="K1102" i="1"/>
  <c r="C1102" i="1"/>
  <c r="K1101" i="1"/>
  <c r="C1101" i="1"/>
  <c r="K1100" i="1"/>
  <c r="C1100" i="1"/>
  <c r="K1099" i="1"/>
  <c r="C1099" i="1"/>
  <c r="K1098" i="1"/>
  <c r="C1098" i="1"/>
  <c r="K1097" i="1"/>
  <c r="C1097" i="1"/>
  <c r="K1096" i="1"/>
  <c r="C1096" i="1"/>
  <c r="K1095" i="1"/>
  <c r="C1095" i="1"/>
  <c r="K1094" i="1"/>
  <c r="C1094" i="1"/>
  <c r="K1093" i="1"/>
  <c r="C1093" i="1"/>
  <c r="K1092" i="1"/>
  <c r="C1092" i="1"/>
  <c r="K1091" i="1"/>
  <c r="C1091" i="1"/>
  <c r="K1090" i="1"/>
  <c r="C1090" i="1"/>
  <c r="K1089" i="1"/>
  <c r="C1089" i="1"/>
  <c r="K1088" i="1"/>
  <c r="C1088" i="1"/>
  <c r="K1087" i="1"/>
  <c r="C1087" i="1"/>
  <c r="K1086" i="1"/>
  <c r="C1086" i="1"/>
  <c r="K1085" i="1"/>
  <c r="C1085" i="1"/>
  <c r="K1084" i="1"/>
  <c r="C1084" i="1"/>
  <c r="K1083" i="1"/>
  <c r="C1083" i="1"/>
  <c r="K1082" i="1"/>
  <c r="C1082" i="1"/>
  <c r="K1081" i="1"/>
  <c r="C1081" i="1"/>
  <c r="K1080" i="1"/>
  <c r="C1080" i="1"/>
  <c r="K1079" i="1"/>
  <c r="C1079" i="1"/>
  <c r="K1078" i="1"/>
  <c r="C1078" i="1"/>
  <c r="K1077" i="1"/>
  <c r="C1077" i="1"/>
  <c r="K1076" i="1"/>
  <c r="C1076" i="1"/>
  <c r="K1075" i="1"/>
  <c r="C1075" i="1"/>
  <c r="K1074" i="1"/>
  <c r="C1074" i="1"/>
  <c r="K1073" i="1"/>
  <c r="C1073" i="1"/>
  <c r="K1072" i="1"/>
  <c r="C1072" i="1"/>
  <c r="K1071" i="1"/>
  <c r="C1071" i="1"/>
  <c r="K1070" i="1"/>
  <c r="O1412" i="1"/>
  <c r="C1349" i="1"/>
  <c r="Q1331" i="1"/>
  <c r="C1320" i="1"/>
  <c r="J1312" i="1"/>
  <c r="F1306" i="1"/>
  <c r="D1301" i="1"/>
  <c r="O1295" i="1"/>
  <c r="F1290" i="1"/>
  <c r="D1285" i="1"/>
  <c r="E1280" i="1"/>
  <c r="E1276" i="1"/>
  <c r="T1272" i="1"/>
  <c r="P1269" i="1"/>
  <c r="L1266" i="1"/>
  <c r="G1263" i="1"/>
  <c r="E1260" i="1"/>
  <c r="T1256" i="1"/>
  <c r="P1253" i="1"/>
  <c r="Q1250" i="1"/>
  <c r="E1248" i="1"/>
  <c r="K1245" i="1"/>
  <c r="E1243" i="1"/>
  <c r="K1241" i="1"/>
  <c r="L1239" i="1"/>
  <c r="C1238" i="1"/>
  <c r="L1236" i="1"/>
  <c r="T1234" i="1"/>
  <c r="I1233" i="1"/>
  <c r="C1232" i="1"/>
  <c r="H1230" i="1"/>
  <c r="S1228" i="1"/>
  <c r="I1227" i="1"/>
  <c r="Q1225" i="1"/>
  <c r="G1224" i="1"/>
  <c r="S1222" i="1"/>
  <c r="G1221" i="1"/>
  <c r="E1220" i="1"/>
  <c r="C1219" i="1"/>
  <c r="S1217" i="1"/>
  <c r="P1216" i="1"/>
  <c r="O1215" i="1"/>
  <c r="Q1214" i="1"/>
  <c r="C1214" i="1"/>
  <c r="E1213" i="1"/>
  <c r="I1212" i="1"/>
  <c r="L1211" i="1"/>
  <c r="Q1210" i="1"/>
  <c r="C1210" i="1"/>
  <c r="E1209" i="1"/>
  <c r="I1208" i="1"/>
  <c r="L1207" i="1"/>
  <c r="Q1206" i="1"/>
  <c r="C1206" i="1"/>
  <c r="E1205" i="1"/>
  <c r="I1204" i="1"/>
  <c r="L1203" i="1"/>
  <c r="Q1202" i="1"/>
  <c r="C1202" i="1"/>
  <c r="E1201" i="1"/>
  <c r="I1200" i="1"/>
  <c r="L1199" i="1"/>
  <c r="Q1198" i="1"/>
  <c r="C1198" i="1"/>
  <c r="E1197" i="1"/>
  <c r="I1196" i="1"/>
  <c r="L1195" i="1"/>
  <c r="Q1194" i="1"/>
  <c r="C1194" i="1"/>
  <c r="E1193" i="1"/>
  <c r="I1192" i="1"/>
  <c r="L1191" i="1"/>
  <c r="Q1190" i="1"/>
  <c r="C1190" i="1"/>
  <c r="E1189" i="1"/>
  <c r="I1188" i="1"/>
  <c r="L1187" i="1"/>
  <c r="Q1186" i="1"/>
  <c r="C1186" i="1"/>
  <c r="E1185" i="1"/>
  <c r="I1184" i="1"/>
  <c r="L1183" i="1"/>
  <c r="Q1182" i="1"/>
  <c r="C1182" i="1"/>
  <c r="E1181" i="1"/>
  <c r="I1180" i="1"/>
  <c r="L1179" i="1"/>
  <c r="Q1178" i="1"/>
  <c r="C1178" i="1"/>
  <c r="E1177" i="1"/>
  <c r="I1176" i="1"/>
  <c r="L1175" i="1"/>
  <c r="Q1174" i="1"/>
  <c r="C1174" i="1"/>
  <c r="E1173" i="1"/>
  <c r="I1172" i="1"/>
  <c r="L1171" i="1"/>
  <c r="Q1170" i="1"/>
  <c r="C1170" i="1"/>
  <c r="E1169" i="1"/>
  <c r="I1168" i="1"/>
  <c r="L1167" i="1"/>
  <c r="Q1166" i="1"/>
  <c r="C1166" i="1"/>
  <c r="E1165" i="1"/>
  <c r="I1164" i="1"/>
  <c r="L1163" i="1"/>
  <c r="Q1162" i="1"/>
  <c r="C1162" i="1"/>
  <c r="G1161" i="1"/>
  <c r="L1160" i="1"/>
  <c r="T1159" i="1"/>
  <c r="G1159" i="1"/>
  <c r="L1158" i="1"/>
  <c r="T1157" i="1"/>
  <c r="G1157" i="1"/>
  <c r="L1156" i="1"/>
  <c r="B1156" i="1"/>
  <c r="J1155" i="1"/>
  <c r="B1155" i="1"/>
  <c r="J1154" i="1"/>
  <c r="B1154" i="1"/>
  <c r="J1153" i="1"/>
  <c r="B1153" i="1"/>
  <c r="J1152" i="1"/>
  <c r="B1152" i="1"/>
  <c r="J1151" i="1"/>
  <c r="B1151" i="1"/>
  <c r="J1150" i="1"/>
  <c r="B1150" i="1"/>
  <c r="J1149" i="1"/>
  <c r="B1149" i="1"/>
  <c r="J1148" i="1"/>
  <c r="B1148" i="1"/>
  <c r="J1147" i="1"/>
  <c r="B1147" i="1"/>
  <c r="J1146" i="1"/>
  <c r="B1146" i="1"/>
  <c r="J1145" i="1"/>
  <c r="B1145" i="1"/>
  <c r="J1144" i="1"/>
  <c r="B1144" i="1"/>
  <c r="J1143" i="1"/>
  <c r="B1143" i="1"/>
  <c r="J1142" i="1"/>
  <c r="B1142" i="1"/>
  <c r="J1141" i="1"/>
  <c r="B1141" i="1"/>
  <c r="J1140" i="1"/>
  <c r="B1140" i="1"/>
  <c r="J1139" i="1"/>
  <c r="B1139" i="1"/>
  <c r="J1138" i="1"/>
  <c r="B1138" i="1"/>
  <c r="J1137" i="1"/>
  <c r="B1137" i="1"/>
  <c r="J1136" i="1"/>
  <c r="B1136" i="1"/>
  <c r="J1135" i="1"/>
  <c r="B1135" i="1"/>
  <c r="J1134" i="1"/>
  <c r="B1134" i="1"/>
  <c r="J1133" i="1"/>
  <c r="B1133" i="1"/>
  <c r="J1132" i="1"/>
  <c r="B1132" i="1"/>
  <c r="J1131" i="1"/>
  <c r="B1131" i="1"/>
  <c r="J1130" i="1"/>
  <c r="B1130" i="1"/>
  <c r="J1129" i="1"/>
  <c r="B1129" i="1"/>
  <c r="J1128" i="1"/>
  <c r="B1128" i="1"/>
  <c r="J1127" i="1"/>
  <c r="B1127" i="1"/>
  <c r="J1126" i="1"/>
  <c r="B1126" i="1"/>
  <c r="J1125" i="1"/>
  <c r="B1125" i="1"/>
  <c r="J1124" i="1"/>
  <c r="B1124" i="1"/>
  <c r="J1123" i="1"/>
  <c r="B1123" i="1"/>
  <c r="J1122" i="1"/>
  <c r="B1122" i="1"/>
  <c r="J1121" i="1"/>
  <c r="B1121" i="1"/>
  <c r="J1120" i="1"/>
  <c r="B1120" i="1"/>
  <c r="J1119" i="1"/>
  <c r="B1119" i="1"/>
  <c r="J1118" i="1"/>
  <c r="B1118" i="1"/>
  <c r="J1117" i="1"/>
  <c r="B1117" i="1"/>
  <c r="J1116" i="1"/>
  <c r="B1116" i="1"/>
  <c r="J1115" i="1"/>
  <c r="B1115" i="1"/>
  <c r="J1114" i="1"/>
  <c r="B1114" i="1"/>
  <c r="J1113" i="1"/>
  <c r="B1113" i="1"/>
  <c r="J1112" i="1"/>
  <c r="B1112" i="1"/>
  <c r="J1111" i="1"/>
  <c r="B1111" i="1"/>
  <c r="J1110" i="1"/>
  <c r="B1110" i="1"/>
  <c r="J1109" i="1"/>
  <c r="B1109" i="1"/>
  <c r="J1108" i="1"/>
  <c r="B1108" i="1"/>
  <c r="J1107" i="1"/>
  <c r="B1107" i="1"/>
  <c r="J1106" i="1"/>
  <c r="B1106" i="1"/>
  <c r="J1105" i="1"/>
  <c r="B1105" i="1"/>
  <c r="J1104" i="1"/>
  <c r="B1104" i="1"/>
  <c r="J1103" i="1"/>
  <c r="B1103" i="1"/>
  <c r="J1102" i="1"/>
  <c r="B1102" i="1"/>
  <c r="J1101" i="1"/>
  <c r="B1101" i="1"/>
  <c r="J1100" i="1"/>
  <c r="B1100" i="1"/>
  <c r="J1099" i="1"/>
  <c r="B1099" i="1"/>
  <c r="J1098" i="1"/>
  <c r="B1098" i="1"/>
  <c r="J1097" i="1"/>
  <c r="B1097" i="1"/>
  <c r="J1096" i="1"/>
  <c r="B1096" i="1"/>
  <c r="J1095" i="1"/>
  <c r="B1095" i="1"/>
  <c r="J1094" i="1"/>
  <c r="B1094" i="1"/>
  <c r="J1093" i="1"/>
  <c r="B1093" i="1"/>
  <c r="J1092" i="1"/>
  <c r="B1092" i="1"/>
  <c r="J1091" i="1"/>
  <c r="B1091" i="1"/>
  <c r="J1090" i="1"/>
  <c r="B1090" i="1"/>
  <c r="J1089" i="1"/>
  <c r="B1089" i="1"/>
  <c r="J1088" i="1"/>
  <c r="B1088" i="1"/>
  <c r="J1087" i="1"/>
  <c r="B1087" i="1"/>
  <c r="J1086" i="1"/>
  <c r="B1086" i="1"/>
  <c r="J1085" i="1"/>
  <c r="B1085" i="1"/>
  <c r="J1084" i="1"/>
  <c r="B1084" i="1"/>
  <c r="J1083" i="1"/>
  <c r="B1083" i="1"/>
  <c r="J1082" i="1"/>
  <c r="B1082" i="1"/>
  <c r="J1081" i="1"/>
  <c r="B1081" i="1"/>
  <c r="J1080" i="1"/>
  <c r="B1080" i="1"/>
  <c r="J1079" i="1"/>
  <c r="B1079" i="1"/>
  <c r="J1078" i="1"/>
  <c r="B1078" i="1"/>
  <c r="J1077" i="1"/>
  <c r="B1077" i="1"/>
  <c r="J1076" i="1"/>
  <c r="B1076" i="1"/>
  <c r="J1075" i="1"/>
  <c r="B1075" i="1"/>
  <c r="J1074" i="1"/>
  <c r="B1074" i="1"/>
  <c r="J1073" i="1"/>
  <c r="B1073" i="1"/>
  <c r="J1072" i="1"/>
  <c r="B1072" i="1"/>
  <c r="J1071" i="1"/>
  <c r="D1385" i="1"/>
  <c r="C1343" i="1"/>
  <c r="Q1328" i="1"/>
  <c r="K1317" i="1"/>
  <c r="F1311" i="1"/>
  <c r="E1305" i="1"/>
  <c r="P1299" i="1"/>
  <c r="L1294" i="1"/>
  <c r="E1289" i="1"/>
  <c r="P1283" i="1"/>
  <c r="F1279" i="1"/>
  <c r="I1275" i="1"/>
  <c r="F1272" i="1"/>
  <c r="D1269" i="1"/>
  <c r="Q1265" i="1"/>
  <c r="O1262" i="1"/>
  <c r="I1259" i="1"/>
  <c r="F1256" i="1"/>
  <c r="D1253" i="1"/>
  <c r="F1250" i="1"/>
  <c r="L1247" i="1"/>
  <c r="T1244" i="1"/>
  <c r="T1242" i="1"/>
  <c r="E1241" i="1"/>
  <c r="K1239" i="1"/>
  <c r="Q1237" i="1"/>
  <c r="G1236" i="1"/>
  <c r="S1234" i="1"/>
  <c r="F1233" i="1"/>
  <c r="P1231" i="1"/>
  <c r="G1230" i="1"/>
  <c r="O1228" i="1"/>
  <c r="E1227" i="1"/>
  <c r="P1225" i="1"/>
  <c r="D1224" i="1"/>
  <c r="L1222" i="1"/>
  <c r="F1221" i="1"/>
  <c r="D1220" i="1"/>
  <c r="T1218" i="1"/>
  <c r="Q1217" i="1"/>
  <c r="O1216" i="1"/>
  <c r="L1215" i="1"/>
  <c r="O1214" i="1"/>
  <c r="T1213" i="1"/>
  <c r="D1213" i="1"/>
  <c r="G1212" i="1"/>
  <c r="K1211" i="1"/>
  <c r="O1210" i="1"/>
  <c r="T1209" i="1"/>
  <c r="D1209" i="1"/>
  <c r="G1208" i="1"/>
  <c r="K1207" i="1"/>
  <c r="O1206" i="1"/>
  <c r="T1205" i="1"/>
  <c r="D1205" i="1"/>
  <c r="G1204" i="1"/>
  <c r="K1203" i="1"/>
  <c r="O1202" i="1"/>
  <c r="T1201" i="1"/>
  <c r="D1201" i="1"/>
  <c r="G1200" i="1"/>
  <c r="K1199" i="1"/>
  <c r="O1198" i="1"/>
  <c r="T1197" i="1"/>
  <c r="D1197" i="1"/>
  <c r="G1196" i="1"/>
  <c r="K1195" i="1"/>
  <c r="O1194" i="1"/>
  <c r="T1193" i="1"/>
  <c r="D1193" i="1"/>
  <c r="G1192" i="1"/>
  <c r="K1191" i="1"/>
  <c r="O1190" i="1"/>
  <c r="T1189" i="1"/>
  <c r="D1189" i="1"/>
  <c r="G1188" i="1"/>
  <c r="K1187" i="1"/>
  <c r="O1186" i="1"/>
  <c r="T1185" i="1"/>
  <c r="D1185" i="1"/>
  <c r="G1184" i="1"/>
  <c r="K1183" i="1"/>
  <c r="O1182" i="1"/>
  <c r="T1181" i="1"/>
  <c r="D1181" i="1"/>
  <c r="G1180" i="1"/>
  <c r="K1179" i="1"/>
  <c r="O1178" i="1"/>
  <c r="T1177" i="1"/>
  <c r="D1177" i="1"/>
  <c r="G1176" i="1"/>
  <c r="K1175" i="1"/>
  <c r="O1174" i="1"/>
  <c r="T1173" i="1"/>
  <c r="D1173" i="1"/>
  <c r="G1172" i="1"/>
  <c r="K1171" i="1"/>
  <c r="O1170" i="1"/>
  <c r="T1169" i="1"/>
  <c r="D1169" i="1"/>
  <c r="G1168" i="1"/>
  <c r="K1167" i="1"/>
  <c r="O1166" i="1"/>
  <c r="T1165" i="1"/>
  <c r="D1165" i="1"/>
  <c r="G1164" i="1"/>
  <c r="K1163" i="1"/>
  <c r="O1162" i="1"/>
  <c r="T1161" i="1"/>
  <c r="E1161" i="1"/>
  <c r="K1160" i="1"/>
  <c r="S1159" i="1"/>
  <c r="E1159" i="1"/>
  <c r="K1158" i="1"/>
  <c r="S1157" i="1"/>
  <c r="E1157" i="1"/>
  <c r="K1156" i="1"/>
  <c r="T1155" i="1"/>
  <c r="I1155" i="1"/>
  <c r="T1154" i="1"/>
  <c r="I1154" i="1"/>
  <c r="T1153" i="1"/>
  <c r="I1153" i="1"/>
  <c r="T1152" i="1"/>
  <c r="I1152" i="1"/>
  <c r="T1151" i="1"/>
  <c r="I1151" i="1"/>
  <c r="T1150" i="1"/>
  <c r="I1150" i="1"/>
  <c r="T1149" i="1"/>
  <c r="I1149" i="1"/>
  <c r="T1148" i="1"/>
  <c r="I1148" i="1"/>
  <c r="T1147" i="1"/>
  <c r="I1147" i="1"/>
  <c r="T1146" i="1"/>
  <c r="I1146" i="1"/>
  <c r="T1145" i="1"/>
  <c r="I1145" i="1"/>
  <c r="T1144" i="1"/>
  <c r="I1144" i="1"/>
  <c r="T1143" i="1"/>
  <c r="I1143" i="1"/>
  <c r="T1142" i="1"/>
  <c r="I1142" i="1"/>
  <c r="T1141" i="1"/>
  <c r="I1141" i="1"/>
  <c r="T1140" i="1"/>
  <c r="I1140" i="1"/>
  <c r="T1139" i="1"/>
  <c r="I1139" i="1"/>
  <c r="T1138" i="1"/>
  <c r="I1138" i="1"/>
  <c r="T1137" i="1"/>
  <c r="I1137" i="1"/>
  <c r="T1136" i="1"/>
  <c r="I1136" i="1"/>
  <c r="T1135" i="1"/>
  <c r="I1135" i="1"/>
  <c r="T1134" i="1"/>
  <c r="I1134" i="1"/>
  <c r="T1133" i="1"/>
  <c r="I1133" i="1"/>
  <c r="T1132" i="1"/>
  <c r="I1132" i="1"/>
  <c r="T1131" i="1"/>
  <c r="I1131" i="1"/>
  <c r="T1130" i="1"/>
  <c r="I1130" i="1"/>
  <c r="T1129" i="1"/>
  <c r="I1129" i="1"/>
  <c r="T1128" i="1"/>
  <c r="I1128" i="1"/>
  <c r="T1127" i="1"/>
  <c r="I1127" i="1"/>
  <c r="T1126" i="1"/>
  <c r="I1126" i="1"/>
  <c r="T1125" i="1"/>
  <c r="I1125" i="1"/>
  <c r="T1124" i="1"/>
  <c r="I1124" i="1"/>
  <c r="T1123" i="1"/>
  <c r="I1123" i="1"/>
  <c r="T1122" i="1"/>
  <c r="I1122" i="1"/>
  <c r="T1121" i="1"/>
  <c r="I1121" i="1"/>
  <c r="T1120" i="1"/>
  <c r="I1120" i="1"/>
  <c r="T1119" i="1"/>
  <c r="I1119" i="1"/>
  <c r="T1118" i="1"/>
  <c r="I1118" i="1"/>
  <c r="T1117" i="1"/>
  <c r="I1117" i="1"/>
  <c r="T1116" i="1"/>
  <c r="I1116" i="1"/>
  <c r="T1115" i="1"/>
  <c r="I1115" i="1"/>
  <c r="T1114" i="1"/>
  <c r="I1114" i="1"/>
  <c r="T1113" i="1"/>
  <c r="I1113" i="1"/>
  <c r="T1112" i="1"/>
  <c r="I1112" i="1"/>
  <c r="T1111" i="1"/>
  <c r="I1111" i="1"/>
  <c r="T1110" i="1"/>
  <c r="I1110" i="1"/>
  <c r="T1109" i="1"/>
  <c r="I1109" i="1"/>
  <c r="T1108" i="1"/>
  <c r="I1108" i="1"/>
  <c r="T1107" i="1"/>
  <c r="I1107" i="1"/>
  <c r="T1106" i="1"/>
  <c r="I1106" i="1"/>
  <c r="T1105" i="1"/>
  <c r="I1105" i="1"/>
  <c r="T1104" i="1"/>
  <c r="I1104" i="1"/>
  <c r="T1103" i="1"/>
  <c r="I1103" i="1"/>
  <c r="T1102" i="1"/>
  <c r="I1102" i="1"/>
  <c r="T1101" i="1"/>
  <c r="I1101" i="1"/>
  <c r="T1100" i="1"/>
  <c r="I1100" i="1"/>
  <c r="T1099" i="1"/>
  <c r="I1099" i="1"/>
  <c r="T1098" i="1"/>
  <c r="I1098" i="1"/>
  <c r="T1097" i="1"/>
  <c r="I1097" i="1"/>
  <c r="T1096" i="1"/>
  <c r="I1096" i="1"/>
  <c r="T1095" i="1"/>
  <c r="I1095" i="1"/>
  <c r="T1094" i="1"/>
  <c r="I1094" i="1"/>
  <c r="T1093" i="1"/>
  <c r="I1093" i="1"/>
  <c r="T1092" i="1"/>
  <c r="I1092" i="1"/>
  <c r="T1091" i="1"/>
  <c r="I1091" i="1"/>
  <c r="T1090" i="1"/>
  <c r="I1090" i="1"/>
  <c r="T1089" i="1"/>
  <c r="I1089" i="1"/>
  <c r="T1088" i="1"/>
  <c r="I1088" i="1"/>
  <c r="T1087" i="1"/>
  <c r="I1087" i="1"/>
  <c r="B1384" i="1"/>
  <c r="O1342" i="1"/>
  <c r="L1328" i="1"/>
  <c r="H1317" i="1"/>
  <c r="Q1310" i="1"/>
  <c r="D1305" i="1"/>
  <c r="O1299" i="1"/>
  <c r="F1294" i="1"/>
  <c r="D1289" i="1"/>
  <c r="O1283" i="1"/>
  <c r="E1279" i="1"/>
  <c r="G1275" i="1"/>
  <c r="E1272" i="1"/>
  <c r="T1268" i="1"/>
  <c r="P1265" i="1"/>
  <c r="L1262" i="1"/>
  <c r="G1259" i="1"/>
  <c r="E1256" i="1"/>
  <c r="T1252" i="1"/>
  <c r="E1250" i="1"/>
  <c r="K1247" i="1"/>
  <c r="Q1244" i="1"/>
  <c r="Q1242" i="1"/>
  <c r="T1240" i="1"/>
  <c r="E1239" i="1"/>
  <c r="P1237" i="1"/>
  <c r="D1236" i="1"/>
  <c r="L1234" i="1"/>
  <c r="E1233" i="1"/>
  <c r="K1231" i="1"/>
  <c r="C1230" i="1"/>
  <c r="L1228" i="1"/>
  <c r="T1226" i="1"/>
  <c r="I1225" i="1"/>
  <c r="C1224" i="1"/>
  <c r="H1222" i="1"/>
  <c r="E1221" i="1"/>
  <c r="C1220" i="1"/>
  <c r="S1218" i="1"/>
  <c r="P1217" i="1"/>
  <c r="L1216" i="1"/>
  <c r="K1215" i="1"/>
  <c r="L1214" i="1"/>
  <c r="Q1213" i="1"/>
  <c r="C1213" i="1"/>
  <c r="E1212" i="1"/>
  <c r="I1211" i="1"/>
  <c r="L1210" i="1"/>
  <c r="Q1209" i="1"/>
  <c r="C1209" i="1"/>
  <c r="E1208" i="1"/>
  <c r="I1207" i="1"/>
  <c r="L1206" i="1"/>
  <c r="Q1205" i="1"/>
  <c r="C1205" i="1"/>
  <c r="E1204" i="1"/>
  <c r="I1203" i="1"/>
  <c r="L1202" i="1"/>
  <c r="Q1201" i="1"/>
  <c r="C1201" i="1"/>
  <c r="E1200" i="1"/>
  <c r="I1199" i="1"/>
  <c r="L1198" i="1"/>
  <c r="Q1197" i="1"/>
  <c r="C1197" i="1"/>
  <c r="E1196" i="1"/>
  <c r="I1195" i="1"/>
  <c r="L1194" i="1"/>
  <c r="Q1193" i="1"/>
  <c r="C1193" i="1"/>
  <c r="E1192" i="1"/>
  <c r="I1191" i="1"/>
  <c r="L1190" i="1"/>
  <c r="Q1189" i="1"/>
  <c r="C1189" i="1"/>
  <c r="E1188" i="1"/>
  <c r="I1187" i="1"/>
  <c r="L1186" i="1"/>
  <c r="Q1185" i="1"/>
  <c r="C1185" i="1"/>
  <c r="E1184" i="1"/>
  <c r="I1183" i="1"/>
  <c r="L1182" i="1"/>
  <c r="Q1181" i="1"/>
  <c r="C1181" i="1"/>
  <c r="E1180" i="1"/>
  <c r="I1179" i="1"/>
  <c r="L1178" i="1"/>
  <c r="Q1177" i="1"/>
  <c r="C1177" i="1"/>
  <c r="E1176" i="1"/>
  <c r="I1175" i="1"/>
  <c r="L1174" i="1"/>
  <c r="Q1173" i="1"/>
  <c r="C1173" i="1"/>
  <c r="E1172" i="1"/>
  <c r="I1171" i="1"/>
  <c r="L1170" i="1"/>
  <c r="Q1169" i="1"/>
  <c r="C1169" i="1"/>
  <c r="E1168" i="1"/>
  <c r="I1167" i="1"/>
  <c r="L1166" i="1"/>
  <c r="Q1165" i="1"/>
  <c r="C1165" i="1"/>
  <c r="E1164" i="1"/>
  <c r="I1163" i="1"/>
  <c r="L1162" i="1"/>
  <c r="Q1161" i="1"/>
  <c r="D1161" i="1"/>
  <c r="I1160" i="1"/>
  <c r="Q1159" i="1"/>
  <c r="D1159" i="1"/>
  <c r="I1158" i="1"/>
  <c r="Q1157" i="1"/>
  <c r="D1157" i="1"/>
  <c r="I1156" i="1"/>
  <c r="S1155" i="1"/>
  <c r="H1155" i="1"/>
  <c r="S1154" i="1"/>
  <c r="H1154" i="1"/>
  <c r="S1153" i="1"/>
  <c r="H1153" i="1"/>
  <c r="S1152" i="1"/>
  <c r="H1152" i="1"/>
  <c r="S1151" i="1"/>
  <c r="H1151" i="1"/>
  <c r="S1150" i="1"/>
  <c r="H1150" i="1"/>
  <c r="S1149" i="1"/>
  <c r="H1149" i="1"/>
  <c r="S1148" i="1"/>
  <c r="H1148" i="1"/>
  <c r="S1147" i="1"/>
  <c r="H1147" i="1"/>
  <c r="S1146" i="1"/>
  <c r="H1146" i="1"/>
  <c r="S1145" i="1"/>
  <c r="H1145" i="1"/>
  <c r="S1144" i="1"/>
  <c r="H1144" i="1"/>
  <c r="S1143" i="1"/>
  <c r="H1143" i="1"/>
  <c r="S1142" i="1"/>
  <c r="H1142" i="1"/>
  <c r="S1141" i="1"/>
  <c r="H1141" i="1"/>
  <c r="S1140" i="1"/>
  <c r="H1140" i="1"/>
  <c r="S1139" i="1"/>
  <c r="H1139" i="1"/>
  <c r="S1138" i="1"/>
  <c r="H1138" i="1"/>
  <c r="S1137" i="1"/>
  <c r="H1137" i="1"/>
  <c r="S1136" i="1"/>
  <c r="H1136" i="1"/>
  <c r="S1135" i="1"/>
  <c r="H1135" i="1"/>
  <c r="S1134" i="1"/>
  <c r="H1134" i="1"/>
  <c r="S1133" i="1"/>
  <c r="H1133" i="1"/>
  <c r="S1132" i="1"/>
  <c r="H1132" i="1"/>
  <c r="S1131" i="1"/>
  <c r="H1131" i="1"/>
  <c r="S1130" i="1"/>
  <c r="H1130" i="1"/>
  <c r="S1129" i="1"/>
  <c r="H1129" i="1"/>
  <c r="S1128" i="1"/>
  <c r="H1128" i="1"/>
  <c r="S1127" i="1"/>
  <c r="H1127" i="1"/>
  <c r="S1126" i="1"/>
  <c r="H1126" i="1"/>
  <c r="S1125" i="1"/>
  <c r="H1125" i="1"/>
  <c r="S1124" i="1"/>
  <c r="H1124" i="1"/>
  <c r="S1123" i="1"/>
  <c r="H1123" i="1"/>
  <c r="S1122" i="1"/>
  <c r="H1122" i="1"/>
  <c r="S1121" i="1"/>
  <c r="H1121" i="1"/>
  <c r="S1120" i="1"/>
  <c r="H1120" i="1"/>
  <c r="S1119" i="1"/>
  <c r="H1119" i="1"/>
  <c r="S1118" i="1"/>
  <c r="H1118" i="1"/>
  <c r="S1117" i="1"/>
  <c r="H1117" i="1"/>
  <c r="S1116" i="1"/>
  <c r="H1116" i="1"/>
  <c r="S1115" i="1"/>
  <c r="H1115" i="1"/>
  <c r="S1114" i="1"/>
  <c r="H1114" i="1"/>
  <c r="S1113" i="1"/>
  <c r="H1113" i="1"/>
  <c r="S1112" i="1"/>
  <c r="H1112" i="1"/>
  <c r="S1111" i="1"/>
  <c r="H1111" i="1"/>
  <c r="S1110" i="1"/>
  <c r="H1110" i="1"/>
  <c r="S1109" i="1"/>
  <c r="H1109" i="1"/>
  <c r="S1108" i="1"/>
  <c r="H1108" i="1"/>
  <c r="S1107" i="1"/>
  <c r="H1107" i="1"/>
  <c r="S1106" i="1"/>
  <c r="H1106" i="1"/>
  <c r="S1105" i="1"/>
  <c r="H1105" i="1"/>
  <c r="S1104" i="1"/>
  <c r="H1104" i="1"/>
  <c r="S1103" i="1"/>
  <c r="H1103" i="1"/>
  <c r="S1102" i="1"/>
  <c r="H1102" i="1"/>
  <c r="S1101" i="1"/>
  <c r="H1101" i="1"/>
  <c r="S1100" i="1"/>
  <c r="H1100" i="1"/>
  <c r="S1099" i="1"/>
  <c r="H1099" i="1"/>
  <c r="S1098" i="1"/>
  <c r="H1098" i="1"/>
  <c r="S1097" i="1"/>
  <c r="H1097" i="1"/>
  <c r="S1096" i="1"/>
  <c r="H1096" i="1"/>
  <c r="S1095" i="1"/>
  <c r="H1095" i="1"/>
  <c r="S1094" i="1"/>
  <c r="H1094" i="1"/>
  <c r="S1093" i="1"/>
  <c r="H1093" i="1"/>
  <c r="S1092" i="1"/>
  <c r="H1092" i="1"/>
  <c r="P1370" i="1"/>
  <c r="O1338" i="1"/>
  <c r="L1325" i="1"/>
  <c r="C1316" i="1"/>
  <c r="L1309" i="1"/>
  <c r="P1303" i="1"/>
  <c r="L1298" i="1"/>
  <c r="E1293" i="1"/>
  <c r="P1287" i="1"/>
  <c r="L1282" i="1"/>
  <c r="F1278" i="1"/>
  <c r="O1274" i="1"/>
  <c r="I1271" i="1"/>
  <c r="F1268" i="1"/>
  <c r="D1265" i="1"/>
  <c r="Q1261" i="1"/>
  <c r="O1258" i="1"/>
  <c r="I1255" i="1"/>
  <c r="F1252" i="1"/>
  <c r="L1249" i="1"/>
  <c r="T1246" i="1"/>
  <c r="F1244" i="1"/>
  <c r="K1242" i="1"/>
  <c r="Q1240" i="1"/>
  <c r="T1238" i="1"/>
  <c r="I1237" i="1"/>
  <c r="C1236" i="1"/>
  <c r="D1360" i="1"/>
  <c r="F1335" i="1"/>
  <c r="Q1322" i="1"/>
  <c r="E1314" i="1"/>
  <c r="B1308" i="1"/>
  <c r="L1302" i="1"/>
  <c r="E1297" i="1"/>
  <c r="P1291" i="1"/>
  <c r="L1286" i="1"/>
  <c r="F1281" i="1"/>
  <c r="F1277" i="1"/>
  <c r="Q1273" i="1"/>
  <c r="O1270" i="1"/>
  <c r="I1267" i="1"/>
  <c r="F1264" i="1"/>
  <c r="D1261" i="1"/>
  <c r="Q1257" i="1"/>
  <c r="O1254" i="1"/>
  <c r="L1251" i="1"/>
  <c r="T1248" i="1"/>
  <c r="F1246" i="1"/>
  <c r="Q1243" i="1"/>
  <c r="E1242" i="1"/>
  <c r="F1240" i="1"/>
  <c r="L1238" i="1"/>
  <c r="E1237" i="1"/>
  <c r="K1235" i="1"/>
  <c r="C1234" i="1"/>
  <c r="L1232" i="1"/>
  <c r="T1230" i="1"/>
  <c r="I1229" i="1"/>
  <c r="C1228" i="1"/>
  <c r="H1226" i="1"/>
  <c r="S1224" i="1"/>
  <c r="I1223" i="1"/>
  <c r="Q1221" i="1"/>
  <c r="O1220" i="1"/>
  <c r="K1219" i="1"/>
  <c r="H1218" i="1"/>
  <c r="F1217" i="1"/>
  <c r="D1216" i="1"/>
  <c r="D1215" i="1"/>
  <c r="G1214" i="1"/>
  <c r="K1213" i="1"/>
  <c r="O1212" i="1"/>
  <c r="T1211" i="1"/>
  <c r="D1211" i="1"/>
  <c r="G1210" i="1"/>
  <c r="K1209" i="1"/>
  <c r="O1208" i="1"/>
  <c r="T1207" i="1"/>
  <c r="D1207" i="1"/>
  <c r="G1206" i="1"/>
  <c r="K1205" i="1"/>
  <c r="O1204" i="1"/>
  <c r="T1203" i="1"/>
  <c r="D1203" i="1"/>
  <c r="G1202" i="1"/>
  <c r="K1201" i="1"/>
  <c r="O1200" i="1"/>
  <c r="T1199" i="1"/>
  <c r="D1199" i="1"/>
  <c r="G1198" i="1"/>
  <c r="K1197" i="1"/>
  <c r="O1196" i="1"/>
  <c r="T1195" i="1"/>
  <c r="D1195" i="1"/>
  <c r="G1194" i="1"/>
  <c r="K1193" i="1"/>
  <c r="O1192" i="1"/>
  <c r="T1191" i="1"/>
  <c r="D1191" i="1"/>
  <c r="G1190" i="1"/>
  <c r="K1189" i="1"/>
  <c r="O1188" i="1"/>
  <c r="T1187" i="1"/>
  <c r="D1187" i="1"/>
  <c r="G1186" i="1"/>
  <c r="K1185" i="1"/>
  <c r="O1184" i="1"/>
  <c r="T1183" i="1"/>
  <c r="D1183" i="1"/>
  <c r="G1182" i="1"/>
  <c r="K1181" i="1"/>
  <c r="O1180" i="1"/>
  <c r="T1179" i="1"/>
  <c r="D1179" i="1"/>
  <c r="G1178" i="1"/>
  <c r="K1177" i="1"/>
  <c r="O1176" i="1"/>
  <c r="T1175" i="1"/>
  <c r="D1175" i="1"/>
  <c r="G1174" i="1"/>
  <c r="K1173" i="1"/>
  <c r="O1172" i="1"/>
  <c r="T1171" i="1"/>
  <c r="D1171" i="1"/>
  <c r="G1170" i="1"/>
  <c r="K1169" i="1"/>
  <c r="O1168" i="1"/>
  <c r="T1167" i="1"/>
  <c r="D1167" i="1"/>
  <c r="G1166" i="1"/>
  <c r="K1165" i="1"/>
  <c r="O1164" i="1"/>
  <c r="T1163" i="1"/>
  <c r="D1163" i="1"/>
  <c r="G1162" i="1"/>
  <c r="K1161" i="1"/>
  <c r="S1160" i="1"/>
  <c r="E1160" i="1"/>
  <c r="K1159" i="1"/>
  <c r="S1158" i="1"/>
  <c r="E1158" i="1"/>
  <c r="K1157" i="1"/>
  <c r="S1156" i="1"/>
  <c r="E1156" i="1"/>
  <c r="O1155" i="1"/>
  <c r="E1155" i="1"/>
  <c r="O1154" i="1"/>
  <c r="E1154" i="1"/>
  <c r="O1153" i="1"/>
  <c r="E1153" i="1"/>
  <c r="O1152" i="1"/>
  <c r="E1152" i="1"/>
  <c r="O1151" i="1"/>
  <c r="E1151" i="1"/>
  <c r="O1150" i="1"/>
  <c r="E1150" i="1"/>
  <c r="O1149" i="1"/>
  <c r="D1370" i="1"/>
  <c r="K1309" i="1"/>
  <c r="O1287" i="1"/>
  <c r="G1271" i="1"/>
  <c r="L1258" i="1"/>
  <c r="Q1246" i="1"/>
  <c r="S1238" i="1"/>
  <c r="Q1233" i="1"/>
  <c r="P1229" i="1"/>
  <c r="F1225" i="1"/>
  <c r="P1221" i="1"/>
  <c r="I1218" i="1"/>
  <c r="G1215" i="1"/>
  <c r="I1213" i="1"/>
  <c r="E1211" i="1"/>
  <c r="T1208" i="1"/>
  <c r="C1207" i="1"/>
  <c r="Q1204" i="1"/>
  <c r="K1202" i="1"/>
  <c r="L1200" i="1"/>
  <c r="I1198" i="1"/>
  <c r="D1196" i="1"/>
  <c r="E1194" i="1"/>
  <c r="C1192" i="1"/>
  <c r="O1189" i="1"/>
  <c r="Q1187" i="1"/>
  <c r="L1185" i="1"/>
  <c r="G1183" i="1"/>
  <c r="I1181" i="1"/>
  <c r="E1179" i="1"/>
  <c r="T1176" i="1"/>
  <c r="C1175" i="1"/>
  <c r="Q1172" i="1"/>
  <c r="K1170" i="1"/>
  <c r="L1168" i="1"/>
  <c r="I1166" i="1"/>
  <c r="D1164" i="1"/>
  <c r="E1162" i="1"/>
  <c r="G1160" i="1"/>
  <c r="H1158" i="1"/>
  <c r="Q1156" i="1"/>
  <c r="F1155" i="1"/>
  <c r="Q1153" i="1"/>
  <c r="L1152" i="1"/>
  <c r="F1151" i="1"/>
  <c r="Q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Q1091" i="1"/>
  <c r="D1091" i="1"/>
  <c r="F1090" i="1"/>
  <c r="H1089" i="1"/>
  <c r="O1088" i="1"/>
  <c r="Q1087" i="1"/>
  <c r="D1087" i="1"/>
  <c r="H1086" i="1"/>
  <c r="P1085" i="1"/>
  <c r="D1085" i="1"/>
  <c r="H1084" i="1"/>
  <c r="P1083" i="1"/>
  <c r="D1083" i="1"/>
  <c r="H1082" i="1"/>
  <c r="P1081" i="1"/>
  <c r="D1081" i="1"/>
  <c r="H1080" i="1"/>
  <c r="P1079" i="1"/>
  <c r="D1079" i="1"/>
  <c r="H1078" i="1"/>
  <c r="P1077" i="1"/>
  <c r="D1077" i="1"/>
  <c r="H1076" i="1"/>
  <c r="P1075" i="1"/>
  <c r="D1075" i="1"/>
  <c r="H1074" i="1"/>
  <c r="P1073" i="1"/>
  <c r="D1073" i="1"/>
  <c r="H1072" i="1"/>
  <c r="P1071" i="1"/>
  <c r="D1071" i="1"/>
  <c r="J1070" i="1"/>
  <c r="B1070" i="1"/>
  <c r="J1069" i="1"/>
  <c r="B1069" i="1"/>
  <c r="J1068" i="1"/>
  <c r="B1068" i="1"/>
  <c r="J1067" i="1"/>
  <c r="B1067" i="1"/>
  <c r="J1066" i="1"/>
  <c r="B1066" i="1"/>
  <c r="J1065" i="1"/>
  <c r="B1065" i="1"/>
  <c r="J1064" i="1"/>
  <c r="B1064" i="1"/>
  <c r="J1063" i="1"/>
  <c r="B1063" i="1"/>
  <c r="J1062" i="1"/>
  <c r="B1062" i="1"/>
  <c r="J1061" i="1"/>
  <c r="B1061" i="1"/>
  <c r="J1060" i="1"/>
  <c r="B1060" i="1"/>
  <c r="J1059" i="1"/>
  <c r="B1059" i="1"/>
  <c r="J1058" i="1"/>
  <c r="B1058" i="1"/>
  <c r="J1057" i="1"/>
  <c r="B1057" i="1"/>
  <c r="J1056" i="1"/>
  <c r="B1056" i="1"/>
  <c r="J1055" i="1"/>
  <c r="B1055" i="1"/>
  <c r="J1054" i="1"/>
  <c r="B1054" i="1"/>
  <c r="J1053" i="1"/>
  <c r="B1053" i="1"/>
  <c r="J1052" i="1"/>
  <c r="B1052" i="1"/>
  <c r="J1051" i="1"/>
  <c r="B1051" i="1"/>
  <c r="J1050" i="1"/>
  <c r="B1050" i="1"/>
  <c r="J1049" i="1"/>
  <c r="B1049" i="1"/>
  <c r="J1048" i="1"/>
  <c r="B1048" i="1"/>
  <c r="J1047" i="1"/>
  <c r="B1047" i="1"/>
  <c r="J1046" i="1"/>
  <c r="B1046" i="1"/>
  <c r="J1045" i="1"/>
  <c r="B1045" i="1"/>
  <c r="J1044" i="1"/>
  <c r="B1044" i="1"/>
  <c r="J1043" i="1"/>
  <c r="B1043" i="1"/>
  <c r="J1042" i="1"/>
  <c r="B1042" i="1"/>
  <c r="J1041" i="1"/>
  <c r="B1041" i="1"/>
  <c r="J1040" i="1"/>
  <c r="B1040" i="1"/>
  <c r="J1039" i="1"/>
  <c r="B1039" i="1"/>
  <c r="J1038" i="1"/>
  <c r="B1038" i="1"/>
  <c r="J1037" i="1"/>
  <c r="B1037" i="1"/>
  <c r="J1036" i="1"/>
  <c r="B1036" i="1"/>
  <c r="J1035" i="1"/>
  <c r="B1035" i="1"/>
  <c r="J1034" i="1"/>
  <c r="B1034" i="1"/>
  <c r="J1033" i="1"/>
  <c r="B1033" i="1"/>
  <c r="J1032" i="1"/>
  <c r="B1032" i="1"/>
  <c r="J1031" i="1"/>
  <c r="B1031" i="1"/>
  <c r="J1030" i="1"/>
  <c r="B1030" i="1"/>
  <c r="J1029" i="1"/>
  <c r="B1029" i="1"/>
  <c r="J1028" i="1"/>
  <c r="B1028" i="1"/>
  <c r="J1027" i="1"/>
  <c r="B1027" i="1"/>
  <c r="J1026" i="1"/>
  <c r="B1026" i="1"/>
  <c r="J1025" i="1"/>
  <c r="B1025" i="1"/>
  <c r="J1024" i="1"/>
  <c r="B1024" i="1"/>
  <c r="J1023" i="1"/>
  <c r="B1023" i="1"/>
  <c r="J1022" i="1"/>
  <c r="B1022" i="1"/>
  <c r="J1021" i="1"/>
  <c r="B1021" i="1"/>
  <c r="J1020" i="1"/>
  <c r="B1020" i="1"/>
  <c r="J1019" i="1"/>
  <c r="B1019" i="1"/>
  <c r="J1018" i="1"/>
  <c r="B1018" i="1"/>
  <c r="J1017" i="1"/>
  <c r="B1017" i="1"/>
  <c r="J1016" i="1"/>
  <c r="B1016" i="1"/>
  <c r="J1015" i="1"/>
  <c r="B1015" i="1"/>
  <c r="J1014" i="1"/>
  <c r="B1014" i="1"/>
  <c r="J1013" i="1"/>
  <c r="B1013" i="1"/>
  <c r="J1012" i="1"/>
  <c r="B1012" i="1"/>
  <c r="J1011" i="1"/>
  <c r="B1011" i="1"/>
  <c r="J1010" i="1"/>
  <c r="B1010" i="1"/>
  <c r="J1009" i="1"/>
  <c r="B1009" i="1"/>
  <c r="J1008" i="1"/>
  <c r="B1008" i="1"/>
  <c r="J1007" i="1"/>
  <c r="B1007" i="1"/>
  <c r="J1006" i="1"/>
  <c r="B1006" i="1"/>
  <c r="J1005" i="1"/>
  <c r="B1005" i="1"/>
  <c r="J1004" i="1"/>
  <c r="B1004" i="1"/>
  <c r="J1003" i="1"/>
  <c r="B1003" i="1"/>
  <c r="J1002" i="1"/>
  <c r="B1002" i="1"/>
  <c r="J1001" i="1"/>
  <c r="B1001" i="1"/>
  <c r="J1000" i="1"/>
  <c r="B1000" i="1"/>
  <c r="G1359" i="1"/>
  <c r="S1307" i="1"/>
  <c r="F1286" i="1"/>
  <c r="L1270" i="1"/>
  <c r="P1257" i="1"/>
  <c r="E1246" i="1"/>
  <c r="H1238" i="1"/>
  <c r="S1232" i="1"/>
  <c r="F1229" i="1"/>
  <c r="E1225" i="1"/>
  <c r="S1220" i="1"/>
  <c r="G1218" i="1"/>
  <c r="E1215" i="1"/>
  <c r="T1212" i="1"/>
  <c r="C1211" i="1"/>
  <c r="Q1208" i="1"/>
  <c r="K1206" i="1"/>
  <c r="L1204" i="1"/>
  <c r="I1202" i="1"/>
  <c r="D1200" i="1"/>
  <c r="E1198" i="1"/>
  <c r="C1196" i="1"/>
  <c r="O1193" i="1"/>
  <c r="Q1191" i="1"/>
  <c r="L1189" i="1"/>
  <c r="G1187" i="1"/>
  <c r="I1185" i="1"/>
  <c r="E1183" i="1"/>
  <c r="T1180" i="1"/>
  <c r="C1179" i="1"/>
  <c r="Q1176" i="1"/>
  <c r="K1174" i="1"/>
  <c r="L1172" i="1"/>
  <c r="I1170" i="1"/>
  <c r="D1168" i="1"/>
  <c r="E1166" i="1"/>
  <c r="C1164" i="1"/>
  <c r="O1161" i="1"/>
  <c r="D1160" i="1"/>
  <c r="G1158" i="1"/>
  <c r="H1156" i="1"/>
  <c r="D1155" i="1"/>
  <c r="P1153" i="1"/>
  <c r="G1152" i="1"/>
  <c r="D1151" i="1"/>
  <c r="P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K1338" i="1"/>
  <c r="O1303" i="1"/>
  <c r="F1282" i="1"/>
  <c r="E1268" i="1"/>
  <c r="G1255" i="1"/>
  <c r="E1244" i="1"/>
  <c r="F1237" i="1"/>
  <c r="O1232" i="1"/>
  <c r="G1228" i="1"/>
  <c r="O1224" i="1"/>
  <c r="P1220" i="1"/>
  <c r="I1217" i="1"/>
  <c r="C1215" i="1"/>
  <c r="Q1212" i="1"/>
  <c r="K1210" i="1"/>
  <c r="L1208" i="1"/>
  <c r="I1206" i="1"/>
  <c r="D1204" i="1"/>
  <c r="E1202" i="1"/>
  <c r="C1200" i="1"/>
  <c r="O1197" i="1"/>
  <c r="Q1195" i="1"/>
  <c r="L1193" i="1"/>
  <c r="G1191" i="1"/>
  <c r="I1189" i="1"/>
  <c r="E1187" i="1"/>
  <c r="T1184" i="1"/>
  <c r="C1183" i="1"/>
  <c r="Q1180" i="1"/>
  <c r="K1178" i="1"/>
  <c r="L1176" i="1"/>
  <c r="I1174" i="1"/>
  <c r="D1172" i="1"/>
  <c r="E1170" i="1"/>
  <c r="C1168" i="1"/>
  <c r="O1165" i="1"/>
  <c r="Q1163" i="1"/>
  <c r="L1161" i="1"/>
  <c r="O1159" i="1"/>
  <c r="D1158" i="1"/>
  <c r="G1156" i="1"/>
  <c r="Q1154" i="1"/>
  <c r="L1153" i="1"/>
  <c r="F1152" i="1"/>
  <c r="Q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O1091" i="1"/>
  <c r="Q1090" i="1"/>
  <c r="D1090" i="1"/>
  <c r="F1089" i="1"/>
  <c r="H1088" i="1"/>
  <c r="O1087" i="1"/>
  <c r="C1335" i="1"/>
  <c r="F1302" i="1"/>
  <c r="E1281" i="1"/>
  <c r="G1267" i="1"/>
  <c r="L1254" i="1"/>
  <c r="L1243" i="1"/>
  <c r="S1236" i="1"/>
  <c r="G1232" i="1"/>
  <c r="D1228" i="1"/>
  <c r="P1223" i="1"/>
  <c r="L1220" i="1"/>
  <c r="G1217" i="1"/>
  <c r="K1214" i="1"/>
  <c r="L1212" i="1"/>
  <c r="I1210" i="1"/>
  <c r="D1208" i="1"/>
  <c r="E1206" i="1"/>
  <c r="C1204" i="1"/>
  <c r="O1201" i="1"/>
  <c r="Q1199" i="1"/>
  <c r="L1197" i="1"/>
  <c r="G1195" i="1"/>
  <c r="I1193" i="1"/>
  <c r="E1191" i="1"/>
  <c r="T1188" i="1"/>
  <c r="C1187" i="1"/>
  <c r="Q1184" i="1"/>
  <c r="K1182" i="1"/>
  <c r="L1180" i="1"/>
  <c r="I1178" i="1"/>
  <c r="D1176" i="1"/>
  <c r="E1174" i="1"/>
  <c r="C1172" i="1"/>
  <c r="O1169" i="1"/>
  <c r="Q1167" i="1"/>
  <c r="L1165" i="1"/>
  <c r="G1163" i="1"/>
  <c r="I1161" i="1"/>
  <c r="L1159" i="1"/>
  <c r="O1157" i="1"/>
  <c r="D1156" i="1"/>
  <c r="P1154" i="1"/>
  <c r="G1153" i="1"/>
  <c r="D1152" i="1"/>
  <c r="P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L1091" i="1"/>
  <c r="P1090" i="1"/>
  <c r="S1089" i="1"/>
  <c r="E1089" i="1"/>
  <c r="G1088" i="1"/>
  <c r="L1087" i="1"/>
  <c r="Q1086" i="1"/>
  <c r="E1086" i="1"/>
  <c r="I1085" i="1"/>
  <c r="Q1084" i="1"/>
  <c r="E1084" i="1"/>
  <c r="I1083" i="1"/>
  <c r="Q1082" i="1"/>
  <c r="E1082" i="1"/>
  <c r="I1081" i="1"/>
  <c r="Q1080" i="1"/>
  <c r="E1080" i="1"/>
  <c r="H1325" i="1"/>
  <c r="F1298" i="1"/>
  <c r="E1278" i="1"/>
  <c r="T1264" i="1"/>
  <c r="E1252" i="1"/>
  <c r="F1242" i="1"/>
  <c r="P1235" i="1"/>
  <c r="I1231" i="1"/>
  <c r="P1227" i="1"/>
  <c r="K1223" i="1"/>
  <c r="P1219" i="1"/>
  <c r="E1217" i="1"/>
  <c r="I1214" i="1"/>
  <c r="D1212" i="1"/>
  <c r="E1210" i="1"/>
  <c r="C1208" i="1"/>
  <c r="O1205" i="1"/>
  <c r="Q1203" i="1"/>
  <c r="L1201" i="1"/>
  <c r="G1199" i="1"/>
  <c r="I1197" i="1"/>
  <c r="E1195" i="1"/>
  <c r="T1192" i="1"/>
  <c r="C1191" i="1"/>
  <c r="Q1188" i="1"/>
  <c r="K1186" i="1"/>
  <c r="L1184" i="1"/>
  <c r="I1182" i="1"/>
  <c r="D1180" i="1"/>
  <c r="E1178" i="1"/>
  <c r="C1176" i="1"/>
  <c r="O1173" i="1"/>
  <c r="Q1171" i="1"/>
  <c r="L1169" i="1"/>
  <c r="G1167" i="1"/>
  <c r="I1165" i="1"/>
  <c r="E1163" i="1"/>
  <c r="C1161" i="1"/>
  <c r="I1159" i="1"/>
  <c r="L1157" i="1"/>
  <c r="Q1155" i="1"/>
  <c r="L1154" i="1"/>
  <c r="F1153" i="1"/>
  <c r="Q1151" i="1"/>
  <c r="L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H1091" i="1"/>
  <c r="O1090" i="1"/>
  <c r="Q1089" i="1"/>
  <c r="D1089" i="1"/>
  <c r="F1088" i="1"/>
  <c r="H1087" i="1"/>
  <c r="P1086" i="1"/>
  <c r="D1086" i="1"/>
  <c r="H1085" i="1"/>
  <c r="P1084" i="1"/>
  <c r="D1084" i="1"/>
  <c r="H1083" i="1"/>
  <c r="P1082" i="1"/>
  <c r="D1082" i="1"/>
  <c r="H1081" i="1"/>
  <c r="P1080" i="1"/>
  <c r="D1080" i="1"/>
  <c r="H1079" i="1"/>
  <c r="P1078" i="1"/>
  <c r="D1078" i="1"/>
  <c r="H1077" i="1"/>
  <c r="P1076" i="1"/>
  <c r="D1076" i="1"/>
  <c r="H1075" i="1"/>
  <c r="P1074" i="1"/>
  <c r="D1074" i="1"/>
  <c r="H1073" i="1"/>
  <c r="P1072" i="1"/>
  <c r="D1072" i="1"/>
  <c r="H1071" i="1"/>
  <c r="Q1070" i="1"/>
  <c r="F1070" i="1"/>
  <c r="P1069" i="1"/>
  <c r="F1069" i="1"/>
  <c r="P1068" i="1"/>
  <c r="F1068" i="1"/>
  <c r="P1067" i="1"/>
  <c r="F1067" i="1"/>
  <c r="P1066" i="1"/>
  <c r="F1066" i="1"/>
  <c r="P1065" i="1"/>
  <c r="F1065" i="1"/>
  <c r="P1064" i="1"/>
  <c r="F1064" i="1"/>
  <c r="P1063" i="1"/>
  <c r="F1063" i="1"/>
  <c r="P1062" i="1"/>
  <c r="F1062" i="1"/>
  <c r="P1061" i="1"/>
  <c r="F1061" i="1"/>
  <c r="P1060" i="1"/>
  <c r="F1060" i="1"/>
  <c r="P1059" i="1"/>
  <c r="F1059" i="1"/>
  <c r="P1058" i="1"/>
  <c r="F1058" i="1"/>
  <c r="P1057" i="1"/>
  <c r="F1057" i="1"/>
  <c r="P1056" i="1"/>
  <c r="F1056" i="1"/>
  <c r="P1055" i="1"/>
  <c r="F1055" i="1"/>
  <c r="P1054" i="1"/>
  <c r="F1054" i="1"/>
  <c r="P1053" i="1"/>
  <c r="F1053" i="1"/>
  <c r="P1052" i="1"/>
  <c r="F1052" i="1"/>
  <c r="P1051" i="1"/>
  <c r="F1051" i="1"/>
  <c r="P1050" i="1"/>
  <c r="F1050" i="1"/>
  <c r="P1049" i="1"/>
  <c r="F1049" i="1"/>
  <c r="P1048" i="1"/>
  <c r="F1048" i="1"/>
  <c r="P1047" i="1"/>
  <c r="F1047" i="1"/>
  <c r="P1046" i="1"/>
  <c r="F1046" i="1"/>
  <c r="P1045" i="1"/>
  <c r="F1045" i="1"/>
  <c r="P1044" i="1"/>
  <c r="F1044" i="1"/>
  <c r="P1043" i="1"/>
  <c r="F1043" i="1"/>
  <c r="P1042" i="1"/>
  <c r="F1042" i="1"/>
  <c r="P1041" i="1"/>
  <c r="F1041" i="1"/>
  <c r="P1040" i="1"/>
  <c r="F1040" i="1"/>
  <c r="P1039" i="1"/>
  <c r="F1039" i="1"/>
  <c r="P1038" i="1"/>
  <c r="F1038" i="1"/>
  <c r="P1037" i="1"/>
  <c r="F1037" i="1"/>
  <c r="P1036" i="1"/>
  <c r="F1036" i="1"/>
  <c r="P1035" i="1"/>
  <c r="F1035" i="1"/>
  <c r="P1034" i="1"/>
  <c r="F1034" i="1"/>
  <c r="P1033" i="1"/>
  <c r="F1033" i="1"/>
  <c r="P1032" i="1"/>
  <c r="F1032" i="1"/>
  <c r="P1031" i="1"/>
  <c r="F1031" i="1"/>
  <c r="P1030" i="1"/>
  <c r="F1030" i="1"/>
  <c r="P1029" i="1"/>
  <c r="F1029" i="1"/>
  <c r="P1028" i="1"/>
  <c r="F1028" i="1"/>
  <c r="P1027" i="1"/>
  <c r="F1027" i="1"/>
  <c r="P1026" i="1"/>
  <c r="F1026" i="1"/>
  <c r="P1025" i="1"/>
  <c r="F1025" i="1"/>
  <c r="P1024" i="1"/>
  <c r="F1024" i="1"/>
  <c r="P1023" i="1"/>
  <c r="F1023" i="1"/>
  <c r="P1022" i="1"/>
  <c r="F1022" i="1"/>
  <c r="P1021" i="1"/>
  <c r="F1021" i="1"/>
  <c r="P1020" i="1"/>
  <c r="F1020" i="1"/>
  <c r="P1019" i="1"/>
  <c r="F1019" i="1"/>
  <c r="P1018" i="1"/>
  <c r="F1018" i="1"/>
  <c r="P1017" i="1"/>
  <c r="F1017" i="1"/>
  <c r="P1016" i="1"/>
  <c r="F1016" i="1"/>
  <c r="P1015" i="1"/>
  <c r="F1015" i="1"/>
  <c r="P1014" i="1"/>
  <c r="F1014" i="1"/>
  <c r="P1013" i="1"/>
  <c r="F1013" i="1"/>
  <c r="P1012" i="1"/>
  <c r="F1012" i="1"/>
  <c r="P1011" i="1"/>
  <c r="F1011" i="1"/>
  <c r="P1010" i="1"/>
  <c r="F1010" i="1"/>
  <c r="K1315" i="1"/>
  <c r="D1293" i="1"/>
  <c r="L1274" i="1"/>
  <c r="P1261" i="1"/>
  <c r="K1249" i="1"/>
  <c r="K1240" i="1"/>
  <c r="H1234" i="1"/>
  <c r="S1230" i="1"/>
  <c r="L1226" i="1"/>
  <c r="G1222" i="1"/>
  <c r="I1219" i="1"/>
  <c r="E1216" i="1"/>
  <c r="O1213" i="1"/>
  <c r="Q1211" i="1"/>
  <c r="L1209" i="1"/>
  <c r="G1207" i="1"/>
  <c r="I1205" i="1"/>
  <c r="E1203" i="1"/>
  <c r="T1200" i="1"/>
  <c r="C1199" i="1"/>
  <c r="Q1196" i="1"/>
  <c r="K1194" i="1"/>
  <c r="L1192" i="1"/>
  <c r="I1190" i="1"/>
  <c r="D1188" i="1"/>
  <c r="E1186" i="1"/>
  <c r="C1184" i="1"/>
  <c r="O1181" i="1"/>
  <c r="Q1179" i="1"/>
  <c r="L1177" i="1"/>
  <c r="G1175" i="1"/>
  <c r="I1173" i="1"/>
  <c r="E1171" i="1"/>
  <c r="T1168" i="1"/>
  <c r="C1167" i="1"/>
  <c r="Q1164" i="1"/>
  <c r="K1162" i="1"/>
  <c r="Q1160" i="1"/>
  <c r="T1158" i="1"/>
  <c r="C1157" i="1"/>
  <c r="L1155" i="1"/>
  <c r="F1154" i="1"/>
  <c r="Q1152" i="1"/>
  <c r="L1151" i="1"/>
  <c r="F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F1091" i="1"/>
  <c r="H1090" i="1"/>
  <c r="O1089" i="1"/>
  <c r="Q1088" i="1"/>
  <c r="D1088" i="1"/>
  <c r="F1087" i="1"/>
  <c r="L1086" i="1"/>
  <c r="S1085" i="1"/>
  <c r="F1085" i="1"/>
  <c r="L1084" i="1"/>
  <c r="S1083" i="1"/>
  <c r="F1083" i="1"/>
  <c r="L1082" i="1"/>
  <c r="S1081" i="1"/>
  <c r="F1081" i="1"/>
  <c r="L1080" i="1"/>
  <c r="S1079" i="1"/>
  <c r="F1079" i="1"/>
  <c r="L1078" i="1"/>
  <c r="S1077" i="1"/>
  <c r="F1077" i="1"/>
  <c r="L1076" i="1"/>
  <c r="S1075" i="1"/>
  <c r="F1075" i="1"/>
  <c r="L1074" i="1"/>
  <c r="S1073" i="1"/>
  <c r="F1073" i="1"/>
  <c r="L1072" i="1"/>
  <c r="S1071" i="1"/>
  <c r="F1071" i="1"/>
  <c r="O1070" i="1"/>
  <c r="D1070" i="1"/>
  <c r="L1069" i="1"/>
  <c r="D1069" i="1"/>
  <c r="L1068" i="1"/>
  <c r="D1068" i="1"/>
  <c r="L1067" i="1"/>
  <c r="D1067" i="1"/>
  <c r="L1066" i="1"/>
  <c r="D1066" i="1"/>
  <c r="L1065" i="1"/>
  <c r="D1065" i="1"/>
  <c r="L1064" i="1"/>
  <c r="D1064" i="1"/>
  <c r="L1063" i="1"/>
  <c r="D1063" i="1"/>
  <c r="L1062" i="1"/>
  <c r="D1062" i="1"/>
  <c r="L1061" i="1"/>
  <c r="D1061" i="1"/>
  <c r="L1060" i="1"/>
  <c r="D1060" i="1"/>
  <c r="L1059" i="1"/>
  <c r="D1059" i="1"/>
  <c r="L1058" i="1"/>
  <c r="D1058" i="1"/>
  <c r="L1057" i="1"/>
  <c r="D1057" i="1"/>
  <c r="L1056" i="1"/>
  <c r="D1056" i="1"/>
  <c r="L1055" i="1"/>
  <c r="D1055" i="1"/>
  <c r="L1054" i="1"/>
  <c r="D1054" i="1"/>
  <c r="L1053" i="1"/>
  <c r="D1053" i="1"/>
  <c r="L1052" i="1"/>
  <c r="D1052" i="1"/>
  <c r="L1051" i="1"/>
  <c r="D1051" i="1"/>
  <c r="L1050" i="1"/>
  <c r="D1050" i="1"/>
  <c r="L1049" i="1"/>
  <c r="D1049" i="1"/>
  <c r="L1048" i="1"/>
  <c r="D1048" i="1"/>
  <c r="L1047" i="1"/>
  <c r="D1047" i="1"/>
  <c r="L1046" i="1"/>
  <c r="D1046" i="1"/>
  <c r="L1045" i="1"/>
  <c r="D1045" i="1"/>
  <c r="L1044" i="1"/>
  <c r="D1044" i="1"/>
  <c r="L1043" i="1"/>
  <c r="D1043" i="1"/>
  <c r="L1042" i="1"/>
  <c r="D1042" i="1"/>
  <c r="L1041" i="1"/>
  <c r="D1041" i="1"/>
  <c r="L1040" i="1"/>
  <c r="D1040" i="1"/>
  <c r="L1039" i="1"/>
  <c r="D1039" i="1"/>
  <c r="L1038" i="1"/>
  <c r="D1038" i="1"/>
  <c r="L1037" i="1"/>
  <c r="D1037" i="1"/>
  <c r="L1036" i="1"/>
  <c r="D1036" i="1"/>
  <c r="L1035" i="1"/>
  <c r="D1035" i="1"/>
  <c r="L1034" i="1"/>
  <c r="D1034" i="1"/>
  <c r="L1033" i="1"/>
  <c r="D1033" i="1"/>
  <c r="L1032" i="1"/>
  <c r="D1032" i="1"/>
  <c r="L1031" i="1"/>
  <c r="D1031" i="1"/>
  <c r="L1030" i="1"/>
  <c r="D1030" i="1"/>
  <c r="L1029" i="1"/>
  <c r="D1029" i="1"/>
  <c r="L1028" i="1"/>
  <c r="D1028" i="1"/>
  <c r="L1027" i="1"/>
  <c r="D1027" i="1"/>
  <c r="L1026" i="1"/>
  <c r="D1026" i="1"/>
  <c r="L1025" i="1"/>
  <c r="D1025" i="1"/>
  <c r="L1024" i="1"/>
  <c r="O1322" i="1"/>
  <c r="K1251" i="1"/>
  <c r="S1226" i="1"/>
  <c r="E1214" i="1"/>
  <c r="L1205" i="1"/>
  <c r="T1196" i="1"/>
  <c r="L1188" i="1"/>
  <c r="C1180" i="1"/>
  <c r="G1171" i="1"/>
  <c r="C1163" i="1"/>
  <c r="P1155" i="1"/>
  <c r="G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O1094" i="1"/>
  <c r="S1091" i="1"/>
  <c r="P1089" i="1"/>
  <c r="P1087" i="1"/>
  <c r="F1086" i="1"/>
  <c r="S1084" i="1"/>
  <c r="L1083" i="1"/>
  <c r="F1082" i="1"/>
  <c r="S1080" i="1"/>
  <c r="L1079" i="1"/>
  <c r="I1078" i="1"/>
  <c r="I1077" i="1"/>
  <c r="G1076" i="1"/>
  <c r="G1075" i="1"/>
  <c r="F1074" i="1"/>
  <c r="E1073" i="1"/>
  <c r="E1072" i="1"/>
  <c r="B1071" i="1"/>
  <c r="E1070" i="1"/>
  <c r="H1069" i="1"/>
  <c r="K1068" i="1"/>
  <c r="Q1067" i="1"/>
  <c r="T1066" i="1"/>
  <c r="E1066" i="1"/>
  <c r="H1065" i="1"/>
  <c r="K1064" i="1"/>
  <c r="Q1063" i="1"/>
  <c r="T1062" i="1"/>
  <c r="E1062" i="1"/>
  <c r="H1061" i="1"/>
  <c r="K1060" i="1"/>
  <c r="Q1059" i="1"/>
  <c r="T1058" i="1"/>
  <c r="E1058" i="1"/>
  <c r="H1057" i="1"/>
  <c r="K1056" i="1"/>
  <c r="Q1055" i="1"/>
  <c r="T1054" i="1"/>
  <c r="E1054" i="1"/>
  <c r="H1053" i="1"/>
  <c r="K1052" i="1"/>
  <c r="Q1051" i="1"/>
  <c r="T1050" i="1"/>
  <c r="E1050" i="1"/>
  <c r="H1049" i="1"/>
  <c r="K1048" i="1"/>
  <c r="Q1047" i="1"/>
  <c r="T1046" i="1"/>
  <c r="E1046" i="1"/>
  <c r="H1045" i="1"/>
  <c r="K1044" i="1"/>
  <c r="Q1043" i="1"/>
  <c r="T1042" i="1"/>
  <c r="E1042" i="1"/>
  <c r="H1041" i="1"/>
  <c r="K1040" i="1"/>
  <c r="Q1039" i="1"/>
  <c r="T1038" i="1"/>
  <c r="E1038" i="1"/>
  <c r="H1037" i="1"/>
  <c r="K1036" i="1"/>
  <c r="Q1035" i="1"/>
  <c r="T1034" i="1"/>
  <c r="E1034" i="1"/>
  <c r="H1033" i="1"/>
  <c r="K1032" i="1"/>
  <c r="Q1031" i="1"/>
  <c r="T1030" i="1"/>
  <c r="E1030" i="1"/>
  <c r="H1029" i="1"/>
  <c r="K1028" i="1"/>
  <c r="Q1027" i="1"/>
  <c r="T1026" i="1"/>
  <c r="E1026" i="1"/>
  <c r="H1025" i="1"/>
  <c r="K1024" i="1"/>
  <c r="S1023" i="1"/>
  <c r="E1023" i="1"/>
  <c r="K1022" i="1"/>
  <c r="S1021" i="1"/>
  <c r="E1021" i="1"/>
  <c r="K1020" i="1"/>
  <c r="S1019" i="1"/>
  <c r="E1019" i="1"/>
  <c r="K1018" i="1"/>
  <c r="S1017" i="1"/>
  <c r="E1017" i="1"/>
  <c r="K1016" i="1"/>
  <c r="S1015" i="1"/>
  <c r="E1015" i="1"/>
  <c r="K1014" i="1"/>
  <c r="S1013" i="1"/>
  <c r="E1013" i="1"/>
  <c r="K1012" i="1"/>
  <c r="S1011" i="1"/>
  <c r="E1011" i="1"/>
  <c r="K1010" i="1"/>
  <c r="S1009" i="1"/>
  <c r="G1009" i="1"/>
  <c r="P1008" i="1"/>
  <c r="E1008" i="1"/>
  <c r="L1007" i="1"/>
  <c r="C1007" i="1"/>
  <c r="I1006" i="1"/>
  <c r="S1005" i="1"/>
  <c r="G1005" i="1"/>
  <c r="P1004" i="1"/>
  <c r="E1004" i="1"/>
  <c r="L1003" i="1"/>
  <c r="C1003" i="1"/>
  <c r="I1002" i="1"/>
  <c r="S1001" i="1"/>
  <c r="G1001" i="1"/>
  <c r="P1000" i="1"/>
  <c r="E1000" i="1"/>
  <c r="L999" i="1"/>
  <c r="D999" i="1"/>
  <c r="L998" i="1"/>
  <c r="D998" i="1"/>
  <c r="L997" i="1"/>
  <c r="D997" i="1"/>
  <c r="L996" i="1"/>
  <c r="D996" i="1"/>
  <c r="L995" i="1"/>
  <c r="D995" i="1"/>
  <c r="L994" i="1"/>
  <c r="D994" i="1"/>
  <c r="L993" i="1"/>
  <c r="D993" i="1"/>
  <c r="L992" i="1"/>
  <c r="D992" i="1"/>
  <c r="L991" i="1"/>
  <c r="D991" i="1"/>
  <c r="L990" i="1"/>
  <c r="D990" i="1"/>
  <c r="L989" i="1"/>
  <c r="D989" i="1"/>
  <c r="L988" i="1"/>
  <c r="D988" i="1"/>
  <c r="L987" i="1"/>
  <c r="D987" i="1"/>
  <c r="L986" i="1"/>
  <c r="D986" i="1"/>
  <c r="L985" i="1"/>
  <c r="D985" i="1"/>
  <c r="L984" i="1"/>
  <c r="D984" i="1"/>
  <c r="L983" i="1"/>
  <c r="D983" i="1"/>
  <c r="L982" i="1"/>
  <c r="D982" i="1"/>
  <c r="L981" i="1"/>
  <c r="D981" i="1"/>
  <c r="L980" i="1"/>
  <c r="D980" i="1"/>
  <c r="L979" i="1"/>
  <c r="D979" i="1"/>
  <c r="L978" i="1"/>
  <c r="D978" i="1"/>
  <c r="L977" i="1"/>
  <c r="D977" i="1"/>
  <c r="L976" i="1"/>
  <c r="D976" i="1"/>
  <c r="L975" i="1"/>
  <c r="D975" i="1"/>
  <c r="L974" i="1"/>
  <c r="D974" i="1"/>
  <c r="L973" i="1"/>
  <c r="D973" i="1"/>
  <c r="L972" i="1"/>
  <c r="D972" i="1"/>
  <c r="L971" i="1"/>
  <c r="D971" i="1"/>
  <c r="L970" i="1"/>
  <c r="D970" i="1"/>
  <c r="L969" i="1"/>
  <c r="D969" i="1"/>
  <c r="L968" i="1"/>
  <c r="D968" i="1"/>
  <c r="L967" i="1"/>
  <c r="D967" i="1"/>
  <c r="L966" i="1"/>
  <c r="D966" i="1"/>
  <c r="L965" i="1"/>
  <c r="D965" i="1"/>
  <c r="L964" i="1"/>
  <c r="D964" i="1"/>
  <c r="L963" i="1"/>
  <c r="D963" i="1"/>
  <c r="L962" i="1"/>
  <c r="D962" i="1"/>
  <c r="L961" i="1"/>
  <c r="D961" i="1"/>
  <c r="L960" i="1"/>
  <c r="D960" i="1"/>
  <c r="L959" i="1"/>
  <c r="D959" i="1"/>
  <c r="L958" i="1"/>
  <c r="D958" i="1"/>
  <c r="L957" i="1"/>
  <c r="D957" i="1"/>
  <c r="L956" i="1"/>
  <c r="D956" i="1"/>
  <c r="L955" i="1"/>
  <c r="D955" i="1"/>
  <c r="L954" i="1"/>
  <c r="D954" i="1"/>
  <c r="L953" i="1"/>
  <c r="D953" i="1"/>
  <c r="L952" i="1"/>
  <c r="D952" i="1"/>
  <c r="L951" i="1"/>
  <c r="D951" i="1"/>
  <c r="L950" i="1"/>
  <c r="D950" i="1"/>
  <c r="L949" i="1"/>
  <c r="D949" i="1"/>
  <c r="L948" i="1"/>
  <c r="D948" i="1"/>
  <c r="L947" i="1"/>
  <c r="D947" i="1"/>
  <c r="L946" i="1"/>
  <c r="D946" i="1"/>
  <c r="L945" i="1"/>
  <c r="D945" i="1"/>
  <c r="L944" i="1"/>
  <c r="D944" i="1"/>
  <c r="L943" i="1"/>
  <c r="D943" i="1"/>
  <c r="L942" i="1"/>
  <c r="D942" i="1"/>
  <c r="L941" i="1"/>
  <c r="D941" i="1"/>
  <c r="L940" i="1"/>
  <c r="D940" i="1"/>
  <c r="L939" i="1"/>
  <c r="D939" i="1"/>
  <c r="L938" i="1"/>
  <c r="D938" i="1"/>
  <c r="L937" i="1"/>
  <c r="D937" i="1"/>
  <c r="L936" i="1"/>
  <c r="D936" i="1"/>
  <c r="L935" i="1"/>
  <c r="D935" i="1"/>
  <c r="L934" i="1"/>
  <c r="D934" i="1"/>
  <c r="L933" i="1"/>
  <c r="D933" i="1"/>
  <c r="L932" i="1"/>
  <c r="D932" i="1"/>
  <c r="L931" i="1"/>
  <c r="D931" i="1"/>
  <c r="D1314" i="1"/>
  <c r="Q1248" i="1"/>
  <c r="G1226" i="1"/>
  <c r="L1213" i="1"/>
  <c r="T1204" i="1"/>
  <c r="L1196" i="1"/>
  <c r="C1188" i="1"/>
  <c r="G1179" i="1"/>
  <c r="C1171" i="1"/>
  <c r="I1162" i="1"/>
  <c r="G1155" i="1"/>
  <c r="D1150" i="1"/>
  <c r="Q1145" i="1"/>
  <c r="Q1141" i="1"/>
  <c r="Q1137" i="1"/>
  <c r="Q1133" i="1"/>
  <c r="Q1129" i="1"/>
  <c r="Q1125" i="1"/>
  <c r="Q1121" i="1"/>
  <c r="Q1117" i="1"/>
  <c r="Q1113" i="1"/>
  <c r="Q1109" i="1"/>
  <c r="Q1105" i="1"/>
  <c r="Q1101" i="1"/>
  <c r="Q1097" i="1"/>
  <c r="E1094" i="1"/>
  <c r="P1091" i="1"/>
  <c r="L1089" i="1"/>
  <c r="G1087" i="1"/>
  <c r="T1085" i="1"/>
  <c r="O1084" i="1"/>
  <c r="G1083" i="1"/>
  <c r="T1081" i="1"/>
  <c r="O1080" i="1"/>
  <c r="I1079" i="1"/>
  <c r="G1078" i="1"/>
  <c r="G1077" i="1"/>
  <c r="F1076" i="1"/>
  <c r="E1075" i="1"/>
  <c r="E1074" i="1"/>
  <c r="T1072" i="1"/>
  <c r="T1071" i="1"/>
  <c r="T1070" i="1"/>
  <c r="C1070" i="1"/>
  <c r="G1069" i="1"/>
  <c r="I1068" i="1"/>
  <c r="O1067" i="1"/>
  <c r="S1066" i="1"/>
  <c r="C1066" i="1"/>
  <c r="G1065" i="1"/>
  <c r="I1064" i="1"/>
  <c r="O1063" i="1"/>
  <c r="S1062" i="1"/>
  <c r="C1062" i="1"/>
  <c r="G1061" i="1"/>
  <c r="I1060" i="1"/>
  <c r="O1059" i="1"/>
  <c r="S1058" i="1"/>
  <c r="C1058" i="1"/>
  <c r="G1057" i="1"/>
  <c r="I1056" i="1"/>
  <c r="O1055" i="1"/>
  <c r="S1054" i="1"/>
  <c r="C1054" i="1"/>
  <c r="G1053" i="1"/>
  <c r="I1052" i="1"/>
  <c r="O1051" i="1"/>
  <c r="S1050" i="1"/>
  <c r="C1050" i="1"/>
  <c r="G1049" i="1"/>
  <c r="I1048" i="1"/>
  <c r="O1047" i="1"/>
  <c r="S1046" i="1"/>
  <c r="C1046" i="1"/>
  <c r="G1045" i="1"/>
  <c r="I1044" i="1"/>
  <c r="O1043" i="1"/>
  <c r="S1042" i="1"/>
  <c r="C1042" i="1"/>
  <c r="G1041" i="1"/>
  <c r="I1040" i="1"/>
  <c r="O1039" i="1"/>
  <c r="S1038" i="1"/>
  <c r="C1038" i="1"/>
  <c r="G1037" i="1"/>
  <c r="I1036" i="1"/>
  <c r="O1035" i="1"/>
  <c r="S1034" i="1"/>
  <c r="C1034" i="1"/>
  <c r="G1033" i="1"/>
  <c r="I1032" i="1"/>
  <c r="O1031" i="1"/>
  <c r="S1030" i="1"/>
  <c r="C1030" i="1"/>
  <c r="G1029" i="1"/>
  <c r="I1028" i="1"/>
  <c r="O1027" i="1"/>
  <c r="S1026" i="1"/>
  <c r="C1026" i="1"/>
  <c r="G1025" i="1"/>
  <c r="I1024" i="1"/>
  <c r="Q1023" i="1"/>
  <c r="D1023" i="1"/>
  <c r="I1022" i="1"/>
  <c r="Q1021" i="1"/>
  <c r="D1021" i="1"/>
  <c r="I1020" i="1"/>
  <c r="Q1019" i="1"/>
  <c r="D1019" i="1"/>
  <c r="I1018" i="1"/>
  <c r="Q1017" i="1"/>
  <c r="D1017" i="1"/>
  <c r="I1016" i="1"/>
  <c r="Q1015" i="1"/>
  <c r="D1015" i="1"/>
  <c r="I1014" i="1"/>
  <c r="Q1013" i="1"/>
  <c r="D1013" i="1"/>
  <c r="I1012" i="1"/>
  <c r="Q1011" i="1"/>
  <c r="D1011" i="1"/>
  <c r="I1010" i="1"/>
  <c r="Q1009" i="1"/>
  <c r="F1009" i="1"/>
  <c r="O1008" i="1"/>
  <c r="D1008" i="1"/>
  <c r="K1007" i="1"/>
  <c r="T1006" i="1"/>
  <c r="H1006" i="1"/>
  <c r="Q1005" i="1"/>
  <c r="F1005" i="1"/>
  <c r="O1004" i="1"/>
  <c r="D1004" i="1"/>
  <c r="K1003" i="1"/>
  <c r="T1002" i="1"/>
  <c r="H1002" i="1"/>
  <c r="Q1001" i="1"/>
  <c r="F1001" i="1"/>
  <c r="O1000" i="1"/>
  <c r="D1000" i="1"/>
  <c r="K999" i="1"/>
  <c r="C999" i="1"/>
  <c r="K998" i="1"/>
  <c r="C998" i="1"/>
  <c r="K997" i="1"/>
  <c r="C997" i="1"/>
  <c r="D1297" i="1"/>
  <c r="Q1241" i="1"/>
  <c r="E1223" i="1"/>
  <c r="C1212" i="1"/>
  <c r="G1203" i="1"/>
  <c r="C1195" i="1"/>
  <c r="I1186" i="1"/>
  <c r="O1177" i="1"/>
  <c r="I1169" i="1"/>
  <c r="T1160" i="1"/>
  <c r="G1154" i="1"/>
  <c r="E1149" i="1"/>
  <c r="E1145" i="1"/>
  <c r="E1141" i="1"/>
  <c r="E1137" i="1"/>
  <c r="E1133" i="1"/>
  <c r="E1129" i="1"/>
  <c r="E1125" i="1"/>
  <c r="E1121" i="1"/>
  <c r="E1117" i="1"/>
  <c r="E1113" i="1"/>
  <c r="E1109" i="1"/>
  <c r="E1105" i="1"/>
  <c r="E1101" i="1"/>
  <c r="E1097" i="1"/>
  <c r="Q1093" i="1"/>
  <c r="G1091" i="1"/>
  <c r="G1089" i="1"/>
  <c r="E1087" i="1"/>
  <c r="Q1085" i="1"/>
  <c r="I1084" i="1"/>
  <c r="E1083" i="1"/>
  <c r="Q1081" i="1"/>
  <c r="I1080" i="1"/>
  <c r="G1079" i="1"/>
  <c r="F1078" i="1"/>
  <c r="E1077" i="1"/>
  <c r="E1076" i="1"/>
  <c r="T1074" i="1"/>
  <c r="T1073" i="1"/>
  <c r="S1072" i="1"/>
  <c r="Q1071" i="1"/>
  <c r="S1070" i="1"/>
  <c r="T1069" i="1"/>
  <c r="E1069" i="1"/>
  <c r="H1068" i="1"/>
  <c r="K1067" i="1"/>
  <c r="Q1066" i="1"/>
  <c r="T1065" i="1"/>
  <c r="E1065" i="1"/>
  <c r="H1064" i="1"/>
  <c r="K1063" i="1"/>
  <c r="Q1062" i="1"/>
  <c r="T1061" i="1"/>
  <c r="E1061" i="1"/>
  <c r="H1060" i="1"/>
  <c r="K1059" i="1"/>
  <c r="Q1058" i="1"/>
  <c r="T1057" i="1"/>
  <c r="E1057" i="1"/>
  <c r="H1056" i="1"/>
  <c r="K1055" i="1"/>
  <c r="Q1054" i="1"/>
  <c r="T1053" i="1"/>
  <c r="E1053" i="1"/>
  <c r="H1052" i="1"/>
  <c r="K1051" i="1"/>
  <c r="Q1050" i="1"/>
  <c r="T1049" i="1"/>
  <c r="E1049" i="1"/>
  <c r="H1048" i="1"/>
  <c r="K1047" i="1"/>
  <c r="Q1046" i="1"/>
  <c r="T1045" i="1"/>
  <c r="E1045" i="1"/>
  <c r="H1044" i="1"/>
  <c r="K1043" i="1"/>
  <c r="Q1042" i="1"/>
  <c r="T1041" i="1"/>
  <c r="E1041" i="1"/>
  <c r="H1040" i="1"/>
  <c r="K1039" i="1"/>
  <c r="Q1038" i="1"/>
  <c r="T1037" i="1"/>
  <c r="E1037" i="1"/>
  <c r="H1036" i="1"/>
  <c r="K1035" i="1"/>
  <c r="Q1034" i="1"/>
  <c r="T1033" i="1"/>
  <c r="E1033" i="1"/>
  <c r="H1032" i="1"/>
  <c r="K1031" i="1"/>
  <c r="Q1030" i="1"/>
  <c r="T1029" i="1"/>
  <c r="E1029" i="1"/>
  <c r="H1028" i="1"/>
  <c r="K1027" i="1"/>
  <c r="Q1026" i="1"/>
  <c r="T1025" i="1"/>
  <c r="E1025" i="1"/>
  <c r="H1024" i="1"/>
  <c r="O1023" i="1"/>
  <c r="C1023" i="1"/>
  <c r="H1022" i="1"/>
  <c r="O1021" i="1"/>
  <c r="C1021" i="1"/>
  <c r="H1020" i="1"/>
  <c r="O1019" i="1"/>
  <c r="C1019" i="1"/>
  <c r="H1018" i="1"/>
  <c r="O1017" i="1"/>
  <c r="C1017" i="1"/>
  <c r="H1016" i="1"/>
  <c r="O1015" i="1"/>
  <c r="C1015" i="1"/>
  <c r="H1014" i="1"/>
  <c r="O1013" i="1"/>
  <c r="C1013" i="1"/>
  <c r="H1012" i="1"/>
  <c r="O1011" i="1"/>
  <c r="C1011" i="1"/>
  <c r="H1010" i="1"/>
  <c r="P1009" i="1"/>
  <c r="E1009" i="1"/>
  <c r="L1008" i="1"/>
  <c r="C1008" i="1"/>
  <c r="I1007" i="1"/>
  <c r="S1006" i="1"/>
  <c r="G1006" i="1"/>
  <c r="P1005" i="1"/>
  <c r="E1005" i="1"/>
  <c r="L1004" i="1"/>
  <c r="C1004" i="1"/>
  <c r="I1003" i="1"/>
  <c r="S1002" i="1"/>
  <c r="G1002" i="1"/>
  <c r="P1001" i="1"/>
  <c r="E1001" i="1"/>
  <c r="L1000" i="1"/>
  <c r="C1000" i="1"/>
  <c r="J999" i="1"/>
  <c r="B999" i="1"/>
  <c r="J998" i="1"/>
  <c r="B998" i="1"/>
  <c r="J997" i="1"/>
  <c r="B997" i="1"/>
  <c r="J996" i="1"/>
  <c r="B996" i="1"/>
  <c r="J995" i="1"/>
  <c r="B995" i="1"/>
  <c r="J994" i="1"/>
  <c r="B994" i="1"/>
  <c r="J993" i="1"/>
  <c r="B993" i="1"/>
  <c r="J992" i="1"/>
  <c r="B992" i="1"/>
  <c r="J991" i="1"/>
  <c r="B991" i="1"/>
  <c r="J990" i="1"/>
  <c r="B990" i="1"/>
  <c r="J989" i="1"/>
  <c r="B989" i="1"/>
  <c r="J988" i="1"/>
  <c r="B988" i="1"/>
  <c r="J987" i="1"/>
  <c r="B987" i="1"/>
  <c r="J986" i="1"/>
  <c r="B986" i="1"/>
  <c r="J985" i="1"/>
  <c r="B985" i="1"/>
  <c r="J984" i="1"/>
  <c r="B984" i="1"/>
  <c r="J983" i="1"/>
  <c r="B983" i="1"/>
  <c r="J982" i="1"/>
  <c r="B982" i="1"/>
  <c r="J981" i="1"/>
  <c r="B981" i="1"/>
  <c r="J980" i="1"/>
  <c r="B980" i="1"/>
  <c r="J979" i="1"/>
  <c r="B979" i="1"/>
  <c r="J978" i="1"/>
  <c r="B978" i="1"/>
  <c r="J977" i="1"/>
  <c r="B977" i="1"/>
  <c r="J976" i="1"/>
  <c r="B976" i="1"/>
  <c r="J975" i="1"/>
  <c r="B975" i="1"/>
  <c r="J974" i="1"/>
  <c r="B974" i="1"/>
  <c r="J973" i="1"/>
  <c r="B973" i="1"/>
  <c r="J972" i="1"/>
  <c r="B972" i="1"/>
  <c r="J971" i="1"/>
  <c r="B971" i="1"/>
  <c r="J970" i="1"/>
  <c r="B970" i="1"/>
  <c r="J969" i="1"/>
  <c r="B969" i="1"/>
  <c r="J968" i="1"/>
  <c r="B968" i="1"/>
  <c r="J967" i="1"/>
  <c r="B967" i="1"/>
  <c r="J966" i="1"/>
  <c r="B966" i="1"/>
  <c r="J965" i="1"/>
  <c r="B965" i="1"/>
  <c r="J964" i="1"/>
  <c r="B964" i="1"/>
  <c r="J963" i="1"/>
  <c r="B963" i="1"/>
  <c r="J962" i="1"/>
  <c r="B962" i="1"/>
  <c r="J961" i="1"/>
  <c r="B961" i="1"/>
  <c r="J960" i="1"/>
  <c r="B960" i="1"/>
  <c r="J959" i="1"/>
  <c r="B959" i="1"/>
  <c r="J958" i="1"/>
  <c r="B958" i="1"/>
  <c r="J957" i="1"/>
  <c r="B957" i="1"/>
  <c r="J956" i="1"/>
  <c r="B956" i="1"/>
  <c r="J955" i="1"/>
  <c r="B955" i="1"/>
  <c r="J954" i="1"/>
  <c r="B954" i="1"/>
  <c r="J953" i="1"/>
  <c r="B953" i="1"/>
  <c r="J952" i="1"/>
  <c r="B952" i="1"/>
  <c r="J951" i="1"/>
  <c r="B951" i="1"/>
  <c r="J950" i="1"/>
  <c r="B950" i="1"/>
  <c r="J949" i="1"/>
  <c r="B949" i="1"/>
  <c r="J948" i="1"/>
  <c r="B948" i="1"/>
  <c r="J947" i="1"/>
  <c r="B947" i="1"/>
  <c r="J946" i="1"/>
  <c r="B946" i="1"/>
  <c r="J945" i="1"/>
  <c r="B945" i="1"/>
  <c r="J944" i="1"/>
  <c r="B944" i="1"/>
  <c r="J943" i="1"/>
  <c r="B943" i="1"/>
  <c r="J942" i="1"/>
  <c r="B942" i="1"/>
  <c r="J941" i="1"/>
  <c r="B941" i="1"/>
  <c r="J940" i="1"/>
  <c r="B940" i="1"/>
  <c r="J939" i="1"/>
  <c r="B939" i="1"/>
  <c r="J938" i="1"/>
  <c r="B938" i="1"/>
  <c r="J937" i="1"/>
  <c r="B937" i="1"/>
  <c r="J936" i="1"/>
  <c r="B936" i="1"/>
  <c r="J935" i="1"/>
  <c r="B935" i="1"/>
  <c r="J934" i="1"/>
  <c r="B934" i="1"/>
  <c r="J933" i="1"/>
  <c r="B933" i="1"/>
  <c r="J932" i="1"/>
  <c r="B932" i="1"/>
  <c r="J931" i="1"/>
  <c r="B931" i="1"/>
  <c r="J930" i="1"/>
  <c r="B930" i="1"/>
  <c r="J929" i="1"/>
  <c r="B929" i="1"/>
  <c r="J928" i="1"/>
  <c r="B928" i="1"/>
  <c r="O1291" i="1"/>
  <c r="E1240" i="1"/>
  <c r="C1222" i="1"/>
  <c r="G1211" i="1"/>
  <c r="C1203" i="1"/>
  <c r="I1194" i="1"/>
  <c r="O1185" i="1"/>
  <c r="I1177" i="1"/>
  <c r="Q1168" i="1"/>
  <c r="H1160" i="1"/>
  <c r="D1154" i="1"/>
  <c r="Q1148" i="1"/>
  <c r="Q1144" i="1"/>
  <c r="Q1140" i="1"/>
  <c r="Q1136" i="1"/>
  <c r="Q1132" i="1"/>
  <c r="Q1128" i="1"/>
  <c r="Q1124" i="1"/>
  <c r="Q1120" i="1"/>
  <c r="Q1116" i="1"/>
  <c r="Q1112" i="1"/>
  <c r="Q1108" i="1"/>
  <c r="Q1104" i="1"/>
  <c r="Q1100" i="1"/>
  <c r="Q1096" i="1"/>
  <c r="O1093" i="1"/>
  <c r="E1091" i="1"/>
  <c r="S1088" i="1"/>
  <c r="T1086" i="1"/>
  <c r="O1085" i="1"/>
  <c r="G1084" i="1"/>
  <c r="T1082" i="1"/>
  <c r="O1081" i="1"/>
  <c r="G1080" i="1"/>
  <c r="E1079" i="1"/>
  <c r="E1078" i="1"/>
  <c r="T1076" i="1"/>
  <c r="T1075" i="1"/>
  <c r="S1074" i="1"/>
  <c r="Q1073" i="1"/>
  <c r="Q1072" i="1"/>
  <c r="O1071" i="1"/>
  <c r="P1070" i="1"/>
  <c r="S1069" i="1"/>
  <c r="C1069" i="1"/>
  <c r="G1068" i="1"/>
  <c r="I1067" i="1"/>
  <c r="O1066" i="1"/>
  <c r="S1065" i="1"/>
  <c r="C1065" i="1"/>
  <c r="G1064" i="1"/>
  <c r="I1063" i="1"/>
  <c r="O1062" i="1"/>
  <c r="S1061" i="1"/>
  <c r="C1061" i="1"/>
  <c r="G1060" i="1"/>
  <c r="I1059" i="1"/>
  <c r="O1058" i="1"/>
  <c r="S1057" i="1"/>
  <c r="C1057" i="1"/>
  <c r="G1056" i="1"/>
  <c r="I1055" i="1"/>
  <c r="O1054" i="1"/>
  <c r="S1053" i="1"/>
  <c r="C1053" i="1"/>
  <c r="G1052" i="1"/>
  <c r="I1051" i="1"/>
  <c r="O1050" i="1"/>
  <c r="S1049" i="1"/>
  <c r="C1049" i="1"/>
  <c r="G1048" i="1"/>
  <c r="I1047" i="1"/>
  <c r="O1046" i="1"/>
  <c r="S1045" i="1"/>
  <c r="C1045" i="1"/>
  <c r="G1044" i="1"/>
  <c r="I1043" i="1"/>
  <c r="O1042" i="1"/>
  <c r="S1041" i="1"/>
  <c r="C1041" i="1"/>
  <c r="G1040" i="1"/>
  <c r="I1039" i="1"/>
  <c r="O1038" i="1"/>
  <c r="S1037" i="1"/>
  <c r="C1037" i="1"/>
  <c r="G1036" i="1"/>
  <c r="I1035" i="1"/>
  <c r="O1034" i="1"/>
  <c r="S1033" i="1"/>
  <c r="C1033" i="1"/>
  <c r="G1032" i="1"/>
  <c r="I1031" i="1"/>
  <c r="O1030" i="1"/>
  <c r="S1029" i="1"/>
  <c r="C1029" i="1"/>
  <c r="G1028" i="1"/>
  <c r="I1027" i="1"/>
  <c r="O1026" i="1"/>
  <c r="S1025" i="1"/>
  <c r="C1025" i="1"/>
  <c r="G1024" i="1"/>
  <c r="L1023" i="1"/>
  <c r="T1022" i="1"/>
  <c r="G1022" i="1"/>
  <c r="L1021" i="1"/>
  <c r="T1020" i="1"/>
  <c r="G1020" i="1"/>
  <c r="L1019" i="1"/>
  <c r="T1018" i="1"/>
  <c r="G1018" i="1"/>
  <c r="L1017" i="1"/>
  <c r="T1016" i="1"/>
  <c r="G1016" i="1"/>
  <c r="L1015" i="1"/>
  <c r="T1014" i="1"/>
  <c r="G1014" i="1"/>
  <c r="L1013" i="1"/>
  <c r="T1012" i="1"/>
  <c r="G1012" i="1"/>
  <c r="L1011" i="1"/>
  <c r="T1010" i="1"/>
  <c r="G1010" i="1"/>
  <c r="O1009" i="1"/>
  <c r="D1009" i="1"/>
  <c r="K1008" i="1"/>
  <c r="T1007" i="1"/>
  <c r="H1007" i="1"/>
  <c r="Q1006" i="1"/>
  <c r="F1006" i="1"/>
  <c r="O1005" i="1"/>
  <c r="D1005" i="1"/>
  <c r="K1004" i="1"/>
  <c r="T1003" i="1"/>
  <c r="H1003" i="1"/>
  <c r="Q1002" i="1"/>
  <c r="F1002" i="1"/>
  <c r="O1001" i="1"/>
  <c r="D1001" i="1"/>
  <c r="K1000" i="1"/>
  <c r="T999" i="1"/>
  <c r="I999" i="1"/>
  <c r="T998" i="1"/>
  <c r="I998" i="1"/>
  <c r="T997" i="1"/>
  <c r="I997" i="1"/>
  <c r="T996" i="1"/>
  <c r="I996" i="1"/>
  <c r="T995" i="1"/>
  <c r="I995" i="1"/>
  <c r="T994" i="1"/>
  <c r="I994" i="1"/>
  <c r="T993" i="1"/>
  <c r="I993" i="1"/>
  <c r="T992" i="1"/>
  <c r="I992" i="1"/>
  <c r="T991" i="1"/>
  <c r="I991" i="1"/>
  <c r="T990" i="1"/>
  <c r="I990" i="1"/>
  <c r="T989" i="1"/>
  <c r="I989" i="1"/>
  <c r="T988" i="1"/>
  <c r="I988" i="1"/>
  <c r="T987" i="1"/>
  <c r="I987" i="1"/>
  <c r="T986" i="1"/>
  <c r="I986" i="1"/>
  <c r="T985" i="1"/>
  <c r="I985" i="1"/>
  <c r="T984" i="1"/>
  <c r="I984" i="1"/>
  <c r="T983" i="1"/>
  <c r="I983" i="1"/>
  <c r="T982" i="1"/>
  <c r="I982" i="1"/>
  <c r="T981" i="1"/>
  <c r="I981" i="1"/>
  <c r="T980" i="1"/>
  <c r="I980" i="1"/>
  <c r="T979" i="1"/>
  <c r="I979" i="1"/>
  <c r="T978" i="1"/>
  <c r="I978" i="1"/>
  <c r="T977" i="1"/>
  <c r="I977" i="1"/>
  <c r="T976" i="1"/>
  <c r="I976" i="1"/>
  <c r="T975" i="1"/>
  <c r="I975" i="1"/>
  <c r="T974" i="1"/>
  <c r="I974" i="1"/>
  <c r="T973" i="1"/>
  <c r="I973" i="1"/>
  <c r="T972" i="1"/>
  <c r="I972" i="1"/>
  <c r="T971" i="1"/>
  <c r="I971" i="1"/>
  <c r="T970" i="1"/>
  <c r="I970" i="1"/>
  <c r="T969" i="1"/>
  <c r="I969" i="1"/>
  <c r="T968" i="1"/>
  <c r="I968" i="1"/>
  <c r="T967" i="1"/>
  <c r="I967" i="1"/>
  <c r="T966" i="1"/>
  <c r="I966" i="1"/>
  <c r="T965" i="1"/>
  <c r="I965" i="1"/>
  <c r="T964" i="1"/>
  <c r="I964" i="1"/>
  <c r="T963" i="1"/>
  <c r="I963" i="1"/>
  <c r="T962" i="1"/>
  <c r="I962" i="1"/>
  <c r="T961" i="1"/>
  <c r="I961" i="1"/>
  <c r="T960" i="1"/>
  <c r="I960" i="1"/>
  <c r="T959" i="1"/>
  <c r="I959" i="1"/>
  <c r="T958" i="1"/>
  <c r="I958" i="1"/>
  <c r="T957" i="1"/>
  <c r="I957" i="1"/>
  <c r="T956" i="1"/>
  <c r="I956" i="1"/>
  <c r="T955" i="1"/>
  <c r="I955" i="1"/>
  <c r="T954" i="1"/>
  <c r="I954" i="1"/>
  <c r="T953" i="1"/>
  <c r="I953" i="1"/>
  <c r="T952" i="1"/>
  <c r="I952" i="1"/>
  <c r="T951" i="1"/>
  <c r="I951" i="1"/>
  <c r="T950" i="1"/>
  <c r="I950" i="1"/>
  <c r="T949" i="1"/>
  <c r="I949" i="1"/>
  <c r="T948" i="1"/>
  <c r="I948" i="1"/>
  <c r="T947" i="1"/>
  <c r="I947" i="1"/>
  <c r="T946" i="1"/>
  <c r="I946" i="1"/>
  <c r="T945" i="1"/>
  <c r="I945" i="1"/>
  <c r="T944" i="1"/>
  <c r="I944" i="1"/>
  <c r="T943" i="1"/>
  <c r="I943" i="1"/>
  <c r="T942" i="1"/>
  <c r="I942" i="1"/>
  <c r="E1277" i="1"/>
  <c r="I1235" i="1"/>
  <c r="L1219" i="1"/>
  <c r="O1209" i="1"/>
  <c r="I1201" i="1"/>
  <c r="Q1192" i="1"/>
  <c r="D1184" i="1"/>
  <c r="Q1175" i="1"/>
  <c r="E1167" i="1"/>
  <c r="C1159" i="1"/>
  <c r="D1153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93" i="1"/>
  <c r="S1090" i="1"/>
  <c r="P1088" i="1"/>
  <c r="S1086" i="1"/>
  <c r="L1085" i="1"/>
  <c r="F1084" i="1"/>
  <c r="S1082" i="1"/>
  <c r="L1081" i="1"/>
  <c r="F1080" i="1"/>
  <c r="T1078" i="1"/>
  <c r="T1077" i="1"/>
  <c r="S1076" i="1"/>
  <c r="Q1075" i="1"/>
  <c r="Q1074" i="1"/>
  <c r="O1073" i="1"/>
  <c r="O1072" i="1"/>
  <c r="L1071" i="1"/>
  <c r="L1070" i="1"/>
  <c r="Q1069" i="1"/>
  <c r="T1068" i="1"/>
  <c r="E1068" i="1"/>
  <c r="H1067" i="1"/>
  <c r="K1066" i="1"/>
  <c r="Q1065" i="1"/>
  <c r="T1064" i="1"/>
  <c r="E1064" i="1"/>
  <c r="H1063" i="1"/>
  <c r="K1062" i="1"/>
  <c r="Q1061" i="1"/>
  <c r="T1060" i="1"/>
  <c r="E1060" i="1"/>
  <c r="H1059" i="1"/>
  <c r="K1058" i="1"/>
  <c r="Q1057" i="1"/>
  <c r="T1056" i="1"/>
  <c r="E1056" i="1"/>
  <c r="H1055" i="1"/>
  <c r="K1054" i="1"/>
  <c r="Q1053" i="1"/>
  <c r="T1052" i="1"/>
  <c r="E1052" i="1"/>
  <c r="H1051" i="1"/>
  <c r="K1050" i="1"/>
  <c r="Q1049" i="1"/>
  <c r="T1048" i="1"/>
  <c r="E1048" i="1"/>
  <c r="H1047" i="1"/>
  <c r="K1046" i="1"/>
  <c r="Q1045" i="1"/>
  <c r="T1044" i="1"/>
  <c r="E1044" i="1"/>
  <c r="H1043" i="1"/>
  <c r="K1042" i="1"/>
  <c r="Q1041" i="1"/>
  <c r="T1040" i="1"/>
  <c r="E1040" i="1"/>
  <c r="H1039" i="1"/>
  <c r="K1038" i="1"/>
  <c r="Q1037" i="1"/>
  <c r="T1036" i="1"/>
  <c r="E1036" i="1"/>
  <c r="H1035" i="1"/>
  <c r="K1034" i="1"/>
  <c r="Q1033" i="1"/>
  <c r="T1032" i="1"/>
  <c r="E1032" i="1"/>
  <c r="H1031" i="1"/>
  <c r="K1030" i="1"/>
  <c r="Q1029" i="1"/>
  <c r="T1028" i="1"/>
  <c r="E1028" i="1"/>
  <c r="H1027" i="1"/>
  <c r="K1026" i="1"/>
  <c r="Q1025" i="1"/>
  <c r="T1024" i="1"/>
  <c r="E1024" i="1"/>
  <c r="K1023" i="1"/>
  <c r="S1022" i="1"/>
  <c r="E1022" i="1"/>
  <c r="K1021" i="1"/>
  <c r="S1020" i="1"/>
  <c r="E1020" i="1"/>
  <c r="K1019" i="1"/>
  <c r="S1018" i="1"/>
  <c r="E1018" i="1"/>
  <c r="K1017" i="1"/>
  <c r="S1016" i="1"/>
  <c r="E1016" i="1"/>
  <c r="K1015" i="1"/>
  <c r="S1014" i="1"/>
  <c r="E1014" i="1"/>
  <c r="K1013" i="1"/>
  <c r="S1012" i="1"/>
  <c r="E1012" i="1"/>
  <c r="K1011" i="1"/>
  <c r="S1010" i="1"/>
  <c r="E1010" i="1"/>
  <c r="L1009" i="1"/>
  <c r="C1009" i="1"/>
  <c r="I1008" i="1"/>
  <c r="S1007" i="1"/>
  <c r="G1007" i="1"/>
  <c r="P1006" i="1"/>
  <c r="E1006" i="1"/>
  <c r="L1005" i="1"/>
  <c r="C1005" i="1"/>
  <c r="I1004" i="1"/>
  <c r="S1003" i="1"/>
  <c r="G1003" i="1"/>
  <c r="P1002" i="1"/>
  <c r="E1002" i="1"/>
  <c r="L1001" i="1"/>
  <c r="E1264" i="1"/>
  <c r="E1231" i="1"/>
  <c r="G1216" i="1"/>
  <c r="Q1207" i="1"/>
  <c r="E1199" i="1"/>
  <c r="K1190" i="1"/>
  <c r="E1182" i="1"/>
  <c r="L1173" i="1"/>
  <c r="T1164" i="1"/>
  <c r="I1157" i="1"/>
  <c r="P1151" i="1"/>
  <c r="E1147" i="1"/>
  <c r="E1143" i="1"/>
  <c r="E1139" i="1"/>
  <c r="E1135" i="1"/>
  <c r="E1131" i="1"/>
  <c r="E1127" i="1"/>
  <c r="E1123" i="1"/>
  <c r="E1119" i="1"/>
  <c r="E1115" i="1"/>
  <c r="E1111" i="1"/>
  <c r="E1107" i="1"/>
  <c r="E1103" i="1"/>
  <c r="E1099" i="1"/>
  <c r="E1095" i="1"/>
  <c r="O1092" i="1"/>
  <c r="G1090" i="1"/>
  <c r="E1088" i="1"/>
  <c r="I1086" i="1"/>
  <c r="E1085" i="1"/>
  <c r="Q1083" i="1"/>
  <c r="I1082" i="1"/>
  <c r="E1081" i="1"/>
  <c r="Q1079" i="1"/>
  <c r="Q1078" i="1"/>
  <c r="O1077" i="1"/>
  <c r="O1076" i="1"/>
  <c r="L1075" i="1"/>
  <c r="I1074" i="1"/>
  <c r="I1073" i="1"/>
  <c r="G1072" i="1"/>
  <c r="G1071" i="1"/>
  <c r="H1070" i="1"/>
  <c r="K1069" i="1"/>
  <c r="Q1068" i="1"/>
  <c r="T1067" i="1"/>
  <c r="E1067" i="1"/>
  <c r="H1066" i="1"/>
  <c r="K1065" i="1"/>
  <c r="Q1064" i="1"/>
  <c r="T1063" i="1"/>
  <c r="E1063" i="1"/>
  <c r="H1062" i="1"/>
  <c r="K1061" i="1"/>
  <c r="Q1060" i="1"/>
  <c r="T1059" i="1"/>
  <c r="E1059" i="1"/>
  <c r="H1058" i="1"/>
  <c r="K1057" i="1"/>
  <c r="Q1056" i="1"/>
  <c r="T1055" i="1"/>
  <c r="E1055" i="1"/>
  <c r="H1054" i="1"/>
  <c r="K1053" i="1"/>
  <c r="Q1052" i="1"/>
  <c r="T1051" i="1"/>
  <c r="E1051" i="1"/>
  <c r="H1050" i="1"/>
  <c r="K1049" i="1"/>
  <c r="Q1048" i="1"/>
  <c r="T1047" i="1"/>
  <c r="E1047" i="1"/>
  <c r="H1046" i="1"/>
  <c r="K1045" i="1"/>
  <c r="Q1044" i="1"/>
  <c r="T1043" i="1"/>
  <c r="E1043" i="1"/>
  <c r="H1042" i="1"/>
  <c r="K1041" i="1"/>
  <c r="Q1040" i="1"/>
  <c r="T1039" i="1"/>
  <c r="E1039" i="1"/>
  <c r="H1038" i="1"/>
  <c r="K1037" i="1"/>
  <c r="Q1036" i="1"/>
  <c r="T1035" i="1"/>
  <c r="E1035" i="1"/>
  <c r="H1034" i="1"/>
  <c r="K1033" i="1"/>
  <c r="Q1032" i="1"/>
  <c r="T1031" i="1"/>
  <c r="E1031" i="1"/>
  <c r="H1030" i="1"/>
  <c r="K1029" i="1"/>
  <c r="Q1028" i="1"/>
  <c r="T1027" i="1"/>
  <c r="E1027" i="1"/>
  <c r="H1026" i="1"/>
  <c r="K1025" i="1"/>
  <c r="Q1024" i="1"/>
  <c r="C1024" i="1"/>
  <c r="H1023" i="1"/>
  <c r="O1022" i="1"/>
  <c r="C1022" i="1"/>
  <c r="H1021" i="1"/>
  <c r="O1020" i="1"/>
  <c r="C1020" i="1"/>
  <c r="H1019" i="1"/>
  <c r="O1018" i="1"/>
  <c r="C1018" i="1"/>
  <c r="H1017" i="1"/>
  <c r="O1016" i="1"/>
  <c r="C1016" i="1"/>
  <c r="H1015" i="1"/>
  <c r="O1014" i="1"/>
  <c r="C1014" i="1"/>
  <c r="H1013" i="1"/>
  <c r="O1012" i="1"/>
  <c r="C1012" i="1"/>
  <c r="H1011" i="1"/>
  <c r="O1010" i="1"/>
  <c r="C1010" i="1"/>
  <c r="I1009" i="1"/>
  <c r="S1008" i="1"/>
  <c r="G1008" i="1"/>
  <c r="P1007" i="1"/>
  <c r="E1007" i="1"/>
  <c r="L1006" i="1"/>
  <c r="C1006" i="1"/>
  <c r="I1005" i="1"/>
  <c r="S1004" i="1"/>
  <c r="G1004" i="1"/>
  <c r="P1003" i="1"/>
  <c r="E1003" i="1"/>
  <c r="L1002" i="1"/>
  <c r="C1002" i="1"/>
  <c r="I1001" i="1"/>
  <c r="S1000" i="1"/>
  <c r="G1000" i="1"/>
  <c r="P999" i="1"/>
  <c r="F999" i="1"/>
  <c r="P998" i="1"/>
  <c r="F998" i="1"/>
  <c r="P997" i="1"/>
  <c r="F997" i="1"/>
  <c r="P996" i="1"/>
  <c r="F996" i="1"/>
  <c r="P995" i="1"/>
  <c r="F995" i="1"/>
  <c r="P994" i="1"/>
  <c r="F994" i="1"/>
  <c r="P993" i="1"/>
  <c r="F993" i="1"/>
  <c r="P992" i="1"/>
  <c r="F992" i="1"/>
  <c r="P991" i="1"/>
  <c r="F991" i="1"/>
  <c r="P990" i="1"/>
  <c r="F990" i="1"/>
  <c r="P989" i="1"/>
  <c r="F989" i="1"/>
  <c r="P988" i="1"/>
  <c r="F988" i="1"/>
  <c r="P987" i="1"/>
  <c r="F987" i="1"/>
  <c r="P986" i="1"/>
  <c r="F986" i="1"/>
  <c r="P985" i="1"/>
  <c r="F985" i="1"/>
  <c r="P984" i="1"/>
  <c r="F984" i="1"/>
  <c r="P983" i="1"/>
  <c r="F983" i="1"/>
  <c r="P982" i="1"/>
  <c r="F982" i="1"/>
  <c r="P981" i="1"/>
  <c r="F981" i="1"/>
  <c r="P980" i="1"/>
  <c r="F980" i="1"/>
  <c r="P979" i="1"/>
  <c r="F979" i="1"/>
  <c r="P978" i="1"/>
  <c r="F978" i="1"/>
  <c r="P977" i="1"/>
  <c r="F977" i="1"/>
  <c r="P976" i="1"/>
  <c r="F976" i="1"/>
  <c r="P975" i="1"/>
  <c r="F975" i="1"/>
  <c r="P974" i="1"/>
  <c r="F974" i="1"/>
  <c r="P973" i="1"/>
  <c r="F973" i="1"/>
  <c r="P972" i="1"/>
  <c r="F972" i="1"/>
  <c r="P971" i="1"/>
  <c r="F971" i="1"/>
  <c r="P970" i="1"/>
  <c r="F970" i="1"/>
  <c r="P969" i="1"/>
  <c r="F969" i="1"/>
  <c r="P968" i="1"/>
  <c r="F968" i="1"/>
  <c r="P967" i="1"/>
  <c r="F967" i="1"/>
  <c r="P966" i="1"/>
  <c r="F966" i="1"/>
  <c r="P965" i="1"/>
  <c r="F965" i="1"/>
  <c r="P964" i="1"/>
  <c r="F964" i="1"/>
  <c r="P963" i="1"/>
  <c r="F963" i="1"/>
  <c r="P962" i="1"/>
  <c r="F962" i="1"/>
  <c r="P961" i="1"/>
  <c r="F961" i="1"/>
  <c r="P960" i="1"/>
  <c r="F960" i="1"/>
  <c r="P959" i="1"/>
  <c r="F959" i="1"/>
  <c r="P958" i="1"/>
  <c r="F958" i="1"/>
  <c r="P957" i="1"/>
  <c r="F957" i="1"/>
  <c r="P956" i="1"/>
  <c r="F956" i="1"/>
  <c r="P955" i="1"/>
  <c r="F955" i="1"/>
  <c r="P954" i="1"/>
  <c r="F954" i="1"/>
  <c r="P953" i="1"/>
  <c r="F953" i="1"/>
  <c r="P952" i="1"/>
  <c r="F952" i="1"/>
  <c r="P951" i="1"/>
  <c r="T1260" i="1"/>
  <c r="Q1229" i="1"/>
  <c r="C1216" i="1"/>
  <c r="E1207" i="1"/>
  <c r="K1198" i="1"/>
  <c r="E1190" i="1"/>
  <c r="L1181" i="1"/>
  <c r="T1172" i="1"/>
  <c r="L1164" i="1"/>
  <c r="T1156" i="1"/>
  <c r="G1151" i="1"/>
  <c r="Q1146" i="1"/>
  <c r="Q1142" i="1"/>
  <c r="Q1138" i="1"/>
  <c r="Q1134" i="1"/>
  <c r="Q1130" i="1"/>
  <c r="Q1126" i="1"/>
  <c r="Q1122" i="1"/>
  <c r="Q1118" i="1"/>
  <c r="Q1114" i="1"/>
  <c r="Q1110" i="1"/>
  <c r="Q1106" i="1"/>
  <c r="Q1102" i="1"/>
  <c r="Q1098" i="1"/>
  <c r="Q1094" i="1"/>
  <c r="E1092" i="1"/>
  <c r="E1090" i="1"/>
  <c r="S1087" i="1"/>
  <c r="G1086" i="1"/>
  <c r="T1084" i="1"/>
  <c r="O1083" i="1"/>
  <c r="G1082" i="1"/>
  <c r="T1080" i="1"/>
  <c r="O1079" i="1"/>
  <c r="O1078" i="1"/>
  <c r="L1077" i="1"/>
  <c r="I1076" i="1"/>
  <c r="I1075" i="1"/>
  <c r="G1074" i="1"/>
  <c r="G1073" i="1"/>
  <c r="F1072" i="1"/>
  <c r="E1071" i="1"/>
  <c r="G1070" i="1"/>
  <c r="I1069" i="1"/>
  <c r="O1068" i="1"/>
  <c r="S1067" i="1"/>
  <c r="C1067" i="1"/>
  <c r="G1066" i="1"/>
  <c r="I1065" i="1"/>
  <c r="O1064" i="1"/>
  <c r="S1063" i="1"/>
  <c r="C1063" i="1"/>
  <c r="G1062" i="1"/>
  <c r="I1061" i="1"/>
  <c r="O1060" i="1"/>
  <c r="S1059" i="1"/>
  <c r="C1059" i="1"/>
  <c r="G1058" i="1"/>
  <c r="I1057" i="1"/>
  <c r="O1056" i="1"/>
  <c r="S1055" i="1"/>
  <c r="C1055" i="1"/>
  <c r="G1054" i="1"/>
  <c r="I1053" i="1"/>
  <c r="O1052" i="1"/>
  <c r="S1051" i="1"/>
  <c r="C1051" i="1"/>
  <c r="G1050" i="1"/>
  <c r="I1049" i="1"/>
  <c r="O1048" i="1"/>
  <c r="S1047" i="1"/>
  <c r="C1047" i="1"/>
  <c r="G1046" i="1"/>
  <c r="I1045" i="1"/>
  <c r="O1044" i="1"/>
  <c r="S1043" i="1"/>
  <c r="C1043" i="1"/>
  <c r="G1042" i="1"/>
  <c r="I1041" i="1"/>
  <c r="O1040" i="1"/>
  <c r="S1039" i="1"/>
  <c r="C1039" i="1"/>
  <c r="G1038" i="1"/>
  <c r="I1037" i="1"/>
  <c r="O1036" i="1"/>
  <c r="S1035" i="1"/>
  <c r="C1035" i="1"/>
  <c r="G1034" i="1"/>
  <c r="I1033" i="1"/>
  <c r="O1032" i="1"/>
  <c r="S1031" i="1"/>
  <c r="C1031" i="1"/>
  <c r="G1030" i="1"/>
  <c r="I1029" i="1"/>
  <c r="O1028" i="1"/>
  <c r="S1027" i="1"/>
  <c r="C1027" i="1"/>
  <c r="G1026" i="1"/>
  <c r="I1025" i="1"/>
  <c r="O1024" i="1"/>
  <c r="T1023" i="1"/>
  <c r="G1023" i="1"/>
  <c r="L1022" i="1"/>
  <c r="T1021" i="1"/>
  <c r="G1021" i="1"/>
  <c r="L1020" i="1"/>
  <c r="T1019" i="1"/>
  <c r="G1019" i="1"/>
  <c r="L1018" i="1"/>
  <c r="T1017" i="1"/>
  <c r="G1017" i="1"/>
  <c r="L1016" i="1"/>
  <c r="T1015" i="1"/>
  <c r="G1015" i="1"/>
  <c r="L1014" i="1"/>
  <c r="T1013" i="1"/>
  <c r="G1013" i="1"/>
  <c r="L1012" i="1"/>
  <c r="T1011" i="1"/>
  <c r="G1011" i="1"/>
  <c r="L1010" i="1"/>
  <c r="T1009" i="1"/>
  <c r="H1009" i="1"/>
  <c r="Q1008" i="1"/>
  <c r="F1008" i="1"/>
  <c r="O1007" i="1"/>
  <c r="D1007" i="1"/>
  <c r="K1006" i="1"/>
  <c r="T1005" i="1"/>
  <c r="H1005" i="1"/>
  <c r="Q1004" i="1"/>
  <c r="F1004" i="1"/>
  <c r="O1003" i="1"/>
  <c r="D1003" i="1"/>
  <c r="K1002" i="1"/>
  <c r="T1001" i="1"/>
  <c r="H1001" i="1"/>
  <c r="Q1000" i="1"/>
  <c r="F1000" i="1"/>
  <c r="O999" i="1"/>
  <c r="E999" i="1"/>
  <c r="O998" i="1"/>
  <c r="E998" i="1"/>
  <c r="O997" i="1"/>
  <c r="E997" i="1"/>
  <c r="O996" i="1"/>
  <c r="E996" i="1"/>
  <c r="O995" i="1"/>
  <c r="E995" i="1"/>
  <c r="O994" i="1"/>
  <c r="E994" i="1"/>
  <c r="O993" i="1"/>
  <c r="E993" i="1"/>
  <c r="O992" i="1"/>
  <c r="E992" i="1"/>
  <c r="O991" i="1"/>
  <c r="E991" i="1"/>
  <c r="O990" i="1"/>
  <c r="E990" i="1"/>
  <c r="O989" i="1"/>
  <c r="E989" i="1"/>
  <c r="O988" i="1"/>
  <c r="E988" i="1"/>
  <c r="O987" i="1"/>
  <c r="E987" i="1"/>
  <c r="O986" i="1"/>
  <c r="E986" i="1"/>
  <c r="O985" i="1"/>
  <c r="E985" i="1"/>
  <c r="O984" i="1"/>
  <c r="E984" i="1"/>
  <c r="O983" i="1"/>
  <c r="E983" i="1"/>
  <c r="O982" i="1"/>
  <c r="E982" i="1"/>
  <c r="O981" i="1"/>
  <c r="E981" i="1"/>
  <c r="O980" i="1"/>
  <c r="E980" i="1"/>
  <c r="O979" i="1"/>
  <c r="E979" i="1"/>
  <c r="O978" i="1"/>
  <c r="E978" i="1"/>
  <c r="O977" i="1"/>
  <c r="E977" i="1"/>
  <c r="O976" i="1"/>
  <c r="E976" i="1"/>
  <c r="O975" i="1"/>
  <c r="E975" i="1"/>
  <c r="O974" i="1"/>
  <c r="E974" i="1"/>
  <c r="O973" i="1"/>
  <c r="E973" i="1"/>
  <c r="O972" i="1"/>
  <c r="E972" i="1"/>
  <c r="O971" i="1"/>
  <c r="E971" i="1"/>
  <c r="O970" i="1"/>
  <c r="E970" i="1"/>
  <c r="O969" i="1"/>
  <c r="E969" i="1"/>
  <c r="O968" i="1"/>
  <c r="E968" i="1"/>
  <c r="O967" i="1"/>
  <c r="E967" i="1"/>
  <c r="O966" i="1"/>
  <c r="E966" i="1"/>
  <c r="O965" i="1"/>
  <c r="E965" i="1"/>
  <c r="O964" i="1"/>
  <c r="E964" i="1"/>
  <c r="O963" i="1"/>
  <c r="E963" i="1"/>
  <c r="O962" i="1"/>
  <c r="E962" i="1"/>
  <c r="O961" i="1"/>
  <c r="E961" i="1"/>
  <c r="P1273" i="1"/>
  <c r="K1166" i="1"/>
  <c r="Q1127" i="1"/>
  <c r="Q1095" i="1"/>
  <c r="G1081" i="1"/>
  <c r="I1072" i="1"/>
  <c r="O1065" i="1"/>
  <c r="G1059" i="1"/>
  <c r="S1052" i="1"/>
  <c r="I1046" i="1"/>
  <c r="C1040" i="1"/>
  <c r="O1033" i="1"/>
  <c r="G1027" i="1"/>
  <c r="I1021" i="1"/>
  <c r="D1016" i="1"/>
  <c r="Q1010" i="1"/>
  <c r="D1006" i="1"/>
  <c r="K1001" i="1"/>
  <c r="G999" i="1"/>
  <c r="G997" i="1"/>
  <c r="Q995" i="1"/>
  <c r="H994" i="1"/>
  <c r="C993" i="1"/>
  <c r="Q991" i="1"/>
  <c r="H990" i="1"/>
  <c r="C989" i="1"/>
  <c r="Q987" i="1"/>
  <c r="H986" i="1"/>
  <c r="C985" i="1"/>
  <c r="Q983" i="1"/>
  <c r="H982" i="1"/>
  <c r="C981" i="1"/>
  <c r="Q979" i="1"/>
  <c r="H978" i="1"/>
  <c r="C977" i="1"/>
  <c r="Q975" i="1"/>
  <c r="H974" i="1"/>
  <c r="C973" i="1"/>
  <c r="Q971" i="1"/>
  <c r="H970" i="1"/>
  <c r="C969" i="1"/>
  <c r="Q967" i="1"/>
  <c r="H966" i="1"/>
  <c r="C965" i="1"/>
  <c r="Q963" i="1"/>
  <c r="H962" i="1"/>
  <c r="C961" i="1"/>
  <c r="C960" i="1"/>
  <c r="C959" i="1"/>
  <c r="C958" i="1"/>
  <c r="C957" i="1"/>
  <c r="C956" i="1"/>
  <c r="C955" i="1"/>
  <c r="C954" i="1"/>
  <c r="C953" i="1"/>
  <c r="C952" i="1"/>
  <c r="E951" i="1"/>
  <c r="G950" i="1"/>
  <c r="K949" i="1"/>
  <c r="P948" i="1"/>
  <c r="S947" i="1"/>
  <c r="E947" i="1"/>
  <c r="G946" i="1"/>
  <c r="K945" i="1"/>
  <c r="P944" i="1"/>
  <c r="S943" i="1"/>
  <c r="E943" i="1"/>
  <c r="G942" i="1"/>
  <c r="O941" i="1"/>
  <c r="T940" i="1"/>
  <c r="G940" i="1"/>
  <c r="O939" i="1"/>
  <c r="T938" i="1"/>
  <c r="G938" i="1"/>
  <c r="O937" i="1"/>
  <c r="T936" i="1"/>
  <c r="G936" i="1"/>
  <c r="O935" i="1"/>
  <c r="T934" i="1"/>
  <c r="G934" i="1"/>
  <c r="O933" i="1"/>
  <c r="T932" i="1"/>
  <c r="G932" i="1"/>
  <c r="O931" i="1"/>
  <c r="T930" i="1"/>
  <c r="H930" i="1"/>
  <c r="Q929" i="1"/>
  <c r="F929" i="1"/>
  <c r="O928" i="1"/>
  <c r="D928" i="1"/>
  <c r="K927" i="1"/>
  <c r="C927" i="1"/>
  <c r="K926" i="1"/>
  <c r="C926" i="1"/>
  <c r="K925" i="1"/>
  <c r="C925" i="1"/>
  <c r="K924" i="1"/>
  <c r="C924" i="1"/>
  <c r="K923" i="1"/>
  <c r="C923" i="1"/>
  <c r="K922" i="1"/>
  <c r="C922" i="1"/>
  <c r="K921" i="1"/>
  <c r="C921" i="1"/>
  <c r="K920" i="1"/>
  <c r="C920" i="1"/>
  <c r="K919" i="1"/>
  <c r="C919" i="1"/>
  <c r="K918" i="1"/>
  <c r="C918" i="1"/>
  <c r="K917" i="1"/>
  <c r="C917" i="1"/>
  <c r="K916" i="1"/>
  <c r="C916" i="1"/>
  <c r="K915" i="1"/>
  <c r="C915" i="1"/>
  <c r="K914" i="1"/>
  <c r="C914" i="1"/>
  <c r="K913" i="1"/>
  <c r="C913" i="1"/>
  <c r="K912" i="1"/>
  <c r="C912" i="1"/>
  <c r="K911" i="1"/>
  <c r="C911" i="1"/>
  <c r="K910" i="1"/>
  <c r="C910" i="1"/>
  <c r="K909" i="1"/>
  <c r="C909" i="1"/>
  <c r="K908" i="1"/>
  <c r="C908" i="1"/>
  <c r="K907" i="1"/>
  <c r="C907" i="1"/>
  <c r="K906" i="1"/>
  <c r="C906" i="1"/>
  <c r="K905" i="1"/>
  <c r="C905" i="1"/>
  <c r="K904" i="1"/>
  <c r="C904" i="1"/>
  <c r="K903" i="1"/>
  <c r="C903" i="1"/>
  <c r="K902" i="1"/>
  <c r="C902" i="1"/>
  <c r="K901" i="1"/>
  <c r="C901" i="1"/>
  <c r="K900" i="1"/>
  <c r="C900" i="1"/>
  <c r="K899" i="1"/>
  <c r="C899" i="1"/>
  <c r="K898" i="1"/>
  <c r="C898" i="1"/>
  <c r="K897" i="1"/>
  <c r="C897" i="1"/>
  <c r="K896" i="1"/>
  <c r="C896" i="1"/>
  <c r="K895" i="1"/>
  <c r="C895" i="1"/>
  <c r="K894" i="1"/>
  <c r="C894" i="1"/>
  <c r="K893" i="1"/>
  <c r="C893" i="1"/>
  <c r="K892" i="1"/>
  <c r="C892" i="1"/>
  <c r="K891" i="1"/>
  <c r="C891" i="1"/>
  <c r="K890" i="1"/>
  <c r="C890" i="1"/>
  <c r="K889" i="1"/>
  <c r="C889" i="1"/>
  <c r="K888" i="1"/>
  <c r="C888" i="1"/>
  <c r="K887" i="1"/>
  <c r="C887" i="1"/>
  <c r="K886" i="1"/>
  <c r="C886" i="1"/>
  <c r="K885" i="1"/>
  <c r="C885" i="1"/>
  <c r="K884" i="1"/>
  <c r="C884" i="1"/>
  <c r="K883" i="1"/>
  <c r="C883" i="1"/>
  <c r="K882" i="1"/>
  <c r="C882" i="1"/>
  <c r="K881" i="1"/>
  <c r="C881" i="1"/>
  <c r="K880" i="1"/>
  <c r="C880" i="1"/>
  <c r="K879" i="1"/>
  <c r="C879" i="1"/>
  <c r="K878" i="1"/>
  <c r="C878" i="1"/>
  <c r="K877" i="1"/>
  <c r="C877" i="1"/>
  <c r="K876" i="1"/>
  <c r="C876" i="1"/>
  <c r="K875" i="1"/>
  <c r="C875" i="1"/>
  <c r="K874" i="1"/>
  <c r="C874" i="1"/>
  <c r="K873" i="1"/>
  <c r="C873" i="1"/>
  <c r="K872" i="1"/>
  <c r="C872" i="1"/>
  <c r="K871" i="1"/>
  <c r="C871" i="1"/>
  <c r="K870" i="1"/>
  <c r="C870" i="1"/>
  <c r="K869" i="1"/>
  <c r="C869" i="1"/>
  <c r="K868" i="1"/>
  <c r="C868" i="1"/>
  <c r="K867" i="1"/>
  <c r="C867" i="1"/>
  <c r="K866" i="1"/>
  <c r="C866" i="1"/>
  <c r="K865" i="1"/>
  <c r="C865" i="1"/>
  <c r="K864" i="1"/>
  <c r="C864" i="1"/>
  <c r="K863" i="1"/>
  <c r="C863" i="1"/>
  <c r="K862" i="1"/>
  <c r="C862" i="1"/>
  <c r="K861" i="1"/>
  <c r="C861" i="1"/>
  <c r="K860" i="1"/>
  <c r="C860" i="1"/>
  <c r="K859" i="1"/>
  <c r="C859" i="1"/>
  <c r="K858" i="1"/>
  <c r="C858" i="1"/>
  <c r="K857" i="1"/>
  <c r="C857" i="1"/>
  <c r="K856" i="1"/>
  <c r="C856" i="1"/>
  <c r="K855" i="1"/>
  <c r="C855" i="1"/>
  <c r="K854" i="1"/>
  <c r="C854" i="1"/>
  <c r="K853" i="1"/>
  <c r="C853" i="1"/>
  <c r="K852" i="1"/>
  <c r="C852" i="1"/>
  <c r="K851" i="1"/>
  <c r="C851" i="1"/>
  <c r="K850" i="1"/>
  <c r="C850" i="1"/>
  <c r="K849" i="1"/>
  <c r="C849" i="1"/>
  <c r="K848" i="1"/>
  <c r="C848" i="1"/>
  <c r="K847" i="1"/>
  <c r="G1234" i="1"/>
  <c r="Q1158" i="1"/>
  <c r="Q1123" i="1"/>
  <c r="Q1092" i="1"/>
  <c r="T1079" i="1"/>
  <c r="I1071" i="1"/>
  <c r="S1064" i="1"/>
  <c r="I1058" i="1"/>
  <c r="C1052" i="1"/>
  <c r="O1045" i="1"/>
  <c r="G1039" i="1"/>
  <c r="S1032" i="1"/>
  <c r="I1026" i="1"/>
  <c r="Q1020" i="1"/>
  <c r="I1015" i="1"/>
  <c r="D1010" i="1"/>
  <c r="K1005" i="1"/>
  <c r="C1001" i="1"/>
  <c r="S998" i="1"/>
  <c r="S996" i="1"/>
  <c r="K995" i="1"/>
  <c r="G994" i="1"/>
  <c r="S992" i="1"/>
  <c r="K991" i="1"/>
  <c r="G990" i="1"/>
  <c r="S988" i="1"/>
  <c r="K987" i="1"/>
  <c r="G986" i="1"/>
  <c r="S984" i="1"/>
  <c r="K983" i="1"/>
  <c r="G982" i="1"/>
  <c r="S980" i="1"/>
  <c r="K979" i="1"/>
  <c r="G978" i="1"/>
  <c r="S976" i="1"/>
  <c r="K975" i="1"/>
  <c r="G974" i="1"/>
  <c r="S972" i="1"/>
  <c r="K971" i="1"/>
  <c r="G970" i="1"/>
  <c r="S968" i="1"/>
  <c r="K967" i="1"/>
  <c r="G966" i="1"/>
  <c r="S964" i="1"/>
  <c r="K963" i="1"/>
  <c r="G962" i="1"/>
  <c r="S960" i="1"/>
  <c r="S959" i="1"/>
  <c r="S958" i="1"/>
  <c r="S957" i="1"/>
  <c r="S956" i="1"/>
  <c r="S955" i="1"/>
  <c r="S954" i="1"/>
  <c r="S953" i="1"/>
  <c r="S952" i="1"/>
  <c r="S951" i="1"/>
  <c r="C951" i="1"/>
  <c r="F950" i="1"/>
  <c r="H949" i="1"/>
  <c r="O948" i="1"/>
  <c r="Q947" i="1"/>
  <c r="C947" i="1"/>
  <c r="F946" i="1"/>
  <c r="H945" i="1"/>
  <c r="O944" i="1"/>
  <c r="Q943" i="1"/>
  <c r="C943" i="1"/>
  <c r="F942" i="1"/>
  <c r="K941" i="1"/>
  <c r="S940" i="1"/>
  <c r="F940" i="1"/>
  <c r="K939" i="1"/>
  <c r="S938" i="1"/>
  <c r="F938" i="1"/>
  <c r="K937" i="1"/>
  <c r="S936" i="1"/>
  <c r="F936" i="1"/>
  <c r="K935" i="1"/>
  <c r="S934" i="1"/>
  <c r="F934" i="1"/>
  <c r="K933" i="1"/>
  <c r="S932" i="1"/>
  <c r="F932" i="1"/>
  <c r="K931" i="1"/>
  <c r="S930" i="1"/>
  <c r="G930" i="1"/>
  <c r="P929" i="1"/>
  <c r="E929" i="1"/>
  <c r="L928" i="1"/>
  <c r="C928" i="1"/>
  <c r="J927" i="1"/>
  <c r="B927" i="1"/>
  <c r="J926" i="1"/>
  <c r="B926" i="1"/>
  <c r="J925" i="1"/>
  <c r="B925" i="1"/>
  <c r="J924" i="1"/>
  <c r="B924" i="1"/>
  <c r="J923" i="1"/>
  <c r="B923" i="1"/>
  <c r="J922" i="1"/>
  <c r="B922" i="1"/>
  <c r="J921" i="1"/>
  <c r="B921" i="1"/>
  <c r="J920" i="1"/>
  <c r="B920" i="1"/>
  <c r="J919" i="1"/>
  <c r="B919" i="1"/>
  <c r="J918" i="1"/>
  <c r="B918" i="1"/>
  <c r="J917" i="1"/>
  <c r="B917" i="1"/>
  <c r="J916" i="1"/>
  <c r="B916" i="1"/>
  <c r="J915" i="1"/>
  <c r="B915" i="1"/>
  <c r="J914" i="1"/>
  <c r="B914" i="1"/>
  <c r="J913" i="1"/>
  <c r="B913" i="1"/>
  <c r="J912" i="1"/>
  <c r="B912" i="1"/>
  <c r="J911" i="1"/>
  <c r="B911" i="1"/>
  <c r="J910" i="1"/>
  <c r="B910" i="1"/>
  <c r="J909" i="1"/>
  <c r="B909" i="1"/>
  <c r="J908" i="1"/>
  <c r="B908" i="1"/>
  <c r="J907" i="1"/>
  <c r="B907" i="1"/>
  <c r="J906" i="1"/>
  <c r="B906" i="1"/>
  <c r="J905" i="1"/>
  <c r="B905" i="1"/>
  <c r="J904" i="1"/>
  <c r="B904" i="1"/>
  <c r="J903" i="1"/>
  <c r="B903" i="1"/>
  <c r="J902" i="1"/>
  <c r="B902" i="1"/>
  <c r="J901" i="1"/>
  <c r="B901" i="1"/>
  <c r="J900" i="1"/>
  <c r="B900" i="1"/>
  <c r="J899" i="1"/>
  <c r="B899" i="1"/>
  <c r="J898" i="1"/>
  <c r="B898" i="1"/>
  <c r="J897" i="1"/>
  <c r="B897" i="1"/>
  <c r="J896" i="1"/>
  <c r="B896" i="1"/>
  <c r="J895" i="1"/>
  <c r="B895" i="1"/>
  <c r="J894" i="1"/>
  <c r="B894" i="1"/>
  <c r="J893" i="1"/>
  <c r="B893" i="1"/>
  <c r="J892" i="1"/>
  <c r="B892" i="1"/>
  <c r="J891" i="1"/>
  <c r="B891" i="1"/>
  <c r="J890" i="1"/>
  <c r="B890" i="1"/>
  <c r="J889" i="1"/>
  <c r="B889" i="1"/>
  <c r="J888" i="1"/>
  <c r="B888" i="1"/>
  <c r="J887" i="1"/>
  <c r="B887" i="1"/>
  <c r="J886" i="1"/>
  <c r="B886" i="1"/>
  <c r="J885" i="1"/>
  <c r="B885" i="1"/>
  <c r="J884" i="1"/>
  <c r="B884" i="1"/>
  <c r="J883" i="1"/>
  <c r="B883" i="1"/>
  <c r="J882" i="1"/>
  <c r="B882" i="1"/>
  <c r="J881" i="1"/>
  <c r="B881" i="1"/>
  <c r="J880" i="1"/>
  <c r="B880" i="1"/>
  <c r="J879" i="1"/>
  <c r="B879" i="1"/>
  <c r="J878" i="1"/>
  <c r="B878" i="1"/>
  <c r="J877" i="1"/>
  <c r="B877" i="1"/>
  <c r="J876" i="1"/>
  <c r="B876" i="1"/>
  <c r="J875" i="1"/>
  <c r="B875" i="1"/>
  <c r="J874" i="1"/>
  <c r="B874" i="1"/>
  <c r="J873" i="1"/>
  <c r="B873" i="1"/>
  <c r="J872" i="1"/>
  <c r="B872" i="1"/>
  <c r="J871" i="1"/>
  <c r="B871" i="1"/>
  <c r="J870" i="1"/>
  <c r="B870" i="1"/>
  <c r="J869" i="1"/>
  <c r="B869" i="1"/>
  <c r="J868" i="1"/>
  <c r="B868" i="1"/>
  <c r="J867" i="1"/>
  <c r="B867" i="1"/>
  <c r="J866" i="1"/>
  <c r="B866" i="1"/>
  <c r="J865" i="1"/>
  <c r="B865" i="1"/>
  <c r="J864" i="1"/>
  <c r="B864" i="1"/>
  <c r="J863" i="1"/>
  <c r="B863" i="1"/>
  <c r="J862" i="1"/>
  <c r="B862" i="1"/>
  <c r="J861" i="1"/>
  <c r="B861" i="1"/>
  <c r="J860" i="1"/>
  <c r="B860" i="1"/>
  <c r="J859" i="1"/>
  <c r="B859" i="1"/>
  <c r="J858" i="1"/>
  <c r="B858" i="1"/>
  <c r="J857" i="1"/>
  <c r="B857" i="1"/>
  <c r="J856" i="1"/>
  <c r="B856" i="1"/>
  <c r="J855" i="1"/>
  <c r="B855" i="1"/>
  <c r="J854" i="1"/>
  <c r="B854" i="1"/>
  <c r="J853" i="1"/>
  <c r="B853" i="1"/>
  <c r="J852" i="1"/>
  <c r="B852" i="1"/>
  <c r="J851" i="1"/>
  <c r="B851" i="1"/>
  <c r="J850" i="1"/>
  <c r="B850" i="1"/>
  <c r="J849" i="1"/>
  <c r="B849" i="1"/>
  <c r="J848" i="1"/>
  <c r="B848" i="1"/>
  <c r="J847" i="1"/>
  <c r="B847" i="1"/>
  <c r="J846" i="1"/>
  <c r="B846" i="1"/>
  <c r="J845" i="1"/>
  <c r="B845" i="1"/>
  <c r="J844" i="1"/>
  <c r="B844" i="1"/>
  <c r="J843" i="1"/>
  <c r="B843" i="1"/>
  <c r="J842" i="1"/>
  <c r="B842" i="1"/>
  <c r="J841" i="1"/>
  <c r="B841" i="1"/>
  <c r="J840" i="1"/>
  <c r="B840" i="1"/>
  <c r="J839" i="1"/>
  <c r="B839" i="1"/>
  <c r="J838" i="1"/>
  <c r="B838" i="1"/>
  <c r="J837" i="1"/>
  <c r="B837" i="1"/>
  <c r="J836" i="1"/>
  <c r="B836" i="1"/>
  <c r="J835" i="1"/>
  <c r="B835" i="1"/>
  <c r="L1218" i="1"/>
  <c r="P1152" i="1"/>
  <c r="Q1119" i="1"/>
  <c r="L1090" i="1"/>
  <c r="S1078" i="1"/>
  <c r="I1070" i="1"/>
  <c r="C1064" i="1"/>
  <c r="O1057" i="1"/>
  <c r="G1051" i="1"/>
  <c r="S1044" i="1"/>
  <c r="I1038" i="1"/>
  <c r="C1032" i="1"/>
  <c r="O1025" i="1"/>
  <c r="D1020" i="1"/>
  <c r="Q1014" i="1"/>
  <c r="K1009" i="1"/>
  <c r="T1004" i="1"/>
  <c r="T1000" i="1"/>
  <c r="Q998" i="1"/>
  <c r="Q996" i="1"/>
  <c r="H995" i="1"/>
  <c r="C994" i="1"/>
  <c r="Q992" i="1"/>
  <c r="H991" i="1"/>
  <c r="C990" i="1"/>
  <c r="Q988" i="1"/>
  <c r="H987" i="1"/>
  <c r="C986" i="1"/>
  <c r="Q984" i="1"/>
  <c r="H983" i="1"/>
  <c r="C982" i="1"/>
  <c r="Q980" i="1"/>
  <c r="H979" i="1"/>
  <c r="C978" i="1"/>
  <c r="Q976" i="1"/>
  <c r="H975" i="1"/>
  <c r="C974" i="1"/>
  <c r="Q972" i="1"/>
  <c r="H971" i="1"/>
  <c r="C970" i="1"/>
  <c r="Q968" i="1"/>
  <c r="H967" i="1"/>
  <c r="C966" i="1"/>
  <c r="Q964" i="1"/>
  <c r="H963" i="1"/>
  <c r="C962" i="1"/>
  <c r="Q960" i="1"/>
  <c r="Q959" i="1"/>
  <c r="Q958" i="1"/>
  <c r="Q957" i="1"/>
  <c r="Q956" i="1"/>
  <c r="Q955" i="1"/>
  <c r="Q954" i="1"/>
  <c r="Q953" i="1"/>
  <c r="Q952" i="1"/>
  <c r="Q951" i="1"/>
  <c r="S950" i="1"/>
  <c r="E950" i="1"/>
  <c r="G949" i="1"/>
  <c r="K948" i="1"/>
  <c r="P947" i="1"/>
  <c r="S946" i="1"/>
  <c r="E946" i="1"/>
  <c r="G945" i="1"/>
  <c r="K944" i="1"/>
  <c r="P943" i="1"/>
  <c r="S942" i="1"/>
  <c r="E942" i="1"/>
  <c r="I941" i="1"/>
  <c r="Q940" i="1"/>
  <c r="E940" i="1"/>
  <c r="I939" i="1"/>
  <c r="Q938" i="1"/>
  <c r="E938" i="1"/>
  <c r="I937" i="1"/>
  <c r="Q936" i="1"/>
  <c r="E936" i="1"/>
  <c r="I935" i="1"/>
  <c r="Q934" i="1"/>
  <c r="E934" i="1"/>
  <c r="I933" i="1"/>
  <c r="Q932" i="1"/>
  <c r="E932" i="1"/>
  <c r="I931" i="1"/>
  <c r="Q930" i="1"/>
  <c r="F930" i="1"/>
  <c r="O929" i="1"/>
  <c r="D929" i="1"/>
  <c r="K928" i="1"/>
  <c r="T927" i="1"/>
  <c r="I927" i="1"/>
  <c r="T926" i="1"/>
  <c r="I926" i="1"/>
  <c r="T925" i="1"/>
  <c r="I925" i="1"/>
  <c r="T924" i="1"/>
  <c r="I924" i="1"/>
  <c r="T923" i="1"/>
  <c r="I923" i="1"/>
  <c r="T922" i="1"/>
  <c r="I922" i="1"/>
  <c r="T921" i="1"/>
  <c r="I921" i="1"/>
  <c r="T920" i="1"/>
  <c r="I920" i="1"/>
  <c r="T919" i="1"/>
  <c r="I919" i="1"/>
  <c r="T918" i="1"/>
  <c r="I918" i="1"/>
  <c r="T917" i="1"/>
  <c r="I917" i="1"/>
  <c r="T916" i="1"/>
  <c r="I916" i="1"/>
  <c r="T915" i="1"/>
  <c r="I915" i="1"/>
  <c r="T914" i="1"/>
  <c r="I914" i="1"/>
  <c r="T913" i="1"/>
  <c r="I913" i="1"/>
  <c r="T912" i="1"/>
  <c r="I912" i="1"/>
  <c r="T911" i="1"/>
  <c r="I911" i="1"/>
  <c r="T910" i="1"/>
  <c r="I910" i="1"/>
  <c r="T909" i="1"/>
  <c r="I909" i="1"/>
  <c r="T908" i="1"/>
  <c r="I908" i="1"/>
  <c r="T907" i="1"/>
  <c r="I907" i="1"/>
  <c r="T906" i="1"/>
  <c r="I906" i="1"/>
  <c r="T905" i="1"/>
  <c r="I905" i="1"/>
  <c r="T904" i="1"/>
  <c r="I904" i="1"/>
  <c r="T903" i="1"/>
  <c r="I903" i="1"/>
  <c r="T902" i="1"/>
  <c r="I902" i="1"/>
  <c r="T901" i="1"/>
  <c r="I901" i="1"/>
  <c r="T900" i="1"/>
  <c r="I900" i="1"/>
  <c r="T899" i="1"/>
  <c r="I899" i="1"/>
  <c r="T898" i="1"/>
  <c r="I898" i="1"/>
  <c r="T897" i="1"/>
  <c r="I897" i="1"/>
  <c r="T896" i="1"/>
  <c r="I896" i="1"/>
  <c r="T895" i="1"/>
  <c r="I895" i="1"/>
  <c r="T894" i="1"/>
  <c r="I894" i="1"/>
  <c r="T893" i="1"/>
  <c r="I893" i="1"/>
  <c r="T892" i="1"/>
  <c r="I892" i="1"/>
  <c r="T891" i="1"/>
  <c r="I891" i="1"/>
  <c r="T890" i="1"/>
  <c r="I890" i="1"/>
  <c r="T889" i="1"/>
  <c r="I889" i="1"/>
  <c r="T888" i="1"/>
  <c r="I888" i="1"/>
  <c r="T887" i="1"/>
  <c r="I887" i="1"/>
  <c r="T886" i="1"/>
  <c r="I886" i="1"/>
  <c r="T885" i="1"/>
  <c r="I885" i="1"/>
  <c r="T884" i="1"/>
  <c r="I884" i="1"/>
  <c r="T883" i="1"/>
  <c r="I883" i="1"/>
  <c r="T882" i="1"/>
  <c r="I882" i="1"/>
  <c r="T881" i="1"/>
  <c r="I881" i="1"/>
  <c r="T880" i="1"/>
  <c r="I880" i="1"/>
  <c r="T879" i="1"/>
  <c r="I879" i="1"/>
  <c r="T878" i="1"/>
  <c r="I878" i="1"/>
  <c r="T877" i="1"/>
  <c r="I877" i="1"/>
  <c r="T876" i="1"/>
  <c r="I876" i="1"/>
  <c r="T875" i="1"/>
  <c r="I875" i="1"/>
  <c r="T874" i="1"/>
  <c r="I874" i="1"/>
  <c r="T873" i="1"/>
  <c r="I873" i="1"/>
  <c r="T872" i="1"/>
  <c r="I872" i="1"/>
  <c r="T871" i="1"/>
  <c r="I871" i="1"/>
  <c r="T870" i="1"/>
  <c r="I870" i="1"/>
  <c r="T869" i="1"/>
  <c r="I869" i="1"/>
  <c r="T868" i="1"/>
  <c r="I868" i="1"/>
  <c r="T867" i="1"/>
  <c r="I867" i="1"/>
  <c r="T866" i="1"/>
  <c r="I866" i="1"/>
  <c r="T865" i="1"/>
  <c r="I865" i="1"/>
  <c r="T864" i="1"/>
  <c r="I864" i="1"/>
  <c r="T863" i="1"/>
  <c r="I863" i="1"/>
  <c r="T862" i="1"/>
  <c r="I862" i="1"/>
  <c r="T861" i="1"/>
  <c r="I861" i="1"/>
  <c r="T860" i="1"/>
  <c r="I860" i="1"/>
  <c r="T859" i="1"/>
  <c r="I859" i="1"/>
  <c r="T858" i="1"/>
  <c r="I858" i="1"/>
  <c r="T857" i="1"/>
  <c r="I857" i="1"/>
  <c r="T856" i="1"/>
  <c r="I856" i="1"/>
  <c r="T855" i="1"/>
  <c r="I855" i="1"/>
  <c r="T854" i="1"/>
  <c r="I854" i="1"/>
  <c r="T853" i="1"/>
  <c r="I853" i="1"/>
  <c r="T852" i="1"/>
  <c r="I852" i="1"/>
  <c r="T851" i="1"/>
  <c r="I851" i="1"/>
  <c r="T850" i="1"/>
  <c r="I850" i="1"/>
  <c r="T849" i="1"/>
  <c r="I849" i="1"/>
  <c r="T848" i="1"/>
  <c r="I848" i="1"/>
  <c r="T847" i="1"/>
  <c r="I847" i="1"/>
  <c r="T846" i="1"/>
  <c r="I846" i="1"/>
  <c r="T845" i="1"/>
  <c r="I845" i="1"/>
  <c r="T844" i="1"/>
  <c r="I844" i="1"/>
  <c r="T843" i="1"/>
  <c r="I843" i="1"/>
  <c r="T842" i="1"/>
  <c r="I842" i="1"/>
  <c r="T841" i="1"/>
  <c r="I841" i="1"/>
  <c r="T840" i="1"/>
  <c r="I840" i="1"/>
  <c r="T839" i="1"/>
  <c r="I839" i="1"/>
  <c r="T838" i="1"/>
  <c r="I838" i="1"/>
  <c r="T837" i="1"/>
  <c r="I837" i="1"/>
  <c r="T836" i="1"/>
  <c r="I836" i="1"/>
  <c r="T835" i="1"/>
  <c r="I835" i="1"/>
  <c r="I1209" i="1"/>
  <c r="Q1147" i="1"/>
  <c r="Q1115" i="1"/>
  <c r="L1088" i="1"/>
  <c r="Q1077" i="1"/>
  <c r="O1069" i="1"/>
  <c r="G1063" i="1"/>
  <c r="S1056" i="1"/>
  <c r="I1050" i="1"/>
  <c r="C1044" i="1"/>
  <c r="O1037" i="1"/>
  <c r="G1031" i="1"/>
  <c r="S1024" i="1"/>
  <c r="I1019" i="1"/>
  <c r="D1014" i="1"/>
  <c r="T1008" i="1"/>
  <c r="H1004" i="1"/>
  <c r="I1000" i="1"/>
  <c r="H998" i="1"/>
  <c r="K996" i="1"/>
  <c r="G995" i="1"/>
  <c r="S993" i="1"/>
  <c r="K992" i="1"/>
  <c r="G991" i="1"/>
  <c r="S989" i="1"/>
  <c r="K988" i="1"/>
  <c r="G987" i="1"/>
  <c r="S985" i="1"/>
  <c r="K984" i="1"/>
  <c r="G983" i="1"/>
  <c r="S981" i="1"/>
  <c r="K980" i="1"/>
  <c r="G979" i="1"/>
  <c r="S977" i="1"/>
  <c r="K976" i="1"/>
  <c r="G975" i="1"/>
  <c r="S973" i="1"/>
  <c r="K972" i="1"/>
  <c r="G971" i="1"/>
  <c r="S969" i="1"/>
  <c r="K968" i="1"/>
  <c r="G967" i="1"/>
  <c r="S965" i="1"/>
  <c r="K964" i="1"/>
  <c r="G963" i="1"/>
  <c r="S961" i="1"/>
  <c r="O960" i="1"/>
  <c r="O959" i="1"/>
  <c r="O958" i="1"/>
  <c r="O957" i="1"/>
  <c r="O956" i="1"/>
  <c r="O955" i="1"/>
  <c r="O954" i="1"/>
  <c r="O953" i="1"/>
  <c r="O952" i="1"/>
  <c r="O951" i="1"/>
  <c r="Q950" i="1"/>
  <c r="C950" i="1"/>
  <c r="F949" i="1"/>
  <c r="H948" i="1"/>
  <c r="O947" i="1"/>
  <c r="Q946" i="1"/>
  <c r="C946" i="1"/>
  <c r="F945" i="1"/>
  <c r="H944" i="1"/>
  <c r="O943" i="1"/>
  <c r="Q942" i="1"/>
  <c r="C942" i="1"/>
  <c r="H941" i="1"/>
  <c r="P940" i="1"/>
  <c r="C940" i="1"/>
  <c r="H939" i="1"/>
  <c r="P938" i="1"/>
  <c r="C938" i="1"/>
  <c r="H937" i="1"/>
  <c r="P936" i="1"/>
  <c r="C936" i="1"/>
  <c r="H935" i="1"/>
  <c r="P934" i="1"/>
  <c r="C934" i="1"/>
  <c r="H933" i="1"/>
  <c r="P932" i="1"/>
  <c r="C932" i="1"/>
  <c r="H931" i="1"/>
  <c r="P930" i="1"/>
  <c r="E930" i="1"/>
  <c r="L929" i="1"/>
  <c r="C929" i="1"/>
  <c r="I928" i="1"/>
  <c r="S927" i="1"/>
  <c r="H927" i="1"/>
  <c r="S926" i="1"/>
  <c r="H926" i="1"/>
  <c r="S925" i="1"/>
  <c r="H925" i="1"/>
  <c r="S924" i="1"/>
  <c r="H924" i="1"/>
  <c r="S923" i="1"/>
  <c r="H923" i="1"/>
  <c r="S922" i="1"/>
  <c r="H922" i="1"/>
  <c r="S921" i="1"/>
  <c r="H921" i="1"/>
  <c r="S920" i="1"/>
  <c r="H920" i="1"/>
  <c r="S919" i="1"/>
  <c r="H919" i="1"/>
  <c r="S918" i="1"/>
  <c r="H918" i="1"/>
  <c r="S917" i="1"/>
  <c r="H917" i="1"/>
  <c r="S916" i="1"/>
  <c r="H916" i="1"/>
  <c r="S915" i="1"/>
  <c r="H915" i="1"/>
  <c r="S914" i="1"/>
  <c r="H914" i="1"/>
  <c r="S913" i="1"/>
  <c r="H913" i="1"/>
  <c r="S912" i="1"/>
  <c r="H912" i="1"/>
  <c r="S911" i="1"/>
  <c r="H911" i="1"/>
  <c r="S910" i="1"/>
  <c r="H910" i="1"/>
  <c r="S909" i="1"/>
  <c r="H909" i="1"/>
  <c r="S908" i="1"/>
  <c r="H908" i="1"/>
  <c r="S907" i="1"/>
  <c r="H907" i="1"/>
  <c r="S906" i="1"/>
  <c r="H906" i="1"/>
  <c r="S905" i="1"/>
  <c r="H905" i="1"/>
  <c r="S904" i="1"/>
  <c r="H904" i="1"/>
  <c r="S903" i="1"/>
  <c r="H903" i="1"/>
  <c r="S902" i="1"/>
  <c r="H902" i="1"/>
  <c r="S901" i="1"/>
  <c r="H901" i="1"/>
  <c r="S900" i="1"/>
  <c r="H900" i="1"/>
  <c r="S899" i="1"/>
  <c r="H899" i="1"/>
  <c r="S898" i="1"/>
  <c r="H898" i="1"/>
  <c r="S897" i="1"/>
  <c r="H897" i="1"/>
  <c r="S896" i="1"/>
  <c r="H896" i="1"/>
  <c r="S895" i="1"/>
  <c r="H895" i="1"/>
  <c r="S894" i="1"/>
  <c r="H894" i="1"/>
  <c r="S893" i="1"/>
  <c r="H893" i="1"/>
  <c r="S892" i="1"/>
  <c r="H892" i="1"/>
  <c r="S891" i="1"/>
  <c r="H891" i="1"/>
  <c r="S890" i="1"/>
  <c r="H890" i="1"/>
  <c r="S889" i="1"/>
  <c r="H889" i="1"/>
  <c r="S888" i="1"/>
  <c r="H888" i="1"/>
  <c r="S887" i="1"/>
  <c r="H887" i="1"/>
  <c r="S886" i="1"/>
  <c r="H886" i="1"/>
  <c r="S885" i="1"/>
  <c r="H885" i="1"/>
  <c r="S884" i="1"/>
  <c r="H884" i="1"/>
  <c r="S883" i="1"/>
  <c r="H883" i="1"/>
  <c r="S882" i="1"/>
  <c r="H882" i="1"/>
  <c r="S881" i="1"/>
  <c r="H881" i="1"/>
  <c r="S880" i="1"/>
  <c r="H880" i="1"/>
  <c r="S879" i="1"/>
  <c r="H879" i="1"/>
  <c r="S878" i="1"/>
  <c r="H878" i="1"/>
  <c r="S877" i="1"/>
  <c r="H877" i="1"/>
  <c r="S876" i="1"/>
  <c r="H876" i="1"/>
  <c r="S875" i="1"/>
  <c r="H875" i="1"/>
  <c r="S874" i="1"/>
  <c r="H874" i="1"/>
  <c r="S873" i="1"/>
  <c r="H873" i="1"/>
  <c r="S872" i="1"/>
  <c r="H872" i="1"/>
  <c r="S871" i="1"/>
  <c r="H871" i="1"/>
  <c r="S870" i="1"/>
  <c r="H870" i="1"/>
  <c r="S869" i="1"/>
  <c r="H869" i="1"/>
  <c r="S868" i="1"/>
  <c r="H868" i="1"/>
  <c r="S867" i="1"/>
  <c r="H867" i="1"/>
  <c r="S866" i="1"/>
  <c r="H866" i="1"/>
  <c r="S865" i="1"/>
  <c r="H865" i="1"/>
  <c r="S864" i="1"/>
  <c r="H864" i="1"/>
  <c r="S863" i="1"/>
  <c r="H863" i="1"/>
  <c r="S862" i="1"/>
  <c r="H862" i="1"/>
  <c r="S861" i="1"/>
  <c r="H861" i="1"/>
  <c r="S860" i="1"/>
  <c r="H860" i="1"/>
  <c r="S859" i="1"/>
  <c r="H859" i="1"/>
  <c r="S858" i="1"/>
  <c r="H858" i="1"/>
  <c r="S857" i="1"/>
  <c r="H857" i="1"/>
  <c r="S856" i="1"/>
  <c r="H856" i="1"/>
  <c r="S855" i="1"/>
  <c r="H855" i="1"/>
  <c r="S854" i="1"/>
  <c r="H854" i="1"/>
  <c r="S853" i="1"/>
  <c r="H853" i="1"/>
  <c r="S852" i="1"/>
  <c r="H852" i="1"/>
  <c r="S851" i="1"/>
  <c r="H851" i="1"/>
  <c r="S850" i="1"/>
  <c r="H850" i="1"/>
  <c r="S849" i="1"/>
  <c r="H849" i="1"/>
  <c r="S848" i="1"/>
  <c r="H848" i="1"/>
  <c r="S847" i="1"/>
  <c r="H847" i="1"/>
  <c r="S846" i="1"/>
  <c r="H846" i="1"/>
  <c r="S845" i="1"/>
  <c r="H845" i="1"/>
  <c r="S844" i="1"/>
  <c r="Q1200" i="1"/>
  <c r="Q1143" i="1"/>
  <c r="Q1111" i="1"/>
  <c r="O1086" i="1"/>
  <c r="Q1076" i="1"/>
  <c r="S1068" i="1"/>
  <c r="I1062" i="1"/>
  <c r="C1056" i="1"/>
  <c r="O1049" i="1"/>
  <c r="G1043" i="1"/>
  <c r="S1036" i="1"/>
  <c r="I1030" i="1"/>
  <c r="D1024" i="1"/>
  <c r="Q1018" i="1"/>
  <c r="I1013" i="1"/>
  <c r="H1008" i="1"/>
  <c r="Q1003" i="1"/>
  <c r="H1000" i="1"/>
  <c r="G998" i="1"/>
  <c r="H996" i="1"/>
  <c r="C995" i="1"/>
  <c r="Q993" i="1"/>
  <c r="H992" i="1"/>
  <c r="C991" i="1"/>
  <c r="Q989" i="1"/>
  <c r="H988" i="1"/>
  <c r="C987" i="1"/>
  <c r="Q985" i="1"/>
  <c r="H984" i="1"/>
  <c r="C983" i="1"/>
  <c r="Q981" i="1"/>
  <c r="H980" i="1"/>
  <c r="C979" i="1"/>
  <c r="Q977" i="1"/>
  <c r="H976" i="1"/>
  <c r="C975" i="1"/>
  <c r="Q973" i="1"/>
  <c r="H972" i="1"/>
  <c r="C971" i="1"/>
  <c r="Q969" i="1"/>
  <c r="H968" i="1"/>
  <c r="C967" i="1"/>
  <c r="Q965" i="1"/>
  <c r="H964" i="1"/>
  <c r="C963" i="1"/>
  <c r="Q961" i="1"/>
  <c r="K960" i="1"/>
  <c r="K959" i="1"/>
  <c r="K958" i="1"/>
  <c r="K957" i="1"/>
  <c r="K956" i="1"/>
  <c r="K955" i="1"/>
  <c r="K954" i="1"/>
  <c r="K953" i="1"/>
  <c r="K952" i="1"/>
  <c r="K951" i="1"/>
  <c r="P950" i="1"/>
  <c r="S949" i="1"/>
  <c r="E949" i="1"/>
  <c r="G948" i="1"/>
  <c r="K947" i="1"/>
  <c r="P946" i="1"/>
  <c r="S945" i="1"/>
  <c r="E945" i="1"/>
  <c r="G944" i="1"/>
  <c r="K943" i="1"/>
  <c r="P942" i="1"/>
  <c r="T941" i="1"/>
  <c r="G941" i="1"/>
  <c r="O940" i="1"/>
  <c r="T939" i="1"/>
  <c r="G939" i="1"/>
  <c r="O938" i="1"/>
  <c r="T937" i="1"/>
  <c r="G937" i="1"/>
  <c r="O936" i="1"/>
  <c r="T935" i="1"/>
  <c r="G935" i="1"/>
  <c r="O934" i="1"/>
  <c r="T933" i="1"/>
  <c r="G933" i="1"/>
  <c r="O932" i="1"/>
  <c r="T931" i="1"/>
  <c r="G931" i="1"/>
  <c r="O930" i="1"/>
  <c r="D930" i="1"/>
  <c r="K929" i="1"/>
  <c r="T928" i="1"/>
  <c r="H928" i="1"/>
  <c r="Q927" i="1"/>
  <c r="G927" i="1"/>
  <c r="Q926" i="1"/>
  <c r="G926" i="1"/>
  <c r="Q925" i="1"/>
  <c r="G925" i="1"/>
  <c r="Q924" i="1"/>
  <c r="G924" i="1"/>
  <c r="Q923" i="1"/>
  <c r="G923" i="1"/>
  <c r="Q922" i="1"/>
  <c r="G922" i="1"/>
  <c r="Q921" i="1"/>
  <c r="G921" i="1"/>
  <c r="Q920" i="1"/>
  <c r="G920" i="1"/>
  <c r="Q919" i="1"/>
  <c r="G919" i="1"/>
  <c r="Q918" i="1"/>
  <c r="G918" i="1"/>
  <c r="Q917" i="1"/>
  <c r="G917" i="1"/>
  <c r="Q916" i="1"/>
  <c r="G916" i="1"/>
  <c r="Q915" i="1"/>
  <c r="G915" i="1"/>
  <c r="Q914" i="1"/>
  <c r="G914" i="1"/>
  <c r="Q913" i="1"/>
  <c r="G913" i="1"/>
  <c r="Q912" i="1"/>
  <c r="G912" i="1"/>
  <c r="Q911" i="1"/>
  <c r="G911" i="1"/>
  <c r="Q910" i="1"/>
  <c r="G910" i="1"/>
  <c r="Q909" i="1"/>
  <c r="G909" i="1"/>
  <c r="Q908" i="1"/>
  <c r="G908" i="1"/>
  <c r="Q907" i="1"/>
  <c r="G907" i="1"/>
  <c r="Q906" i="1"/>
  <c r="G906" i="1"/>
  <c r="Q905" i="1"/>
  <c r="G905" i="1"/>
  <c r="Q904" i="1"/>
  <c r="G904" i="1"/>
  <c r="Q903" i="1"/>
  <c r="G903" i="1"/>
  <c r="Q902" i="1"/>
  <c r="G902" i="1"/>
  <c r="Q901" i="1"/>
  <c r="G901" i="1"/>
  <c r="Q900" i="1"/>
  <c r="G900" i="1"/>
  <c r="Q899" i="1"/>
  <c r="G899" i="1"/>
  <c r="Q898" i="1"/>
  <c r="G898" i="1"/>
  <c r="Q897" i="1"/>
  <c r="G897" i="1"/>
  <c r="Q896" i="1"/>
  <c r="G896" i="1"/>
  <c r="Q895" i="1"/>
  <c r="G895" i="1"/>
  <c r="Q894" i="1"/>
  <c r="G894" i="1"/>
  <c r="Q893" i="1"/>
  <c r="G893" i="1"/>
  <c r="Q892" i="1"/>
  <c r="G892" i="1"/>
  <c r="Q891" i="1"/>
  <c r="G891" i="1"/>
  <c r="Q890" i="1"/>
  <c r="G890" i="1"/>
  <c r="Q889" i="1"/>
  <c r="G889" i="1"/>
  <c r="Q888" i="1"/>
  <c r="G888" i="1"/>
  <c r="Q887" i="1"/>
  <c r="G887" i="1"/>
  <c r="Q886" i="1"/>
  <c r="G886" i="1"/>
  <c r="Q885" i="1"/>
  <c r="G885" i="1"/>
  <c r="Q884" i="1"/>
  <c r="G884" i="1"/>
  <c r="Q883" i="1"/>
  <c r="G883" i="1"/>
  <c r="Q882" i="1"/>
  <c r="G882" i="1"/>
  <c r="Q881" i="1"/>
  <c r="G881" i="1"/>
  <c r="Q880" i="1"/>
  <c r="G880" i="1"/>
  <c r="Q879" i="1"/>
  <c r="G879" i="1"/>
  <c r="Q878" i="1"/>
  <c r="G878" i="1"/>
  <c r="Q877" i="1"/>
  <c r="G877" i="1"/>
  <c r="Q876" i="1"/>
  <c r="G876" i="1"/>
  <c r="Q875" i="1"/>
  <c r="G875" i="1"/>
  <c r="Q874" i="1"/>
  <c r="G874" i="1"/>
  <c r="Q873" i="1"/>
  <c r="G873" i="1"/>
  <c r="Q872" i="1"/>
  <c r="G872" i="1"/>
  <c r="Q871" i="1"/>
  <c r="G871" i="1"/>
  <c r="Q870" i="1"/>
  <c r="G870" i="1"/>
  <c r="Q869" i="1"/>
  <c r="G869" i="1"/>
  <c r="Q868" i="1"/>
  <c r="G868" i="1"/>
  <c r="Q867" i="1"/>
  <c r="G867" i="1"/>
  <c r="Q866" i="1"/>
  <c r="G866" i="1"/>
  <c r="D1192" i="1"/>
  <c r="Q1139" i="1"/>
  <c r="Q1107" i="1"/>
  <c r="G1085" i="1"/>
  <c r="O1075" i="1"/>
  <c r="C1068" i="1"/>
  <c r="O1061" i="1"/>
  <c r="G1055" i="1"/>
  <c r="S1048" i="1"/>
  <c r="I1042" i="1"/>
  <c r="C1036" i="1"/>
  <c r="O1029" i="1"/>
  <c r="I1023" i="1"/>
  <c r="D1018" i="1"/>
  <c r="Q1012" i="1"/>
  <c r="Q1007" i="1"/>
  <c r="F1003" i="1"/>
  <c r="S999" i="1"/>
  <c r="S997" i="1"/>
  <c r="G996" i="1"/>
  <c r="S994" i="1"/>
  <c r="K993" i="1"/>
  <c r="G992" i="1"/>
  <c r="S990" i="1"/>
  <c r="K989" i="1"/>
  <c r="G988" i="1"/>
  <c r="S986" i="1"/>
  <c r="K985" i="1"/>
  <c r="G984" i="1"/>
  <c r="S982" i="1"/>
  <c r="K981" i="1"/>
  <c r="G980" i="1"/>
  <c r="S978" i="1"/>
  <c r="K977" i="1"/>
  <c r="G976" i="1"/>
  <c r="S974" i="1"/>
  <c r="K973" i="1"/>
  <c r="G972" i="1"/>
  <c r="S970" i="1"/>
  <c r="K969" i="1"/>
  <c r="G968" i="1"/>
  <c r="S966" i="1"/>
  <c r="K965" i="1"/>
  <c r="G964" i="1"/>
  <c r="S962" i="1"/>
  <c r="K961" i="1"/>
  <c r="H960" i="1"/>
  <c r="H959" i="1"/>
  <c r="H958" i="1"/>
  <c r="H957" i="1"/>
  <c r="H956" i="1"/>
  <c r="H955" i="1"/>
  <c r="H954" i="1"/>
  <c r="H953" i="1"/>
  <c r="H952" i="1"/>
  <c r="H951" i="1"/>
  <c r="O950" i="1"/>
  <c r="Q949" i="1"/>
  <c r="C949" i="1"/>
  <c r="F948" i="1"/>
  <c r="H947" i="1"/>
  <c r="O946" i="1"/>
  <c r="Q945" i="1"/>
  <c r="C945" i="1"/>
  <c r="F944" i="1"/>
  <c r="H943" i="1"/>
  <c r="O942" i="1"/>
  <c r="S941" i="1"/>
  <c r="F941" i="1"/>
  <c r="K940" i="1"/>
  <c r="S939" i="1"/>
  <c r="F939" i="1"/>
  <c r="K938" i="1"/>
  <c r="S937" i="1"/>
  <c r="F937" i="1"/>
  <c r="K936" i="1"/>
  <c r="S935" i="1"/>
  <c r="F935" i="1"/>
  <c r="K934" i="1"/>
  <c r="S933" i="1"/>
  <c r="F933" i="1"/>
  <c r="K932" i="1"/>
  <c r="S931" i="1"/>
  <c r="F931" i="1"/>
  <c r="L930" i="1"/>
  <c r="C930" i="1"/>
  <c r="I929" i="1"/>
  <c r="S928" i="1"/>
  <c r="G928" i="1"/>
  <c r="P927" i="1"/>
  <c r="F927" i="1"/>
  <c r="P926" i="1"/>
  <c r="F926" i="1"/>
  <c r="P925" i="1"/>
  <c r="F925" i="1"/>
  <c r="P924" i="1"/>
  <c r="F924" i="1"/>
  <c r="P923" i="1"/>
  <c r="F923" i="1"/>
  <c r="P922" i="1"/>
  <c r="F922" i="1"/>
  <c r="P921" i="1"/>
  <c r="F921" i="1"/>
  <c r="P920" i="1"/>
  <c r="F920" i="1"/>
  <c r="P919" i="1"/>
  <c r="F919" i="1"/>
  <c r="P918" i="1"/>
  <c r="F918" i="1"/>
  <c r="P917" i="1"/>
  <c r="F917" i="1"/>
  <c r="P916" i="1"/>
  <c r="F916" i="1"/>
  <c r="P915" i="1"/>
  <c r="F915" i="1"/>
  <c r="P914" i="1"/>
  <c r="F914" i="1"/>
  <c r="P913" i="1"/>
  <c r="F913" i="1"/>
  <c r="P912" i="1"/>
  <c r="F912" i="1"/>
  <c r="P911" i="1"/>
  <c r="F911" i="1"/>
  <c r="P910" i="1"/>
  <c r="F910" i="1"/>
  <c r="P909" i="1"/>
  <c r="F909" i="1"/>
  <c r="P908" i="1"/>
  <c r="F908" i="1"/>
  <c r="P907" i="1"/>
  <c r="F907" i="1"/>
  <c r="P906" i="1"/>
  <c r="F906" i="1"/>
  <c r="P905" i="1"/>
  <c r="F905" i="1"/>
  <c r="P904" i="1"/>
  <c r="F904" i="1"/>
  <c r="P903" i="1"/>
  <c r="F903" i="1"/>
  <c r="P902" i="1"/>
  <c r="F902" i="1"/>
  <c r="P901" i="1"/>
  <c r="F901" i="1"/>
  <c r="P900" i="1"/>
  <c r="F900" i="1"/>
  <c r="P899" i="1"/>
  <c r="F899" i="1"/>
  <c r="P898" i="1"/>
  <c r="F898" i="1"/>
  <c r="P897" i="1"/>
  <c r="F897" i="1"/>
  <c r="P896" i="1"/>
  <c r="F896" i="1"/>
  <c r="P895" i="1"/>
  <c r="F895" i="1"/>
  <c r="P894" i="1"/>
  <c r="F894" i="1"/>
  <c r="P893" i="1"/>
  <c r="F893" i="1"/>
  <c r="P892" i="1"/>
  <c r="F892" i="1"/>
  <c r="P891" i="1"/>
  <c r="F891" i="1"/>
  <c r="P890" i="1"/>
  <c r="F890" i="1"/>
  <c r="P889" i="1"/>
  <c r="F889" i="1"/>
  <c r="P888" i="1"/>
  <c r="F888" i="1"/>
  <c r="P887" i="1"/>
  <c r="F887" i="1"/>
  <c r="P886" i="1"/>
  <c r="F886" i="1"/>
  <c r="P885" i="1"/>
  <c r="F885" i="1"/>
  <c r="P884" i="1"/>
  <c r="F884" i="1"/>
  <c r="P883" i="1"/>
  <c r="F883" i="1"/>
  <c r="P882" i="1"/>
  <c r="F882" i="1"/>
  <c r="P881" i="1"/>
  <c r="F881" i="1"/>
  <c r="P880" i="1"/>
  <c r="F880" i="1"/>
  <c r="P879" i="1"/>
  <c r="F879" i="1"/>
  <c r="P878" i="1"/>
  <c r="F878" i="1"/>
  <c r="P877" i="1"/>
  <c r="F877" i="1"/>
  <c r="P876" i="1"/>
  <c r="F876" i="1"/>
  <c r="P875" i="1"/>
  <c r="F875" i="1"/>
  <c r="P874" i="1"/>
  <c r="F874" i="1"/>
  <c r="P873" i="1"/>
  <c r="F873" i="1"/>
  <c r="P872" i="1"/>
  <c r="F872" i="1"/>
  <c r="P871" i="1"/>
  <c r="F871" i="1"/>
  <c r="P870" i="1"/>
  <c r="F870" i="1"/>
  <c r="P869" i="1"/>
  <c r="F869" i="1"/>
  <c r="P868" i="1"/>
  <c r="F868" i="1"/>
  <c r="P867" i="1"/>
  <c r="F867" i="1"/>
  <c r="P866" i="1"/>
  <c r="F866" i="1"/>
  <c r="Q1183" i="1"/>
  <c r="Q1135" i="1"/>
  <c r="Q1103" i="1"/>
  <c r="T1083" i="1"/>
  <c r="O1074" i="1"/>
  <c r="G1067" i="1"/>
  <c r="S1060" i="1"/>
  <c r="I1054" i="1"/>
  <c r="C1048" i="1"/>
  <c r="O1041" i="1"/>
  <c r="G1035" i="1"/>
  <c r="S1028" i="1"/>
  <c r="Q1022" i="1"/>
  <c r="I1017" i="1"/>
  <c r="D1012" i="1"/>
  <c r="F1007" i="1"/>
  <c r="O1002" i="1"/>
  <c r="Q999" i="1"/>
  <c r="Q997" i="1"/>
  <c r="C996" i="1"/>
  <c r="Q994" i="1"/>
  <c r="H993" i="1"/>
  <c r="C992" i="1"/>
  <c r="Q990" i="1"/>
  <c r="H989" i="1"/>
  <c r="C988" i="1"/>
  <c r="Q986" i="1"/>
  <c r="H985" i="1"/>
  <c r="C984" i="1"/>
  <c r="Q982" i="1"/>
  <c r="H981" i="1"/>
  <c r="C980" i="1"/>
  <c r="Q978" i="1"/>
  <c r="H977" i="1"/>
  <c r="C976" i="1"/>
  <c r="Q974" i="1"/>
  <c r="H973" i="1"/>
  <c r="C972" i="1"/>
  <c r="Q970" i="1"/>
  <c r="H969" i="1"/>
  <c r="C968" i="1"/>
  <c r="Q966" i="1"/>
  <c r="H965" i="1"/>
  <c r="C964" i="1"/>
  <c r="Q962" i="1"/>
  <c r="H961" i="1"/>
  <c r="G960" i="1"/>
  <c r="G959" i="1"/>
  <c r="G958" i="1"/>
  <c r="G957" i="1"/>
  <c r="G956" i="1"/>
  <c r="G955" i="1"/>
  <c r="G954" i="1"/>
  <c r="G953" i="1"/>
  <c r="G952" i="1"/>
  <c r="G951" i="1"/>
  <c r="K950" i="1"/>
  <c r="P949" i="1"/>
  <c r="S948" i="1"/>
  <c r="E948" i="1"/>
  <c r="G947" i="1"/>
  <c r="K946" i="1"/>
  <c r="P945" i="1"/>
  <c r="S944" i="1"/>
  <c r="E944" i="1"/>
  <c r="G943" i="1"/>
  <c r="K942" i="1"/>
  <c r="Q941" i="1"/>
  <c r="E941" i="1"/>
  <c r="I940" i="1"/>
  <c r="Q939" i="1"/>
  <c r="E939" i="1"/>
  <c r="I938" i="1"/>
  <c r="Q937" i="1"/>
  <c r="E937" i="1"/>
  <c r="I936" i="1"/>
  <c r="Q935" i="1"/>
  <c r="E935" i="1"/>
  <c r="I934" i="1"/>
  <c r="Q933" i="1"/>
  <c r="E933" i="1"/>
  <c r="I932" i="1"/>
  <c r="Q931" i="1"/>
  <c r="E931" i="1"/>
  <c r="K930" i="1"/>
  <c r="T929" i="1"/>
  <c r="H929" i="1"/>
  <c r="Q928" i="1"/>
  <c r="F928" i="1"/>
  <c r="O927" i="1"/>
  <c r="E927" i="1"/>
  <c r="O926" i="1"/>
  <c r="E926" i="1"/>
  <c r="O925" i="1"/>
  <c r="E925" i="1"/>
  <c r="O924" i="1"/>
  <c r="E924" i="1"/>
  <c r="O923" i="1"/>
  <c r="E923" i="1"/>
  <c r="O922" i="1"/>
  <c r="E922" i="1"/>
  <c r="O921" i="1"/>
  <c r="E921" i="1"/>
  <c r="O920" i="1"/>
  <c r="E920" i="1"/>
  <c r="O919" i="1"/>
  <c r="E919" i="1"/>
  <c r="O918" i="1"/>
  <c r="E918" i="1"/>
  <c r="O917" i="1"/>
  <c r="E917" i="1"/>
  <c r="O916" i="1"/>
  <c r="E916" i="1"/>
  <c r="O915" i="1"/>
  <c r="E915" i="1"/>
  <c r="O914" i="1"/>
  <c r="E914" i="1"/>
  <c r="O913" i="1"/>
  <c r="E913" i="1"/>
  <c r="O912" i="1"/>
  <c r="E912" i="1"/>
  <c r="O911" i="1"/>
  <c r="E911" i="1"/>
  <c r="O910" i="1"/>
  <c r="E910" i="1"/>
  <c r="O909" i="1"/>
  <c r="E909" i="1"/>
  <c r="O908" i="1"/>
  <c r="E908" i="1"/>
  <c r="O907" i="1"/>
  <c r="E907" i="1"/>
  <c r="O906" i="1"/>
  <c r="E906" i="1"/>
  <c r="O905" i="1"/>
  <c r="E905" i="1"/>
  <c r="O904" i="1"/>
  <c r="E904" i="1"/>
  <c r="O903" i="1"/>
  <c r="E903" i="1"/>
  <c r="O902" i="1"/>
  <c r="E902" i="1"/>
  <c r="O901" i="1"/>
  <c r="E901" i="1"/>
  <c r="O900" i="1"/>
  <c r="E900" i="1"/>
  <c r="O899" i="1"/>
  <c r="E899" i="1"/>
  <c r="O898" i="1"/>
  <c r="E898" i="1"/>
  <c r="O897" i="1"/>
  <c r="E897" i="1"/>
  <c r="O896" i="1"/>
  <c r="E896" i="1"/>
  <c r="O895" i="1"/>
  <c r="E895" i="1"/>
  <c r="O894" i="1"/>
  <c r="E894" i="1"/>
  <c r="O893" i="1"/>
  <c r="E893" i="1"/>
  <c r="O892" i="1"/>
  <c r="E892" i="1"/>
  <c r="O891" i="1"/>
  <c r="E891" i="1"/>
  <c r="O890" i="1"/>
  <c r="E890" i="1"/>
  <c r="O889" i="1"/>
  <c r="E889" i="1"/>
  <c r="O888" i="1"/>
  <c r="E888" i="1"/>
  <c r="O887" i="1"/>
  <c r="E887" i="1"/>
  <c r="O886" i="1"/>
  <c r="E886" i="1"/>
  <c r="O885" i="1"/>
  <c r="E885" i="1"/>
  <c r="O884" i="1"/>
  <c r="E884" i="1"/>
  <c r="O883" i="1"/>
  <c r="E883" i="1"/>
  <c r="O882" i="1"/>
  <c r="E882" i="1"/>
  <c r="O881" i="1"/>
  <c r="E881" i="1"/>
  <c r="O880" i="1"/>
  <c r="E880" i="1"/>
  <c r="O879" i="1"/>
  <c r="E879" i="1"/>
  <c r="O878" i="1"/>
  <c r="E878" i="1"/>
  <c r="O877" i="1"/>
  <c r="E877" i="1"/>
  <c r="O876" i="1"/>
  <c r="E876" i="1"/>
  <c r="O875" i="1"/>
  <c r="E875" i="1"/>
  <c r="O874" i="1"/>
  <c r="E874" i="1"/>
  <c r="O873" i="1"/>
  <c r="E873" i="1"/>
  <c r="O872" i="1"/>
  <c r="E872" i="1"/>
  <c r="O871" i="1"/>
  <c r="E871" i="1"/>
  <c r="O870" i="1"/>
  <c r="E870" i="1"/>
  <c r="O869" i="1"/>
  <c r="E869" i="1"/>
  <c r="O868" i="1"/>
  <c r="E868" i="1"/>
  <c r="O867" i="1"/>
  <c r="E867" i="1"/>
  <c r="O866" i="1"/>
  <c r="E866" i="1"/>
  <c r="O865" i="1"/>
  <c r="E865" i="1"/>
  <c r="O864" i="1"/>
  <c r="E864" i="1"/>
  <c r="O863" i="1"/>
  <c r="E863" i="1"/>
  <c r="O862" i="1"/>
  <c r="E862" i="1"/>
  <c r="O861" i="1"/>
  <c r="E861" i="1"/>
  <c r="O860" i="1"/>
  <c r="E860" i="1"/>
  <c r="O859" i="1"/>
  <c r="E859" i="1"/>
  <c r="O858" i="1"/>
  <c r="E858" i="1"/>
  <c r="O857" i="1"/>
  <c r="E857" i="1"/>
  <c r="O856" i="1"/>
  <c r="E856" i="1"/>
  <c r="O855" i="1"/>
  <c r="E855" i="1"/>
  <c r="O854" i="1"/>
  <c r="E854" i="1"/>
  <c r="O853" i="1"/>
  <c r="E853" i="1"/>
  <c r="O852" i="1"/>
  <c r="E852" i="1"/>
  <c r="O851" i="1"/>
  <c r="E851" i="1"/>
  <c r="O850" i="1"/>
  <c r="E850" i="1"/>
  <c r="O849" i="1"/>
  <c r="E849" i="1"/>
  <c r="O848" i="1"/>
  <c r="E848" i="1"/>
  <c r="O847" i="1"/>
  <c r="E847" i="1"/>
  <c r="O846" i="1"/>
  <c r="E846" i="1"/>
  <c r="O845" i="1"/>
  <c r="E845" i="1"/>
  <c r="E1175" i="1"/>
  <c r="G1047" i="1"/>
  <c r="D1002" i="1"/>
  <c r="G989" i="1"/>
  <c r="K978" i="1"/>
  <c r="S967" i="1"/>
  <c r="E958" i="1"/>
  <c r="H950" i="1"/>
  <c r="C944" i="1"/>
  <c r="H938" i="1"/>
  <c r="C933" i="1"/>
  <c r="E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G865" i="1"/>
  <c r="D864" i="1"/>
  <c r="P862" i="1"/>
  <c r="G861" i="1"/>
  <c r="D860" i="1"/>
  <c r="P858" i="1"/>
  <c r="G857" i="1"/>
  <c r="D856" i="1"/>
  <c r="P854" i="1"/>
  <c r="G853" i="1"/>
  <c r="D852" i="1"/>
  <c r="P850" i="1"/>
  <c r="G849" i="1"/>
  <c r="D848" i="1"/>
  <c r="Q846" i="1"/>
  <c r="Q845" i="1"/>
  <c r="Q844" i="1"/>
  <c r="E844" i="1"/>
  <c r="K843" i="1"/>
  <c r="Q842" i="1"/>
  <c r="E842" i="1"/>
  <c r="K841" i="1"/>
  <c r="Q840" i="1"/>
  <c r="E840" i="1"/>
  <c r="K839" i="1"/>
  <c r="Q838" i="1"/>
  <c r="E838" i="1"/>
  <c r="K837" i="1"/>
  <c r="Q836" i="1"/>
  <c r="E836" i="1"/>
  <c r="K835" i="1"/>
  <c r="S834" i="1"/>
  <c r="H834" i="1"/>
  <c r="S833" i="1"/>
  <c r="H833" i="1"/>
  <c r="S832" i="1"/>
  <c r="H832" i="1"/>
  <c r="S831" i="1"/>
  <c r="H831" i="1"/>
  <c r="S830" i="1"/>
  <c r="H830" i="1"/>
  <c r="S829" i="1"/>
  <c r="H829" i="1"/>
  <c r="S828" i="1"/>
  <c r="H828" i="1"/>
  <c r="S827" i="1"/>
  <c r="H827" i="1"/>
  <c r="S826" i="1"/>
  <c r="H826" i="1"/>
  <c r="S825" i="1"/>
  <c r="H825" i="1"/>
  <c r="S824" i="1"/>
  <c r="H824" i="1"/>
  <c r="S823" i="1"/>
  <c r="H823" i="1"/>
  <c r="S822" i="1"/>
  <c r="H822" i="1"/>
  <c r="S821" i="1"/>
  <c r="H821" i="1"/>
  <c r="S820" i="1"/>
  <c r="H820" i="1"/>
  <c r="S819" i="1"/>
  <c r="H819" i="1"/>
  <c r="S818" i="1"/>
  <c r="H818" i="1"/>
  <c r="S817" i="1"/>
  <c r="H817" i="1"/>
  <c r="S816" i="1"/>
  <c r="H816" i="1"/>
  <c r="S815" i="1"/>
  <c r="H815" i="1"/>
  <c r="S814" i="1"/>
  <c r="H814" i="1"/>
  <c r="S813" i="1"/>
  <c r="H813" i="1"/>
  <c r="S812" i="1"/>
  <c r="H812" i="1"/>
  <c r="S811" i="1"/>
  <c r="H811" i="1"/>
  <c r="S810" i="1"/>
  <c r="H810" i="1"/>
  <c r="S809" i="1"/>
  <c r="H809" i="1"/>
  <c r="S808" i="1"/>
  <c r="H808" i="1"/>
  <c r="S807" i="1"/>
  <c r="H807" i="1"/>
  <c r="S806" i="1"/>
  <c r="H806" i="1"/>
  <c r="S805" i="1"/>
  <c r="H805" i="1"/>
  <c r="S804" i="1"/>
  <c r="H804" i="1"/>
  <c r="S803" i="1"/>
  <c r="H803" i="1"/>
  <c r="S802" i="1"/>
  <c r="H802" i="1"/>
  <c r="S801" i="1"/>
  <c r="H801" i="1"/>
  <c r="S800" i="1"/>
  <c r="H800" i="1"/>
  <c r="S799" i="1"/>
  <c r="H799" i="1"/>
  <c r="S798" i="1"/>
  <c r="H798" i="1"/>
  <c r="S797" i="1"/>
  <c r="H797" i="1"/>
  <c r="S796" i="1"/>
  <c r="H796" i="1"/>
  <c r="S795" i="1"/>
  <c r="H795" i="1"/>
  <c r="S794" i="1"/>
  <c r="H794" i="1"/>
  <c r="S793" i="1"/>
  <c r="H793" i="1"/>
  <c r="S792" i="1"/>
  <c r="H792" i="1"/>
  <c r="S791" i="1"/>
  <c r="H791" i="1"/>
  <c r="S790" i="1"/>
  <c r="H790" i="1"/>
  <c r="S789" i="1"/>
  <c r="H789" i="1"/>
  <c r="S788" i="1"/>
  <c r="H788" i="1"/>
  <c r="S787" i="1"/>
  <c r="H787" i="1"/>
  <c r="S786" i="1"/>
  <c r="H786" i="1"/>
  <c r="S785" i="1"/>
  <c r="H785" i="1"/>
  <c r="S784" i="1"/>
  <c r="H784" i="1"/>
  <c r="S783" i="1"/>
  <c r="H783" i="1"/>
  <c r="S782" i="1"/>
  <c r="H782" i="1"/>
  <c r="S781" i="1"/>
  <c r="H781" i="1"/>
  <c r="S780" i="1"/>
  <c r="H780" i="1"/>
  <c r="S779" i="1"/>
  <c r="H779" i="1"/>
  <c r="S778" i="1"/>
  <c r="H778" i="1"/>
  <c r="S777" i="1"/>
  <c r="H777" i="1"/>
  <c r="S776" i="1"/>
  <c r="H776" i="1"/>
  <c r="S775" i="1"/>
  <c r="H775" i="1"/>
  <c r="S774" i="1"/>
  <c r="H774" i="1"/>
  <c r="S773" i="1"/>
  <c r="H773" i="1"/>
  <c r="S772" i="1"/>
  <c r="H772" i="1"/>
  <c r="S771" i="1"/>
  <c r="H771" i="1"/>
  <c r="S770" i="1"/>
  <c r="H770" i="1"/>
  <c r="S769" i="1"/>
  <c r="H769" i="1"/>
  <c r="S768" i="1"/>
  <c r="H768" i="1"/>
  <c r="S767" i="1"/>
  <c r="H767" i="1"/>
  <c r="S766" i="1"/>
  <c r="H766" i="1"/>
  <c r="S765" i="1"/>
  <c r="H765" i="1"/>
  <c r="S764" i="1"/>
  <c r="H764" i="1"/>
  <c r="S763" i="1"/>
  <c r="H763" i="1"/>
  <c r="S762" i="1"/>
  <c r="H762" i="1"/>
  <c r="S761" i="1"/>
  <c r="H761" i="1"/>
  <c r="S760" i="1"/>
  <c r="H760" i="1"/>
  <c r="S759" i="1"/>
  <c r="H759" i="1"/>
  <c r="S758" i="1"/>
  <c r="H758" i="1"/>
  <c r="S757" i="1"/>
  <c r="H757" i="1"/>
  <c r="S756" i="1"/>
  <c r="H756" i="1"/>
  <c r="S755" i="1"/>
  <c r="H755" i="1"/>
  <c r="S754" i="1"/>
  <c r="H754" i="1"/>
  <c r="S753" i="1"/>
  <c r="H753" i="1"/>
  <c r="S752" i="1"/>
  <c r="H752" i="1"/>
  <c r="S751" i="1"/>
  <c r="H751" i="1"/>
  <c r="S750" i="1"/>
  <c r="H750" i="1"/>
  <c r="S749" i="1"/>
  <c r="H749" i="1"/>
  <c r="S748" i="1"/>
  <c r="H748" i="1"/>
  <c r="S747" i="1"/>
  <c r="H747" i="1"/>
  <c r="S746" i="1"/>
  <c r="H746" i="1"/>
  <c r="S745" i="1"/>
  <c r="H745" i="1"/>
  <c r="S744" i="1"/>
  <c r="H744" i="1"/>
  <c r="S743" i="1"/>
  <c r="H743" i="1"/>
  <c r="S742" i="1"/>
  <c r="H742" i="1"/>
  <c r="S741" i="1"/>
  <c r="H741" i="1"/>
  <c r="S740" i="1"/>
  <c r="H740" i="1"/>
  <c r="S739" i="1"/>
  <c r="H739" i="1"/>
  <c r="S738" i="1"/>
  <c r="H738" i="1"/>
  <c r="S737" i="1"/>
  <c r="H737" i="1"/>
  <c r="S736" i="1"/>
  <c r="H736" i="1"/>
  <c r="S735" i="1"/>
  <c r="H735" i="1"/>
  <c r="S734" i="1"/>
  <c r="H734" i="1"/>
  <c r="S733" i="1"/>
  <c r="H733" i="1"/>
  <c r="S732" i="1"/>
  <c r="Q1131" i="1"/>
  <c r="S1040" i="1"/>
  <c r="H999" i="1"/>
  <c r="S987" i="1"/>
  <c r="G977" i="1"/>
  <c r="K966" i="1"/>
  <c r="E957" i="1"/>
  <c r="O949" i="1"/>
  <c r="F943" i="1"/>
  <c r="P937" i="1"/>
  <c r="H932" i="1"/>
  <c r="L927" i="1"/>
  <c r="L923" i="1"/>
  <c r="L919" i="1"/>
  <c r="L915" i="1"/>
  <c r="L911" i="1"/>
  <c r="L907" i="1"/>
  <c r="L903" i="1"/>
  <c r="L899" i="1"/>
  <c r="L895" i="1"/>
  <c r="L891" i="1"/>
  <c r="L887" i="1"/>
  <c r="L883" i="1"/>
  <c r="L879" i="1"/>
  <c r="L875" i="1"/>
  <c r="L871" i="1"/>
  <c r="L867" i="1"/>
  <c r="F865" i="1"/>
  <c r="Q863" i="1"/>
  <c r="L862" i="1"/>
  <c r="F861" i="1"/>
  <c r="Q859" i="1"/>
  <c r="L858" i="1"/>
  <c r="F857" i="1"/>
  <c r="Q855" i="1"/>
  <c r="L854" i="1"/>
  <c r="F853" i="1"/>
  <c r="Q851" i="1"/>
  <c r="L850" i="1"/>
  <c r="F849" i="1"/>
  <c r="Q847" i="1"/>
  <c r="P846" i="1"/>
  <c r="P845" i="1"/>
  <c r="P844" i="1"/>
  <c r="D844" i="1"/>
  <c r="H843" i="1"/>
  <c r="P842" i="1"/>
  <c r="D842" i="1"/>
  <c r="H841" i="1"/>
  <c r="P840" i="1"/>
  <c r="D840" i="1"/>
  <c r="H839" i="1"/>
  <c r="P838" i="1"/>
  <c r="D838" i="1"/>
  <c r="H837" i="1"/>
  <c r="P836" i="1"/>
  <c r="D836" i="1"/>
  <c r="H835" i="1"/>
  <c r="Q834" i="1"/>
  <c r="G834" i="1"/>
  <c r="Q833" i="1"/>
  <c r="G833" i="1"/>
  <c r="Q832" i="1"/>
  <c r="G832" i="1"/>
  <c r="Q831" i="1"/>
  <c r="G831" i="1"/>
  <c r="Q830" i="1"/>
  <c r="G830" i="1"/>
  <c r="Q829" i="1"/>
  <c r="G829" i="1"/>
  <c r="Q828" i="1"/>
  <c r="G828" i="1"/>
  <c r="Q827" i="1"/>
  <c r="G827" i="1"/>
  <c r="Q826" i="1"/>
  <c r="G826" i="1"/>
  <c r="Q825" i="1"/>
  <c r="G825" i="1"/>
  <c r="Q824" i="1"/>
  <c r="G824" i="1"/>
  <c r="Q823" i="1"/>
  <c r="G823" i="1"/>
  <c r="Q822" i="1"/>
  <c r="G822" i="1"/>
  <c r="Q821" i="1"/>
  <c r="G821" i="1"/>
  <c r="Q820" i="1"/>
  <c r="G820" i="1"/>
  <c r="Q819" i="1"/>
  <c r="G819" i="1"/>
  <c r="Q818" i="1"/>
  <c r="G818" i="1"/>
  <c r="Q817" i="1"/>
  <c r="G817" i="1"/>
  <c r="Q816" i="1"/>
  <c r="G816" i="1"/>
  <c r="Q815" i="1"/>
  <c r="G815" i="1"/>
  <c r="Q814" i="1"/>
  <c r="G814" i="1"/>
  <c r="Q813" i="1"/>
  <c r="G813" i="1"/>
  <c r="Q812" i="1"/>
  <c r="G812" i="1"/>
  <c r="Q811" i="1"/>
  <c r="G811" i="1"/>
  <c r="Q810" i="1"/>
  <c r="G810" i="1"/>
  <c r="Q809" i="1"/>
  <c r="G809" i="1"/>
  <c r="Q808" i="1"/>
  <c r="G808" i="1"/>
  <c r="Q807" i="1"/>
  <c r="G807" i="1"/>
  <c r="Q806" i="1"/>
  <c r="G806" i="1"/>
  <c r="Q805" i="1"/>
  <c r="G805" i="1"/>
  <c r="Q804" i="1"/>
  <c r="G804" i="1"/>
  <c r="Q803" i="1"/>
  <c r="G803" i="1"/>
  <c r="Q802" i="1"/>
  <c r="G802" i="1"/>
  <c r="Q801" i="1"/>
  <c r="G801" i="1"/>
  <c r="Q800" i="1"/>
  <c r="G800" i="1"/>
  <c r="Q799" i="1"/>
  <c r="G799" i="1"/>
  <c r="Q798" i="1"/>
  <c r="G798" i="1"/>
  <c r="Q797" i="1"/>
  <c r="G797" i="1"/>
  <c r="Q796" i="1"/>
  <c r="G796" i="1"/>
  <c r="Q795" i="1"/>
  <c r="G795" i="1"/>
  <c r="Q794" i="1"/>
  <c r="G794" i="1"/>
  <c r="Q793" i="1"/>
  <c r="G793" i="1"/>
  <c r="Q792" i="1"/>
  <c r="G792" i="1"/>
  <c r="Q791" i="1"/>
  <c r="G791" i="1"/>
  <c r="Q790" i="1"/>
  <c r="G790" i="1"/>
  <c r="Q789" i="1"/>
  <c r="G789" i="1"/>
  <c r="Q788" i="1"/>
  <c r="G788" i="1"/>
  <c r="Q787" i="1"/>
  <c r="G787" i="1"/>
  <c r="Q786" i="1"/>
  <c r="G786" i="1"/>
  <c r="Q785" i="1"/>
  <c r="G785" i="1"/>
  <c r="Q784" i="1"/>
  <c r="G784" i="1"/>
  <c r="Q783" i="1"/>
  <c r="G783" i="1"/>
  <c r="Q782" i="1"/>
  <c r="G782" i="1"/>
  <c r="Q781" i="1"/>
  <c r="G781" i="1"/>
  <c r="Q780" i="1"/>
  <c r="G780" i="1"/>
  <c r="Q779" i="1"/>
  <c r="G779" i="1"/>
  <c r="Q778" i="1"/>
  <c r="G778" i="1"/>
  <c r="Q777" i="1"/>
  <c r="G777" i="1"/>
  <c r="Q776" i="1"/>
  <c r="G776" i="1"/>
  <c r="Q775" i="1"/>
  <c r="G775" i="1"/>
  <c r="Q774" i="1"/>
  <c r="G774" i="1"/>
  <c r="Q773" i="1"/>
  <c r="G773" i="1"/>
  <c r="Q772" i="1"/>
  <c r="G772" i="1"/>
  <c r="Q771" i="1"/>
  <c r="G771" i="1"/>
  <c r="Q770" i="1"/>
  <c r="G770" i="1"/>
  <c r="Q769" i="1"/>
  <c r="G769" i="1"/>
  <c r="Q768" i="1"/>
  <c r="G768" i="1"/>
  <c r="Q767" i="1"/>
  <c r="G767" i="1"/>
  <c r="Q766" i="1"/>
  <c r="G766" i="1"/>
  <c r="Q765" i="1"/>
  <c r="G765" i="1"/>
  <c r="Q764" i="1"/>
  <c r="G764" i="1"/>
  <c r="Q763" i="1"/>
  <c r="G763" i="1"/>
  <c r="Q762" i="1"/>
  <c r="G762" i="1"/>
  <c r="Q761" i="1"/>
  <c r="G761" i="1"/>
  <c r="Q760" i="1"/>
  <c r="G760" i="1"/>
  <c r="Q759" i="1"/>
  <c r="G759" i="1"/>
  <c r="Q758" i="1"/>
  <c r="G758" i="1"/>
  <c r="Q757" i="1"/>
  <c r="G757" i="1"/>
  <c r="Q756" i="1"/>
  <c r="G756" i="1"/>
  <c r="Q755" i="1"/>
  <c r="G755" i="1"/>
  <c r="Q754" i="1"/>
  <c r="G754" i="1"/>
  <c r="Q753" i="1"/>
  <c r="G753" i="1"/>
  <c r="Q752" i="1"/>
  <c r="G752" i="1"/>
  <c r="Q751" i="1"/>
  <c r="G751" i="1"/>
  <c r="Q750" i="1"/>
  <c r="G750" i="1"/>
  <c r="Q749" i="1"/>
  <c r="G749" i="1"/>
  <c r="Q748" i="1"/>
  <c r="G748" i="1"/>
  <c r="Q747" i="1"/>
  <c r="G747" i="1"/>
  <c r="Q746" i="1"/>
  <c r="G746" i="1"/>
  <c r="Q745" i="1"/>
  <c r="G745" i="1"/>
  <c r="Q744" i="1"/>
  <c r="G744" i="1"/>
  <c r="Q743" i="1"/>
  <c r="G743" i="1"/>
  <c r="Q742" i="1"/>
  <c r="G742" i="1"/>
  <c r="Q741" i="1"/>
  <c r="G741" i="1"/>
  <c r="Q740" i="1"/>
  <c r="G740" i="1"/>
  <c r="Q739" i="1"/>
  <c r="G739" i="1"/>
  <c r="Q738" i="1"/>
  <c r="G738" i="1"/>
  <c r="Q737" i="1"/>
  <c r="G737" i="1"/>
  <c r="Q736" i="1"/>
  <c r="G736" i="1"/>
  <c r="Q1099" i="1"/>
  <c r="I1034" i="1"/>
  <c r="H997" i="1"/>
  <c r="K986" i="1"/>
  <c r="S975" i="1"/>
  <c r="G965" i="1"/>
  <c r="E956" i="1"/>
  <c r="Q948" i="1"/>
  <c r="H942" i="1"/>
  <c r="C937" i="1"/>
  <c r="P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5" i="1"/>
  <c r="P863" i="1"/>
  <c r="G862" i="1"/>
  <c r="D861" i="1"/>
  <c r="P859" i="1"/>
  <c r="G858" i="1"/>
  <c r="D857" i="1"/>
  <c r="P855" i="1"/>
  <c r="G854" i="1"/>
  <c r="D853" i="1"/>
  <c r="P851" i="1"/>
  <c r="G850" i="1"/>
  <c r="D849" i="1"/>
  <c r="P847" i="1"/>
  <c r="L846" i="1"/>
  <c r="L845" i="1"/>
  <c r="O844" i="1"/>
  <c r="C844" i="1"/>
  <c r="G843" i="1"/>
  <c r="O842" i="1"/>
  <c r="C842" i="1"/>
  <c r="G841" i="1"/>
  <c r="O840" i="1"/>
  <c r="C840" i="1"/>
  <c r="G839" i="1"/>
  <c r="O838" i="1"/>
  <c r="C838" i="1"/>
  <c r="G837" i="1"/>
  <c r="O836" i="1"/>
  <c r="C836" i="1"/>
  <c r="G835" i="1"/>
  <c r="P834" i="1"/>
  <c r="F834" i="1"/>
  <c r="P833" i="1"/>
  <c r="F833" i="1"/>
  <c r="P832" i="1"/>
  <c r="F832" i="1"/>
  <c r="P831" i="1"/>
  <c r="F831" i="1"/>
  <c r="P830" i="1"/>
  <c r="F830" i="1"/>
  <c r="P829" i="1"/>
  <c r="F829" i="1"/>
  <c r="P828" i="1"/>
  <c r="F828" i="1"/>
  <c r="P827" i="1"/>
  <c r="F827" i="1"/>
  <c r="P826" i="1"/>
  <c r="F826" i="1"/>
  <c r="P825" i="1"/>
  <c r="F825" i="1"/>
  <c r="P824" i="1"/>
  <c r="F824" i="1"/>
  <c r="P823" i="1"/>
  <c r="F823" i="1"/>
  <c r="P822" i="1"/>
  <c r="F822" i="1"/>
  <c r="P821" i="1"/>
  <c r="F821" i="1"/>
  <c r="P820" i="1"/>
  <c r="F820" i="1"/>
  <c r="P819" i="1"/>
  <c r="F819" i="1"/>
  <c r="P818" i="1"/>
  <c r="F818" i="1"/>
  <c r="P817" i="1"/>
  <c r="F817" i="1"/>
  <c r="P816" i="1"/>
  <c r="F816" i="1"/>
  <c r="P815" i="1"/>
  <c r="F815" i="1"/>
  <c r="P814" i="1"/>
  <c r="F814" i="1"/>
  <c r="P813" i="1"/>
  <c r="F813" i="1"/>
  <c r="P812" i="1"/>
  <c r="F812" i="1"/>
  <c r="P811" i="1"/>
  <c r="F811" i="1"/>
  <c r="P810" i="1"/>
  <c r="F810" i="1"/>
  <c r="P809" i="1"/>
  <c r="F809" i="1"/>
  <c r="P808" i="1"/>
  <c r="F808" i="1"/>
  <c r="P807" i="1"/>
  <c r="F807" i="1"/>
  <c r="P806" i="1"/>
  <c r="F806" i="1"/>
  <c r="P805" i="1"/>
  <c r="F805" i="1"/>
  <c r="P804" i="1"/>
  <c r="F804" i="1"/>
  <c r="P803" i="1"/>
  <c r="F803" i="1"/>
  <c r="P802" i="1"/>
  <c r="F802" i="1"/>
  <c r="P801" i="1"/>
  <c r="F801" i="1"/>
  <c r="P800" i="1"/>
  <c r="F800" i="1"/>
  <c r="P799" i="1"/>
  <c r="F799" i="1"/>
  <c r="P798" i="1"/>
  <c r="F798" i="1"/>
  <c r="P797" i="1"/>
  <c r="F797" i="1"/>
  <c r="P796" i="1"/>
  <c r="F796" i="1"/>
  <c r="P795" i="1"/>
  <c r="F795" i="1"/>
  <c r="P794" i="1"/>
  <c r="F794" i="1"/>
  <c r="P793" i="1"/>
  <c r="F793" i="1"/>
  <c r="P792" i="1"/>
  <c r="F792" i="1"/>
  <c r="P791" i="1"/>
  <c r="F791" i="1"/>
  <c r="P790" i="1"/>
  <c r="F790" i="1"/>
  <c r="P789" i="1"/>
  <c r="F789" i="1"/>
  <c r="P788" i="1"/>
  <c r="F788" i="1"/>
  <c r="P787" i="1"/>
  <c r="F787" i="1"/>
  <c r="P786" i="1"/>
  <c r="F786" i="1"/>
  <c r="P785" i="1"/>
  <c r="F785" i="1"/>
  <c r="P784" i="1"/>
  <c r="F784" i="1"/>
  <c r="P783" i="1"/>
  <c r="F783" i="1"/>
  <c r="P782" i="1"/>
  <c r="F782" i="1"/>
  <c r="P781" i="1"/>
  <c r="F781" i="1"/>
  <c r="P780" i="1"/>
  <c r="F780" i="1"/>
  <c r="P779" i="1"/>
  <c r="F779" i="1"/>
  <c r="P778" i="1"/>
  <c r="F778" i="1"/>
  <c r="P777" i="1"/>
  <c r="F777" i="1"/>
  <c r="P776" i="1"/>
  <c r="F776" i="1"/>
  <c r="P775" i="1"/>
  <c r="F775" i="1"/>
  <c r="P774" i="1"/>
  <c r="F774" i="1"/>
  <c r="P773" i="1"/>
  <c r="F773" i="1"/>
  <c r="P772" i="1"/>
  <c r="F772" i="1"/>
  <c r="P771" i="1"/>
  <c r="F771" i="1"/>
  <c r="P770" i="1"/>
  <c r="F770" i="1"/>
  <c r="P769" i="1"/>
  <c r="F769" i="1"/>
  <c r="P768" i="1"/>
  <c r="F768" i="1"/>
  <c r="P767" i="1"/>
  <c r="F767" i="1"/>
  <c r="P766" i="1"/>
  <c r="F766" i="1"/>
  <c r="P765" i="1"/>
  <c r="F765" i="1"/>
  <c r="P764" i="1"/>
  <c r="F764" i="1"/>
  <c r="P763" i="1"/>
  <c r="F763" i="1"/>
  <c r="P762" i="1"/>
  <c r="F762" i="1"/>
  <c r="P761" i="1"/>
  <c r="F761" i="1"/>
  <c r="P760" i="1"/>
  <c r="F760" i="1"/>
  <c r="P759" i="1"/>
  <c r="F759" i="1"/>
  <c r="P758" i="1"/>
  <c r="F758" i="1"/>
  <c r="P757" i="1"/>
  <c r="F757" i="1"/>
  <c r="P756" i="1"/>
  <c r="F756" i="1"/>
  <c r="P755" i="1"/>
  <c r="F755" i="1"/>
  <c r="P754" i="1"/>
  <c r="F754" i="1"/>
  <c r="P753" i="1"/>
  <c r="F753" i="1"/>
  <c r="P752" i="1"/>
  <c r="F752" i="1"/>
  <c r="P751" i="1"/>
  <c r="F751" i="1"/>
  <c r="P750" i="1"/>
  <c r="F750" i="1"/>
  <c r="P749" i="1"/>
  <c r="F749" i="1"/>
  <c r="P748" i="1"/>
  <c r="F748" i="1"/>
  <c r="P747" i="1"/>
  <c r="F747" i="1"/>
  <c r="P746" i="1"/>
  <c r="F746" i="1"/>
  <c r="P745" i="1"/>
  <c r="F745" i="1"/>
  <c r="P744" i="1"/>
  <c r="F744" i="1"/>
  <c r="P743" i="1"/>
  <c r="F743" i="1"/>
  <c r="P742" i="1"/>
  <c r="F742" i="1"/>
  <c r="P741" i="1"/>
  <c r="F741" i="1"/>
  <c r="P740" i="1"/>
  <c r="F740" i="1"/>
  <c r="P739" i="1"/>
  <c r="F739" i="1"/>
  <c r="P738" i="1"/>
  <c r="F738" i="1"/>
  <c r="P737" i="1"/>
  <c r="F737" i="1"/>
  <c r="P736" i="1"/>
  <c r="F736" i="1"/>
  <c r="P735" i="1"/>
  <c r="F735" i="1"/>
  <c r="P734" i="1"/>
  <c r="F734" i="1"/>
  <c r="P733" i="1"/>
  <c r="F733" i="1"/>
  <c r="P732" i="1"/>
  <c r="O1082" i="1"/>
  <c r="C1028" i="1"/>
  <c r="S995" i="1"/>
  <c r="G985" i="1"/>
  <c r="K974" i="1"/>
  <c r="S963" i="1"/>
  <c r="E955" i="1"/>
  <c r="C948" i="1"/>
  <c r="P941" i="1"/>
  <c r="H936" i="1"/>
  <c r="C931" i="1"/>
  <c r="L926" i="1"/>
  <c r="L922" i="1"/>
  <c r="L918" i="1"/>
  <c r="L914" i="1"/>
  <c r="L910" i="1"/>
  <c r="L906" i="1"/>
  <c r="L902" i="1"/>
  <c r="L898" i="1"/>
  <c r="L894" i="1"/>
  <c r="L890" i="1"/>
  <c r="L886" i="1"/>
  <c r="L882" i="1"/>
  <c r="L878" i="1"/>
  <c r="L874" i="1"/>
  <c r="L870" i="1"/>
  <c r="L866" i="1"/>
  <c r="Q864" i="1"/>
  <c r="L863" i="1"/>
  <c r="F862" i="1"/>
  <c r="Q860" i="1"/>
  <c r="L859" i="1"/>
  <c r="F858" i="1"/>
  <c r="Q856" i="1"/>
  <c r="L855" i="1"/>
  <c r="F854" i="1"/>
  <c r="Q852" i="1"/>
  <c r="L851" i="1"/>
  <c r="F850" i="1"/>
  <c r="Q848" i="1"/>
  <c r="L847" i="1"/>
  <c r="K846" i="1"/>
  <c r="K845" i="1"/>
  <c r="L844" i="1"/>
  <c r="S843" i="1"/>
  <c r="F843" i="1"/>
  <c r="L842" i="1"/>
  <c r="S841" i="1"/>
  <c r="F841" i="1"/>
  <c r="L840" i="1"/>
  <c r="S839" i="1"/>
  <c r="F839" i="1"/>
  <c r="L838" i="1"/>
  <c r="S837" i="1"/>
  <c r="F837" i="1"/>
  <c r="L836" i="1"/>
  <c r="S835" i="1"/>
  <c r="F835" i="1"/>
  <c r="O834" i="1"/>
  <c r="E834" i="1"/>
  <c r="O833" i="1"/>
  <c r="E833" i="1"/>
  <c r="O832" i="1"/>
  <c r="E832" i="1"/>
  <c r="O831" i="1"/>
  <c r="E831" i="1"/>
  <c r="O830" i="1"/>
  <c r="E830" i="1"/>
  <c r="O829" i="1"/>
  <c r="E829" i="1"/>
  <c r="O828" i="1"/>
  <c r="E828" i="1"/>
  <c r="O827" i="1"/>
  <c r="E827" i="1"/>
  <c r="O826" i="1"/>
  <c r="E826" i="1"/>
  <c r="O825" i="1"/>
  <c r="E825" i="1"/>
  <c r="O824" i="1"/>
  <c r="E824" i="1"/>
  <c r="O823" i="1"/>
  <c r="E823" i="1"/>
  <c r="O822" i="1"/>
  <c r="E822" i="1"/>
  <c r="O821" i="1"/>
  <c r="E821" i="1"/>
  <c r="O820" i="1"/>
  <c r="E820" i="1"/>
  <c r="O819" i="1"/>
  <c r="E819" i="1"/>
  <c r="O818" i="1"/>
  <c r="E818" i="1"/>
  <c r="O817" i="1"/>
  <c r="E817" i="1"/>
  <c r="O816" i="1"/>
  <c r="E816" i="1"/>
  <c r="O815" i="1"/>
  <c r="E815" i="1"/>
  <c r="O814" i="1"/>
  <c r="E814" i="1"/>
  <c r="O813" i="1"/>
  <c r="E813" i="1"/>
  <c r="O812" i="1"/>
  <c r="E812" i="1"/>
  <c r="O811" i="1"/>
  <c r="E811" i="1"/>
  <c r="O810" i="1"/>
  <c r="E810" i="1"/>
  <c r="O809" i="1"/>
  <c r="E809" i="1"/>
  <c r="O808" i="1"/>
  <c r="E808" i="1"/>
  <c r="O807" i="1"/>
  <c r="E807" i="1"/>
  <c r="O806" i="1"/>
  <c r="E806" i="1"/>
  <c r="O805" i="1"/>
  <c r="E805" i="1"/>
  <c r="O804" i="1"/>
  <c r="E804" i="1"/>
  <c r="O803" i="1"/>
  <c r="E803" i="1"/>
  <c r="O802" i="1"/>
  <c r="E802" i="1"/>
  <c r="O801" i="1"/>
  <c r="E801" i="1"/>
  <c r="O800" i="1"/>
  <c r="E800" i="1"/>
  <c r="O799" i="1"/>
  <c r="E799" i="1"/>
  <c r="O798" i="1"/>
  <c r="E798" i="1"/>
  <c r="O797" i="1"/>
  <c r="E797" i="1"/>
  <c r="O796" i="1"/>
  <c r="E796" i="1"/>
  <c r="O795" i="1"/>
  <c r="E795" i="1"/>
  <c r="O794" i="1"/>
  <c r="E794" i="1"/>
  <c r="O793" i="1"/>
  <c r="E793" i="1"/>
  <c r="O792" i="1"/>
  <c r="E792" i="1"/>
  <c r="O791" i="1"/>
  <c r="E791" i="1"/>
  <c r="O790" i="1"/>
  <c r="E790" i="1"/>
  <c r="O789" i="1"/>
  <c r="E789" i="1"/>
  <c r="O788" i="1"/>
  <c r="E788" i="1"/>
  <c r="O787" i="1"/>
  <c r="E787" i="1"/>
  <c r="O786" i="1"/>
  <c r="E786" i="1"/>
  <c r="O785" i="1"/>
  <c r="E785" i="1"/>
  <c r="O784" i="1"/>
  <c r="E784" i="1"/>
  <c r="O783" i="1"/>
  <c r="E783" i="1"/>
  <c r="O782" i="1"/>
  <c r="E782" i="1"/>
  <c r="O781" i="1"/>
  <c r="E781" i="1"/>
  <c r="O780" i="1"/>
  <c r="E780" i="1"/>
  <c r="O779" i="1"/>
  <c r="E779" i="1"/>
  <c r="O778" i="1"/>
  <c r="E778" i="1"/>
  <c r="O777" i="1"/>
  <c r="E777" i="1"/>
  <c r="O776" i="1"/>
  <c r="E776" i="1"/>
  <c r="O775" i="1"/>
  <c r="E775" i="1"/>
  <c r="O774" i="1"/>
  <c r="E774" i="1"/>
  <c r="O773" i="1"/>
  <c r="E773" i="1"/>
  <c r="O772" i="1"/>
  <c r="E772" i="1"/>
  <c r="O771" i="1"/>
  <c r="E771" i="1"/>
  <c r="O770" i="1"/>
  <c r="E770" i="1"/>
  <c r="O769" i="1"/>
  <c r="E769" i="1"/>
  <c r="O768" i="1"/>
  <c r="E768" i="1"/>
  <c r="O767" i="1"/>
  <c r="E767" i="1"/>
  <c r="O766" i="1"/>
  <c r="E766" i="1"/>
  <c r="O765" i="1"/>
  <c r="E765" i="1"/>
  <c r="O764" i="1"/>
  <c r="E764" i="1"/>
  <c r="O763" i="1"/>
  <c r="E763" i="1"/>
  <c r="O762" i="1"/>
  <c r="E762" i="1"/>
  <c r="O761" i="1"/>
  <c r="E761" i="1"/>
  <c r="O760" i="1"/>
  <c r="E760" i="1"/>
  <c r="O759" i="1"/>
  <c r="E759" i="1"/>
  <c r="O758" i="1"/>
  <c r="E758" i="1"/>
  <c r="O757" i="1"/>
  <c r="E757" i="1"/>
  <c r="O756" i="1"/>
  <c r="E756" i="1"/>
  <c r="O755" i="1"/>
  <c r="E755" i="1"/>
  <c r="O754" i="1"/>
  <c r="E754" i="1"/>
  <c r="O753" i="1"/>
  <c r="E753" i="1"/>
  <c r="O752" i="1"/>
  <c r="E752" i="1"/>
  <c r="O751" i="1"/>
  <c r="E751" i="1"/>
  <c r="O750" i="1"/>
  <c r="E750" i="1"/>
  <c r="O749" i="1"/>
  <c r="E749" i="1"/>
  <c r="O748" i="1"/>
  <c r="E748" i="1"/>
  <c r="O747" i="1"/>
  <c r="E747" i="1"/>
  <c r="O746" i="1"/>
  <c r="E746" i="1"/>
  <c r="O745" i="1"/>
  <c r="E745" i="1"/>
  <c r="O744" i="1"/>
  <c r="E744" i="1"/>
  <c r="O743" i="1"/>
  <c r="E743" i="1"/>
  <c r="O742" i="1"/>
  <c r="E742" i="1"/>
  <c r="O741" i="1"/>
  <c r="E741" i="1"/>
  <c r="O740" i="1"/>
  <c r="E740" i="1"/>
  <c r="O739" i="1"/>
  <c r="E739" i="1"/>
  <c r="O738" i="1"/>
  <c r="E738" i="1"/>
  <c r="O737" i="1"/>
  <c r="E737" i="1"/>
  <c r="O736" i="1"/>
  <c r="E736" i="1"/>
  <c r="O735" i="1"/>
  <c r="L1073" i="1"/>
  <c r="D1022" i="1"/>
  <c r="K994" i="1"/>
  <c r="S983" i="1"/>
  <c r="G973" i="1"/>
  <c r="K962" i="1"/>
  <c r="E954" i="1"/>
  <c r="F947" i="1"/>
  <c r="C941" i="1"/>
  <c r="P935" i="1"/>
  <c r="I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P864" i="1"/>
  <c r="G863" i="1"/>
  <c r="D862" i="1"/>
  <c r="P860" i="1"/>
  <c r="G859" i="1"/>
  <c r="D858" i="1"/>
  <c r="P856" i="1"/>
  <c r="G855" i="1"/>
  <c r="D854" i="1"/>
  <c r="P852" i="1"/>
  <c r="G851" i="1"/>
  <c r="D850" i="1"/>
  <c r="P848" i="1"/>
  <c r="G847" i="1"/>
  <c r="G846" i="1"/>
  <c r="G845" i="1"/>
  <c r="K844" i="1"/>
  <c r="Q843" i="1"/>
  <c r="E843" i="1"/>
  <c r="K842" i="1"/>
  <c r="Q841" i="1"/>
  <c r="E841" i="1"/>
  <c r="K840" i="1"/>
  <c r="Q839" i="1"/>
  <c r="E839" i="1"/>
  <c r="K838" i="1"/>
  <c r="Q837" i="1"/>
  <c r="E837" i="1"/>
  <c r="K836" i="1"/>
  <c r="Q835" i="1"/>
  <c r="E835" i="1"/>
  <c r="L834" i="1"/>
  <c r="D834" i="1"/>
  <c r="L833" i="1"/>
  <c r="D833" i="1"/>
  <c r="L832" i="1"/>
  <c r="D832" i="1"/>
  <c r="L831" i="1"/>
  <c r="D831" i="1"/>
  <c r="L830" i="1"/>
  <c r="D830" i="1"/>
  <c r="L829" i="1"/>
  <c r="D829" i="1"/>
  <c r="L828" i="1"/>
  <c r="D828" i="1"/>
  <c r="L827" i="1"/>
  <c r="D827" i="1"/>
  <c r="L826" i="1"/>
  <c r="D826" i="1"/>
  <c r="L825" i="1"/>
  <c r="D825" i="1"/>
  <c r="L824" i="1"/>
  <c r="D824" i="1"/>
  <c r="L823" i="1"/>
  <c r="D823" i="1"/>
  <c r="L822" i="1"/>
  <c r="D822" i="1"/>
  <c r="L821" i="1"/>
  <c r="D821" i="1"/>
  <c r="L820" i="1"/>
  <c r="D820" i="1"/>
  <c r="L819" i="1"/>
  <c r="D819" i="1"/>
  <c r="L818" i="1"/>
  <c r="D818" i="1"/>
  <c r="L817" i="1"/>
  <c r="D817" i="1"/>
  <c r="L816" i="1"/>
  <c r="D816" i="1"/>
  <c r="L815" i="1"/>
  <c r="D815" i="1"/>
  <c r="L814" i="1"/>
  <c r="D814" i="1"/>
  <c r="L813" i="1"/>
  <c r="D813" i="1"/>
  <c r="L812" i="1"/>
  <c r="D812" i="1"/>
  <c r="L811" i="1"/>
  <c r="D811" i="1"/>
  <c r="L810" i="1"/>
  <c r="D810" i="1"/>
  <c r="L809" i="1"/>
  <c r="D809" i="1"/>
  <c r="L808" i="1"/>
  <c r="D808" i="1"/>
  <c r="L807" i="1"/>
  <c r="D807" i="1"/>
  <c r="L806" i="1"/>
  <c r="D806" i="1"/>
  <c r="L805" i="1"/>
  <c r="D805" i="1"/>
  <c r="L804" i="1"/>
  <c r="D804" i="1"/>
  <c r="L803" i="1"/>
  <c r="D803" i="1"/>
  <c r="L802" i="1"/>
  <c r="D802" i="1"/>
  <c r="L801" i="1"/>
  <c r="D801" i="1"/>
  <c r="L800" i="1"/>
  <c r="D800" i="1"/>
  <c r="L799" i="1"/>
  <c r="D799" i="1"/>
  <c r="L798" i="1"/>
  <c r="D798" i="1"/>
  <c r="L797" i="1"/>
  <c r="D797" i="1"/>
  <c r="L796" i="1"/>
  <c r="D796" i="1"/>
  <c r="L795" i="1"/>
  <c r="D795" i="1"/>
  <c r="L794" i="1"/>
  <c r="D794" i="1"/>
  <c r="L793" i="1"/>
  <c r="D793" i="1"/>
  <c r="L792" i="1"/>
  <c r="D792" i="1"/>
  <c r="L791" i="1"/>
  <c r="D791" i="1"/>
  <c r="L790" i="1"/>
  <c r="D790" i="1"/>
  <c r="L789" i="1"/>
  <c r="D789" i="1"/>
  <c r="L788" i="1"/>
  <c r="D788" i="1"/>
  <c r="L787" i="1"/>
  <c r="D787" i="1"/>
  <c r="L786" i="1"/>
  <c r="D786" i="1"/>
  <c r="L785" i="1"/>
  <c r="D785" i="1"/>
  <c r="L784" i="1"/>
  <c r="D784" i="1"/>
  <c r="L783" i="1"/>
  <c r="D783" i="1"/>
  <c r="L782" i="1"/>
  <c r="D782" i="1"/>
  <c r="L781" i="1"/>
  <c r="D781" i="1"/>
  <c r="L780" i="1"/>
  <c r="D780" i="1"/>
  <c r="L779" i="1"/>
  <c r="D779" i="1"/>
  <c r="L778" i="1"/>
  <c r="D778" i="1"/>
  <c r="L777" i="1"/>
  <c r="I1066" i="1"/>
  <c r="Q1016" i="1"/>
  <c r="G993" i="1"/>
  <c r="K982" i="1"/>
  <c r="S971" i="1"/>
  <c r="G961" i="1"/>
  <c r="E953" i="1"/>
  <c r="H946" i="1"/>
  <c r="H940" i="1"/>
  <c r="C935" i="1"/>
  <c r="S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Q865" i="1"/>
  <c r="L864" i="1"/>
  <c r="F863" i="1"/>
  <c r="Q861" i="1"/>
  <c r="L860" i="1"/>
  <c r="F859" i="1"/>
  <c r="Q857" i="1"/>
  <c r="L856" i="1"/>
  <c r="F855" i="1"/>
  <c r="Q853" i="1"/>
  <c r="L852" i="1"/>
  <c r="F851" i="1"/>
  <c r="Q849" i="1"/>
  <c r="L848" i="1"/>
  <c r="F847" i="1"/>
  <c r="F846" i="1"/>
  <c r="F845" i="1"/>
  <c r="H844" i="1"/>
  <c r="P843" i="1"/>
  <c r="D843" i="1"/>
  <c r="H842" i="1"/>
  <c r="P841" i="1"/>
  <c r="D841" i="1"/>
  <c r="H840" i="1"/>
  <c r="P839" i="1"/>
  <c r="D839" i="1"/>
  <c r="H838" i="1"/>
  <c r="P837" i="1"/>
  <c r="D837" i="1"/>
  <c r="H836" i="1"/>
  <c r="P835" i="1"/>
  <c r="D835" i="1"/>
  <c r="K834" i="1"/>
  <c r="C834" i="1"/>
  <c r="K833" i="1"/>
  <c r="C833" i="1"/>
  <c r="K832" i="1"/>
  <c r="C832" i="1"/>
  <c r="K831" i="1"/>
  <c r="C831" i="1"/>
  <c r="K830" i="1"/>
  <c r="C830" i="1"/>
  <c r="K829" i="1"/>
  <c r="C829" i="1"/>
  <c r="K828" i="1"/>
  <c r="C828" i="1"/>
  <c r="K827" i="1"/>
  <c r="C827" i="1"/>
  <c r="K826" i="1"/>
  <c r="C826" i="1"/>
  <c r="K825" i="1"/>
  <c r="C825" i="1"/>
  <c r="K824" i="1"/>
  <c r="C824" i="1"/>
  <c r="K823" i="1"/>
  <c r="C823" i="1"/>
  <c r="K822" i="1"/>
  <c r="C822" i="1"/>
  <c r="K821" i="1"/>
  <c r="C821" i="1"/>
  <c r="K820" i="1"/>
  <c r="C820" i="1"/>
  <c r="K819" i="1"/>
  <c r="C819" i="1"/>
  <c r="K818" i="1"/>
  <c r="C818" i="1"/>
  <c r="K817" i="1"/>
  <c r="C817" i="1"/>
  <c r="K816" i="1"/>
  <c r="C816" i="1"/>
  <c r="K815" i="1"/>
  <c r="C815" i="1"/>
  <c r="K814" i="1"/>
  <c r="C814" i="1"/>
  <c r="K813" i="1"/>
  <c r="C813" i="1"/>
  <c r="K812" i="1"/>
  <c r="C812" i="1"/>
  <c r="K811" i="1"/>
  <c r="C811" i="1"/>
  <c r="K810" i="1"/>
  <c r="C810" i="1"/>
  <c r="K809" i="1"/>
  <c r="C809" i="1"/>
  <c r="K808" i="1"/>
  <c r="C808" i="1"/>
  <c r="K807" i="1"/>
  <c r="C807" i="1"/>
  <c r="K806" i="1"/>
  <c r="C806" i="1"/>
  <c r="K805" i="1"/>
  <c r="C805" i="1"/>
  <c r="K804" i="1"/>
  <c r="C804" i="1"/>
  <c r="K803" i="1"/>
  <c r="C803" i="1"/>
  <c r="K802" i="1"/>
  <c r="C802" i="1"/>
  <c r="K801" i="1"/>
  <c r="C801" i="1"/>
  <c r="K800" i="1"/>
  <c r="C800" i="1"/>
  <c r="K799" i="1"/>
  <c r="C799" i="1"/>
  <c r="K798" i="1"/>
  <c r="C798" i="1"/>
  <c r="K797" i="1"/>
  <c r="C797" i="1"/>
  <c r="K796" i="1"/>
  <c r="C796" i="1"/>
  <c r="K795" i="1"/>
  <c r="C795" i="1"/>
  <c r="K794" i="1"/>
  <c r="C794" i="1"/>
  <c r="K793" i="1"/>
  <c r="C793" i="1"/>
  <c r="K792" i="1"/>
  <c r="C792" i="1"/>
  <c r="K791" i="1"/>
  <c r="C791" i="1"/>
  <c r="K790" i="1"/>
  <c r="C790" i="1"/>
  <c r="K789" i="1"/>
  <c r="C789" i="1"/>
  <c r="K788" i="1"/>
  <c r="C788" i="1"/>
  <c r="K787" i="1"/>
  <c r="C787" i="1"/>
  <c r="K786" i="1"/>
  <c r="C786" i="1"/>
  <c r="K785" i="1"/>
  <c r="C785" i="1"/>
  <c r="K784" i="1"/>
  <c r="C784" i="1"/>
  <c r="K783" i="1"/>
  <c r="C783" i="1"/>
  <c r="K782" i="1"/>
  <c r="C782" i="1"/>
  <c r="K781" i="1"/>
  <c r="C781" i="1"/>
  <c r="K780" i="1"/>
  <c r="C780" i="1"/>
  <c r="K779" i="1"/>
  <c r="C779" i="1"/>
  <c r="K778" i="1"/>
  <c r="C778" i="1"/>
  <c r="K777" i="1"/>
  <c r="C777" i="1"/>
  <c r="K776" i="1"/>
  <c r="C776" i="1"/>
  <c r="K775" i="1"/>
  <c r="C775" i="1"/>
  <c r="K774" i="1"/>
  <c r="C774" i="1"/>
  <c r="K773" i="1"/>
  <c r="C773" i="1"/>
  <c r="K772" i="1"/>
  <c r="C772" i="1"/>
  <c r="K771" i="1"/>
  <c r="C771" i="1"/>
  <c r="K770" i="1"/>
  <c r="C770" i="1"/>
  <c r="K769" i="1"/>
  <c r="C769" i="1"/>
  <c r="K768" i="1"/>
  <c r="C768" i="1"/>
  <c r="K767" i="1"/>
  <c r="C767" i="1"/>
  <c r="K766" i="1"/>
  <c r="C766" i="1"/>
  <c r="K765" i="1"/>
  <c r="C765" i="1"/>
  <c r="K764" i="1"/>
  <c r="C764" i="1"/>
  <c r="K763" i="1"/>
  <c r="C763" i="1"/>
  <c r="K762" i="1"/>
  <c r="C762" i="1"/>
  <c r="K761" i="1"/>
  <c r="C761" i="1"/>
  <c r="K760" i="1"/>
  <c r="C760" i="1"/>
  <c r="K759" i="1"/>
  <c r="C759" i="1"/>
  <c r="K758" i="1"/>
  <c r="C758" i="1"/>
  <c r="K757" i="1"/>
  <c r="C757" i="1"/>
  <c r="K756" i="1"/>
  <c r="C756" i="1"/>
  <c r="K755" i="1"/>
  <c r="C755" i="1"/>
  <c r="K754" i="1"/>
  <c r="C754" i="1"/>
  <c r="K753" i="1"/>
  <c r="C753" i="1"/>
  <c r="K752" i="1"/>
  <c r="C752" i="1"/>
  <c r="K751" i="1"/>
  <c r="C751" i="1"/>
  <c r="K750" i="1"/>
  <c r="C750" i="1"/>
  <c r="K749" i="1"/>
  <c r="C749" i="1"/>
  <c r="K748" i="1"/>
  <c r="C748" i="1"/>
  <c r="K747" i="1"/>
  <c r="C747" i="1"/>
  <c r="K746" i="1"/>
  <c r="C746" i="1"/>
  <c r="K745" i="1"/>
  <c r="C745" i="1"/>
  <c r="K744" i="1"/>
  <c r="C744" i="1"/>
  <c r="K743" i="1"/>
  <c r="C743" i="1"/>
  <c r="K742" i="1"/>
  <c r="C742" i="1"/>
  <c r="K741" i="1"/>
  <c r="C741" i="1"/>
  <c r="K740" i="1"/>
  <c r="C740" i="1"/>
  <c r="K739" i="1"/>
  <c r="C739" i="1"/>
  <c r="K738" i="1"/>
  <c r="C738" i="1"/>
  <c r="K737" i="1"/>
  <c r="C737" i="1"/>
  <c r="K736" i="1"/>
  <c r="C1060" i="1"/>
  <c r="K970" i="1"/>
  <c r="P939" i="1"/>
  <c r="D921" i="1"/>
  <c r="D905" i="1"/>
  <c r="D889" i="1"/>
  <c r="D873" i="1"/>
  <c r="D863" i="1"/>
  <c r="P857" i="1"/>
  <c r="G852" i="1"/>
  <c r="D847" i="1"/>
  <c r="O843" i="1"/>
  <c r="C841" i="1"/>
  <c r="G838" i="1"/>
  <c r="O835" i="1"/>
  <c r="J833" i="1"/>
  <c r="J831" i="1"/>
  <c r="J829" i="1"/>
  <c r="J827" i="1"/>
  <c r="J825" i="1"/>
  <c r="J823" i="1"/>
  <c r="J821" i="1"/>
  <c r="J819" i="1"/>
  <c r="J817" i="1"/>
  <c r="J815" i="1"/>
  <c r="J813" i="1"/>
  <c r="J811" i="1"/>
  <c r="J809" i="1"/>
  <c r="J807" i="1"/>
  <c r="J805" i="1"/>
  <c r="J803" i="1"/>
  <c r="J801" i="1"/>
  <c r="J799" i="1"/>
  <c r="J797" i="1"/>
  <c r="J795" i="1"/>
  <c r="J793" i="1"/>
  <c r="J791" i="1"/>
  <c r="J789" i="1"/>
  <c r="J787" i="1"/>
  <c r="J785" i="1"/>
  <c r="J783" i="1"/>
  <c r="J781" i="1"/>
  <c r="J779" i="1"/>
  <c r="J777" i="1"/>
  <c r="D776" i="1"/>
  <c r="T774" i="1"/>
  <c r="J773" i="1"/>
  <c r="D772" i="1"/>
  <c r="T770" i="1"/>
  <c r="J769" i="1"/>
  <c r="D768" i="1"/>
  <c r="T766" i="1"/>
  <c r="J765" i="1"/>
  <c r="D764" i="1"/>
  <c r="T762" i="1"/>
  <c r="J761" i="1"/>
  <c r="D760" i="1"/>
  <c r="T758" i="1"/>
  <c r="J757" i="1"/>
  <c r="D756" i="1"/>
  <c r="T754" i="1"/>
  <c r="J753" i="1"/>
  <c r="D752" i="1"/>
  <c r="T750" i="1"/>
  <c r="J749" i="1"/>
  <c r="D748" i="1"/>
  <c r="T746" i="1"/>
  <c r="J745" i="1"/>
  <c r="D744" i="1"/>
  <c r="T742" i="1"/>
  <c r="J741" i="1"/>
  <c r="D740" i="1"/>
  <c r="T738" i="1"/>
  <c r="J737" i="1"/>
  <c r="D736" i="1"/>
  <c r="I735" i="1"/>
  <c r="O734" i="1"/>
  <c r="C734" i="1"/>
  <c r="I733" i="1"/>
  <c r="O732" i="1"/>
  <c r="E732" i="1"/>
  <c r="O731" i="1"/>
  <c r="E731" i="1"/>
  <c r="O730" i="1"/>
  <c r="E730" i="1"/>
  <c r="O729" i="1"/>
  <c r="E729" i="1"/>
  <c r="O728" i="1"/>
  <c r="E728" i="1"/>
  <c r="O727" i="1"/>
  <c r="E727" i="1"/>
  <c r="O726" i="1"/>
  <c r="E726" i="1"/>
  <c r="O725" i="1"/>
  <c r="E725" i="1"/>
  <c r="O724" i="1"/>
  <c r="E724" i="1"/>
  <c r="O723" i="1"/>
  <c r="E723" i="1"/>
  <c r="O722" i="1"/>
  <c r="E722" i="1"/>
  <c r="O721" i="1"/>
  <c r="E721" i="1"/>
  <c r="O720" i="1"/>
  <c r="E720" i="1"/>
  <c r="O719" i="1"/>
  <c r="E719" i="1"/>
  <c r="O718" i="1"/>
  <c r="E718" i="1"/>
  <c r="O717" i="1"/>
  <c r="E717" i="1"/>
  <c r="O716" i="1"/>
  <c r="E716" i="1"/>
  <c r="O715" i="1"/>
  <c r="E715" i="1"/>
  <c r="O714" i="1"/>
  <c r="E714" i="1"/>
  <c r="O713" i="1"/>
  <c r="E713" i="1"/>
  <c r="O712" i="1"/>
  <c r="E712" i="1"/>
  <c r="O711" i="1"/>
  <c r="E711" i="1"/>
  <c r="O710" i="1"/>
  <c r="E710" i="1"/>
  <c r="O709" i="1"/>
  <c r="E709" i="1"/>
  <c r="O708" i="1"/>
  <c r="E708" i="1"/>
  <c r="O707" i="1"/>
  <c r="E707" i="1"/>
  <c r="O706" i="1"/>
  <c r="E706" i="1"/>
  <c r="O705" i="1"/>
  <c r="E705" i="1"/>
  <c r="O704" i="1"/>
  <c r="E704" i="1"/>
  <c r="O703" i="1"/>
  <c r="E703" i="1"/>
  <c r="O702" i="1"/>
  <c r="E702" i="1"/>
  <c r="O701" i="1"/>
  <c r="E701" i="1"/>
  <c r="O700" i="1"/>
  <c r="E700" i="1"/>
  <c r="O699" i="1"/>
  <c r="E699" i="1"/>
  <c r="O698" i="1"/>
  <c r="E698" i="1"/>
  <c r="O697" i="1"/>
  <c r="E697" i="1"/>
  <c r="O696" i="1"/>
  <c r="E696" i="1"/>
  <c r="O695" i="1"/>
  <c r="E695" i="1"/>
  <c r="O694" i="1"/>
  <c r="E694" i="1"/>
  <c r="O693" i="1"/>
  <c r="E693" i="1"/>
  <c r="O692" i="1"/>
  <c r="E692" i="1"/>
  <c r="O691" i="1"/>
  <c r="E691" i="1"/>
  <c r="O690" i="1"/>
  <c r="E690" i="1"/>
  <c r="O689" i="1"/>
  <c r="E689" i="1"/>
  <c r="O688" i="1"/>
  <c r="E688" i="1"/>
  <c r="O687" i="1"/>
  <c r="E687" i="1"/>
  <c r="O686" i="1"/>
  <c r="E686" i="1"/>
  <c r="O685" i="1"/>
  <c r="E685" i="1"/>
  <c r="O684" i="1"/>
  <c r="E684" i="1"/>
  <c r="O683" i="1"/>
  <c r="E683" i="1"/>
  <c r="O682" i="1"/>
  <c r="E682" i="1"/>
  <c r="O681" i="1"/>
  <c r="E681" i="1"/>
  <c r="O680" i="1"/>
  <c r="E680" i="1"/>
  <c r="O679" i="1"/>
  <c r="E679" i="1"/>
  <c r="O678" i="1"/>
  <c r="E678" i="1"/>
  <c r="O677" i="1"/>
  <c r="E677" i="1"/>
  <c r="O676" i="1"/>
  <c r="E676" i="1"/>
  <c r="O675" i="1"/>
  <c r="E675" i="1"/>
  <c r="O674" i="1"/>
  <c r="E674" i="1"/>
  <c r="O673" i="1"/>
  <c r="E673" i="1"/>
  <c r="O672" i="1"/>
  <c r="E672" i="1"/>
  <c r="O671" i="1"/>
  <c r="E671" i="1"/>
  <c r="O670" i="1"/>
  <c r="E670" i="1"/>
  <c r="O669" i="1"/>
  <c r="E669" i="1"/>
  <c r="O668" i="1"/>
  <c r="E668" i="1"/>
  <c r="O667" i="1"/>
  <c r="E667" i="1"/>
  <c r="O666" i="1"/>
  <c r="E666" i="1"/>
  <c r="O665" i="1"/>
  <c r="E665" i="1"/>
  <c r="O664" i="1"/>
  <c r="E664" i="1"/>
  <c r="O663" i="1"/>
  <c r="E663" i="1"/>
  <c r="O662" i="1"/>
  <c r="E662" i="1"/>
  <c r="O661" i="1"/>
  <c r="E661" i="1"/>
  <c r="O660" i="1"/>
  <c r="E660" i="1"/>
  <c r="O659" i="1"/>
  <c r="E659" i="1"/>
  <c r="O658" i="1"/>
  <c r="E658" i="1"/>
  <c r="O657" i="1"/>
  <c r="E657" i="1"/>
  <c r="O656" i="1"/>
  <c r="E656" i="1"/>
  <c r="O655" i="1"/>
  <c r="E655" i="1"/>
  <c r="O654" i="1"/>
  <c r="E654" i="1"/>
  <c r="O653" i="1"/>
  <c r="E653" i="1"/>
  <c r="O652" i="1"/>
  <c r="E652" i="1"/>
  <c r="O651" i="1"/>
  <c r="E651" i="1"/>
  <c r="O650" i="1"/>
  <c r="E650" i="1"/>
  <c r="O649" i="1"/>
  <c r="E649" i="1"/>
  <c r="O648" i="1"/>
  <c r="E648" i="1"/>
  <c r="O647" i="1"/>
  <c r="E647" i="1"/>
  <c r="O646" i="1"/>
  <c r="E646" i="1"/>
  <c r="O645" i="1"/>
  <c r="E645" i="1"/>
  <c r="O644" i="1"/>
  <c r="E644" i="1"/>
  <c r="O643" i="1"/>
  <c r="E643" i="1"/>
  <c r="O642" i="1"/>
  <c r="E642" i="1"/>
  <c r="O641" i="1"/>
  <c r="E641" i="1"/>
  <c r="O640" i="1"/>
  <c r="E640" i="1"/>
  <c r="O639" i="1"/>
  <c r="E639" i="1"/>
  <c r="O638" i="1"/>
  <c r="E638" i="1"/>
  <c r="O637" i="1"/>
  <c r="E637" i="1"/>
  <c r="O636" i="1"/>
  <c r="E636" i="1"/>
  <c r="O635" i="1"/>
  <c r="E635" i="1"/>
  <c r="O634" i="1"/>
  <c r="E634" i="1"/>
  <c r="O633" i="1"/>
  <c r="E633" i="1"/>
  <c r="O632" i="1"/>
  <c r="E632" i="1"/>
  <c r="O631" i="1"/>
  <c r="E631" i="1"/>
  <c r="O630" i="1"/>
  <c r="E630" i="1"/>
  <c r="O629" i="1"/>
  <c r="E629" i="1"/>
  <c r="O628" i="1"/>
  <c r="E628" i="1"/>
  <c r="O627" i="1"/>
  <c r="E627" i="1"/>
  <c r="O626" i="1"/>
  <c r="E626" i="1"/>
  <c r="O625" i="1"/>
  <c r="E625" i="1"/>
  <c r="O624" i="1"/>
  <c r="E624" i="1"/>
  <c r="O623" i="1"/>
  <c r="E623" i="1"/>
  <c r="O622" i="1"/>
  <c r="E622" i="1"/>
  <c r="O621" i="1"/>
  <c r="E621" i="1"/>
  <c r="O620" i="1"/>
  <c r="E620" i="1"/>
  <c r="O619" i="1"/>
  <c r="E619" i="1"/>
  <c r="O618" i="1"/>
  <c r="E618" i="1"/>
  <c r="O617" i="1"/>
  <c r="E617" i="1"/>
  <c r="O616" i="1"/>
  <c r="E616" i="1"/>
  <c r="O615" i="1"/>
  <c r="E615" i="1"/>
  <c r="O614" i="1"/>
  <c r="E614" i="1"/>
  <c r="O613" i="1"/>
  <c r="E613" i="1"/>
  <c r="O612" i="1"/>
  <c r="E612" i="1"/>
  <c r="O611" i="1"/>
  <c r="E611" i="1"/>
  <c r="O610" i="1"/>
  <c r="E610" i="1"/>
  <c r="O609" i="1"/>
  <c r="E609" i="1"/>
  <c r="O608" i="1"/>
  <c r="E608" i="1"/>
  <c r="O607" i="1"/>
  <c r="E607" i="1"/>
  <c r="O606" i="1"/>
  <c r="E606" i="1"/>
  <c r="O605" i="1"/>
  <c r="E605" i="1"/>
  <c r="O604" i="1"/>
  <c r="E604" i="1"/>
  <c r="O603" i="1"/>
  <c r="E603" i="1"/>
  <c r="O602" i="1"/>
  <c r="E602" i="1"/>
  <c r="O601" i="1"/>
  <c r="E601" i="1"/>
  <c r="O600" i="1"/>
  <c r="E600" i="1"/>
  <c r="O599" i="1"/>
  <c r="E599" i="1"/>
  <c r="O598" i="1"/>
  <c r="E598" i="1"/>
  <c r="O597" i="1"/>
  <c r="E597" i="1"/>
  <c r="O596" i="1"/>
  <c r="E596" i="1"/>
  <c r="O595" i="1"/>
  <c r="E595" i="1"/>
  <c r="O594" i="1"/>
  <c r="E594" i="1"/>
  <c r="O593" i="1"/>
  <c r="E593" i="1"/>
  <c r="O592" i="1"/>
  <c r="E592" i="1"/>
  <c r="O591" i="1"/>
  <c r="E591" i="1"/>
  <c r="O590" i="1"/>
  <c r="E590" i="1"/>
  <c r="O589" i="1"/>
  <c r="E589" i="1"/>
  <c r="O588" i="1"/>
  <c r="E588" i="1"/>
  <c r="O587" i="1"/>
  <c r="E587" i="1"/>
  <c r="O586" i="1"/>
  <c r="E586" i="1"/>
  <c r="O585" i="1"/>
  <c r="E585" i="1"/>
  <c r="O584" i="1"/>
  <c r="E584" i="1"/>
  <c r="O583" i="1"/>
  <c r="E583" i="1"/>
  <c r="O582" i="1"/>
  <c r="E582" i="1"/>
  <c r="O581" i="1"/>
  <c r="E581" i="1"/>
  <c r="O580" i="1"/>
  <c r="E580" i="1"/>
  <c r="O579" i="1"/>
  <c r="E579" i="1"/>
  <c r="O578" i="1"/>
  <c r="E578" i="1"/>
  <c r="O577" i="1"/>
  <c r="E577" i="1"/>
  <c r="O576" i="1"/>
  <c r="E576" i="1"/>
  <c r="O575" i="1"/>
  <c r="E575" i="1"/>
  <c r="O574" i="1"/>
  <c r="E574" i="1"/>
  <c r="O573" i="1"/>
  <c r="E573" i="1"/>
  <c r="O572" i="1"/>
  <c r="E572" i="1"/>
  <c r="O571" i="1"/>
  <c r="E571" i="1"/>
  <c r="O570" i="1"/>
  <c r="E570" i="1"/>
  <c r="O569" i="1"/>
  <c r="E569" i="1"/>
  <c r="O568" i="1"/>
  <c r="E568" i="1"/>
  <c r="O567" i="1"/>
  <c r="E567" i="1"/>
  <c r="O566" i="1"/>
  <c r="E566" i="1"/>
  <c r="O565" i="1"/>
  <c r="E565" i="1"/>
  <c r="O564" i="1"/>
  <c r="E564" i="1"/>
  <c r="O563" i="1"/>
  <c r="E563" i="1"/>
  <c r="O562" i="1"/>
  <c r="E562" i="1"/>
  <c r="O561" i="1"/>
  <c r="E561" i="1"/>
  <c r="O560" i="1"/>
  <c r="E560" i="1"/>
  <c r="O559" i="1"/>
  <c r="E559" i="1"/>
  <c r="O558" i="1"/>
  <c r="E558" i="1"/>
  <c r="O557" i="1"/>
  <c r="E557" i="1"/>
  <c r="O556" i="1"/>
  <c r="E556" i="1"/>
  <c r="O555" i="1"/>
  <c r="E555" i="1"/>
  <c r="O554" i="1"/>
  <c r="E554" i="1"/>
  <c r="O553" i="1"/>
  <c r="E553" i="1"/>
  <c r="O552" i="1"/>
  <c r="E552" i="1"/>
  <c r="O551" i="1"/>
  <c r="E551" i="1"/>
  <c r="O550" i="1"/>
  <c r="E550" i="1"/>
  <c r="O549" i="1"/>
  <c r="E549" i="1"/>
  <c r="O548" i="1"/>
  <c r="E548" i="1"/>
  <c r="O547" i="1"/>
  <c r="E547" i="1"/>
  <c r="O546" i="1"/>
  <c r="E546" i="1"/>
  <c r="O545" i="1"/>
  <c r="E545" i="1"/>
  <c r="O544" i="1"/>
  <c r="E544" i="1"/>
  <c r="O543" i="1"/>
  <c r="E543" i="1"/>
  <c r="O542" i="1"/>
  <c r="E542" i="1"/>
  <c r="O541" i="1"/>
  <c r="E541" i="1"/>
  <c r="O540" i="1"/>
  <c r="E540" i="1"/>
  <c r="O539" i="1"/>
  <c r="E539" i="1"/>
  <c r="O538" i="1"/>
  <c r="E538" i="1"/>
  <c r="O537" i="1"/>
  <c r="E537" i="1"/>
  <c r="O536" i="1"/>
  <c r="E536" i="1"/>
  <c r="O535" i="1"/>
  <c r="E535" i="1"/>
  <c r="O534" i="1"/>
  <c r="E534" i="1"/>
  <c r="O533" i="1"/>
  <c r="E533" i="1"/>
  <c r="O532" i="1"/>
  <c r="E532" i="1"/>
  <c r="O531" i="1"/>
  <c r="E531" i="1"/>
  <c r="O530" i="1"/>
  <c r="E530" i="1"/>
  <c r="O529" i="1"/>
  <c r="E529" i="1"/>
  <c r="O528" i="1"/>
  <c r="E528" i="1"/>
  <c r="O527" i="1"/>
  <c r="E527" i="1"/>
  <c r="O526" i="1"/>
  <c r="E526" i="1"/>
  <c r="O525" i="1"/>
  <c r="E525" i="1"/>
  <c r="O524" i="1"/>
  <c r="E524" i="1"/>
  <c r="O523" i="1"/>
  <c r="E523" i="1"/>
  <c r="O522" i="1"/>
  <c r="E522" i="1"/>
  <c r="O521" i="1"/>
  <c r="E521" i="1"/>
  <c r="O520" i="1"/>
  <c r="E520" i="1"/>
  <c r="O519" i="1"/>
  <c r="E519" i="1"/>
  <c r="O518" i="1"/>
  <c r="E518" i="1"/>
  <c r="O517" i="1"/>
  <c r="E517" i="1"/>
  <c r="O1053" i="1"/>
  <c r="G969" i="1"/>
  <c r="C939" i="1"/>
  <c r="L920" i="1"/>
  <c r="L904" i="1"/>
  <c r="L888" i="1"/>
  <c r="L872" i="1"/>
  <c r="Q862" i="1"/>
  <c r="L857" i="1"/>
  <c r="F852" i="1"/>
  <c r="C847" i="1"/>
  <c r="L843" i="1"/>
  <c r="S840" i="1"/>
  <c r="F838" i="1"/>
  <c r="L835" i="1"/>
  <c r="I833" i="1"/>
  <c r="I831" i="1"/>
  <c r="I829" i="1"/>
  <c r="I827" i="1"/>
  <c r="I825" i="1"/>
  <c r="I823" i="1"/>
  <c r="I821" i="1"/>
  <c r="I819" i="1"/>
  <c r="I817" i="1"/>
  <c r="I815" i="1"/>
  <c r="I813" i="1"/>
  <c r="I811" i="1"/>
  <c r="I809" i="1"/>
  <c r="I807" i="1"/>
  <c r="I805" i="1"/>
  <c r="I803" i="1"/>
  <c r="I801" i="1"/>
  <c r="I799" i="1"/>
  <c r="I797" i="1"/>
  <c r="I795" i="1"/>
  <c r="I793" i="1"/>
  <c r="I791" i="1"/>
  <c r="I789" i="1"/>
  <c r="I787" i="1"/>
  <c r="I785" i="1"/>
  <c r="I783" i="1"/>
  <c r="I781" i="1"/>
  <c r="I779" i="1"/>
  <c r="I777" i="1"/>
  <c r="B776" i="1"/>
  <c r="L774" i="1"/>
  <c r="I773" i="1"/>
  <c r="B772" i="1"/>
  <c r="L770" i="1"/>
  <c r="I769" i="1"/>
  <c r="B768" i="1"/>
  <c r="L766" i="1"/>
  <c r="I765" i="1"/>
  <c r="B764" i="1"/>
  <c r="L762" i="1"/>
  <c r="I761" i="1"/>
  <c r="B760" i="1"/>
  <c r="L758" i="1"/>
  <c r="I757" i="1"/>
  <c r="B756" i="1"/>
  <c r="L754" i="1"/>
  <c r="I753" i="1"/>
  <c r="B752" i="1"/>
  <c r="L750" i="1"/>
  <c r="I749" i="1"/>
  <c r="B748" i="1"/>
  <c r="L746" i="1"/>
  <c r="I745" i="1"/>
  <c r="B744" i="1"/>
  <c r="L742" i="1"/>
  <c r="I741" i="1"/>
  <c r="B740" i="1"/>
  <c r="L738" i="1"/>
  <c r="I737" i="1"/>
  <c r="C736" i="1"/>
  <c r="G735" i="1"/>
  <c r="L734" i="1"/>
  <c r="B734" i="1"/>
  <c r="G733" i="1"/>
  <c r="L732" i="1"/>
  <c r="D732" i="1"/>
  <c r="L731" i="1"/>
  <c r="D731" i="1"/>
  <c r="L730" i="1"/>
  <c r="D730" i="1"/>
  <c r="L729" i="1"/>
  <c r="D729" i="1"/>
  <c r="L728" i="1"/>
  <c r="D728" i="1"/>
  <c r="L727" i="1"/>
  <c r="D727" i="1"/>
  <c r="L726" i="1"/>
  <c r="D726" i="1"/>
  <c r="L725" i="1"/>
  <c r="D725" i="1"/>
  <c r="L724" i="1"/>
  <c r="D724" i="1"/>
  <c r="L723" i="1"/>
  <c r="D723" i="1"/>
  <c r="L722" i="1"/>
  <c r="D722" i="1"/>
  <c r="L721" i="1"/>
  <c r="D721" i="1"/>
  <c r="L720" i="1"/>
  <c r="D720" i="1"/>
  <c r="L719" i="1"/>
  <c r="D719" i="1"/>
  <c r="L718" i="1"/>
  <c r="D718" i="1"/>
  <c r="L717" i="1"/>
  <c r="D717" i="1"/>
  <c r="L716" i="1"/>
  <c r="D716" i="1"/>
  <c r="L715" i="1"/>
  <c r="D715" i="1"/>
  <c r="L714" i="1"/>
  <c r="D714" i="1"/>
  <c r="L713" i="1"/>
  <c r="D713" i="1"/>
  <c r="L712" i="1"/>
  <c r="D712" i="1"/>
  <c r="L711" i="1"/>
  <c r="D711" i="1"/>
  <c r="L710" i="1"/>
  <c r="D710" i="1"/>
  <c r="L709" i="1"/>
  <c r="D709" i="1"/>
  <c r="L708" i="1"/>
  <c r="D708" i="1"/>
  <c r="L707" i="1"/>
  <c r="D707" i="1"/>
  <c r="L706" i="1"/>
  <c r="D706" i="1"/>
  <c r="L705" i="1"/>
  <c r="D705" i="1"/>
  <c r="L704" i="1"/>
  <c r="D704" i="1"/>
  <c r="L703" i="1"/>
  <c r="D703" i="1"/>
  <c r="L702" i="1"/>
  <c r="D702" i="1"/>
  <c r="L701" i="1"/>
  <c r="D701" i="1"/>
  <c r="L700" i="1"/>
  <c r="D700" i="1"/>
  <c r="L699" i="1"/>
  <c r="D699" i="1"/>
  <c r="L698" i="1"/>
  <c r="D698" i="1"/>
  <c r="L697" i="1"/>
  <c r="D697" i="1"/>
  <c r="L696" i="1"/>
  <c r="D696" i="1"/>
  <c r="L695" i="1"/>
  <c r="D695" i="1"/>
  <c r="L694" i="1"/>
  <c r="D694" i="1"/>
  <c r="L693" i="1"/>
  <c r="D693" i="1"/>
  <c r="L692" i="1"/>
  <c r="D692" i="1"/>
  <c r="L691" i="1"/>
  <c r="D691" i="1"/>
  <c r="L690" i="1"/>
  <c r="D690" i="1"/>
  <c r="L689" i="1"/>
  <c r="D689" i="1"/>
  <c r="L688" i="1"/>
  <c r="D688" i="1"/>
  <c r="L687" i="1"/>
  <c r="D687" i="1"/>
  <c r="L686" i="1"/>
  <c r="D686" i="1"/>
  <c r="L685" i="1"/>
  <c r="D685" i="1"/>
  <c r="L684" i="1"/>
  <c r="D684" i="1"/>
  <c r="L683" i="1"/>
  <c r="D683" i="1"/>
  <c r="L682" i="1"/>
  <c r="D682" i="1"/>
  <c r="L681" i="1"/>
  <c r="D681" i="1"/>
  <c r="L680" i="1"/>
  <c r="D680" i="1"/>
  <c r="L679" i="1"/>
  <c r="D679" i="1"/>
  <c r="L678" i="1"/>
  <c r="D678" i="1"/>
  <c r="L677" i="1"/>
  <c r="D677" i="1"/>
  <c r="L676" i="1"/>
  <c r="D676" i="1"/>
  <c r="L675" i="1"/>
  <c r="D675" i="1"/>
  <c r="L674" i="1"/>
  <c r="D674" i="1"/>
  <c r="L673" i="1"/>
  <c r="D673" i="1"/>
  <c r="L672" i="1"/>
  <c r="D672" i="1"/>
  <c r="L671" i="1"/>
  <c r="D671" i="1"/>
  <c r="L670" i="1"/>
  <c r="D670" i="1"/>
  <c r="L669" i="1"/>
  <c r="D669" i="1"/>
  <c r="L668" i="1"/>
  <c r="D668" i="1"/>
  <c r="L667" i="1"/>
  <c r="D667" i="1"/>
  <c r="L666" i="1"/>
  <c r="D666" i="1"/>
  <c r="L665" i="1"/>
  <c r="D665" i="1"/>
  <c r="L664" i="1"/>
  <c r="D664" i="1"/>
  <c r="L663" i="1"/>
  <c r="D663" i="1"/>
  <c r="L662" i="1"/>
  <c r="D662" i="1"/>
  <c r="L661" i="1"/>
  <c r="D661" i="1"/>
  <c r="L660" i="1"/>
  <c r="D660" i="1"/>
  <c r="L659" i="1"/>
  <c r="D659" i="1"/>
  <c r="L658" i="1"/>
  <c r="D658" i="1"/>
  <c r="L657" i="1"/>
  <c r="D657" i="1"/>
  <c r="L656" i="1"/>
  <c r="D656" i="1"/>
  <c r="L655" i="1"/>
  <c r="D655" i="1"/>
  <c r="L654" i="1"/>
  <c r="D654" i="1"/>
  <c r="L653" i="1"/>
  <c r="D653" i="1"/>
  <c r="L652" i="1"/>
  <c r="D652" i="1"/>
  <c r="L651" i="1"/>
  <c r="D651" i="1"/>
  <c r="L650" i="1"/>
  <c r="D650" i="1"/>
  <c r="L649" i="1"/>
  <c r="D649" i="1"/>
  <c r="L648" i="1"/>
  <c r="D648" i="1"/>
  <c r="L647" i="1"/>
  <c r="D647" i="1"/>
  <c r="L646" i="1"/>
  <c r="D646" i="1"/>
  <c r="L645" i="1"/>
  <c r="D645" i="1"/>
  <c r="L644" i="1"/>
  <c r="D644" i="1"/>
  <c r="L643" i="1"/>
  <c r="D643" i="1"/>
  <c r="L642" i="1"/>
  <c r="D642" i="1"/>
  <c r="L641" i="1"/>
  <c r="D641" i="1"/>
  <c r="L640" i="1"/>
  <c r="D640" i="1"/>
  <c r="L639" i="1"/>
  <c r="D639" i="1"/>
  <c r="L638" i="1"/>
  <c r="D638" i="1"/>
  <c r="L637" i="1"/>
  <c r="D637" i="1"/>
  <c r="L636" i="1"/>
  <c r="D636" i="1"/>
  <c r="L635" i="1"/>
  <c r="D635" i="1"/>
  <c r="L634" i="1"/>
  <c r="D634" i="1"/>
  <c r="L633" i="1"/>
  <c r="D633" i="1"/>
  <c r="L632" i="1"/>
  <c r="D632" i="1"/>
  <c r="L631" i="1"/>
  <c r="D631" i="1"/>
  <c r="L630" i="1"/>
  <c r="D630" i="1"/>
  <c r="L629" i="1"/>
  <c r="D629" i="1"/>
  <c r="L628" i="1"/>
  <c r="D628" i="1"/>
  <c r="L627" i="1"/>
  <c r="D627" i="1"/>
  <c r="L626" i="1"/>
  <c r="D626" i="1"/>
  <c r="L625" i="1"/>
  <c r="D625" i="1"/>
  <c r="L624" i="1"/>
  <c r="D624" i="1"/>
  <c r="L623" i="1"/>
  <c r="D623" i="1"/>
  <c r="L622" i="1"/>
  <c r="D622" i="1"/>
  <c r="L621" i="1"/>
  <c r="D621" i="1"/>
  <c r="L620" i="1"/>
  <c r="D620" i="1"/>
  <c r="L619" i="1"/>
  <c r="D619" i="1"/>
  <c r="L618" i="1"/>
  <c r="D618" i="1"/>
  <c r="L617" i="1"/>
  <c r="D617" i="1"/>
  <c r="L616" i="1"/>
  <c r="D616" i="1"/>
  <c r="L615" i="1"/>
  <c r="D615" i="1"/>
  <c r="L614" i="1"/>
  <c r="D614" i="1"/>
  <c r="L613" i="1"/>
  <c r="D613" i="1"/>
  <c r="L612" i="1"/>
  <c r="D612" i="1"/>
  <c r="L611" i="1"/>
  <c r="D611" i="1"/>
  <c r="L610" i="1"/>
  <c r="D610" i="1"/>
  <c r="L609" i="1"/>
  <c r="D609" i="1"/>
  <c r="L608" i="1"/>
  <c r="I1011" i="1"/>
  <c r="E960" i="1"/>
  <c r="H934" i="1"/>
  <c r="D917" i="1"/>
  <c r="D901" i="1"/>
  <c r="D885" i="1"/>
  <c r="D869" i="1"/>
  <c r="P861" i="1"/>
  <c r="G856" i="1"/>
  <c r="D851" i="1"/>
  <c r="D846" i="1"/>
  <c r="C843" i="1"/>
  <c r="G840" i="1"/>
  <c r="O837" i="1"/>
  <c r="C835" i="1"/>
  <c r="B833" i="1"/>
  <c r="B831" i="1"/>
  <c r="B829" i="1"/>
  <c r="B827" i="1"/>
  <c r="B825" i="1"/>
  <c r="B823" i="1"/>
  <c r="B821" i="1"/>
  <c r="B819" i="1"/>
  <c r="B817" i="1"/>
  <c r="B815" i="1"/>
  <c r="B813" i="1"/>
  <c r="B811" i="1"/>
  <c r="B809" i="1"/>
  <c r="B807" i="1"/>
  <c r="B805" i="1"/>
  <c r="B803" i="1"/>
  <c r="B801" i="1"/>
  <c r="B799" i="1"/>
  <c r="B797" i="1"/>
  <c r="B795" i="1"/>
  <c r="B793" i="1"/>
  <c r="B791" i="1"/>
  <c r="B789" i="1"/>
  <c r="B787" i="1"/>
  <c r="B785" i="1"/>
  <c r="B783" i="1"/>
  <c r="B781" i="1"/>
  <c r="B779" i="1"/>
  <c r="D777" i="1"/>
  <c r="T775" i="1"/>
  <c r="J774" i="1"/>
  <c r="D773" i="1"/>
  <c r="T771" i="1"/>
  <c r="J770" i="1"/>
  <c r="D769" i="1"/>
  <c r="T767" i="1"/>
  <c r="J766" i="1"/>
  <c r="D765" i="1"/>
  <c r="T763" i="1"/>
  <c r="J762" i="1"/>
  <c r="D761" i="1"/>
  <c r="T759" i="1"/>
  <c r="J758" i="1"/>
  <c r="D757" i="1"/>
  <c r="T755" i="1"/>
  <c r="J754" i="1"/>
  <c r="D753" i="1"/>
  <c r="T751" i="1"/>
  <c r="J750" i="1"/>
  <c r="D749" i="1"/>
  <c r="T747" i="1"/>
  <c r="J746" i="1"/>
  <c r="D745" i="1"/>
  <c r="T743" i="1"/>
  <c r="J742" i="1"/>
  <c r="D741" i="1"/>
  <c r="T739" i="1"/>
  <c r="J738" i="1"/>
  <c r="D737" i="1"/>
  <c r="B736" i="1"/>
  <c r="E735" i="1"/>
  <c r="K734" i="1"/>
  <c r="T733" i="1"/>
  <c r="E733" i="1"/>
  <c r="K732" i="1"/>
  <c r="C732" i="1"/>
  <c r="K731" i="1"/>
  <c r="C731" i="1"/>
  <c r="K730" i="1"/>
  <c r="C730" i="1"/>
  <c r="K729" i="1"/>
  <c r="C729" i="1"/>
  <c r="K728" i="1"/>
  <c r="C728" i="1"/>
  <c r="K727" i="1"/>
  <c r="C727" i="1"/>
  <c r="K726" i="1"/>
  <c r="C726" i="1"/>
  <c r="K725" i="1"/>
  <c r="C725" i="1"/>
  <c r="K724" i="1"/>
  <c r="C724" i="1"/>
  <c r="K723" i="1"/>
  <c r="C723" i="1"/>
  <c r="K722" i="1"/>
  <c r="C722" i="1"/>
  <c r="K721" i="1"/>
  <c r="C721" i="1"/>
  <c r="K720" i="1"/>
  <c r="C720" i="1"/>
  <c r="K719" i="1"/>
  <c r="C719" i="1"/>
  <c r="K718" i="1"/>
  <c r="C718" i="1"/>
  <c r="K717" i="1"/>
  <c r="C717" i="1"/>
  <c r="K716" i="1"/>
  <c r="C716" i="1"/>
  <c r="K715" i="1"/>
  <c r="C715" i="1"/>
  <c r="K714" i="1"/>
  <c r="C714" i="1"/>
  <c r="K713" i="1"/>
  <c r="C713" i="1"/>
  <c r="K712" i="1"/>
  <c r="C712" i="1"/>
  <c r="K711" i="1"/>
  <c r="C711" i="1"/>
  <c r="K710" i="1"/>
  <c r="C710" i="1"/>
  <c r="K709" i="1"/>
  <c r="C709" i="1"/>
  <c r="K708" i="1"/>
  <c r="C708" i="1"/>
  <c r="K707" i="1"/>
  <c r="C707" i="1"/>
  <c r="K706" i="1"/>
  <c r="C706" i="1"/>
  <c r="K705" i="1"/>
  <c r="C705" i="1"/>
  <c r="K704" i="1"/>
  <c r="C704" i="1"/>
  <c r="K703" i="1"/>
  <c r="C703" i="1"/>
  <c r="K702" i="1"/>
  <c r="C702" i="1"/>
  <c r="K701" i="1"/>
  <c r="C701" i="1"/>
  <c r="K700" i="1"/>
  <c r="C700" i="1"/>
  <c r="K699" i="1"/>
  <c r="C699" i="1"/>
  <c r="K698" i="1"/>
  <c r="C698" i="1"/>
  <c r="K697" i="1"/>
  <c r="C697" i="1"/>
  <c r="K696" i="1"/>
  <c r="C696" i="1"/>
  <c r="K695" i="1"/>
  <c r="C695" i="1"/>
  <c r="K694" i="1"/>
  <c r="C694" i="1"/>
  <c r="K693" i="1"/>
  <c r="C693" i="1"/>
  <c r="K692" i="1"/>
  <c r="C692" i="1"/>
  <c r="K691" i="1"/>
  <c r="C691" i="1"/>
  <c r="K690" i="1"/>
  <c r="C690" i="1"/>
  <c r="K689" i="1"/>
  <c r="C689" i="1"/>
  <c r="K688" i="1"/>
  <c r="C688" i="1"/>
  <c r="K687" i="1"/>
  <c r="C687" i="1"/>
  <c r="K686" i="1"/>
  <c r="C686" i="1"/>
  <c r="K685" i="1"/>
  <c r="C685" i="1"/>
  <c r="K684" i="1"/>
  <c r="C684" i="1"/>
  <c r="K683" i="1"/>
  <c r="C683" i="1"/>
  <c r="K682" i="1"/>
  <c r="C682" i="1"/>
  <c r="K681" i="1"/>
  <c r="C681" i="1"/>
  <c r="K680" i="1"/>
  <c r="C680" i="1"/>
  <c r="K679" i="1"/>
  <c r="C679" i="1"/>
  <c r="K678" i="1"/>
  <c r="C678" i="1"/>
  <c r="K677" i="1"/>
  <c r="C677" i="1"/>
  <c r="K676" i="1"/>
  <c r="C676" i="1"/>
  <c r="K675" i="1"/>
  <c r="C675" i="1"/>
  <c r="K674" i="1"/>
  <c r="C674" i="1"/>
  <c r="K673" i="1"/>
  <c r="C673" i="1"/>
  <c r="K672" i="1"/>
  <c r="C672" i="1"/>
  <c r="K671" i="1"/>
  <c r="C671" i="1"/>
  <c r="K670" i="1"/>
  <c r="C670" i="1"/>
  <c r="K669" i="1"/>
  <c r="C669" i="1"/>
  <c r="K668" i="1"/>
  <c r="C668" i="1"/>
  <c r="K667" i="1"/>
  <c r="C667" i="1"/>
  <c r="K666" i="1"/>
  <c r="C666" i="1"/>
  <c r="K665" i="1"/>
  <c r="C665" i="1"/>
  <c r="K664" i="1"/>
  <c r="C664" i="1"/>
  <c r="K663" i="1"/>
  <c r="C663" i="1"/>
  <c r="K662" i="1"/>
  <c r="C662" i="1"/>
  <c r="K661" i="1"/>
  <c r="C661" i="1"/>
  <c r="K660" i="1"/>
  <c r="C660" i="1"/>
  <c r="K659" i="1"/>
  <c r="C659" i="1"/>
  <c r="K658" i="1"/>
  <c r="C658" i="1"/>
  <c r="K657" i="1"/>
  <c r="C657" i="1"/>
  <c r="K656" i="1"/>
  <c r="C656" i="1"/>
  <c r="K655" i="1"/>
  <c r="C655" i="1"/>
  <c r="K654" i="1"/>
  <c r="C654" i="1"/>
  <c r="K653" i="1"/>
  <c r="C653" i="1"/>
  <c r="K652" i="1"/>
  <c r="C652" i="1"/>
  <c r="K651" i="1"/>
  <c r="C651" i="1"/>
  <c r="K650" i="1"/>
  <c r="C650" i="1"/>
  <c r="K649" i="1"/>
  <c r="C649" i="1"/>
  <c r="K648" i="1"/>
  <c r="C648" i="1"/>
  <c r="K647" i="1"/>
  <c r="C647" i="1"/>
  <c r="K646" i="1"/>
  <c r="C646" i="1"/>
  <c r="K645" i="1"/>
  <c r="C645" i="1"/>
  <c r="K644" i="1"/>
  <c r="C644" i="1"/>
  <c r="K643" i="1"/>
  <c r="C643" i="1"/>
  <c r="K642" i="1"/>
  <c r="C642" i="1"/>
  <c r="K641" i="1"/>
  <c r="C641" i="1"/>
  <c r="K640" i="1"/>
  <c r="C640" i="1"/>
  <c r="K639" i="1"/>
  <c r="C639" i="1"/>
  <c r="K638" i="1"/>
  <c r="C638" i="1"/>
  <c r="K637" i="1"/>
  <c r="C637" i="1"/>
  <c r="K636" i="1"/>
  <c r="C636" i="1"/>
  <c r="K635" i="1"/>
  <c r="C635" i="1"/>
  <c r="K634" i="1"/>
  <c r="C634" i="1"/>
  <c r="K633" i="1"/>
  <c r="C633" i="1"/>
  <c r="K632" i="1"/>
  <c r="C632" i="1"/>
  <c r="K631" i="1"/>
  <c r="C631" i="1"/>
  <c r="K630" i="1"/>
  <c r="C630" i="1"/>
  <c r="K629" i="1"/>
  <c r="C629" i="1"/>
  <c r="K628" i="1"/>
  <c r="C628" i="1"/>
  <c r="K627" i="1"/>
  <c r="C627" i="1"/>
  <c r="K626" i="1"/>
  <c r="C626" i="1"/>
  <c r="K625" i="1"/>
  <c r="C625" i="1"/>
  <c r="K624" i="1"/>
  <c r="C624" i="1"/>
  <c r="K623" i="1"/>
  <c r="C623" i="1"/>
  <c r="K622" i="1"/>
  <c r="C622" i="1"/>
  <c r="K621" i="1"/>
  <c r="C621" i="1"/>
  <c r="K620" i="1"/>
  <c r="C620" i="1"/>
  <c r="K619" i="1"/>
  <c r="C619" i="1"/>
  <c r="K618" i="1"/>
  <c r="C618" i="1"/>
  <c r="K617" i="1"/>
  <c r="C617" i="1"/>
  <c r="K616" i="1"/>
  <c r="C616" i="1"/>
  <c r="K615" i="1"/>
  <c r="C615" i="1"/>
  <c r="K614" i="1"/>
  <c r="C614" i="1"/>
  <c r="K613" i="1"/>
  <c r="C613" i="1"/>
  <c r="K612" i="1"/>
  <c r="C612" i="1"/>
  <c r="K611" i="1"/>
  <c r="C611" i="1"/>
  <c r="K610" i="1"/>
  <c r="C610" i="1"/>
  <c r="K609" i="1"/>
  <c r="C609" i="1"/>
  <c r="K608" i="1"/>
  <c r="C608" i="1"/>
  <c r="K607" i="1"/>
  <c r="C607" i="1"/>
  <c r="K606" i="1"/>
  <c r="C606" i="1"/>
  <c r="K605" i="1"/>
  <c r="C605" i="1"/>
  <c r="K604" i="1"/>
  <c r="C604" i="1"/>
  <c r="K603" i="1"/>
  <c r="C603" i="1"/>
  <c r="K602" i="1"/>
  <c r="C602" i="1"/>
  <c r="K601" i="1"/>
  <c r="C601" i="1"/>
  <c r="K600" i="1"/>
  <c r="C600" i="1"/>
  <c r="K599" i="1"/>
  <c r="C599" i="1"/>
  <c r="K598" i="1"/>
  <c r="C598" i="1"/>
  <c r="K597" i="1"/>
  <c r="C597" i="1"/>
  <c r="K596" i="1"/>
  <c r="C596" i="1"/>
  <c r="K595" i="1"/>
  <c r="C595" i="1"/>
  <c r="K594" i="1"/>
  <c r="C594" i="1"/>
  <c r="K593" i="1"/>
  <c r="C593" i="1"/>
  <c r="K592" i="1"/>
  <c r="C592" i="1"/>
  <c r="K591" i="1"/>
  <c r="C591" i="1"/>
  <c r="K590" i="1"/>
  <c r="C590" i="1"/>
  <c r="K589" i="1"/>
  <c r="C589" i="1"/>
  <c r="K588" i="1"/>
  <c r="C588" i="1"/>
  <c r="K587" i="1"/>
  <c r="C587" i="1"/>
  <c r="K586" i="1"/>
  <c r="C586" i="1"/>
  <c r="K585" i="1"/>
  <c r="C585" i="1"/>
  <c r="K584" i="1"/>
  <c r="C584" i="1"/>
  <c r="K583" i="1"/>
  <c r="C583" i="1"/>
  <c r="K582" i="1"/>
  <c r="C582" i="1"/>
  <c r="K581" i="1"/>
  <c r="C581" i="1"/>
  <c r="K580" i="1"/>
  <c r="C580" i="1"/>
  <c r="K579" i="1"/>
  <c r="C579" i="1"/>
  <c r="K578" i="1"/>
  <c r="C578" i="1"/>
  <c r="K577" i="1"/>
  <c r="C577" i="1"/>
  <c r="K576" i="1"/>
  <c r="C576" i="1"/>
  <c r="K575" i="1"/>
  <c r="C575" i="1"/>
  <c r="K574" i="1"/>
  <c r="C574" i="1"/>
  <c r="K573" i="1"/>
  <c r="C573" i="1"/>
  <c r="K572" i="1"/>
  <c r="C572" i="1"/>
  <c r="K571" i="1"/>
  <c r="C571" i="1"/>
  <c r="K570" i="1"/>
  <c r="C570" i="1"/>
  <c r="K569" i="1"/>
  <c r="C569" i="1"/>
  <c r="K568" i="1"/>
  <c r="C568" i="1"/>
  <c r="K567" i="1"/>
  <c r="C567" i="1"/>
  <c r="K566" i="1"/>
  <c r="C566" i="1"/>
  <c r="K565" i="1"/>
  <c r="C565" i="1"/>
  <c r="K564" i="1"/>
  <c r="C564" i="1"/>
  <c r="K563" i="1"/>
  <c r="C563" i="1"/>
  <c r="K562" i="1"/>
  <c r="C562" i="1"/>
  <c r="K561" i="1"/>
  <c r="C561" i="1"/>
  <c r="K560" i="1"/>
  <c r="C560" i="1"/>
  <c r="K559" i="1"/>
  <c r="C559" i="1"/>
  <c r="K558" i="1"/>
  <c r="C558" i="1"/>
  <c r="K557" i="1"/>
  <c r="C557" i="1"/>
  <c r="K556" i="1"/>
  <c r="C556" i="1"/>
  <c r="K555" i="1"/>
  <c r="C555" i="1"/>
  <c r="K554" i="1"/>
  <c r="C554" i="1"/>
  <c r="K553" i="1"/>
  <c r="C553" i="1"/>
  <c r="K552" i="1"/>
  <c r="C552" i="1"/>
  <c r="K551" i="1"/>
  <c r="C551" i="1"/>
  <c r="K550" i="1"/>
  <c r="C550" i="1"/>
  <c r="K549" i="1"/>
  <c r="C549" i="1"/>
  <c r="K548" i="1"/>
  <c r="C548" i="1"/>
  <c r="K547" i="1"/>
  <c r="C547" i="1"/>
  <c r="K546" i="1"/>
  <c r="C546" i="1"/>
  <c r="K545" i="1"/>
  <c r="C545" i="1"/>
  <c r="K544" i="1"/>
  <c r="C544" i="1"/>
  <c r="K543" i="1"/>
  <c r="C543" i="1"/>
  <c r="K542" i="1"/>
  <c r="C542" i="1"/>
  <c r="K541" i="1"/>
  <c r="C541" i="1"/>
  <c r="K540" i="1"/>
  <c r="C540" i="1"/>
  <c r="K539" i="1"/>
  <c r="C539" i="1"/>
  <c r="K538" i="1"/>
  <c r="C538" i="1"/>
  <c r="K537" i="1"/>
  <c r="C537" i="1"/>
  <c r="K536" i="1"/>
  <c r="C536" i="1"/>
  <c r="K535" i="1"/>
  <c r="C535" i="1"/>
  <c r="K534" i="1"/>
  <c r="C534" i="1"/>
  <c r="K533" i="1"/>
  <c r="C533" i="1"/>
  <c r="K532" i="1"/>
  <c r="C532" i="1"/>
  <c r="K531" i="1"/>
  <c r="C531" i="1"/>
  <c r="K530" i="1"/>
  <c r="C530" i="1"/>
  <c r="K529" i="1"/>
  <c r="C529" i="1"/>
  <c r="K528" i="1"/>
  <c r="C528" i="1"/>
  <c r="K527" i="1"/>
  <c r="C527" i="1"/>
  <c r="K526" i="1"/>
  <c r="C526" i="1"/>
  <c r="K525" i="1"/>
  <c r="C525" i="1"/>
  <c r="K524" i="1"/>
  <c r="C524" i="1"/>
  <c r="K523" i="1"/>
  <c r="C523" i="1"/>
  <c r="K522" i="1"/>
  <c r="C522" i="1"/>
  <c r="K521" i="1"/>
  <c r="C521" i="1"/>
  <c r="K520" i="1"/>
  <c r="C520" i="1"/>
  <c r="K519" i="1"/>
  <c r="O1006" i="1"/>
  <c r="E959" i="1"/>
  <c r="P933" i="1"/>
  <c r="L916" i="1"/>
  <c r="L900" i="1"/>
  <c r="L884" i="1"/>
  <c r="L868" i="1"/>
  <c r="L861" i="1"/>
  <c r="F856" i="1"/>
  <c r="Q850" i="1"/>
  <c r="C846" i="1"/>
  <c r="S842" i="1"/>
  <c r="F840" i="1"/>
  <c r="L837" i="1"/>
  <c r="T834" i="1"/>
  <c r="T832" i="1"/>
  <c r="T830" i="1"/>
  <c r="T828" i="1"/>
  <c r="T826" i="1"/>
  <c r="T824" i="1"/>
  <c r="T822" i="1"/>
  <c r="T820" i="1"/>
  <c r="T818" i="1"/>
  <c r="T816" i="1"/>
  <c r="T814" i="1"/>
  <c r="T812" i="1"/>
  <c r="T810" i="1"/>
  <c r="T808" i="1"/>
  <c r="T806" i="1"/>
  <c r="T804" i="1"/>
  <c r="T802" i="1"/>
  <c r="T800" i="1"/>
  <c r="T798" i="1"/>
  <c r="T796" i="1"/>
  <c r="T794" i="1"/>
  <c r="T792" i="1"/>
  <c r="T790" i="1"/>
  <c r="T788" i="1"/>
  <c r="T786" i="1"/>
  <c r="T784" i="1"/>
  <c r="T782" i="1"/>
  <c r="T780" i="1"/>
  <c r="T778" i="1"/>
  <c r="B777" i="1"/>
  <c r="L775" i="1"/>
  <c r="I774" i="1"/>
  <c r="B773" i="1"/>
  <c r="L771" i="1"/>
  <c r="I770" i="1"/>
  <c r="B769" i="1"/>
  <c r="L767" i="1"/>
  <c r="I766" i="1"/>
  <c r="B765" i="1"/>
  <c r="L763" i="1"/>
  <c r="I762" i="1"/>
  <c r="B761" i="1"/>
  <c r="L759" i="1"/>
  <c r="I758" i="1"/>
  <c r="B757" i="1"/>
  <c r="L755" i="1"/>
  <c r="I754" i="1"/>
  <c r="B753" i="1"/>
  <c r="L751" i="1"/>
  <c r="I750" i="1"/>
  <c r="B749" i="1"/>
  <c r="L747" i="1"/>
  <c r="I746" i="1"/>
  <c r="B745" i="1"/>
  <c r="L743" i="1"/>
  <c r="I742" i="1"/>
  <c r="B741" i="1"/>
  <c r="L739" i="1"/>
  <c r="I738" i="1"/>
  <c r="B737" i="1"/>
  <c r="T735" i="1"/>
  <c r="D735" i="1"/>
  <c r="J734" i="1"/>
  <c r="Q733" i="1"/>
  <c r="D733" i="1"/>
  <c r="J732" i="1"/>
  <c r="B732" i="1"/>
  <c r="J731" i="1"/>
  <c r="B731" i="1"/>
  <c r="J730" i="1"/>
  <c r="B730" i="1"/>
  <c r="J729" i="1"/>
  <c r="B729" i="1"/>
  <c r="J728" i="1"/>
  <c r="B728" i="1"/>
  <c r="J727" i="1"/>
  <c r="B727" i="1"/>
  <c r="J726" i="1"/>
  <c r="B726" i="1"/>
  <c r="J725" i="1"/>
  <c r="B725" i="1"/>
  <c r="J724" i="1"/>
  <c r="B724" i="1"/>
  <c r="J723" i="1"/>
  <c r="B723" i="1"/>
  <c r="J722" i="1"/>
  <c r="B722" i="1"/>
  <c r="J721" i="1"/>
  <c r="B721" i="1"/>
  <c r="J720" i="1"/>
  <c r="B720" i="1"/>
  <c r="J719" i="1"/>
  <c r="B719" i="1"/>
  <c r="J718" i="1"/>
  <c r="B718" i="1"/>
  <c r="J717" i="1"/>
  <c r="B717" i="1"/>
  <c r="J716" i="1"/>
  <c r="B716" i="1"/>
  <c r="J715" i="1"/>
  <c r="B715" i="1"/>
  <c r="J714" i="1"/>
  <c r="B714" i="1"/>
  <c r="J713" i="1"/>
  <c r="B713" i="1"/>
  <c r="J712" i="1"/>
  <c r="B712" i="1"/>
  <c r="J711" i="1"/>
  <c r="B711" i="1"/>
  <c r="J710" i="1"/>
  <c r="B710" i="1"/>
  <c r="J709" i="1"/>
  <c r="B709" i="1"/>
  <c r="J708" i="1"/>
  <c r="B708" i="1"/>
  <c r="J707" i="1"/>
  <c r="B707" i="1"/>
  <c r="J706" i="1"/>
  <c r="B706" i="1"/>
  <c r="J705" i="1"/>
  <c r="B705" i="1"/>
  <c r="J704" i="1"/>
  <c r="B704" i="1"/>
  <c r="J703" i="1"/>
  <c r="B703" i="1"/>
  <c r="J702" i="1"/>
  <c r="B702" i="1"/>
  <c r="J701" i="1"/>
  <c r="B701" i="1"/>
  <c r="J700" i="1"/>
  <c r="B700" i="1"/>
  <c r="J699" i="1"/>
  <c r="B699" i="1"/>
  <c r="J698" i="1"/>
  <c r="B698" i="1"/>
  <c r="J697" i="1"/>
  <c r="B697" i="1"/>
  <c r="J696" i="1"/>
  <c r="B696" i="1"/>
  <c r="J695" i="1"/>
  <c r="B695" i="1"/>
  <c r="J694" i="1"/>
  <c r="B694" i="1"/>
  <c r="J693" i="1"/>
  <c r="B693" i="1"/>
  <c r="J692" i="1"/>
  <c r="B692" i="1"/>
  <c r="J691" i="1"/>
  <c r="B691" i="1"/>
  <c r="J690" i="1"/>
  <c r="B690" i="1"/>
  <c r="J689" i="1"/>
  <c r="B689" i="1"/>
  <c r="J688" i="1"/>
  <c r="B688" i="1"/>
  <c r="J687" i="1"/>
  <c r="B687" i="1"/>
  <c r="J686" i="1"/>
  <c r="B686" i="1"/>
  <c r="J685" i="1"/>
  <c r="B685" i="1"/>
  <c r="J684" i="1"/>
  <c r="B684" i="1"/>
  <c r="J683" i="1"/>
  <c r="B683" i="1"/>
  <c r="J682" i="1"/>
  <c r="B682" i="1"/>
  <c r="J681" i="1"/>
  <c r="B681" i="1"/>
  <c r="J680" i="1"/>
  <c r="B680" i="1"/>
  <c r="J679" i="1"/>
  <c r="B679" i="1"/>
  <c r="J678" i="1"/>
  <c r="B678" i="1"/>
  <c r="J677" i="1"/>
  <c r="B677" i="1"/>
  <c r="J676" i="1"/>
  <c r="B676" i="1"/>
  <c r="J675" i="1"/>
  <c r="B675" i="1"/>
  <c r="J674" i="1"/>
  <c r="B674" i="1"/>
  <c r="J673" i="1"/>
  <c r="B673" i="1"/>
  <c r="J672" i="1"/>
  <c r="B672" i="1"/>
  <c r="J671" i="1"/>
  <c r="B671" i="1"/>
  <c r="J670" i="1"/>
  <c r="B670" i="1"/>
  <c r="J669" i="1"/>
  <c r="B669" i="1"/>
  <c r="J668" i="1"/>
  <c r="B668" i="1"/>
  <c r="J667" i="1"/>
  <c r="B667" i="1"/>
  <c r="J666" i="1"/>
  <c r="B666" i="1"/>
  <c r="J665" i="1"/>
  <c r="B665" i="1"/>
  <c r="J664" i="1"/>
  <c r="B664" i="1"/>
  <c r="J663" i="1"/>
  <c r="B663" i="1"/>
  <c r="J662" i="1"/>
  <c r="B662" i="1"/>
  <c r="J661" i="1"/>
  <c r="B661" i="1"/>
  <c r="J660" i="1"/>
  <c r="B660" i="1"/>
  <c r="J659" i="1"/>
  <c r="B659" i="1"/>
  <c r="J658" i="1"/>
  <c r="B658" i="1"/>
  <c r="J657" i="1"/>
  <c r="B657" i="1"/>
  <c r="J656" i="1"/>
  <c r="B656" i="1"/>
  <c r="J655" i="1"/>
  <c r="B655" i="1"/>
  <c r="J654" i="1"/>
  <c r="B654" i="1"/>
  <c r="J653" i="1"/>
  <c r="B653" i="1"/>
  <c r="J652" i="1"/>
  <c r="B652" i="1"/>
  <c r="J651" i="1"/>
  <c r="B651" i="1"/>
  <c r="J650" i="1"/>
  <c r="B650" i="1"/>
  <c r="J649" i="1"/>
  <c r="B649" i="1"/>
  <c r="J648" i="1"/>
  <c r="B648" i="1"/>
  <c r="J647" i="1"/>
  <c r="B647" i="1"/>
  <c r="J646" i="1"/>
  <c r="B646" i="1"/>
  <c r="J645" i="1"/>
  <c r="B645" i="1"/>
  <c r="J644" i="1"/>
  <c r="B644" i="1"/>
  <c r="J643" i="1"/>
  <c r="B643" i="1"/>
  <c r="J642" i="1"/>
  <c r="B642" i="1"/>
  <c r="J641" i="1"/>
  <c r="B641" i="1"/>
  <c r="J640" i="1"/>
  <c r="B640" i="1"/>
  <c r="J639" i="1"/>
  <c r="B639" i="1"/>
  <c r="J638" i="1"/>
  <c r="B638" i="1"/>
  <c r="J637" i="1"/>
  <c r="B637" i="1"/>
  <c r="J636" i="1"/>
  <c r="B636" i="1"/>
  <c r="J635" i="1"/>
  <c r="B635" i="1"/>
  <c r="J634" i="1"/>
  <c r="B634" i="1"/>
  <c r="J633" i="1"/>
  <c r="B633" i="1"/>
  <c r="J632" i="1"/>
  <c r="B632" i="1"/>
  <c r="J631" i="1"/>
  <c r="B631" i="1"/>
  <c r="J630" i="1"/>
  <c r="B630" i="1"/>
  <c r="J629" i="1"/>
  <c r="B629" i="1"/>
  <c r="J628" i="1"/>
  <c r="B628" i="1"/>
  <c r="J627" i="1"/>
  <c r="B627" i="1"/>
  <c r="J626" i="1"/>
  <c r="B626" i="1"/>
  <c r="J625" i="1"/>
  <c r="B625" i="1"/>
  <c r="J624" i="1"/>
  <c r="B624" i="1"/>
  <c r="J623" i="1"/>
  <c r="B623" i="1"/>
  <c r="J622" i="1"/>
  <c r="B622" i="1"/>
  <c r="J621" i="1"/>
  <c r="B621" i="1"/>
  <c r="J620" i="1"/>
  <c r="B620" i="1"/>
  <c r="J619" i="1"/>
  <c r="B619" i="1"/>
  <c r="J618" i="1"/>
  <c r="B618" i="1"/>
  <c r="J617" i="1"/>
  <c r="B617" i="1"/>
  <c r="J616" i="1"/>
  <c r="B616" i="1"/>
  <c r="J615" i="1"/>
  <c r="B615" i="1"/>
  <c r="J614" i="1"/>
  <c r="B614" i="1"/>
  <c r="J613" i="1"/>
  <c r="B613" i="1"/>
  <c r="J612" i="1"/>
  <c r="B612" i="1"/>
  <c r="J611" i="1"/>
  <c r="B611" i="1"/>
  <c r="J610" i="1"/>
  <c r="B610" i="1"/>
  <c r="J609" i="1"/>
  <c r="B609" i="1"/>
  <c r="J608" i="1"/>
  <c r="B608" i="1"/>
  <c r="J607" i="1"/>
  <c r="B607" i="1"/>
  <c r="J606" i="1"/>
  <c r="B606" i="1"/>
  <c r="J605" i="1"/>
  <c r="B605" i="1"/>
  <c r="J604" i="1"/>
  <c r="B604" i="1"/>
  <c r="J603" i="1"/>
  <c r="B603" i="1"/>
  <c r="J602" i="1"/>
  <c r="B602" i="1"/>
  <c r="J601" i="1"/>
  <c r="B601" i="1"/>
  <c r="J600" i="1"/>
  <c r="B600" i="1"/>
  <c r="J599" i="1"/>
  <c r="B599" i="1"/>
  <c r="J598" i="1"/>
  <c r="B598" i="1"/>
  <c r="J597" i="1"/>
  <c r="B597" i="1"/>
  <c r="J596" i="1"/>
  <c r="B596" i="1"/>
  <c r="J595" i="1"/>
  <c r="B595" i="1"/>
  <c r="J594" i="1"/>
  <c r="B594" i="1"/>
  <c r="J593" i="1"/>
  <c r="B593" i="1"/>
  <c r="J592" i="1"/>
  <c r="B592" i="1"/>
  <c r="J591" i="1"/>
  <c r="B591" i="1"/>
  <c r="J590" i="1"/>
  <c r="B590" i="1"/>
  <c r="J589" i="1"/>
  <c r="B589" i="1"/>
  <c r="J588" i="1"/>
  <c r="B588" i="1"/>
  <c r="J587" i="1"/>
  <c r="B587" i="1"/>
  <c r="J586" i="1"/>
  <c r="B586" i="1"/>
  <c r="J585" i="1"/>
  <c r="B585" i="1"/>
  <c r="J584" i="1"/>
  <c r="B584" i="1"/>
  <c r="J583" i="1"/>
  <c r="B583" i="1"/>
  <c r="J582" i="1"/>
  <c r="B582" i="1"/>
  <c r="J581" i="1"/>
  <c r="B581" i="1"/>
  <c r="J580" i="1"/>
  <c r="B580" i="1"/>
  <c r="J579" i="1"/>
  <c r="B579" i="1"/>
  <c r="J578" i="1"/>
  <c r="B578" i="1"/>
  <c r="J577" i="1"/>
  <c r="B577" i="1"/>
  <c r="J576" i="1"/>
  <c r="B576" i="1"/>
  <c r="J575" i="1"/>
  <c r="B575" i="1"/>
  <c r="J574" i="1"/>
  <c r="B574" i="1"/>
  <c r="J573" i="1"/>
  <c r="B573" i="1"/>
  <c r="J572" i="1"/>
  <c r="B572" i="1"/>
  <c r="J571" i="1"/>
  <c r="B571" i="1"/>
  <c r="J570" i="1"/>
  <c r="B570" i="1"/>
  <c r="J569" i="1"/>
  <c r="B569" i="1"/>
  <c r="J568" i="1"/>
  <c r="B568" i="1"/>
  <c r="J567" i="1"/>
  <c r="B567" i="1"/>
  <c r="J566" i="1"/>
  <c r="B566" i="1"/>
  <c r="J565" i="1"/>
  <c r="B565" i="1"/>
  <c r="J564" i="1"/>
  <c r="B564" i="1"/>
  <c r="J563" i="1"/>
  <c r="B563" i="1"/>
  <c r="J562" i="1"/>
  <c r="B562" i="1"/>
  <c r="J561" i="1"/>
  <c r="B561" i="1"/>
  <c r="J560" i="1"/>
  <c r="B560" i="1"/>
  <c r="J559" i="1"/>
  <c r="B559" i="1"/>
  <c r="J558" i="1"/>
  <c r="B558" i="1"/>
  <c r="J557" i="1"/>
  <c r="B557" i="1"/>
  <c r="J556" i="1"/>
  <c r="B556" i="1"/>
  <c r="J555" i="1"/>
  <c r="B555" i="1"/>
  <c r="J554" i="1"/>
  <c r="B554" i="1"/>
  <c r="J553" i="1"/>
  <c r="B553" i="1"/>
  <c r="J552" i="1"/>
  <c r="B552" i="1"/>
  <c r="J551" i="1"/>
  <c r="B551" i="1"/>
  <c r="J550" i="1"/>
  <c r="B550" i="1"/>
  <c r="J549" i="1"/>
  <c r="B549" i="1"/>
  <c r="J548" i="1"/>
  <c r="B548" i="1"/>
  <c r="J547" i="1"/>
  <c r="B547" i="1"/>
  <c r="J546" i="1"/>
  <c r="B546" i="1"/>
  <c r="J545" i="1"/>
  <c r="B545" i="1"/>
  <c r="J544" i="1"/>
  <c r="B544" i="1"/>
  <c r="J543" i="1"/>
  <c r="B543" i="1"/>
  <c r="J542" i="1"/>
  <c r="B542" i="1"/>
  <c r="J541" i="1"/>
  <c r="B541" i="1"/>
  <c r="J540" i="1"/>
  <c r="B540" i="1"/>
  <c r="J539" i="1"/>
  <c r="B539" i="1"/>
  <c r="J538" i="1"/>
  <c r="B538" i="1"/>
  <c r="J537" i="1"/>
  <c r="B537" i="1"/>
  <c r="J536" i="1"/>
  <c r="B536" i="1"/>
  <c r="J535" i="1"/>
  <c r="B535" i="1"/>
  <c r="J534" i="1"/>
  <c r="B534" i="1"/>
  <c r="J533" i="1"/>
  <c r="B533" i="1"/>
  <c r="J532" i="1"/>
  <c r="B532" i="1"/>
  <c r="J531" i="1"/>
  <c r="B531" i="1"/>
  <c r="J530" i="1"/>
  <c r="B530" i="1"/>
  <c r="J529" i="1"/>
  <c r="B529" i="1"/>
  <c r="J528" i="1"/>
  <c r="B528" i="1"/>
  <c r="J527" i="1"/>
  <c r="B527" i="1"/>
  <c r="J526" i="1"/>
  <c r="B526" i="1"/>
  <c r="J525" i="1"/>
  <c r="B525" i="1"/>
  <c r="J524" i="1"/>
  <c r="B524" i="1"/>
  <c r="J523" i="1"/>
  <c r="B523" i="1"/>
  <c r="J522" i="1"/>
  <c r="B522" i="1"/>
  <c r="J521" i="1"/>
  <c r="B521" i="1"/>
  <c r="J520" i="1"/>
  <c r="B520" i="1"/>
  <c r="J519" i="1"/>
  <c r="B519" i="1"/>
  <c r="J518" i="1"/>
  <c r="B518" i="1"/>
  <c r="J517" i="1"/>
  <c r="B517" i="1"/>
  <c r="S991" i="1"/>
  <c r="E952" i="1"/>
  <c r="G929" i="1"/>
  <c r="D913" i="1"/>
  <c r="D897" i="1"/>
  <c r="D881" i="1"/>
  <c r="P865" i="1"/>
  <c r="G860" i="1"/>
  <c r="D855" i="1"/>
  <c r="P849" i="1"/>
  <c r="D845" i="1"/>
  <c r="G842" i="1"/>
  <c r="O839" i="1"/>
  <c r="C837" i="1"/>
  <c r="J834" i="1"/>
  <c r="J832" i="1"/>
  <c r="J830" i="1"/>
  <c r="J828" i="1"/>
  <c r="J826" i="1"/>
  <c r="J824" i="1"/>
  <c r="J822" i="1"/>
  <c r="J820" i="1"/>
  <c r="J818" i="1"/>
  <c r="J816" i="1"/>
  <c r="J814" i="1"/>
  <c r="J812" i="1"/>
  <c r="J810" i="1"/>
  <c r="J808" i="1"/>
  <c r="J806" i="1"/>
  <c r="J804" i="1"/>
  <c r="J802" i="1"/>
  <c r="J800" i="1"/>
  <c r="J798" i="1"/>
  <c r="J796" i="1"/>
  <c r="J794" i="1"/>
  <c r="J792" i="1"/>
  <c r="J790" i="1"/>
  <c r="J788" i="1"/>
  <c r="J786" i="1"/>
  <c r="J784" i="1"/>
  <c r="J782" i="1"/>
  <c r="J780" i="1"/>
  <c r="J778" i="1"/>
  <c r="T776" i="1"/>
  <c r="J775" i="1"/>
  <c r="D774" i="1"/>
  <c r="T772" i="1"/>
  <c r="J771" i="1"/>
  <c r="D770" i="1"/>
  <c r="T768" i="1"/>
  <c r="J767" i="1"/>
  <c r="D766" i="1"/>
  <c r="T764" i="1"/>
  <c r="J763" i="1"/>
  <c r="D762" i="1"/>
  <c r="T760" i="1"/>
  <c r="J759" i="1"/>
  <c r="D758" i="1"/>
  <c r="T756" i="1"/>
  <c r="J755" i="1"/>
  <c r="D754" i="1"/>
  <c r="T752" i="1"/>
  <c r="J751" i="1"/>
  <c r="D750" i="1"/>
  <c r="T748" i="1"/>
  <c r="J747" i="1"/>
  <c r="D746" i="1"/>
  <c r="T744" i="1"/>
  <c r="J743" i="1"/>
  <c r="D742" i="1"/>
  <c r="T740" i="1"/>
  <c r="J739" i="1"/>
  <c r="D738" i="1"/>
  <c r="T736" i="1"/>
  <c r="Q735" i="1"/>
  <c r="C735" i="1"/>
  <c r="I734" i="1"/>
  <c r="O733" i="1"/>
  <c r="C733" i="1"/>
  <c r="I732" i="1"/>
  <c r="T731" i="1"/>
  <c r="I731" i="1"/>
  <c r="T730" i="1"/>
  <c r="I730" i="1"/>
  <c r="T729" i="1"/>
  <c r="I729" i="1"/>
  <c r="T728" i="1"/>
  <c r="I728" i="1"/>
  <c r="T727" i="1"/>
  <c r="I727" i="1"/>
  <c r="T726" i="1"/>
  <c r="I726" i="1"/>
  <c r="T725" i="1"/>
  <c r="I725" i="1"/>
  <c r="T724" i="1"/>
  <c r="I724" i="1"/>
  <c r="T723" i="1"/>
  <c r="I723" i="1"/>
  <c r="T722" i="1"/>
  <c r="I722" i="1"/>
  <c r="T721" i="1"/>
  <c r="I721" i="1"/>
  <c r="T720" i="1"/>
  <c r="I720" i="1"/>
  <c r="T719" i="1"/>
  <c r="I719" i="1"/>
  <c r="T718" i="1"/>
  <c r="I718" i="1"/>
  <c r="T717" i="1"/>
  <c r="I717" i="1"/>
  <c r="T716" i="1"/>
  <c r="I716" i="1"/>
  <c r="T715" i="1"/>
  <c r="I715" i="1"/>
  <c r="T714" i="1"/>
  <c r="I714" i="1"/>
  <c r="T713" i="1"/>
  <c r="I713" i="1"/>
  <c r="T712" i="1"/>
  <c r="I712" i="1"/>
  <c r="T711" i="1"/>
  <c r="I711" i="1"/>
  <c r="T710" i="1"/>
  <c r="I710" i="1"/>
  <c r="T709" i="1"/>
  <c r="I709" i="1"/>
  <c r="T708" i="1"/>
  <c r="I708" i="1"/>
  <c r="T707" i="1"/>
  <c r="I707" i="1"/>
  <c r="T706" i="1"/>
  <c r="I706" i="1"/>
  <c r="T705" i="1"/>
  <c r="I705" i="1"/>
  <c r="T704" i="1"/>
  <c r="I704" i="1"/>
  <c r="T703" i="1"/>
  <c r="I703" i="1"/>
  <c r="T702" i="1"/>
  <c r="I702" i="1"/>
  <c r="T701" i="1"/>
  <c r="I701" i="1"/>
  <c r="T700" i="1"/>
  <c r="I700" i="1"/>
  <c r="T699" i="1"/>
  <c r="I699" i="1"/>
  <c r="T698" i="1"/>
  <c r="I698" i="1"/>
  <c r="T697" i="1"/>
  <c r="I697" i="1"/>
  <c r="T696" i="1"/>
  <c r="I696" i="1"/>
  <c r="T695" i="1"/>
  <c r="I695" i="1"/>
  <c r="T694" i="1"/>
  <c r="I694" i="1"/>
  <c r="T693" i="1"/>
  <c r="I693" i="1"/>
  <c r="T692" i="1"/>
  <c r="I692" i="1"/>
  <c r="T691" i="1"/>
  <c r="I691" i="1"/>
  <c r="T690" i="1"/>
  <c r="I690" i="1"/>
  <c r="T689" i="1"/>
  <c r="I689" i="1"/>
  <c r="T688" i="1"/>
  <c r="I688" i="1"/>
  <c r="T687" i="1"/>
  <c r="I687" i="1"/>
  <c r="T686" i="1"/>
  <c r="I686" i="1"/>
  <c r="T685" i="1"/>
  <c r="I685" i="1"/>
  <c r="T684" i="1"/>
  <c r="I684" i="1"/>
  <c r="T683" i="1"/>
  <c r="I683" i="1"/>
  <c r="T682" i="1"/>
  <c r="I682" i="1"/>
  <c r="T681" i="1"/>
  <c r="I681" i="1"/>
  <c r="T680" i="1"/>
  <c r="I680" i="1"/>
  <c r="T679" i="1"/>
  <c r="I679" i="1"/>
  <c r="T678" i="1"/>
  <c r="I678" i="1"/>
  <c r="T677" i="1"/>
  <c r="I677" i="1"/>
  <c r="T676" i="1"/>
  <c r="I676" i="1"/>
  <c r="T675" i="1"/>
  <c r="I675" i="1"/>
  <c r="T674" i="1"/>
  <c r="I674" i="1"/>
  <c r="T673" i="1"/>
  <c r="I673" i="1"/>
  <c r="T672" i="1"/>
  <c r="I672" i="1"/>
  <c r="T671" i="1"/>
  <c r="I671" i="1"/>
  <c r="T670" i="1"/>
  <c r="I670" i="1"/>
  <c r="T669" i="1"/>
  <c r="I669" i="1"/>
  <c r="T668" i="1"/>
  <c r="I668" i="1"/>
  <c r="T667" i="1"/>
  <c r="I667" i="1"/>
  <c r="T666" i="1"/>
  <c r="I666" i="1"/>
  <c r="T665" i="1"/>
  <c r="I665" i="1"/>
  <c r="T664" i="1"/>
  <c r="I664" i="1"/>
  <c r="T663" i="1"/>
  <c r="I663" i="1"/>
  <c r="T662" i="1"/>
  <c r="I662" i="1"/>
  <c r="T661" i="1"/>
  <c r="I661" i="1"/>
  <c r="T660" i="1"/>
  <c r="I660" i="1"/>
  <c r="T659" i="1"/>
  <c r="I659" i="1"/>
  <c r="T658" i="1"/>
  <c r="I658" i="1"/>
  <c r="T657" i="1"/>
  <c r="I657" i="1"/>
  <c r="T656" i="1"/>
  <c r="I656" i="1"/>
  <c r="T655" i="1"/>
  <c r="I655" i="1"/>
  <c r="T654" i="1"/>
  <c r="I654" i="1"/>
  <c r="T653" i="1"/>
  <c r="I653" i="1"/>
  <c r="T652" i="1"/>
  <c r="I652" i="1"/>
  <c r="T651" i="1"/>
  <c r="I651" i="1"/>
  <c r="T650" i="1"/>
  <c r="I650" i="1"/>
  <c r="T649" i="1"/>
  <c r="I649" i="1"/>
  <c r="T648" i="1"/>
  <c r="I648" i="1"/>
  <c r="T647" i="1"/>
  <c r="I647" i="1"/>
  <c r="T646" i="1"/>
  <c r="I646" i="1"/>
  <c r="T645" i="1"/>
  <c r="I645" i="1"/>
  <c r="T644" i="1"/>
  <c r="I644" i="1"/>
  <c r="T643" i="1"/>
  <c r="I643" i="1"/>
  <c r="T642" i="1"/>
  <c r="I642" i="1"/>
  <c r="T641" i="1"/>
  <c r="I641" i="1"/>
  <c r="T640" i="1"/>
  <c r="I640" i="1"/>
  <c r="T639" i="1"/>
  <c r="I639" i="1"/>
  <c r="T638" i="1"/>
  <c r="I638" i="1"/>
  <c r="T637" i="1"/>
  <c r="I637" i="1"/>
  <c r="T636" i="1"/>
  <c r="I636" i="1"/>
  <c r="T635" i="1"/>
  <c r="I635" i="1"/>
  <c r="T634" i="1"/>
  <c r="I634" i="1"/>
  <c r="T633" i="1"/>
  <c r="I633" i="1"/>
  <c r="T632" i="1"/>
  <c r="I632" i="1"/>
  <c r="T631" i="1"/>
  <c r="I631" i="1"/>
  <c r="T630" i="1"/>
  <c r="I630" i="1"/>
  <c r="T629" i="1"/>
  <c r="I629" i="1"/>
  <c r="T628" i="1"/>
  <c r="I628" i="1"/>
  <c r="K990" i="1"/>
  <c r="F951" i="1"/>
  <c r="P928" i="1"/>
  <c r="L912" i="1"/>
  <c r="L896" i="1"/>
  <c r="L880" i="1"/>
  <c r="L865" i="1"/>
  <c r="F860" i="1"/>
  <c r="Q854" i="1"/>
  <c r="L849" i="1"/>
  <c r="C845" i="1"/>
  <c r="F842" i="1"/>
  <c r="L839" i="1"/>
  <c r="S836" i="1"/>
  <c r="I834" i="1"/>
  <c r="I832" i="1"/>
  <c r="I830" i="1"/>
  <c r="I828" i="1"/>
  <c r="I826" i="1"/>
  <c r="I824" i="1"/>
  <c r="I822" i="1"/>
  <c r="I820" i="1"/>
  <c r="I818" i="1"/>
  <c r="I816" i="1"/>
  <c r="I814" i="1"/>
  <c r="I812" i="1"/>
  <c r="I810" i="1"/>
  <c r="I808" i="1"/>
  <c r="I806" i="1"/>
  <c r="I804" i="1"/>
  <c r="I802" i="1"/>
  <c r="I800" i="1"/>
  <c r="I798" i="1"/>
  <c r="I796" i="1"/>
  <c r="I794" i="1"/>
  <c r="I792" i="1"/>
  <c r="I790" i="1"/>
  <c r="I788" i="1"/>
  <c r="I786" i="1"/>
  <c r="I784" i="1"/>
  <c r="I782" i="1"/>
  <c r="I780" i="1"/>
  <c r="I778" i="1"/>
  <c r="L776" i="1"/>
  <c r="I775" i="1"/>
  <c r="B774" i="1"/>
  <c r="L772" i="1"/>
  <c r="I771" i="1"/>
  <c r="B770" i="1"/>
  <c r="L768" i="1"/>
  <c r="I767" i="1"/>
  <c r="B766" i="1"/>
  <c r="L764" i="1"/>
  <c r="I763" i="1"/>
  <c r="B762" i="1"/>
  <c r="L760" i="1"/>
  <c r="I759" i="1"/>
  <c r="B758" i="1"/>
  <c r="L756" i="1"/>
  <c r="I755" i="1"/>
  <c r="B754" i="1"/>
  <c r="L752" i="1"/>
  <c r="I751" i="1"/>
  <c r="B750" i="1"/>
  <c r="L748" i="1"/>
  <c r="I747" i="1"/>
  <c r="B746" i="1"/>
  <c r="L744" i="1"/>
  <c r="I743" i="1"/>
  <c r="B742" i="1"/>
  <c r="L740" i="1"/>
  <c r="I739" i="1"/>
  <c r="B738" i="1"/>
  <c r="L736" i="1"/>
  <c r="L735" i="1"/>
  <c r="B735" i="1"/>
  <c r="G734" i="1"/>
  <c r="L733" i="1"/>
  <c r="B733" i="1"/>
  <c r="H732" i="1"/>
  <c r="S731" i="1"/>
  <c r="H731" i="1"/>
  <c r="S730" i="1"/>
  <c r="H730" i="1"/>
  <c r="S729" i="1"/>
  <c r="H729" i="1"/>
  <c r="S728" i="1"/>
  <c r="H728" i="1"/>
  <c r="S727" i="1"/>
  <c r="H727" i="1"/>
  <c r="S726" i="1"/>
  <c r="H726" i="1"/>
  <c r="S725" i="1"/>
  <c r="H725" i="1"/>
  <c r="S724" i="1"/>
  <c r="H724" i="1"/>
  <c r="S723" i="1"/>
  <c r="H723" i="1"/>
  <c r="S722" i="1"/>
  <c r="H722" i="1"/>
  <c r="S721" i="1"/>
  <c r="H721" i="1"/>
  <c r="S720" i="1"/>
  <c r="H720" i="1"/>
  <c r="S719" i="1"/>
  <c r="H719" i="1"/>
  <c r="S718" i="1"/>
  <c r="H718" i="1"/>
  <c r="S717" i="1"/>
  <c r="H717" i="1"/>
  <c r="S716" i="1"/>
  <c r="H716" i="1"/>
  <c r="S715" i="1"/>
  <c r="H715" i="1"/>
  <c r="S714" i="1"/>
  <c r="H714" i="1"/>
  <c r="S713" i="1"/>
  <c r="H713" i="1"/>
  <c r="S712" i="1"/>
  <c r="H712" i="1"/>
  <c r="S711" i="1"/>
  <c r="H711" i="1"/>
  <c r="S710" i="1"/>
  <c r="H710" i="1"/>
  <c r="S709" i="1"/>
  <c r="H709" i="1"/>
  <c r="S708" i="1"/>
  <c r="H708" i="1"/>
  <c r="S707" i="1"/>
  <c r="H707" i="1"/>
  <c r="S706" i="1"/>
  <c r="H706" i="1"/>
  <c r="S705" i="1"/>
  <c r="H705" i="1"/>
  <c r="S704" i="1"/>
  <c r="H704" i="1"/>
  <c r="S703" i="1"/>
  <c r="H703" i="1"/>
  <c r="S702" i="1"/>
  <c r="H702" i="1"/>
  <c r="S701" i="1"/>
  <c r="H701" i="1"/>
  <c r="S700" i="1"/>
  <c r="H700" i="1"/>
  <c r="S699" i="1"/>
  <c r="H699" i="1"/>
  <c r="S698" i="1"/>
  <c r="H698" i="1"/>
  <c r="S697" i="1"/>
  <c r="H697" i="1"/>
  <c r="S696" i="1"/>
  <c r="H696" i="1"/>
  <c r="S695" i="1"/>
  <c r="H695" i="1"/>
  <c r="S694" i="1"/>
  <c r="H694" i="1"/>
  <c r="S693" i="1"/>
  <c r="H693" i="1"/>
  <c r="S692" i="1"/>
  <c r="H692" i="1"/>
  <c r="S691" i="1"/>
  <c r="H691" i="1"/>
  <c r="S690" i="1"/>
  <c r="H690" i="1"/>
  <c r="S689" i="1"/>
  <c r="H689" i="1"/>
  <c r="S688" i="1"/>
  <c r="H688" i="1"/>
  <c r="S687" i="1"/>
  <c r="H687" i="1"/>
  <c r="S686" i="1"/>
  <c r="H686" i="1"/>
  <c r="S685" i="1"/>
  <c r="H685" i="1"/>
  <c r="S684" i="1"/>
  <c r="H684" i="1"/>
  <c r="S683" i="1"/>
  <c r="H683" i="1"/>
  <c r="S682" i="1"/>
  <c r="H682" i="1"/>
  <c r="S681" i="1"/>
  <c r="H681" i="1"/>
  <c r="S680" i="1"/>
  <c r="H680" i="1"/>
  <c r="S679" i="1"/>
  <c r="H679" i="1"/>
  <c r="S678" i="1"/>
  <c r="G981" i="1"/>
  <c r="O945" i="1"/>
  <c r="D925" i="1"/>
  <c r="D909" i="1"/>
  <c r="D893" i="1"/>
  <c r="D877" i="1"/>
  <c r="G864" i="1"/>
  <c r="D859" i="1"/>
  <c r="P853" i="1"/>
  <c r="G848" i="1"/>
  <c r="G844" i="1"/>
  <c r="O841" i="1"/>
  <c r="C839" i="1"/>
  <c r="G836" i="1"/>
  <c r="B834" i="1"/>
  <c r="B832" i="1"/>
  <c r="B830" i="1"/>
  <c r="B828" i="1"/>
  <c r="B826" i="1"/>
  <c r="B824" i="1"/>
  <c r="B822" i="1"/>
  <c r="B820" i="1"/>
  <c r="B818" i="1"/>
  <c r="B816" i="1"/>
  <c r="B814" i="1"/>
  <c r="B812" i="1"/>
  <c r="B810" i="1"/>
  <c r="B808" i="1"/>
  <c r="B806" i="1"/>
  <c r="B804" i="1"/>
  <c r="B802" i="1"/>
  <c r="B800" i="1"/>
  <c r="B798" i="1"/>
  <c r="B796" i="1"/>
  <c r="B794" i="1"/>
  <c r="B792" i="1"/>
  <c r="B790" i="1"/>
  <c r="B788" i="1"/>
  <c r="B786" i="1"/>
  <c r="B784" i="1"/>
  <c r="B782" i="1"/>
  <c r="B780" i="1"/>
  <c r="B778" i="1"/>
  <c r="J776" i="1"/>
  <c r="D775" i="1"/>
  <c r="T773" i="1"/>
  <c r="J772" i="1"/>
  <c r="D771" i="1"/>
  <c r="T769" i="1"/>
  <c r="J768" i="1"/>
  <c r="D767" i="1"/>
  <c r="T765" i="1"/>
  <c r="J764" i="1"/>
  <c r="D763" i="1"/>
  <c r="T761" i="1"/>
  <c r="J760" i="1"/>
  <c r="D759" i="1"/>
  <c r="T757" i="1"/>
  <c r="J756" i="1"/>
  <c r="D755" i="1"/>
  <c r="T753" i="1"/>
  <c r="J752" i="1"/>
  <c r="D751" i="1"/>
  <c r="T749" i="1"/>
  <c r="J748" i="1"/>
  <c r="D747" i="1"/>
  <c r="T745" i="1"/>
  <c r="J744" i="1"/>
  <c r="D743" i="1"/>
  <c r="T741" i="1"/>
  <c r="J740" i="1"/>
  <c r="D739" i="1"/>
  <c r="T737" i="1"/>
  <c r="J736" i="1"/>
  <c r="K735" i="1"/>
  <c r="T734" i="1"/>
  <c r="E734" i="1"/>
  <c r="K733" i="1"/>
  <c r="T732" i="1"/>
  <c r="G732" i="1"/>
  <c r="Q731" i="1"/>
  <c r="G731" i="1"/>
  <c r="Q730" i="1"/>
  <c r="G730" i="1"/>
  <c r="Q729" i="1"/>
  <c r="G729" i="1"/>
  <c r="Q728" i="1"/>
  <c r="G728" i="1"/>
  <c r="Q727" i="1"/>
  <c r="G727" i="1"/>
  <c r="Q726" i="1"/>
  <c r="G726" i="1"/>
  <c r="Q725" i="1"/>
  <c r="G725" i="1"/>
  <c r="Q724" i="1"/>
  <c r="G724" i="1"/>
  <c r="Q723" i="1"/>
  <c r="G723" i="1"/>
  <c r="Q722" i="1"/>
  <c r="G722" i="1"/>
  <c r="Q721" i="1"/>
  <c r="G721" i="1"/>
  <c r="Q720" i="1"/>
  <c r="G720" i="1"/>
  <c r="Q719" i="1"/>
  <c r="G719" i="1"/>
  <c r="Q718" i="1"/>
  <c r="G718" i="1"/>
  <c r="Q717" i="1"/>
  <c r="G717" i="1"/>
  <c r="Q716" i="1"/>
  <c r="G716" i="1"/>
  <c r="Q715" i="1"/>
  <c r="G715" i="1"/>
  <c r="Q714" i="1"/>
  <c r="G714" i="1"/>
  <c r="Q713" i="1"/>
  <c r="G713" i="1"/>
  <c r="Q712" i="1"/>
  <c r="G712" i="1"/>
  <c r="Q711" i="1"/>
  <c r="G711" i="1"/>
  <c r="Q710" i="1"/>
  <c r="G710" i="1"/>
  <c r="Q709" i="1"/>
  <c r="G709" i="1"/>
  <c r="Q708" i="1"/>
  <c r="G708" i="1"/>
  <c r="Q707" i="1"/>
  <c r="G707" i="1"/>
  <c r="Q706" i="1"/>
  <c r="G706" i="1"/>
  <c r="Q705" i="1"/>
  <c r="G705" i="1"/>
  <c r="Q704" i="1"/>
  <c r="G704" i="1"/>
  <c r="Q703" i="1"/>
  <c r="G703" i="1"/>
  <c r="Q702" i="1"/>
  <c r="G702" i="1"/>
  <c r="Q701" i="1"/>
  <c r="G701" i="1"/>
  <c r="Q700" i="1"/>
  <c r="G700" i="1"/>
  <c r="Q699" i="1"/>
  <c r="G699" i="1"/>
  <c r="Q698" i="1"/>
  <c r="G698" i="1"/>
  <c r="Q697" i="1"/>
  <c r="G697" i="1"/>
  <c r="Q696" i="1"/>
  <c r="G696" i="1"/>
  <c r="Q695" i="1"/>
  <c r="G695" i="1"/>
  <c r="Q694" i="1"/>
  <c r="G694" i="1"/>
  <c r="Q693" i="1"/>
  <c r="G693" i="1"/>
  <c r="Q692" i="1"/>
  <c r="G692" i="1"/>
  <c r="Q691" i="1"/>
  <c r="G691" i="1"/>
  <c r="Q690" i="1"/>
  <c r="G690" i="1"/>
  <c r="Q689" i="1"/>
  <c r="G689" i="1"/>
  <c r="Q688" i="1"/>
  <c r="G688" i="1"/>
  <c r="Q687" i="1"/>
  <c r="G687" i="1"/>
  <c r="Q686" i="1"/>
  <c r="G686" i="1"/>
  <c r="Q685" i="1"/>
  <c r="G685" i="1"/>
  <c r="Q684" i="1"/>
  <c r="G684" i="1"/>
  <c r="Q683" i="1"/>
  <c r="G683" i="1"/>
  <c r="Q682" i="1"/>
  <c r="G682" i="1"/>
  <c r="Q681" i="1"/>
  <c r="G681" i="1"/>
  <c r="Q680" i="1"/>
  <c r="G680" i="1"/>
  <c r="Q679" i="1"/>
  <c r="G679" i="1"/>
  <c r="Q678" i="1"/>
  <c r="G678" i="1"/>
  <c r="Q677" i="1"/>
  <c r="G677" i="1"/>
  <c r="Q676" i="1"/>
  <c r="G676" i="1"/>
  <c r="Q675" i="1"/>
  <c r="G675" i="1"/>
  <c r="Q674" i="1"/>
  <c r="G674" i="1"/>
  <c r="Q673" i="1"/>
  <c r="G673" i="1"/>
  <c r="Q672" i="1"/>
  <c r="G672" i="1"/>
  <c r="Q671" i="1"/>
  <c r="G671" i="1"/>
  <c r="Q670" i="1"/>
  <c r="G670" i="1"/>
  <c r="Q669" i="1"/>
  <c r="G669" i="1"/>
  <c r="Q668" i="1"/>
  <c r="G668" i="1"/>
  <c r="Q667" i="1"/>
  <c r="G667" i="1"/>
  <c r="Q666" i="1"/>
  <c r="G666" i="1"/>
  <c r="Q665" i="1"/>
  <c r="G665" i="1"/>
  <c r="Q664" i="1"/>
  <c r="G664" i="1"/>
  <c r="Q663" i="1"/>
  <c r="G663" i="1"/>
  <c r="Q662" i="1"/>
  <c r="G662" i="1"/>
  <c r="Q661" i="1"/>
  <c r="G661" i="1"/>
  <c r="Q660" i="1"/>
  <c r="G660" i="1"/>
  <c r="Q659" i="1"/>
  <c r="G659" i="1"/>
  <c r="Q658" i="1"/>
  <c r="G658" i="1"/>
  <c r="Q657" i="1"/>
  <c r="G657" i="1"/>
  <c r="Q656" i="1"/>
  <c r="G656" i="1"/>
  <c r="Q655" i="1"/>
  <c r="G655" i="1"/>
  <c r="Q654" i="1"/>
  <c r="G654" i="1"/>
  <c r="Q653" i="1"/>
  <c r="G653" i="1"/>
  <c r="Q652" i="1"/>
  <c r="G652" i="1"/>
  <c r="Q651" i="1"/>
  <c r="S979" i="1"/>
  <c r="L853" i="1"/>
  <c r="T829" i="1"/>
  <c r="T813" i="1"/>
  <c r="T797" i="1"/>
  <c r="T781" i="1"/>
  <c r="L769" i="1"/>
  <c r="B759" i="1"/>
  <c r="I748" i="1"/>
  <c r="L737" i="1"/>
  <c r="P731" i="1"/>
  <c r="P727" i="1"/>
  <c r="P723" i="1"/>
  <c r="P719" i="1"/>
  <c r="P715" i="1"/>
  <c r="P711" i="1"/>
  <c r="P707" i="1"/>
  <c r="P703" i="1"/>
  <c r="P699" i="1"/>
  <c r="P695" i="1"/>
  <c r="P691" i="1"/>
  <c r="P687" i="1"/>
  <c r="P683" i="1"/>
  <c r="P679" i="1"/>
  <c r="F677" i="1"/>
  <c r="F675" i="1"/>
  <c r="F673" i="1"/>
  <c r="F671" i="1"/>
  <c r="F669" i="1"/>
  <c r="F667" i="1"/>
  <c r="F665" i="1"/>
  <c r="F663" i="1"/>
  <c r="F661" i="1"/>
  <c r="F659" i="1"/>
  <c r="F657" i="1"/>
  <c r="F655" i="1"/>
  <c r="F653" i="1"/>
  <c r="G651" i="1"/>
  <c r="S649" i="1"/>
  <c r="P648" i="1"/>
  <c r="G647" i="1"/>
  <c r="S645" i="1"/>
  <c r="P644" i="1"/>
  <c r="G643" i="1"/>
  <c r="S641" i="1"/>
  <c r="P640" i="1"/>
  <c r="G639" i="1"/>
  <c r="S637" i="1"/>
  <c r="P636" i="1"/>
  <c r="G635" i="1"/>
  <c r="S633" i="1"/>
  <c r="P632" i="1"/>
  <c r="G631" i="1"/>
  <c r="S629" i="1"/>
  <c r="P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P607" i="1"/>
  <c r="S606" i="1"/>
  <c r="D606" i="1"/>
  <c r="G605" i="1"/>
  <c r="I604" i="1"/>
  <c r="P603" i="1"/>
  <c r="S602" i="1"/>
  <c r="D602" i="1"/>
  <c r="G601" i="1"/>
  <c r="I600" i="1"/>
  <c r="P599" i="1"/>
  <c r="S598" i="1"/>
  <c r="D598" i="1"/>
  <c r="G597" i="1"/>
  <c r="I596" i="1"/>
  <c r="P595" i="1"/>
  <c r="S594" i="1"/>
  <c r="D594" i="1"/>
  <c r="G593" i="1"/>
  <c r="I592" i="1"/>
  <c r="P591" i="1"/>
  <c r="S590" i="1"/>
  <c r="D590" i="1"/>
  <c r="G589" i="1"/>
  <c r="I588" i="1"/>
  <c r="P587" i="1"/>
  <c r="S586" i="1"/>
  <c r="D586" i="1"/>
  <c r="G585" i="1"/>
  <c r="I584" i="1"/>
  <c r="P583" i="1"/>
  <c r="S582" i="1"/>
  <c r="D582" i="1"/>
  <c r="G581" i="1"/>
  <c r="I580" i="1"/>
  <c r="P579" i="1"/>
  <c r="S578" i="1"/>
  <c r="D578" i="1"/>
  <c r="G577" i="1"/>
  <c r="I576" i="1"/>
  <c r="P575" i="1"/>
  <c r="S574" i="1"/>
  <c r="D574" i="1"/>
  <c r="G573" i="1"/>
  <c r="I572" i="1"/>
  <c r="P571" i="1"/>
  <c r="S570" i="1"/>
  <c r="D570" i="1"/>
  <c r="G569" i="1"/>
  <c r="I568" i="1"/>
  <c r="P567" i="1"/>
  <c r="S566" i="1"/>
  <c r="D566" i="1"/>
  <c r="G565" i="1"/>
  <c r="I564" i="1"/>
  <c r="P563" i="1"/>
  <c r="S562" i="1"/>
  <c r="D562" i="1"/>
  <c r="G561" i="1"/>
  <c r="I560" i="1"/>
  <c r="P559" i="1"/>
  <c r="S558" i="1"/>
  <c r="D558" i="1"/>
  <c r="G557" i="1"/>
  <c r="I556" i="1"/>
  <c r="P555" i="1"/>
  <c r="S554" i="1"/>
  <c r="D554" i="1"/>
  <c r="G553" i="1"/>
  <c r="I552" i="1"/>
  <c r="P551" i="1"/>
  <c r="S550" i="1"/>
  <c r="D550" i="1"/>
  <c r="G549" i="1"/>
  <c r="I548" i="1"/>
  <c r="P547" i="1"/>
  <c r="S546" i="1"/>
  <c r="D546" i="1"/>
  <c r="G545" i="1"/>
  <c r="I544" i="1"/>
  <c r="P543" i="1"/>
  <c r="S542" i="1"/>
  <c r="D542" i="1"/>
  <c r="G541" i="1"/>
  <c r="I540" i="1"/>
  <c r="P539" i="1"/>
  <c r="S538" i="1"/>
  <c r="D538" i="1"/>
  <c r="G537" i="1"/>
  <c r="I536" i="1"/>
  <c r="P535" i="1"/>
  <c r="S534" i="1"/>
  <c r="D534" i="1"/>
  <c r="G533" i="1"/>
  <c r="I532" i="1"/>
  <c r="P531" i="1"/>
  <c r="S530" i="1"/>
  <c r="D530" i="1"/>
  <c r="G529" i="1"/>
  <c r="I528" i="1"/>
  <c r="P527" i="1"/>
  <c r="S526" i="1"/>
  <c r="D526" i="1"/>
  <c r="G525" i="1"/>
  <c r="I524" i="1"/>
  <c r="P523" i="1"/>
  <c r="S522" i="1"/>
  <c r="D522" i="1"/>
  <c r="G521" i="1"/>
  <c r="I520" i="1"/>
  <c r="P519" i="1"/>
  <c r="T518" i="1"/>
  <c r="G518" i="1"/>
  <c r="L517" i="1"/>
  <c r="T516" i="1"/>
  <c r="I516" i="1"/>
  <c r="T515" i="1"/>
  <c r="I515" i="1"/>
  <c r="T514" i="1"/>
  <c r="I514" i="1"/>
  <c r="T513" i="1"/>
  <c r="I513" i="1"/>
  <c r="T512" i="1"/>
  <c r="I512" i="1"/>
  <c r="T511" i="1"/>
  <c r="I511" i="1"/>
  <c r="T510" i="1"/>
  <c r="Q944" i="1"/>
  <c r="F848" i="1"/>
  <c r="T827" i="1"/>
  <c r="T811" i="1"/>
  <c r="T795" i="1"/>
  <c r="T779" i="1"/>
  <c r="I768" i="1"/>
  <c r="L757" i="1"/>
  <c r="B747" i="1"/>
  <c r="I736" i="1"/>
  <c r="F731" i="1"/>
  <c r="F727" i="1"/>
  <c r="F723" i="1"/>
  <c r="F719" i="1"/>
  <c r="F715" i="1"/>
  <c r="F711" i="1"/>
  <c r="F707" i="1"/>
  <c r="F703" i="1"/>
  <c r="F699" i="1"/>
  <c r="F695" i="1"/>
  <c r="F691" i="1"/>
  <c r="F687" i="1"/>
  <c r="F683" i="1"/>
  <c r="F679" i="1"/>
  <c r="S676" i="1"/>
  <c r="S674" i="1"/>
  <c r="S672" i="1"/>
  <c r="S670" i="1"/>
  <c r="S668" i="1"/>
  <c r="S666" i="1"/>
  <c r="S664" i="1"/>
  <c r="S662" i="1"/>
  <c r="S660" i="1"/>
  <c r="S658" i="1"/>
  <c r="S656" i="1"/>
  <c r="S654" i="1"/>
  <c r="S652" i="1"/>
  <c r="F651" i="1"/>
  <c r="Q649" i="1"/>
  <c r="H648" i="1"/>
  <c r="F647" i="1"/>
  <c r="Q645" i="1"/>
  <c r="H644" i="1"/>
  <c r="F643" i="1"/>
  <c r="Q641" i="1"/>
  <c r="H640" i="1"/>
  <c r="F639" i="1"/>
  <c r="Q637" i="1"/>
  <c r="H636" i="1"/>
  <c r="F635" i="1"/>
  <c r="Q633" i="1"/>
  <c r="H632" i="1"/>
  <c r="F631" i="1"/>
  <c r="Q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L607" i="1"/>
  <c r="Q606" i="1"/>
  <c r="T605" i="1"/>
  <c r="F605" i="1"/>
  <c r="H604" i="1"/>
  <c r="L603" i="1"/>
  <c r="Q602" i="1"/>
  <c r="T601" i="1"/>
  <c r="F601" i="1"/>
  <c r="H600" i="1"/>
  <c r="L599" i="1"/>
  <c r="Q598" i="1"/>
  <c r="T597" i="1"/>
  <c r="F597" i="1"/>
  <c r="H596" i="1"/>
  <c r="L595" i="1"/>
  <c r="Q594" i="1"/>
  <c r="T593" i="1"/>
  <c r="F593" i="1"/>
  <c r="H592" i="1"/>
  <c r="L591" i="1"/>
  <c r="Q590" i="1"/>
  <c r="T589" i="1"/>
  <c r="F589" i="1"/>
  <c r="H588" i="1"/>
  <c r="L587" i="1"/>
  <c r="Q586" i="1"/>
  <c r="T585" i="1"/>
  <c r="F585" i="1"/>
  <c r="H584" i="1"/>
  <c r="L583" i="1"/>
  <c r="Q582" i="1"/>
  <c r="T581" i="1"/>
  <c r="F581" i="1"/>
  <c r="H580" i="1"/>
  <c r="L579" i="1"/>
  <c r="Q578" i="1"/>
  <c r="T577" i="1"/>
  <c r="F577" i="1"/>
  <c r="H576" i="1"/>
  <c r="L575" i="1"/>
  <c r="Q574" i="1"/>
  <c r="T573" i="1"/>
  <c r="F573" i="1"/>
  <c r="H572" i="1"/>
  <c r="L571" i="1"/>
  <c r="Q570" i="1"/>
  <c r="T569" i="1"/>
  <c r="F569" i="1"/>
  <c r="H568" i="1"/>
  <c r="L567" i="1"/>
  <c r="Q566" i="1"/>
  <c r="T565" i="1"/>
  <c r="F565" i="1"/>
  <c r="H564" i="1"/>
  <c r="L563" i="1"/>
  <c r="Q562" i="1"/>
  <c r="T561" i="1"/>
  <c r="F561" i="1"/>
  <c r="H560" i="1"/>
  <c r="L559" i="1"/>
  <c r="Q558" i="1"/>
  <c r="T557" i="1"/>
  <c r="F557" i="1"/>
  <c r="H556" i="1"/>
  <c r="L555" i="1"/>
  <c r="Q554" i="1"/>
  <c r="T553" i="1"/>
  <c r="F553" i="1"/>
  <c r="H552" i="1"/>
  <c r="L551" i="1"/>
  <c r="Q550" i="1"/>
  <c r="T549" i="1"/>
  <c r="F549" i="1"/>
  <c r="H548" i="1"/>
  <c r="L547" i="1"/>
  <c r="Q546" i="1"/>
  <c r="T545" i="1"/>
  <c r="F545" i="1"/>
  <c r="H544" i="1"/>
  <c r="L543" i="1"/>
  <c r="Q542" i="1"/>
  <c r="T541" i="1"/>
  <c r="F541" i="1"/>
  <c r="H540" i="1"/>
  <c r="L539" i="1"/>
  <c r="Q538" i="1"/>
  <c r="T537" i="1"/>
  <c r="F537" i="1"/>
  <c r="H536" i="1"/>
  <c r="L535" i="1"/>
  <c r="Q534" i="1"/>
  <c r="T533" i="1"/>
  <c r="F533" i="1"/>
  <c r="H532" i="1"/>
  <c r="L531" i="1"/>
  <c r="Q530" i="1"/>
  <c r="T529" i="1"/>
  <c r="F529" i="1"/>
  <c r="H528" i="1"/>
  <c r="L527" i="1"/>
  <c r="Q526" i="1"/>
  <c r="T525" i="1"/>
  <c r="F525" i="1"/>
  <c r="H524" i="1"/>
  <c r="L523" i="1"/>
  <c r="Q522" i="1"/>
  <c r="T521" i="1"/>
  <c r="F521" i="1"/>
  <c r="H520" i="1"/>
  <c r="L519" i="1"/>
  <c r="S518" i="1"/>
  <c r="F518" i="1"/>
  <c r="K517" i="1"/>
  <c r="S516" i="1"/>
  <c r="H516" i="1"/>
  <c r="S515" i="1"/>
  <c r="H515" i="1"/>
  <c r="S514" i="1"/>
  <c r="H514" i="1"/>
  <c r="S513" i="1"/>
  <c r="H513" i="1"/>
  <c r="S512" i="1"/>
  <c r="H512" i="1"/>
  <c r="S511" i="1"/>
  <c r="H511" i="1"/>
  <c r="S510" i="1"/>
  <c r="L924" i="1"/>
  <c r="F844" i="1"/>
  <c r="T825" i="1"/>
  <c r="T809" i="1"/>
  <c r="T793" i="1"/>
  <c r="T777" i="1"/>
  <c r="B767" i="1"/>
  <c r="I756" i="1"/>
  <c r="L745" i="1"/>
  <c r="J735" i="1"/>
  <c r="P730" i="1"/>
  <c r="P726" i="1"/>
  <c r="P722" i="1"/>
  <c r="P718" i="1"/>
  <c r="P714" i="1"/>
  <c r="P710" i="1"/>
  <c r="P706" i="1"/>
  <c r="P702" i="1"/>
  <c r="P698" i="1"/>
  <c r="P694" i="1"/>
  <c r="P690" i="1"/>
  <c r="P686" i="1"/>
  <c r="P682" i="1"/>
  <c r="P678" i="1"/>
  <c r="P676" i="1"/>
  <c r="P674" i="1"/>
  <c r="P672" i="1"/>
  <c r="P670" i="1"/>
  <c r="P668" i="1"/>
  <c r="P666" i="1"/>
  <c r="P664" i="1"/>
  <c r="P662" i="1"/>
  <c r="P660" i="1"/>
  <c r="P658" i="1"/>
  <c r="P656" i="1"/>
  <c r="P654" i="1"/>
  <c r="P652" i="1"/>
  <c r="S650" i="1"/>
  <c r="P649" i="1"/>
  <c r="G648" i="1"/>
  <c r="S646" i="1"/>
  <c r="P645" i="1"/>
  <c r="G644" i="1"/>
  <c r="S642" i="1"/>
  <c r="P641" i="1"/>
  <c r="G640" i="1"/>
  <c r="S638" i="1"/>
  <c r="P637" i="1"/>
  <c r="G636" i="1"/>
  <c r="S634" i="1"/>
  <c r="P633" i="1"/>
  <c r="G632" i="1"/>
  <c r="S630" i="1"/>
  <c r="P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I607" i="1"/>
  <c r="P606" i="1"/>
  <c r="S605" i="1"/>
  <c r="D605" i="1"/>
  <c r="G604" i="1"/>
  <c r="I603" i="1"/>
  <c r="P602" i="1"/>
  <c r="S601" i="1"/>
  <c r="D601" i="1"/>
  <c r="G600" i="1"/>
  <c r="I599" i="1"/>
  <c r="P598" i="1"/>
  <c r="S597" i="1"/>
  <c r="D597" i="1"/>
  <c r="G596" i="1"/>
  <c r="I595" i="1"/>
  <c r="P594" i="1"/>
  <c r="S593" i="1"/>
  <c r="D593" i="1"/>
  <c r="G592" i="1"/>
  <c r="I591" i="1"/>
  <c r="P590" i="1"/>
  <c r="S589" i="1"/>
  <c r="D589" i="1"/>
  <c r="G588" i="1"/>
  <c r="I587" i="1"/>
  <c r="P586" i="1"/>
  <c r="S585" i="1"/>
  <c r="D585" i="1"/>
  <c r="G584" i="1"/>
  <c r="I583" i="1"/>
  <c r="P582" i="1"/>
  <c r="S581" i="1"/>
  <c r="D581" i="1"/>
  <c r="G580" i="1"/>
  <c r="I579" i="1"/>
  <c r="P578" i="1"/>
  <c r="S577" i="1"/>
  <c r="D577" i="1"/>
  <c r="G576" i="1"/>
  <c r="I575" i="1"/>
  <c r="P574" i="1"/>
  <c r="S573" i="1"/>
  <c r="D573" i="1"/>
  <c r="G572" i="1"/>
  <c r="I571" i="1"/>
  <c r="P570" i="1"/>
  <c r="S569" i="1"/>
  <c r="D569" i="1"/>
  <c r="G568" i="1"/>
  <c r="I567" i="1"/>
  <c r="P566" i="1"/>
  <c r="S565" i="1"/>
  <c r="D565" i="1"/>
  <c r="G564" i="1"/>
  <c r="I563" i="1"/>
  <c r="P562" i="1"/>
  <c r="S561" i="1"/>
  <c r="D561" i="1"/>
  <c r="G560" i="1"/>
  <c r="I559" i="1"/>
  <c r="P558" i="1"/>
  <c r="S557" i="1"/>
  <c r="D557" i="1"/>
  <c r="G556" i="1"/>
  <c r="I555" i="1"/>
  <c r="P554" i="1"/>
  <c r="S553" i="1"/>
  <c r="D553" i="1"/>
  <c r="G552" i="1"/>
  <c r="I551" i="1"/>
  <c r="P550" i="1"/>
  <c r="S549" i="1"/>
  <c r="D549" i="1"/>
  <c r="G548" i="1"/>
  <c r="I547" i="1"/>
  <c r="P546" i="1"/>
  <c r="S545" i="1"/>
  <c r="D545" i="1"/>
  <c r="G544" i="1"/>
  <c r="I543" i="1"/>
  <c r="P542" i="1"/>
  <c r="S541" i="1"/>
  <c r="D541" i="1"/>
  <c r="G540" i="1"/>
  <c r="I539" i="1"/>
  <c r="P538" i="1"/>
  <c r="S537" i="1"/>
  <c r="D537" i="1"/>
  <c r="G536" i="1"/>
  <c r="I535" i="1"/>
  <c r="P534" i="1"/>
  <c r="S533" i="1"/>
  <c r="D533" i="1"/>
  <c r="G532" i="1"/>
  <c r="I531" i="1"/>
  <c r="P530" i="1"/>
  <c r="S529" i="1"/>
  <c r="D529" i="1"/>
  <c r="G528" i="1"/>
  <c r="I527" i="1"/>
  <c r="P526" i="1"/>
  <c r="S525" i="1"/>
  <c r="D525" i="1"/>
  <c r="G524" i="1"/>
  <c r="I523" i="1"/>
  <c r="P522" i="1"/>
  <c r="S521" i="1"/>
  <c r="D521" i="1"/>
  <c r="G520" i="1"/>
  <c r="I519" i="1"/>
  <c r="Q518" i="1"/>
  <c r="D518" i="1"/>
  <c r="I517" i="1"/>
  <c r="Q516" i="1"/>
  <c r="G516" i="1"/>
  <c r="Q515" i="1"/>
  <c r="G515" i="1"/>
  <c r="Q514" i="1"/>
  <c r="G514" i="1"/>
  <c r="Q513" i="1"/>
  <c r="G513" i="1"/>
  <c r="Q512" i="1"/>
  <c r="G512" i="1"/>
  <c r="Q511" i="1"/>
  <c r="G511" i="1"/>
  <c r="Q510" i="1"/>
  <c r="G510" i="1"/>
  <c r="Q509" i="1"/>
  <c r="L908" i="1"/>
  <c r="L841" i="1"/>
  <c r="T823" i="1"/>
  <c r="T807" i="1"/>
  <c r="T791" i="1"/>
  <c r="I776" i="1"/>
  <c r="L765" i="1"/>
  <c r="B755" i="1"/>
  <c r="I744" i="1"/>
  <c r="Q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H678" i="1"/>
  <c r="H676" i="1"/>
  <c r="H674" i="1"/>
  <c r="H672" i="1"/>
  <c r="H670" i="1"/>
  <c r="H668" i="1"/>
  <c r="H666" i="1"/>
  <c r="H664" i="1"/>
  <c r="H662" i="1"/>
  <c r="H660" i="1"/>
  <c r="H658" i="1"/>
  <c r="H656" i="1"/>
  <c r="H654" i="1"/>
  <c r="H652" i="1"/>
  <c r="Q650" i="1"/>
  <c r="H649" i="1"/>
  <c r="F648" i="1"/>
  <c r="Q646" i="1"/>
  <c r="H645" i="1"/>
  <c r="F644" i="1"/>
  <c r="Q642" i="1"/>
  <c r="H641" i="1"/>
  <c r="F640" i="1"/>
  <c r="Q638" i="1"/>
  <c r="H637" i="1"/>
  <c r="F636" i="1"/>
  <c r="Q634" i="1"/>
  <c r="H633" i="1"/>
  <c r="F632" i="1"/>
  <c r="Q630" i="1"/>
  <c r="H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H607" i="1"/>
  <c r="L606" i="1"/>
  <c r="Q605" i="1"/>
  <c r="T604" i="1"/>
  <c r="F604" i="1"/>
  <c r="H603" i="1"/>
  <c r="L602" i="1"/>
  <c r="Q601" i="1"/>
  <c r="T600" i="1"/>
  <c r="F600" i="1"/>
  <c r="H599" i="1"/>
  <c r="L598" i="1"/>
  <c r="Q597" i="1"/>
  <c r="T596" i="1"/>
  <c r="F596" i="1"/>
  <c r="H595" i="1"/>
  <c r="L594" i="1"/>
  <c r="Q593" i="1"/>
  <c r="T592" i="1"/>
  <c r="F592" i="1"/>
  <c r="H591" i="1"/>
  <c r="L590" i="1"/>
  <c r="Q589" i="1"/>
  <c r="T588" i="1"/>
  <c r="F588" i="1"/>
  <c r="H587" i="1"/>
  <c r="L586" i="1"/>
  <c r="Q585" i="1"/>
  <c r="T584" i="1"/>
  <c r="F584" i="1"/>
  <c r="H583" i="1"/>
  <c r="L582" i="1"/>
  <c r="Q581" i="1"/>
  <c r="T580" i="1"/>
  <c r="F580" i="1"/>
  <c r="H579" i="1"/>
  <c r="L578" i="1"/>
  <c r="Q577" i="1"/>
  <c r="T576" i="1"/>
  <c r="F576" i="1"/>
  <c r="H575" i="1"/>
  <c r="L574" i="1"/>
  <c r="Q573" i="1"/>
  <c r="T572" i="1"/>
  <c r="F572" i="1"/>
  <c r="H571" i="1"/>
  <c r="L570" i="1"/>
  <c r="Q569" i="1"/>
  <c r="T568" i="1"/>
  <c r="F568" i="1"/>
  <c r="H567" i="1"/>
  <c r="L566" i="1"/>
  <c r="Q565" i="1"/>
  <c r="T564" i="1"/>
  <c r="F564" i="1"/>
  <c r="H563" i="1"/>
  <c r="L562" i="1"/>
  <c r="Q561" i="1"/>
  <c r="T560" i="1"/>
  <c r="F560" i="1"/>
  <c r="H559" i="1"/>
  <c r="L558" i="1"/>
  <c r="Q557" i="1"/>
  <c r="T556" i="1"/>
  <c r="F556" i="1"/>
  <c r="H555" i="1"/>
  <c r="L554" i="1"/>
  <c r="Q553" i="1"/>
  <c r="T552" i="1"/>
  <c r="F552" i="1"/>
  <c r="H551" i="1"/>
  <c r="L550" i="1"/>
  <c r="Q549" i="1"/>
  <c r="T548" i="1"/>
  <c r="F548" i="1"/>
  <c r="H547" i="1"/>
  <c r="L546" i="1"/>
  <c r="Q545" i="1"/>
  <c r="T544" i="1"/>
  <c r="F544" i="1"/>
  <c r="H543" i="1"/>
  <c r="L542" i="1"/>
  <c r="Q541" i="1"/>
  <c r="T540" i="1"/>
  <c r="F540" i="1"/>
  <c r="H539" i="1"/>
  <c r="L538" i="1"/>
  <c r="Q537" i="1"/>
  <c r="T536" i="1"/>
  <c r="F536" i="1"/>
  <c r="H535" i="1"/>
  <c r="L534" i="1"/>
  <c r="Q533" i="1"/>
  <c r="T532" i="1"/>
  <c r="F532" i="1"/>
  <c r="H531" i="1"/>
  <c r="L530" i="1"/>
  <c r="Q529" i="1"/>
  <c r="T528" i="1"/>
  <c r="F528" i="1"/>
  <c r="H527" i="1"/>
  <c r="L526" i="1"/>
  <c r="Q525" i="1"/>
  <c r="T524" i="1"/>
  <c r="F524" i="1"/>
  <c r="H523" i="1"/>
  <c r="L522" i="1"/>
  <c r="Q521" i="1"/>
  <c r="T520" i="1"/>
  <c r="F520" i="1"/>
  <c r="H519" i="1"/>
  <c r="P518" i="1"/>
  <c r="C518" i="1"/>
  <c r="H517" i="1"/>
  <c r="P516" i="1"/>
  <c r="F516" i="1"/>
  <c r="P515" i="1"/>
  <c r="F515" i="1"/>
  <c r="P514" i="1"/>
  <c r="F514" i="1"/>
  <c r="P513" i="1"/>
  <c r="F513" i="1"/>
  <c r="P512" i="1"/>
  <c r="F512" i="1"/>
  <c r="P511" i="1"/>
  <c r="F511" i="1"/>
  <c r="P510" i="1"/>
  <c r="F510" i="1"/>
  <c r="P509" i="1"/>
  <c r="F509" i="1"/>
  <c r="P508" i="1"/>
  <c r="F508" i="1"/>
  <c r="P507" i="1"/>
  <c r="F507" i="1"/>
  <c r="P506" i="1"/>
  <c r="F506" i="1"/>
  <c r="P505" i="1"/>
  <c r="F505" i="1"/>
  <c r="P504" i="1"/>
  <c r="F504" i="1"/>
  <c r="P503" i="1"/>
  <c r="F503" i="1"/>
  <c r="P502" i="1"/>
  <c r="F502" i="1"/>
  <c r="P501" i="1"/>
  <c r="F501" i="1"/>
  <c r="P500" i="1"/>
  <c r="F500" i="1"/>
  <c r="P499" i="1"/>
  <c r="F499" i="1"/>
  <c r="P498" i="1"/>
  <c r="F498" i="1"/>
  <c r="P497" i="1"/>
  <c r="F497" i="1"/>
  <c r="P496" i="1"/>
  <c r="F496" i="1"/>
  <c r="P495" i="1"/>
  <c r="F495" i="1"/>
  <c r="P494" i="1"/>
  <c r="F494" i="1"/>
  <c r="P493" i="1"/>
  <c r="F493" i="1"/>
  <c r="P492" i="1"/>
  <c r="F492" i="1"/>
  <c r="P491" i="1"/>
  <c r="F491" i="1"/>
  <c r="P490" i="1"/>
  <c r="F490" i="1"/>
  <c r="P489" i="1"/>
  <c r="F489" i="1"/>
  <c r="P488" i="1"/>
  <c r="F488" i="1"/>
  <c r="P487" i="1"/>
  <c r="F487" i="1"/>
  <c r="P486" i="1"/>
  <c r="F486" i="1"/>
  <c r="P485" i="1"/>
  <c r="F485" i="1"/>
  <c r="P484" i="1"/>
  <c r="F484" i="1"/>
  <c r="P483" i="1"/>
  <c r="F483" i="1"/>
  <c r="L892" i="1"/>
  <c r="S838" i="1"/>
  <c r="T821" i="1"/>
  <c r="T805" i="1"/>
  <c r="T789" i="1"/>
  <c r="B775" i="1"/>
  <c r="I764" i="1"/>
  <c r="L753" i="1"/>
  <c r="B743" i="1"/>
  <c r="D734" i="1"/>
  <c r="P729" i="1"/>
  <c r="P725" i="1"/>
  <c r="P721" i="1"/>
  <c r="P717" i="1"/>
  <c r="P713" i="1"/>
  <c r="P709" i="1"/>
  <c r="P705" i="1"/>
  <c r="P701" i="1"/>
  <c r="P697" i="1"/>
  <c r="P693" i="1"/>
  <c r="P689" i="1"/>
  <c r="P685" i="1"/>
  <c r="P681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P650" i="1"/>
  <c r="G649" i="1"/>
  <c r="S647" i="1"/>
  <c r="P646" i="1"/>
  <c r="G645" i="1"/>
  <c r="S643" i="1"/>
  <c r="P642" i="1"/>
  <c r="G641" i="1"/>
  <c r="S639" i="1"/>
  <c r="P638" i="1"/>
  <c r="G637" i="1"/>
  <c r="S635" i="1"/>
  <c r="P634" i="1"/>
  <c r="G633" i="1"/>
  <c r="S631" i="1"/>
  <c r="P630" i="1"/>
  <c r="G629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D608" i="1"/>
  <c r="G607" i="1"/>
  <c r="I606" i="1"/>
  <c r="P605" i="1"/>
  <c r="S604" i="1"/>
  <c r="D604" i="1"/>
  <c r="G603" i="1"/>
  <c r="I602" i="1"/>
  <c r="P601" i="1"/>
  <c r="S600" i="1"/>
  <c r="D600" i="1"/>
  <c r="G599" i="1"/>
  <c r="I598" i="1"/>
  <c r="P597" i="1"/>
  <c r="S596" i="1"/>
  <c r="D596" i="1"/>
  <c r="G595" i="1"/>
  <c r="I594" i="1"/>
  <c r="P593" i="1"/>
  <c r="S592" i="1"/>
  <c r="D592" i="1"/>
  <c r="G591" i="1"/>
  <c r="I590" i="1"/>
  <c r="P589" i="1"/>
  <c r="S588" i="1"/>
  <c r="D588" i="1"/>
  <c r="G587" i="1"/>
  <c r="I586" i="1"/>
  <c r="P585" i="1"/>
  <c r="S584" i="1"/>
  <c r="D584" i="1"/>
  <c r="G583" i="1"/>
  <c r="I582" i="1"/>
  <c r="P581" i="1"/>
  <c r="S580" i="1"/>
  <c r="D580" i="1"/>
  <c r="G579" i="1"/>
  <c r="I578" i="1"/>
  <c r="P577" i="1"/>
  <c r="S576" i="1"/>
  <c r="D576" i="1"/>
  <c r="G575" i="1"/>
  <c r="I574" i="1"/>
  <c r="P573" i="1"/>
  <c r="S572" i="1"/>
  <c r="D572" i="1"/>
  <c r="G571" i="1"/>
  <c r="I570" i="1"/>
  <c r="P569" i="1"/>
  <c r="S568" i="1"/>
  <c r="D568" i="1"/>
  <c r="G567" i="1"/>
  <c r="I566" i="1"/>
  <c r="P565" i="1"/>
  <c r="S564" i="1"/>
  <c r="D564" i="1"/>
  <c r="G563" i="1"/>
  <c r="I562" i="1"/>
  <c r="P561" i="1"/>
  <c r="S560" i="1"/>
  <c r="D560" i="1"/>
  <c r="G559" i="1"/>
  <c r="I558" i="1"/>
  <c r="P557" i="1"/>
  <c r="S556" i="1"/>
  <c r="D556" i="1"/>
  <c r="G555" i="1"/>
  <c r="I554" i="1"/>
  <c r="P553" i="1"/>
  <c r="S552" i="1"/>
  <c r="D552" i="1"/>
  <c r="G551" i="1"/>
  <c r="I550" i="1"/>
  <c r="P549" i="1"/>
  <c r="S548" i="1"/>
  <c r="D548" i="1"/>
  <c r="G547" i="1"/>
  <c r="I546" i="1"/>
  <c r="P545" i="1"/>
  <c r="S544" i="1"/>
  <c r="D544" i="1"/>
  <c r="G543" i="1"/>
  <c r="I542" i="1"/>
  <c r="P541" i="1"/>
  <c r="S540" i="1"/>
  <c r="D540" i="1"/>
  <c r="G539" i="1"/>
  <c r="I538" i="1"/>
  <c r="P537" i="1"/>
  <c r="S536" i="1"/>
  <c r="D536" i="1"/>
  <c r="G535" i="1"/>
  <c r="I534" i="1"/>
  <c r="P533" i="1"/>
  <c r="S532" i="1"/>
  <c r="D532" i="1"/>
  <c r="G531" i="1"/>
  <c r="I530" i="1"/>
  <c r="P529" i="1"/>
  <c r="S528" i="1"/>
  <c r="D528" i="1"/>
  <c r="G527" i="1"/>
  <c r="I526" i="1"/>
  <c r="P525" i="1"/>
  <c r="S524" i="1"/>
  <c r="D524" i="1"/>
  <c r="G523" i="1"/>
  <c r="I522" i="1"/>
  <c r="P521" i="1"/>
  <c r="S520" i="1"/>
  <c r="D520" i="1"/>
  <c r="F864" i="1"/>
  <c r="T833" i="1"/>
  <c r="T817" i="1"/>
  <c r="T801" i="1"/>
  <c r="T785" i="1"/>
  <c r="I772" i="1"/>
  <c r="L761" i="1"/>
  <c r="B751" i="1"/>
  <c r="I740" i="1"/>
  <c r="Q732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7" i="1"/>
  <c r="P675" i="1"/>
  <c r="P673" i="1"/>
  <c r="P671" i="1"/>
  <c r="P669" i="1"/>
  <c r="P667" i="1"/>
  <c r="P665" i="1"/>
  <c r="P663" i="1"/>
  <c r="P661" i="1"/>
  <c r="P659" i="1"/>
  <c r="P657" i="1"/>
  <c r="P655" i="1"/>
  <c r="P653" i="1"/>
  <c r="P651" i="1"/>
  <c r="G650" i="1"/>
  <c r="S648" i="1"/>
  <c r="P647" i="1"/>
  <c r="G646" i="1"/>
  <c r="S644" i="1"/>
  <c r="P643" i="1"/>
  <c r="G642" i="1"/>
  <c r="S640" i="1"/>
  <c r="P639" i="1"/>
  <c r="G638" i="1"/>
  <c r="S636" i="1"/>
  <c r="P635" i="1"/>
  <c r="G634" i="1"/>
  <c r="S632" i="1"/>
  <c r="P631" i="1"/>
  <c r="G630" i="1"/>
  <c r="S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S607" i="1"/>
  <c r="D607" i="1"/>
  <c r="G606" i="1"/>
  <c r="I605" i="1"/>
  <c r="P604" i="1"/>
  <c r="S603" i="1"/>
  <c r="D603" i="1"/>
  <c r="G602" i="1"/>
  <c r="I601" i="1"/>
  <c r="P600" i="1"/>
  <c r="S599" i="1"/>
  <c r="D599" i="1"/>
  <c r="G598" i="1"/>
  <c r="I597" i="1"/>
  <c r="P596" i="1"/>
  <c r="S595" i="1"/>
  <c r="D595" i="1"/>
  <c r="G594" i="1"/>
  <c r="I593" i="1"/>
  <c r="P592" i="1"/>
  <c r="S591" i="1"/>
  <c r="D591" i="1"/>
  <c r="G590" i="1"/>
  <c r="I589" i="1"/>
  <c r="P588" i="1"/>
  <c r="S587" i="1"/>
  <c r="D587" i="1"/>
  <c r="G586" i="1"/>
  <c r="I585" i="1"/>
  <c r="P584" i="1"/>
  <c r="S583" i="1"/>
  <c r="D583" i="1"/>
  <c r="G582" i="1"/>
  <c r="I581" i="1"/>
  <c r="P580" i="1"/>
  <c r="S579" i="1"/>
  <c r="D579" i="1"/>
  <c r="G578" i="1"/>
  <c r="I577" i="1"/>
  <c r="P576" i="1"/>
  <c r="S575" i="1"/>
  <c r="D575" i="1"/>
  <c r="G574" i="1"/>
  <c r="I573" i="1"/>
  <c r="P572" i="1"/>
  <c r="S571" i="1"/>
  <c r="D571" i="1"/>
  <c r="G570" i="1"/>
  <c r="I569" i="1"/>
  <c r="P568" i="1"/>
  <c r="S567" i="1"/>
  <c r="D567" i="1"/>
  <c r="G566" i="1"/>
  <c r="I565" i="1"/>
  <c r="P564" i="1"/>
  <c r="S563" i="1"/>
  <c r="D563" i="1"/>
  <c r="G562" i="1"/>
  <c r="I561" i="1"/>
  <c r="P560" i="1"/>
  <c r="S559" i="1"/>
  <c r="D559" i="1"/>
  <c r="G558" i="1"/>
  <c r="I557" i="1"/>
  <c r="P556" i="1"/>
  <c r="S555" i="1"/>
  <c r="D555" i="1"/>
  <c r="G554" i="1"/>
  <c r="I553" i="1"/>
  <c r="P552" i="1"/>
  <c r="S551" i="1"/>
  <c r="D551" i="1"/>
  <c r="G550" i="1"/>
  <c r="I549" i="1"/>
  <c r="P548" i="1"/>
  <c r="S547" i="1"/>
  <c r="D547" i="1"/>
  <c r="G546" i="1"/>
  <c r="I545" i="1"/>
  <c r="P544" i="1"/>
  <c r="S543" i="1"/>
  <c r="D543" i="1"/>
  <c r="G542" i="1"/>
  <c r="I541" i="1"/>
  <c r="P540" i="1"/>
  <c r="S539" i="1"/>
  <c r="D539" i="1"/>
  <c r="G538" i="1"/>
  <c r="I537" i="1"/>
  <c r="P536" i="1"/>
  <c r="S535" i="1"/>
  <c r="D535" i="1"/>
  <c r="G534" i="1"/>
  <c r="I533" i="1"/>
  <c r="P532" i="1"/>
  <c r="S531" i="1"/>
  <c r="D531" i="1"/>
  <c r="G530" i="1"/>
  <c r="I529" i="1"/>
  <c r="P528" i="1"/>
  <c r="S527" i="1"/>
  <c r="D527" i="1"/>
  <c r="G526" i="1"/>
  <c r="I525" i="1"/>
  <c r="P524" i="1"/>
  <c r="S523" i="1"/>
  <c r="D523" i="1"/>
  <c r="G522" i="1"/>
  <c r="I521" i="1"/>
  <c r="P520" i="1"/>
  <c r="S519" i="1"/>
  <c r="D519" i="1"/>
  <c r="I518" i="1"/>
  <c r="Q517" i="1"/>
  <c r="D517" i="1"/>
  <c r="K516" i="1"/>
  <c r="C516" i="1"/>
  <c r="K515" i="1"/>
  <c r="C515" i="1"/>
  <c r="K514" i="1"/>
  <c r="C514" i="1"/>
  <c r="K513" i="1"/>
  <c r="C513" i="1"/>
  <c r="K512" i="1"/>
  <c r="C512" i="1"/>
  <c r="K511" i="1"/>
  <c r="C511" i="1"/>
  <c r="K510" i="1"/>
  <c r="C510" i="1"/>
  <c r="Q858" i="1"/>
  <c r="T831" i="1"/>
  <c r="T815" i="1"/>
  <c r="T799" i="1"/>
  <c r="T783" i="1"/>
  <c r="B771" i="1"/>
  <c r="I760" i="1"/>
  <c r="L749" i="1"/>
  <c r="B739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H677" i="1"/>
  <c r="H675" i="1"/>
  <c r="H673" i="1"/>
  <c r="H671" i="1"/>
  <c r="H669" i="1"/>
  <c r="H667" i="1"/>
  <c r="H665" i="1"/>
  <c r="H663" i="1"/>
  <c r="H661" i="1"/>
  <c r="H659" i="1"/>
  <c r="H657" i="1"/>
  <c r="H655" i="1"/>
  <c r="H653" i="1"/>
  <c r="H651" i="1"/>
  <c r="F650" i="1"/>
  <c r="Q648" i="1"/>
  <c r="H647" i="1"/>
  <c r="F646" i="1"/>
  <c r="Q644" i="1"/>
  <c r="H643" i="1"/>
  <c r="F642" i="1"/>
  <c r="Q640" i="1"/>
  <c r="H639" i="1"/>
  <c r="F638" i="1"/>
  <c r="Q636" i="1"/>
  <c r="H635" i="1"/>
  <c r="F634" i="1"/>
  <c r="Q632" i="1"/>
  <c r="H631" i="1"/>
  <c r="F630" i="1"/>
  <c r="Q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Q607" i="1"/>
  <c r="T606" i="1"/>
  <c r="F606" i="1"/>
  <c r="H605" i="1"/>
  <c r="L604" i="1"/>
  <c r="Q603" i="1"/>
  <c r="T602" i="1"/>
  <c r="F602" i="1"/>
  <c r="H601" i="1"/>
  <c r="L600" i="1"/>
  <c r="Q599" i="1"/>
  <c r="T598" i="1"/>
  <c r="F598" i="1"/>
  <c r="H597" i="1"/>
  <c r="L596" i="1"/>
  <c r="Q595" i="1"/>
  <c r="T594" i="1"/>
  <c r="F594" i="1"/>
  <c r="H593" i="1"/>
  <c r="L592" i="1"/>
  <c r="Q591" i="1"/>
  <c r="T590" i="1"/>
  <c r="F590" i="1"/>
  <c r="H589" i="1"/>
  <c r="L588" i="1"/>
  <c r="Q587" i="1"/>
  <c r="T586" i="1"/>
  <c r="F586" i="1"/>
  <c r="H585" i="1"/>
  <c r="L584" i="1"/>
  <c r="Q583" i="1"/>
  <c r="T582" i="1"/>
  <c r="F582" i="1"/>
  <c r="H581" i="1"/>
  <c r="L580" i="1"/>
  <c r="Q579" i="1"/>
  <c r="T578" i="1"/>
  <c r="F578" i="1"/>
  <c r="H577" i="1"/>
  <c r="L576" i="1"/>
  <c r="Q575" i="1"/>
  <c r="T574" i="1"/>
  <c r="F574" i="1"/>
  <c r="H573" i="1"/>
  <c r="L572" i="1"/>
  <c r="Q571" i="1"/>
  <c r="T570" i="1"/>
  <c r="F570" i="1"/>
  <c r="H569" i="1"/>
  <c r="L568" i="1"/>
  <c r="Q567" i="1"/>
  <c r="T566" i="1"/>
  <c r="F566" i="1"/>
  <c r="H565" i="1"/>
  <c r="L564" i="1"/>
  <c r="Q563" i="1"/>
  <c r="T562" i="1"/>
  <c r="F562" i="1"/>
  <c r="H561" i="1"/>
  <c r="L560" i="1"/>
  <c r="Q559" i="1"/>
  <c r="T558" i="1"/>
  <c r="F558" i="1"/>
  <c r="H557" i="1"/>
  <c r="L556" i="1"/>
  <c r="Q555" i="1"/>
  <c r="T554" i="1"/>
  <c r="F554" i="1"/>
  <c r="H553" i="1"/>
  <c r="L552" i="1"/>
  <c r="Q551" i="1"/>
  <c r="T550" i="1"/>
  <c r="F550" i="1"/>
  <c r="H549" i="1"/>
  <c r="L548" i="1"/>
  <c r="Q547" i="1"/>
  <c r="T546" i="1"/>
  <c r="F546" i="1"/>
  <c r="H545" i="1"/>
  <c r="L544" i="1"/>
  <c r="Q543" i="1"/>
  <c r="T542" i="1"/>
  <c r="F542" i="1"/>
  <c r="H541" i="1"/>
  <c r="L540" i="1"/>
  <c r="Q539" i="1"/>
  <c r="T538" i="1"/>
  <c r="F538" i="1"/>
  <c r="H537" i="1"/>
  <c r="L536" i="1"/>
  <c r="Q535" i="1"/>
  <c r="T534" i="1"/>
  <c r="F534" i="1"/>
  <c r="H533" i="1"/>
  <c r="L532" i="1"/>
  <c r="Q531" i="1"/>
  <c r="T530" i="1"/>
  <c r="F530" i="1"/>
  <c r="H529" i="1"/>
  <c r="L528" i="1"/>
  <c r="Q527" i="1"/>
  <c r="T526" i="1"/>
  <c r="F526" i="1"/>
  <c r="H525" i="1"/>
  <c r="L524" i="1"/>
  <c r="Q523" i="1"/>
  <c r="T522" i="1"/>
  <c r="F522" i="1"/>
  <c r="H521" i="1"/>
  <c r="L520" i="1"/>
  <c r="Q519" i="1"/>
  <c r="C519" i="1"/>
  <c r="H518" i="1"/>
  <c r="P517" i="1"/>
  <c r="C517" i="1"/>
  <c r="J516" i="1"/>
  <c r="B516" i="1"/>
  <c r="J515" i="1"/>
  <c r="B515" i="1"/>
  <c r="J514" i="1"/>
  <c r="B514" i="1"/>
  <c r="J513" i="1"/>
  <c r="B513" i="1"/>
  <c r="J512" i="1"/>
  <c r="B512" i="1"/>
  <c r="J511" i="1"/>
  <c r="B511" i="1"/>
  <c r="J510" i="1"/>
  <c r="B510" i="1"/>
  <c r="J509" i="1"/>
  <c r="B509" i="1"/>
  <c r="J508" i="1"/>
  <c r="B508" i="1"/>
  <c r="J507" i="1"/>
  <c r="B507" i="1"/>
  <c r="J506" i="1"/>
  <c r="B506" i="1"/>
  <c r="J505" i="1"/>
  <c r="B505" i="1"/>
  <c r="J504" i="1"/>
  <c r="B504" i="1"/>
  <c r="J503" i="1"/>
  <c r="B503" i="1"/>
  <c r="J502" i="1"/>
  <c r="B502" i="1"/>
  <c r="J501" i="1"/>
  <c r="B501" i="1"/>
  <c r="J500" i="1"/>
  <c r="B500" i="1"/>
  <c r="J499" i="1"/>
  <c r="B499" i="1"/>
  <c r="J498" i="1"/>
  <c r="B498" i="1"/>
  <c r="J497" i="1"/>
  <c r="B497" i="1"/>
  <c r="J496" i="1"/>
  <c r="B496" i="1"/>
  <c r="J495" i="1"/>
  <c r="B495" i="1"/>
  <c r="J494" i="1"/>
  <c r="B494" i="1"/>
  <c r="J493" i="1"/>
  <c r="B493" i="1"/>
  <c r="J492" i="1"/>
  <c r="B492" i="1"/>
  <c r="J491" i="1"/>
  <c r="B491" i="1"/>
  <c r="J490" i="1"/>
  <c r="B490" i="1"/>
  <c r="J489" i="1"/>
  <c r="B489" i="1"/>
  <c r="J488" i="1"/>
  <c r="B488" i="1"/>
  <c r="J487" i="1"/>
  <c r="B487" i="1"/>
  <c r="J486" i="1"/>
  <c r="B486" i="1"/>
  <c r="J485" i="1"/>
  <c r="B485" i="1"/>
  <c r="J484" i="1"/>
  <c r="B484" i="1"/>
  <c r="L876" i="1"/>
  <c r="L741" i="1"/>
  <c r="F705" i="1"/>
  <c r="S675" i="1"/>
  <c r="S659" i="1"/>
  <c r="H646" i="1"/>
  <c r="Q635" i="1"/>
  <c r="S625" i="1"/>
  <c r="S617" i="1"/>
  <c r="S609" i="1"/>
  <c r="F603" i="1"/>
  <c r="Q596" i="1"/>
  <c r="H590" i="1"/>
  <c r="T583" i="1"/>
  <c r="L577" i="1"/>
  <c r="F571" i="1"/>
  <c r="Q564" i="1"/>
  <c r="H558" i="1"/>
  <c r="T551" i="1"/>
  <c r="L545" i="1"/>
  <c r="F539" i="1"/>
  <c r="Q532" i="1"/>
  <c r="H526" i="1"/>
  <c r="T519" i="1"/>
  <c r="F517" i="1"/>
  <c r="D515" i="1"/>
  <c r="D513" i="1"/>
  <c r="D511" i="1"/>
  <c r="S509" i="1"/>
  <c r="D509" i="1"/>
  <c r="I508" i="1"/>
  <c r="Q507" i="1"/>
  <c r="D507" i="1"/>
  <c r="I506" i="1"/>
  <c r="Q505" i="1"/>
  <c r="D505" i="1"/>
  <c r="I504" i="1"/>
  <c r="Q503" i="1"/>
  <c r="D503" i="1"/>
  <c r="I502" i="1"/>
  <c r="Q501" i="1"/>
  <c r="D501" i="1"/>
  <c r="I500" i="1"/>
  <c r="Q499" i="1"/>
  <c r="D499" i="1"/>
  <c r="I498" i="1"/>
  <c r="Q497" i="1"/>
  <c r="D497" i="1"/>
  <c r="I496" i="1"/>
  <c r="Q495" i="1"/>
  <c r="D495" i="1"/>
  <c r="I494" i="1"/>
  <c r="Q493" i="1"/>
  <c r="D493" i="1"/>
  <c r="I492" i="1"/>
  <c r="Q491" i="1"/>
  <c r="D491" i="1"/>
  <c r="I490" i="1"/>
  <c r="Q489" i="1"/>
  <c r="D489" i="1"/>
  <c r="I488" i="1"/>
  <c r="Q487" i="1"/>
  <c r="D487" i="1"/>
  <c r="I486" i="1"/>
  <c r="Q485" i="1"/>
  <c r="D485" i="1"/>
  <c r="I484" i="1"/>
  <c r="Q483" i="1"/>
  <c r="E483" i="1"/>
  <c r="O482" i="1"/>
  <c r="E482" i="1"/>
  <c r="O481" i="1"/>
  <c r="E481" i="1"/>
  <c r="O480" i="1"/>
  <c r="E480" i="1"/>
  <c r="O479" i="1"/>
  <c r="E479" i="1"/>
  <c r="O478" i="1"/>
  <c r="E478" i="1"/>
  <c r="O477" i="1"/>
  <c r="E477" i="1"/>
  <c r="O476" i="1"/>
  <c r="E476" i="1"/>
  <c r="O475" i="1"/>
  <c r="E475" i="1"/>
  <c r="O474" i="1"/>
  <c r="E474" i="1"/>
  <c r="O473" i="1"/>
  <c r="E473" i="1"/>
  <c r="O472" i="1"/>
  <c r="E472" i="1"/>
  <c r="O471" i="1"/>
  <c r="E471" i="1"/>
  <c r="O470" i="1"/>
  <c r="E470" i="1"/>
  <c r="O469" i="1"/>
  <c r="E469" i="1"/>
  <c r="O468" i="1"/>
  <c r="E468" i="1"/>
  <c r="O467" i="1"/>
  <c r="E467" i="1"/>
  <c r="O466" i="1"/>
  <c r="E466" i="1"/>
  <c r="O465" i="1"/>
  <c r="E465" i="1"/>
  <c r="O464" i="1"/>
  <c r="E464" i="1"/>
  <c r="O463" i="1"/>
  <c r="E463" i="1"/>
  <c r="O462" i="1"/>
  <c r="E462" i="1"/>
  <c r="O461" i="1"/>
  <c r="E461" i="1"/>
  <c r="O460" i="1"/>
  <c r="E460" i="1"/>
  <c r="O459" i="1"/>
  <c r="E459" i="1"/>
  <c r="O458" i="1"/>
  <c r="E458" i="1"/>
  <c r="O457" i="1"/>
  <c r="E457" i="1"/>
  <c r="O456" i="1"/>
  <c r="E456" i="1"/>
  <c r="O455" i="1"/>
  <c r="E455" i="1"/>
  <c r="O454" i="1"/>
  <c r="E454" i="1"/>
  <c r="O453" i="1"/>
  <c r="E453" i="1"/>
  <c r="O452" i="1"/>
  <c r="E452" i="1"/>
  <c r="O451" i="1"/>
  <c r="E451" i="1"/>
  <c r="O450" i="1"/>
  <c r="E450" i="1"/>
  <c r="O449" i="1"/>
  <c r="E449" i="1"/>
  <c r="O448" i="1"/>
  <c r="E448" i="1"/>
  <c r="O447" i="1"/>
  <c r="E447" i="1"/>
  <c r="O446" i="1"/>
  <c r="E446" i="1"/>
  <c r="O445" i="1"/>
  <c r="E445" i="1"/>
  <c r="O444" i="1"/>
  <c r="E444" i="1"/>
  <c r="O443" i="1"/>
  <c r="E443" i="1"/>
  <c r="O442" i="1"/>
  <c r="E442" i="1"/>
  <c r="O441" i="1"/>
  <c r="E441" i="1"/>
  <c r="O440" i="1"/>
  <c r="E440" i="1"/>
  <c r="O439" i="1"/>
  <c r="E439" i="1"/>
  <c r="O438" i="1"/>
  <c r="E438" i="1"/>
  <c r="O437" i="1"/>
  <c r="E437" i="1"/>
  <c r="O436" i="1"/>
  <c r="E436" i="1"/>
  <c r="O435" i="1"/>
  <c r="E435" i="1"/>
  <c r="O434" i="1"/>
  <c r="E434" i="1"/>
  <c r="O433" i="1"/>
  <c r="E433" i="1"/>
  <c r="O432" i="1"/>
  <c r="E432" i="1"/>
  <c r="O431" i="1"/>
  <c r="E431" i="1"/>
  <c r="O430" i="1"/>
  <c r="E430" i="1"/>
  <c r="O429" i="1"/>
  <c r="E429" i="1"/>
  <c r="O428" i="1"/>
  <c r="E428" i="1"/>
  <c r="O427" i="1"/>
  <c r="E427" i="1"/>
  <c r="O426" i="1"/>
  <c r="E426" i="1"/>
  <c r="O425" i="1"/>
  <c r="E425" i="1"/>
  <c r="O424" i="1"/>
  <c r="E424" i="1"/>
  <c r="O423" i="1"/>
  <c r="E423" i="1"/>
  <c r="O422" i="1"/>
  <c r="E422" i="1"/>
  <c r="O421" i="1"/>
  <c r="E421" i="1"/>
  <c r="O420" i="1"/>
  <c r="E420" i="1"/>
  <c r="O419" i="1"/>
  <c r="E419" i="1"/>
  <c r="O418" i="1"/>
  <c r="E418" i="1"/>
  <c r="O417" i="1"/>
  <c r="E417" i="1"/>
  <c r="O416" i="1"/>
  <c r="E416" i="1"/>
  <c r="O415" i="1"/>
  <c r="E415" i="1"/>
  <c r="O414" i="1"/>
  <c r="E414" i="1"/>
  <c r="O413" i="1"/>
  <c r="E413" i="1"/>
  <c r="O412" i="1"/>
  <c r="E412" i="1"/>
  <c r="O411" i="1"/>
  <c r="E411" i="1"/>
  <c r="O410" i="1"/>
  <c r="E410" i="1"/>
  <c r="O409" i="1"/>
  <c r="E409" i="1"/>
  <c r="O408" i="1"/>
  <c r="E408" i="1"/>
  <c r="O407" i="1"/>
  <c r="E407" i="1"/>
  <c r="O406" i="1"/>
  <c r="E406" i="1"/>
  <c r="O405" i="1"/>
  <c r="E405" i="1"/>
  <c r="O404" i="1"/>
  <c r="E404" i="1"/>
  <c r="O403" i="1"/>
  <c r="E403" i="1"/>
  <c r="O402" i="1"/>
  <c r="E402" i="1"/>
  <c r="O401" i="1"/>
  <c r="E401" i="1"/>
  <c r="O400" i="1"/>
  <c r="E400" i="1"/>
  <c r="O399" i="1"/>
  <c r="E399" i="1"/>
  <c r="O398" i="1"/>
  <c r="E398" i="1"/>
  <c r="O397" i="1"/>
  <c r="E397" i="1"/>
  <c r="O396" i="1"/>
  <c r="E396" i="1"/>
  <c r="O395" i="1"/>
  <c r="E395" i="1"/>
  <c r="O394" i="1"/>
  <c r="E394" i="1"/>
  <c r="O393" i="1"/>
  <c r="E393" i="1"/>
  <c r="O392" i="1"/>
  <c r="E392" i="1"/>
  <c r="O391" i="1"/>
  <c r="E391" i="1"/>
  <c r="O390" i="1"/>
  <c r="E390" i="1"/>
  <c r="O389" i="1"/>
  <c r="E389" i="1"/>
  <c r="O388" i="1"/>
  <c r="E388" i="1"/>
  <c r="O387" i="1"/>
  <c r="E387" i="1"/>
  <c r="O386" i="1"/>
  <c r="E386" i="1"/>
  <c r="O385" i="1"/>
  <c r="E385" i="1"/>
  <c r="O384" i="1"/>
  <c r="E384" i="1"/>
  <c r="O383" i="1"/>
  <c r="E383" i="1"/>
  <c r="O382" i="1"/>
  <c r="E382" i="1"/>
  <c r="O381" i="1"/>
  <c r="E381" i="1"/>
  <c r="O380" i="1"/>
  <c r="E380" i="1"/>
  <c r="O379" i="1"/>
  <c r="E379" i="1"/>
  <c r="O378" i="1"/>
  <c r="E378" i="1"/>
  <c r="O377" i="1"/>
  <c r="E377" i="1"/>
  <c r="O376" i="1"/>
  <c r="E376" i="1"/>
  <c r="O375" i="1"/>
  <c r="E375" i="1"/>
  <c r="O374" i="1"/>
  <c r="E374" i="1"/>
  <c r="O373" i="1"/>
  <c r="E373" i="1"/>
  <c r="O372" i="1"/>
  <c r="E372" i="1"/>
  <c r="O371" i="1"/>
  <c r="E371" i="1"/>
  <c r="O370" i="1"/>
  <c r="E370" i="1"/>
  <c r="O369" i="1"/>
  <c r="E369" i="1"/>
  <c r="O368" i="1"/>
  <c r="E368" i="1"/>
  <c r="O367" i="1"/>
  <c r="E367" i="1"/>
  <c r="O366" i="1"/>
  <c r="E366" i="1"/>
  <c r="O365" i="1"/>
  <c r="E365" i="1"/>
  <c r="O364" i="1"/>
  <c r="E364" i="1"/>
  <c r="O363" i="1"/>
  <c r="E363" i="1"/>
  <c r="O362" i="1"/>
  <c r="E362" i="1"/>
  <c r="O361" i="1"/>
  <c r="E361" i="1"/>
  <c r="O360" i="1"/>
  <c r="E360" i="1"/>
  <c r="O359" i="1"/>
  <c r="E359" i="1"/>
  <c r="O358" i="1"/>
  <c r="E358" i="1"/>
  <c r="O357" i="1"/>
  <c r="E357" i="1"/>
  <c r="O356" i="1"/>
  <c r="E356" i="1"/>
  <c r="O355" i="1"/>
  <c r="E355" i="1"/>
  <c r="O354" i="1"/>
  <c r="E354" i="1"/>
  <c r="O353" i="1"/>
  <c r="E353" i="1"/>
  <c r="O352" i="1"/>
  <c r="E352" i="1"/>
  <c r="O351" i="1"/>
  <c r="E351" i="1"/>
  <c r="O350" i="1"/>
  <c r="E350" i="1"/>
  <c r="O349" i="1"/>
  <c r="E349" i="1"/>
  <c r="O348" i="1"/>
  <c r="E348" i="1"/>
  <c r="O347" i="1"/>
  <c r="E347" i="1"/>
  <c r="O346" i="1"/>
  <c r="E346" i="1"/>
  <c r="O345" i="1"/>
  <c r="E345" i="1"/>
  <c r="O344" i="1"/>
  <c r="E344" i="1"/>
  <c r="O343" i="1"/>
  <c r="E343" i="1"/>
  <c r="O342" i="1"/>
  <c r="E342" i="1"/>
  <c r="O341" i="1"/>
  <c r="E341" i="1"/>
  <c r="O340" i="1"/>
  <c r="E340" i="1"/>
  <c r="O339" i="1"/>
  <c r="E339" i="1"/>
  <c r="O338" i="1"/>
  <c r="E338" i="1"/>
  <c r="O337" i="1"/>
  <c r="E337" i="1"/>
  <c r="O336" i="1"/>
  <c r="E336" i="1"/>
  <c r="O335" i="1"/>
  <c r="E335" i="1"/>
  <c r="O334" i="1"/>
  <c r="E334" i="1"/>
  <c r="O333" i="1"/>
  <c r="E333" i="1"/>
  <c r="O332" i="1"/>
  <c r="E332" i="1"/>
  <c r="O331" i="1"/>
  <c r="E331" i="1"/>
  <c r="O330" i="1"/>
  <c r="E330" i="1"/>
  <c r="O329" i="1"/>
  <c r="E329" i="1"/>
  <c r="O328" i="1"/>
  <c r="E328" i="1"/>
  <c r="O327" i="1"/>
  <c r="E327" i="1"/>
  <c r="O326" i="1"/>
  <c r="E326" i="1"/>
  <c r="O325" i="1"/>
  <c r="E325" i="1"/>
  <c r="O324" i="1"/>
  <c r="E324" i="1"/>
  <c r="O323" i="1"/>
  <c r="E323" i="1"/>
  <c r="O322" i="1"/>
  <c r="E322" i="1"/>
  <c r="O321" i="1"/>
  <c r="E321" i="1"/>
  <c r="O320" i="1"/>
  <c r="E320" i="1"/>
  <c r="O319" i="1"/>
  <c r="E319" i="1"/>
  <c r="O318" i="1"/>
  <c r="E318" i="1"/>
  <c r="O317" i="1"/>
  <c r="E317" i="1"/>
  <c r="O316" i="1"/>
  <c r="E316" i="1"/>
  <c r="O315" i="1"/>
  <c r="E315" i="1"/>
  <c r="O314" i="1"/>
  <c r="E314" i="1"/>
  <c r="O313" i="1"/>
  <c r="E313" i="1"/>
  <c r="O312" i="1"/>
  <c r="E312" i="1"/>
  <c r="O311" i="1"/>
  <c r="E311" i="1"/>
  <c r="O310" i="1"/>
  <c r="E310" i="1"/>
  <c r="O309" i="1"/>
  <c r="E309" i="1"/>
  <c r="O308" i="1"/>
  <c r="E308" i="1"/>
  <c r="O307" i="1"/>
  <c r="E307" i="1"/>
  <c r="O306" i="1"/>
  <c r="E306" i="1"/>
  <c r="O305" i="1"/>
  <c r="E305" i="1"/>
  <c r="O304" i="1"/>
  <c r="E304" i="1"/>
  <c r="O303" i="1"/>
  <c r="E303" i="1"/>
  <c r="O302" i="1"/>
  <c r="E302" i="1"/>
  <c r="O301" i="1"/>
  <c r="E301" i="1"/>
  <c r="O300" i="1"/>
  <c r="E300" i="1"/>
  <c r="O299" i="1"/>
  <c r="E299" i="1"/>
  <c r="O298" i="1"/>
  <c r="E298" i="1"/>
  <c r="O297" i="1"/>
  <c r="E297" i="1"/>
  <c r="O296" i="1"/>
  <c r="E296" i="1"/>
  <c r="O295" i="1"/>
  <c r="E295" i="1"/>
  <c r="O294" i="1"/>
  <c r="E294" i="1"/>
  <c r="O293" i="1"/>
  <c r="E293" i="1"/>
  <c r="O292" i="1"/>
  <c r="E292" i="1"/>
  <c r="O291" i="1"/>
  <c r="E291" i="1"/>
  <c r="O290" i="1"/>
  <c r="E290" i="1"/>
  <c r="O289" i="1"/>
  <c r="E289" i="1"/>
  <c r="O288" i="1"/>
  <c r="E288" i="1"/>
  <c r="O287" i="1"/>
  <c r="E287" i="1"/>
  <c r="O286" i="1"/>
  <c r="E286" i="1"/>
  <c r="O285" i="1"/>
  <c r="E285" i="1"/>
  <c r="O284" i="1"/>
  <c r="E284" i="1"/>
  <c r="O283" i="1"/>
  <c r="E283" i="1"/>
  <c r="O282" i="1"/>
  <c r="E282" i="1"/>
  <c r="O281" i="1"/>
  <c r="E281" i="1"/>
  <c r="O280" i="1"/>
  <c r="E280" i="1"/>
  <c r="O279" i="1"/>
  <c r="E279" i="1"/>
  <c r="O278" i="1"/>
  <c r="E278" i="1"/>
  <c r="O277" i="1"/>
  <c r="E277" i="1"/>
  <c r="O276" i="1"/>
  <c r="E276" i="1"/>
  <c r="O275" i="1"/>
  <c r="E275" i="1"/>
  <c r="O274" i="1"/>
  <c r="E274" i="1"/>
  <c r="O273" i="1"/>
  <c r="E273" i="1"/>
  <c r="O272" i="1"/>
  <c r="E272" i="1"/>
  <c r="O271" i="1"/>
  <c r="E271" i="1"/>
  <c r="O270" i="1"/>
  <c r="E270" i="1"/>
  <c r="O269" i="1"/>
  <c r="E269" i="1"/>
  <c r="O268" i="1"/>
  <c r="E268" i="1"/>
  <c r="O267" i="1"/>
  <c r="E267" i="1"/>
  <c r="O266" i="1"/>
  <c r="E266" i="1"/>
  <c r="O265" i="1"/>
  <c r="E265" i="1"/>
  <c r="O264" i="1"/>
  <c r="E264" i="1"/>
  <c r="O263" i="1"/>
  <c r="E263" i="1"/>
  <c r="O262" i="1"/>
  <c r="E262" i="1"/>
  <c r="O261" i="1"/>
  <c r="F836" i="1"/>
  <c r="J733" i="1"/>
  <c r="F701" i="1"/>
  <c r="S673" i="1"/>
  <c r="S657" i="1"/>
  <c r="F645" i="1"/>
  <c r="H634" i="1"/>
  <c r="S624" i="1"/>
  <c r="S616" i="1"/>
  <c r="S608" i="1"/>
  <c r="H602" i="1"/>
  <c r="T595" i="1"/>
  <c r="L589" i="1"/>
  <c r="F583" i="1"/>
  <c r="Q576" i="1"/>
  <c r="H570" i="1"/>
  <c r="T563" i="1"/>
  <c r="L557" i="1"/>
  <c r="F551" i="1"/>
  <c r="Q544" i="1"/>
  <c r="H538" i="1"/>
  <c r="T531" i="1"/>
  <c r="L525" i="1"/>
  <c r="G519" i="1"/>
  <c r="O516" i="1"/>
  <c r="O514" i="1"/>
  <c r="O512" i="1"/>
  <c r="O510" i="1"/>
  <c r="O509" i="1"/>
  <c r="C509" i="1"/>
  <c r="H508" i="1"/>
  <c r="O507" i="1"/>
  <c r="C507" i="1"/>
  <c r="H506" i="1"/>
  <c r="O505" i="1"/>
  <c r="C505" i="1"/>
  <c r="H504" i="1"/>
  <c r="O503" i="1"/>
  <c r="C503" i="1"/>
  <c r="H502" i="1"/>
  <c r="O501" i="1"/>
  <c r="C501" i="1"/>
  <c r="H500" i="1"/>
  <c r="O499" i="1"/>
  <c r="C499" i="1"/>
  <c r="H498" i="1"/>
  <c r="O497" i="1"/>
  <c r="C497" i="1"/>
  <c r="H496" i="1"/>
  <c r="O495" i="1"/>
  <c r="C495" i="1"/>
  <c r="H494" i="1"/>
  <c r="O493" i="1"/>
  <c r="C493" i="1"/>
  <c r="H492" i="1"/>
  <c r="O491" i="1"/>
  <c r="C491" i="1"/>
  <c r="H490" i="1"/>
  <c r="O489" i="1"/>
  <c r="C489" i="1"/>
  <c r="H488" i="1"/>
  <c r="O487" i="1"/>
  <c r="C487" i="1"/>
  <c r="H486" i="1"/>
  <c r="O485" i="1"/>
  <c r="C485" i="1"/>
  <c r="H484" i="1"/>
  <c r="O483" i="1"/>
  <c r="D483" i="1"/>
  <c r="L482" i="1"/>
  <c r="D482" i="1"/>
  <c r="L481" i="1"/>
  <c r="D481" i="1"/>
  <c r="L480" i="1"/>
  <c r="D480" i="1"/>
  <c r="L479" i="1"/>
  <c r="D479" i="1"/>
  <c r="L478" i="1"/>
  <c r="D478" i="1"/>
  <c r="L477" i="1"/>
  <c r="D477" i="1"/>
  <c r="L476" i="1"/>
  <c r="D476" i="1"/>
  <c r="L475" i="1"/>
  <c r="D475" i="1"/>
  <c r="L474" i="1"/>
  <c r="D474" i="1"/>
  <c r="L473" i="1"/>
  <c r="D473" i="1"/>
  <c r="L472" i="1"/>
  <c r="D472" i="1"/>
  <c r="L471" i="1"/>
  <c r="D471" i="1"/>
  <c r="L470" i="1"/>
  <c r="D470" i="1"/>
  <c r="L469" i="1"/>
  <c r="D469" i="1"/>
  <c r="L468" i="1"/>
  <c r="D468" i="1"/>
  <c r="L467" i="1"/>
  <c r="D467" i="1"/>
  <c r="L466" i="1"/>
  <c r="D466" i="1"/>
  <c r="L465" i="1"/>
  <c r="D465" i="1"/>
  <c r="L464" i="1"/>
  <c r="D464" i="1"/>
  <c r="L463" i="1"/>
  <c r="D463" i="1"/>
  <c r="L462" i="1"/>
  <c r="D462" i="1"/>
  <c r="L461" i="1"/>
  <c r="D461" i="1"/>
  <c r="L460" i="1"/>
  <c r="D460" i="1"/>
  <c r="L459" i="1"/>
  <c r="D459" i="1"/>
  <c r="L458" i="1"/>
  <c r="D458" i="1"/>
  <c r="L457" i="1"/>
  <c r="D457" i="1"/>
  <c r="L456" i="1"/>
  <c r="D456" i="1"/>
  <c r="L455" i="1"/>
  <c r="D455" i="1"/>
  <c r="L454" i="1"/>
  <c r="D454" i="1"/>
  <c r="L453" i="1"/>
  <c r="D453" i="1"/>
  <c r="L452" i="1"/>
  <c r="D452" i="1"/>
  <c r="L451" i="1"/>
  <c r="D451" i="1"/>
  <c r="L450" i="1"/>
  <c r="D450" i="1"/>
  <c r="L449" i="1"/>
  <c r="D449" i="1"/>
  <c r="L448" i="1"/>
  <c r="D448" i="1"/>
  <c r="L447" i="1"/>
  <c r="D447" i="1"/>
  <c r="L446" i="1"/>
  <c r="D446" i="1"/>
  <c r="L445" i="1"/>
  <c r="D445" i="1"/>
  <c r="L444" i="1"/>
  <c r="D444" i="1"/>
  <c r="L443" i="1"/>
  <c r="D443" i="1"/>
  <c r="L442" i="1"/>
  <c r="D442" i="1"/>
  <c r="L441" i="1"/>
  <c r="D441" i="1"/>
  <c r="L440" i="1"/>
  <c r="D440" i="1"/>
  <c r="L439" i="1"/>
  <c r="D439" i="1"/>
  <c r="L438" i="1"/>
  <c r="D438" i="1"/>
  <c r="L437" i="1"/>
  <c r="D437" i="1"/>
  <c r="L436" i="1"/>
  <c r="D436" i="1"/>
  <c r="L435" i="1"/>
  <c r="D435" i="1"/>
  <c r="L434" i="1"/>
  <c r="D434" i="1"/>
  <c r="L433" i="1"/>
  <c r="D433" i="1"/>
  <c r="L432" i="1"/>
  <c r="D432" i="1"/>
  <c r="L431" i="1"/>
  <c r="D431" i="1"/>
  <c r="L430" i="1"/>
  <c r="D430" i="1"/>
  <c r="L429" i="1"/>
  <c r="D429" i="1"/>
  <c r="L428" i="1"/>
  <c r="D428" i="1"/>
  <c r="L427" i="1"/>
  <c r="D427" i="1"/>
  <c r="L426" i="1"/>
  <c r="D426" i="1"/>
  <c r="L425" i="1"/>
  <c r="D425" i="1"/>
  <c r="L424" i="1"/>
  <c r="D424" i="1"/>
  <c r="L423" i="1"/>
  <c r="D423" i="1"/>
  <c r="L422" i="1"/>
  <c r="D422" i="1"/>
  <c r="L421" i="1"/>
  <c r="D421" i="1"/>
  <c r="L420" i="1"/>
  <c r="D420" i="1"/>
  <c r="L419" i="1"/>
  <c r="D419" i="1"/>
  <c r="L418" i="1"/>
  <c r="D418" i="1"/>
  <c r="L417" i="1"/>
  <c r="D417" i="1"/>
  <c r="L416" i="1"/>
  <c r="D416" i="1"/>
  <c r="L415" i="1"/>
  <c r="D415" i="1"/>
  <c r="L414" i="1"/>
  <c r="D414" i="1"/>
  <c r="L413" i="1"/>
  <c r="D413" i="1"/>
  <c r="L412" i="1"/>
  <c r="D412" i="1"/>
  <c r="L411" i="1"/>
  <c r="D411" i="1"/>
  <c r="L410" i="1"/>
  <c r="D410" i="1"/>
  <c r="L409" i="1"/>
  <c r="D409" i="1"/>
  <c r="L408" i="1"/>
  <c r="D408" i="1"/>
  <c r="L407" i="1"/>
  <c r="D407" i="1"/>
  <c r="L406" i="1"/>
  <c r="D406" i="1"/>
  <c r="L405" i="1"/>
  <c r="D405" i="1"/>
  <c r="L404" i="1"/>
  <c r="D404" i="1"/>
  <c r="L403" i="1"/>
  <c r="D403" i="1"/>
  <c r="L402" i="1"/>
  <c r="D402" i="1"/>
  <c r="L401" i="1"/>
  <c r="D401" i="1"/>
  <c r="L400" i="1"/>
  <c r="D400" i="1"/>
  <c r="L399" i="1"/>
  <c r="D399" i="1"/>
  <c r="L398" i="1"/>
  <c r="D398" i="1"/>
  <c r="L397" i="1"/>
  <c r="D397" i="1"/>
  <c r="L396" i="1"/>
  <c r="D396" i="1"/>
  <c r="L395" i="1"/>
  <c r="D395" i="1"/>
  <c r="L394" i="1"/>
  <c r="D394" i="1"/>
  <c r="L393" i="1"/>
  <c r="D393" i="1"/>
  <c r="L392" i="1"/>
  <c r="D392" i="1"/>
  <c r="L391" i="1"/>
  <c r="D391" i="1"/>
  <c r="L390" i="1"/>
  <c r="D390" i="1"/>
  <c r="L389" i="1"/>
  <c r="D389" i="1"/>
  <c r="L388" i="1"/>
  <c r="D388" i="1"/>
  <c r="L387" i="1"/>
  <c r="D387" i="1"/>
  <c r="L386" i="1"/>
  <c r="D386" i="1"/>
  <c r="L385" i="1"/>
  <c r="D385" i="1"/>
  <c r="L384" i="1"/>
  <c r="D384" i="1"/>
  <c r="L383" i="1"/>
  <c r="D383" i="1"/>
  <c r="L382" i="1"/>
  <c r="D382" i="1"/>
  <c r="L381" i="1"/>
  <c r="D381" i="1"/>
  <c r="L380" i="1"/>
  <c r="D380" i="1"/>
  <c r="L379" i="1"/>
  <c r="D379" i="1"/>
  <c r="L378" i="1"/>
  <c r="D378" i="1"/>
  <c r="L377" i="1"/>
  <c r="D377" i="1"/>
  <c r="L376" i="1"/>
  <c r="D376" i="1"/>
  <c r="L375" i="1"/>
  <c r="D375" i="1"/>
  <c r="L374" i="1"/>
  <c r="D374" i="1"/>
  <c r="L373" i="1"/>
  <c r="D373" i="1"/>
  <c r="L372" i="1"/>
  <c r="D372" i="1"/>
  <c r="L371" i="1"/>
  <c r="D371" i="1"/>
  <c r="L370" i="1"/>
  <c r="D370" i="1"/>
  <c r="L369" i="1"/>
  <c r="D369" i="1"/>
  <c r="L368" i="1"/>
  <c r="D368" i="1"/>
  <c r="L367" i="1"/>
  <c r="D367" i="1"/>
  <c r="L366" i="1"/>
  <c r="D366" i="1"/>
  <c r="L365" i="1"/>
  <c r="D365" i="1"/>
  <c r="L364" i="1"/>
  <c r="D364" i="1"/>
  <c r="L363" i="1"/>
  <c r="D363" i="1"/>
  <c r="L362" i="1"/>
  <c r="D362" i="1"/>
  <c r="L361" i="1"/>
  <c r="D361" i="1"/>
  <c r="L360" i="1"/>
  <c r="D360" i="1"/>
  <c r="L359" i="1"/>
  <c r="D359" i="1"/>
  <c r="L358" i="1"/>
  <c r="D358" i="1"/>
  <c r="L357" i="1"/>
  <c r="D357" i="1"/>
  <c r="L356" i="1"/>
  <c r="D356" i="1"/>
  <c r="L355" i="1"/>
  <c r="D355" i="1"/>
  <c r="L354" i="1"/>
  <c r="D354" i="1"/>
  <c r="L353" i="1"/>
  <c r="D353" i="1"/>
  <c r="L352" i="1"/>
  <c r="D352" i="1"/>
  <c r="L351" i="1"/>
  <c r="D351" i="1"/>
  <c r="L350" i="1"/>
  <c r="D350" i="1"/>
  <c r="L349" i="1"/>
  <c r="D349" i="1"/>
  <c r="L348" i="1"/>
  <c r="D348" i="1"/>
  <c r="L347" i="1"/>
  <c r="D347" i="1"/>
  <c r="L346" i="1"/>
  <c r="D346" i="1"/>
  <c r="L345" i="1"/>
  <c r="D345" i="1"/>
  <c r="L344" i="1"/>
  <c r="D344" i="1"/>
  <c r="L343" i="1"/>
  <c r="D343" i="1"/>
  <c r="L342" i="1"/>
  <c r="D342" i="1"/>
  <c r="L341" i="1"/>
  <c r="D341" i="1"/>
  <c r="L340" i="1"/>
  <c r="D340" i="1"/>
  <c r="L339" i="1"/>
  <c r="D339" i="1"/>
  <c r="L338" i="1"/>
  <c r="D338" i="1"/>
  <c r="L337" i="1"/>
  <c r="D337" i="1"/>
  <c r="L336" i="1"/>
  <c r="D336" i="1"/>
  <c r="L335" i="1"/>
  <c r="D335" i="1"/>
  <c r="L334" i="1"/>
  <c r="D334" i="1"/>
  <c r="L333" i="1"/>
  <c r="D333" i="1"/>
  <c r="L332" i="1"/>
  <c r="D332" i="1"/>
  <c r="L331" i="1"/>
  <c r="D331" i="1"/>
  <c r="L330" i="1"/>
  <c r="D330" i="1"/>
  <c r="L329" i="1"/>
  <c r="D329" i="1"/>
  <c r="L328" i="1"/>
  <c r="D328" i="1"/>
  <c r="L327" i="1"/>
  <c r="D327" i="1"/>
  <c r="L326" i="1"/>
  <c r="D326" i="1"/>
  <c r="L325" i="1"/>
  <c r="D325" i="1"/>
  <c r="L324" i="1"/>
  <c r="D324" i="1"/>
  <c r="L323" i="1"/>
  <c r="D323" i="1"/>
  <c r="L322" i="1"/>
  <c r="D322" i="1"/>
  <c r="L321" i="1"/>
  <c r="D321" i="1"/>
  <c r="L320" i="1"/>
  <c r="D320" i="1"/>
  <c r="L319" i="1"/>
  <c r="D319" i="1"/>
  <c r="L318" i="1"/>
  <c r="D318" i="1"/>
  <c r="L317" i="1"/>
  <c r="D317" i="1"/>
  <c r="L316" i="1"/>
  <c r="D316" i="1"/>
  <c r="L315" i="1"/>
  <c r="D315" i="1"/>
  <c r="L314" i="1"/>
  <c r="D314" i="1"/>
  <c r="L313" i="1"/>
  <c r="D313" i="1"/>
  <c r="L312" i="1"/>
  <c r="D312" i="1"/>
  <c r="L311" i="1"/>
  <c r="D311" i="1"/>
  <c r="L310" i="1"/>
  <c r="D310" i="1"/>
  <c r="L309" i="1"/>
  <c r="D309" i="1"/>
  <c r="L308" i="1"/>
  <c r="D308" i="1"/>
  <c r="L307" i="1"/>
  <c r="D307" i="1"/>
  <c r="L306" i="1"/>
  <c r="D306" i="1"/>
  <c r="L305" i="1"/>
  <c r="D305" i="1"/>
  <c r="L304" i="1"/>
  <c r="D304" i="1"/>
  <c r="L303" i="1"/>
  <c r="D303" i="1"/>
  <c r="L302" i="1"/>
  <c r="D302" i="1"/>
  <c r="L301" i="1"/>
  <c r="D301" i="1"/>
  <c r="L300" i="1"/>
  <c r="D300" i="1"/>
  <c r="L299" i="1"/>
  <c r="D299" i="1"/>
  <c r="L298" i="1"/>
  <c r="D298" i="1"/>
  <c r="L297" i="1"/>
  <c r="D297" i="1"/>
  <c r="L296" i="1"/>
  <c r="D296" i="1"/>
  <c r="L295" i="1"/>
  <c r="D295" i="1"/>
  <c r="L294" i="1"/>
  <c r="D294" i="1"/>
  <c r="L293" i="1"/>
  <c r="D293" i="1"/>
  <c r="L292" i="1"/>
  <c r="D292" i="1"/>
  <c r="L291" i="1"/>
  <c r="D291" i="1"/>
  <c r="L290" i="1"/>
  <c r="D290" i="1"/>
  <c r="L289" i="1"/>
  <c r="D289" i="1"/>
  <c r="L288" i="1"/>
  <c r="D288" i="1"/>
  <c r="L287" i="1"/>
  <c r="D287" i="1"/>
  <c r="L286" i="1"/>
  <c r="D286" i="1"/>
  <c r="L285" i="1"/>
  <c r="D285" i="1"/>
  <c r="L284" i="1"/>
  <c r="D284" i="1"/>
  <c r="L283" i="1"/>
  <c r="D283" i="1"/>
  <c r="L282" i="1"/>
  <c r="D282" i="1"/>
  <c r="L281" i="1"/>
  <c r="D281" i="1"/>
  <c r="L280" i="1"/>
  <c r="D280" i="1"/>
  <c r="L279" i="1"/>
  <c r="D279" i="1"/>
  <c r="L278" i="1"/>
  <c r="D278" i="1"/>
  <c r="L277" i="1"/>
  <c r="D277" i="1"/>
  <c r="L276" i="1"/>
  <c r="D276" i="1"/>
  <c r="L275" i="1"/>
  <c r="D275" i="1"/>
  <c r="L274" i="1"/>
  <c r="D274" i="1"/>
  <c r="L273" i="1"/>
  <c r="D273" i="1"/>
  <c r="L272" i="1"/>
  <c r="D272" i="1"/>
  <c r="L271" i="1"/>
  <c r="D271" i="1"/>
  <c r="L270" i="1"/>
  <c r="T819" i="1"/>
  <c r="F729" i="1"/>
  <c r="F697" i="1"/>
  <c r="S671" i="1"/>
  <c r="S655" i="1"/>
  <c r="Q643" i="1"/>
  <c r="F633" i="1"/>
  <c r="S623" i="1"/>
  <c r="S615" i="1"/>
  <c r="T607" i="1"/>
  <c r="L601" i="1"/>
  <c r="F595" i="1"/>
  <c r="Q588" i="1"/>
  <c r="H582" i="1"/>
  <c r="T575" i="1"/>
  <c r="L569" i="1"/>
  <c r="F563" i="1"/>
  <c r="Q556" i="1"/>
  <c r="H550" i="1"/>
  <c r="T543" i="1"/>
  <c r="L537" i="1"/>
  <c r="F531" i="1"/>
  <c r="Q524" i="1"/>
  <c r="F519" i="1"/>
  <c r="L516" i="1"/>
  <c r="L514" i="1"/>
  <c r="L512" i="1"/>
  <c r="L510" i="1"/>
  <c r="L509" i="1"/>
  <c r="T508" i="1"/>
  <c r="G508" i="1"/>
  <c r="L507" i="1"/>
  <c r="T506" i="1"/>
  <c r="G506" i="1"/>
  <c r="L505" i="1"/>
  <c r="T504" i="1"/>
  <c r="G504" i="1"/>
  <c r="L503" i="1"/>
  <c r="T502" i="1"/>
  <c r="G502" i="1"/>
  <c r="L501" i="1"/>
  <c r="T500" i="1"/>
  <c r="G500" i="1"/>
  <c r="L499" i="1"/>
  <c r="T498" i="1"/>
  <c r="G498" i="1"/>
  <c r="L497" i="1"/>
  <c r="T496" i="1"/>
  <c r="G496" i="1"/>
  <c r="L495" i="1"/>
  <c r="T494" i="1"/>
  <c r="G494" i="1"/>
  <c r="L493" i="1"/>
  <c r="T492" i="1"/>
  <c r="G492" i="1"/>
  <c r="L491" i="1"/>
  <c r="T490" i="1"/>
  <c r="G490" i="1"/>
  <c r="L489" i="1"/>
  <c r="T488" i="1"/>
  <c r="G488" i="1"/>
  <c r="L487" i="1"/>
  <c r="T486" i="1"/>
  <c r="G486" i="1"/>
  <c r="L485" i="1"/>
  <c r="T484" i="1"/>
  <c r="G484" i="1"/>
  <c r="L483" i="1"/>
  <c r="C483" i="1"/>
  <c r="K482" i="1"/>
  <c r="C482" i="1"/>
  <c r="K481" i="1"/>
  <c r="C481" i="1"/>
  <c r="K480" i="1"/>
  <c r="C480" i="1"/>
  <c r="K479" i="1"/>
  <c r="C479" i="1"/>
  <c r="K478" i="1"/>
  <c r="C478" i="1"/>
  <c r="K477" i="1"/>
  <c r="C477" i="1"/>
  <c r="K476" i="1"/>
  <c r="C476" i="1"/>
  <c r="K475" i="1"/>
  <c r="C475" i="1"/>
  <c r="K474" i="1"/>
  <c r="C474" i="1"/>
  <c r="K473" i="1"/>
  <c r="C473" i="1"/>
  <c r="K472" i="1"/>
  <c r="C472" i="1"/>
  <c r="K471" i="1"/>
  <c r="C471" i="1"/>
  <c r="K470" i="1"/>
  <c r="C470" i="1"/>
  <c r="K469" i="1"/>
  <c r="C469" i="1"/>
  <c r="K468" i="1"/>
  <c r="C468" i="1"/>
  <c r="K467" i="1"/>
  <c r="C467" i="1"/>
  <c r="K466" i="1"/>
  <c r="C466" i="1"/>
  <c r="K465" i="1"/>
  <c r="C465" i="1"/>
  <c r="K464" i="1"/>
  <c r="C464" i="1"/>
  <c r="K463" i="1"/>
  <c r="C463" i="1"/>
  <c r="K462" i="1"/>
  <c r="C462" i="1"/>
  <c r="K461" i="1"/>
  <c r="C461" i="1"/>
  <c r="K460" i="1"/>
  <c r="C460" i="1"/>
  <c r="K459" i="1"/>
  <c r="C459" i="1"/>
  <c r="K458" i="1"/>
  <c r="C458" i="1"/>
  <c r="K457" i="1"/>
  <c r="C457" i="1"/>
  <c r="K456" i="1"/>
  <c r="C456" i="1"/>
  <c r="K455" i="1"/>
  <c r="C455" i="1"/>
  <c r="K454" i="1"/>
  <c r="C454" i="1"/>
  <c r="K453" i="1"/>
  <c r="C453" i="1"/>
  <c r="K452" i="1"/>
  <c r="C452" i="1"/>
  <c r="K451" i="1"/>
  <c r="C451" i="1"/>
  <c r="K450" i="1"/>
  <c r="C450" i="1"/>
  <c r="K449" i="1"/>
  <c r="C449" i="1"/>
  <c r="K448" i="1"/>
  <c r="C448" i="1"/>
  <c r="K447" i="1"/>
  <c r="C447" i="1"/>
  <c r="K446" i="1"/>
  <c r="C446" i="1"/>
  <c r="K445" i="1"/>
  <c r="C445" i="1"/>
  <c r="K444" i="1"/>
  <c r="C444" i="1"/>
  <c r="K443" i="1"/>
  <c r="C443" i="1"/>
  <c r="K442" i="1"/>
  <c r="C442" i="1"/>
  <c r="K441" i="1"/>
  <c r="C441" i="1"/>
  <c r="K440" i="1"/>
  <c r="C440" i="1"/>
  <c r="K439" i="1"/>
  <c r="C439" i="1"/>
  <c r="K438" i="1"/>
  <c r="C438" i="1"/>
  <c r="K437" i="1"/>
  <c r="C437" i="1"/>
  <c r="K436" i="1"/>
  <c r="C436" i="1"/>
  <c r="K435" i="1"/>
  <c r="C435" i="1"/>
  <c r="K434" i="1"/>
  <c r="C434" i="1"/>
  <c r="K433" i="1"/>
  <c r="C433" i="1"/>
  <c r="K432" i="1"/>
  <c r="C432" i="1"/>
  <c r="K431" i="1"/>
  <c r="C431" i="1"/>
  <c r="K430" i="1"/>
  <c r="C430" i="1"/>
  <c r="K429" i="1"/>
  <c r="C429" i="1"/>
  <c r="K428" i="1"/>
  <c r="C428" i="1"/>
  <c r="K427" i="1"/>
  <c r="C427" i="1"/>
  <c r="K426" i="1"/>
  <c r="C426" i="1"/>
  <c r="K425" i="1"/>
  <c r="C425" i="1"/>
  <c r="K424" i="1"/>
  <c r="C424" i="1"/>
  <c r="K423" i="1"/>
  <c r="C423" i="1"/>
  <c r="K422" i="1"/>
  <c r="C422" i="1"/>
  <c r="K421" i="1"/>
  <c r="C421" i="1"/>
  <c r="K420" i="1"/>
  <c r="C420" i="1"/>
  <c r="K419" i="1"/>
  <c r="C419" i="1"/>
  <c r="K418" i="1"/>
  <c r="C418" i="1"/>
  <c r="K417" i="1"/>
  <c r="C417" i="1"/>
  <c r="K416" i="1"/>
  <c r="C416" i="1"/>
  <c r="K415" i="1"/>
  <c r="C415" i="1"/>
  <c r="K414" i="1"/>
  <c r="C414" i="1"/>
  <c r="K413" i="1"/>
  <c r="C413" i="1"/>
  <c r="K412" i="1"/>
  <c r="C412" i="1"/>
  <c r="K411" i="1"/>
  <c r="C411" i="1"/>
  <c r="K410" i="1"/>
  <c r="C410" i="1"/>
  <c r="K409" i="1"/>
  <c r="C409" i="1"/>
  <c r="K408" i="1"/>
  <c r="C408" i="1"/>
  <c r="K407" i="1"/>
  <c r="C407" i="1"/>
  <c r="K406" i="1"/>
  <c r="C406" i="1"/>
  <c r="K405" i="1"/>
  <c r="C405" i="1"/>
  <c r="K404" i="1"/>
  <c r="C404" i="1"/>
  <c r="K403" i="1"/>
  <c r="C403" i="1"/>
  <c r="K402" i="1"/>
  <c r="C402" i="1"/>
  <c r="K401" i="1"/>
  <c r="C401" i="1"/>
  <c r="K400" i="1"/>
  <c r="C400" i="1"/>
  <c r="K399" i="1"/>
  <c r="C399" i="1"/>
  <c r="K398" i="1"/>
  <c r="C398" i="1"/>
  <c r="K397" i="1"/>
  <c r="C397" i="1"/>
  <c r="K396" i="1"/>
  <c r="C396" i="1"/>
  <c r="K395" i="1"/>
  <c r="C395" i="1"/>
  <c r="K394" i="1"/>
  <c r="C394" i="1"/>
  <c r="K393" i="1"/>
  <c r="C393" i="1"/>
  <c r="K392" i="1"/>
  <c r="C392" i="1"/>
  <c r="K391" i="1"/>
  <c r="C391" i="1"/>
  <c r="K390" i="1"/>
  <c r="C390" i="1"/>
  <c r="K389" i="1"/>
  <c r="C389" i="1"/>
  <c r="K388" i="1"/>
  <c r="C388" i="1"/>
  <c r="K387" i="1"/>
  <c r="C387" i="1"/>
  <c r="K386" i="1"/>
  <c r="C386" i="1"/>
  <c r="K385" i="1"/>
  <c r="C385" i="1"/>
  <c r="K384" i="1"/>
  <c r="C384" i="1"/>
  <c r="K383" i="1"/>
  <c r="C383" i="1"/>
  <c r="K382" i="1"/>
  <c r="C382" i="1"/>
  <c r="K381" i="1"/>
  <c r="C381" i="1"/>
  <c r="K380" i="1"/>
  <c r="C380" i="1"/>
  <c r="K379" i="1"/>
  <c r="C379" i="1"/>
  <c r="K378" i="1"/>
  <c r="C378" i="1"/>
  <c r="K377" i="1"/>
  <c r="C377" i="1"/>
  <c r="K376" i="1"/>
  <c r="C376" i="1"/>
  <c r="K375" i="1"/>
  <c r="C375" i="1"/>
  <c r="K374" i="1"/>
  <c r="C374" i="1"/>
  <c r="K373" i="1"/>
  <c r="C373" i="1"/>
  <c r="K372" i="1"/>
  <c r="C372" i="1"/>
  <c r="K371" i="1"/>
  <c r="C371" i="1"/>
  <c r="K370" i="1"/>
  <c r="C370" i="1"/>
  <c r="K369" i="1"/>
  <c r="C369" i="1"/>
  <c r="K368" i="1"/>
  <c r="C368" i="1"/>
  <c r="K367" i="1"/>
  <c r="C367" i="1"/>
  <c r="K366" i="1"/>
  <c r="C366" i="1"/>
  <c r="K365" i="1"/>
  <c r="C365" i="1"/>
  <c r="K364" i="1"/>
  <c r="C364" i="1"/>
  <c r="K363" i="1"/>
  <c r="C363" i="1"/>
  <c r="K362" i="1"/>
  <c r="C362" i="1"/>
  <c r="K361" i="1"/>
  <c r="C361" i="1"/>
  <c r="K360" i="1"/>
  <c r="C360" i="1"/>
  <c r="K359" i="1"/>
  <c r="C359" i="1"/>
  <c r="K358" i="1"/>
  <c r="C358" i="1"/>
  <c r="K357" i="1"/>
  <c r="C357" i="1"/>
  <c r="K356" i="1"/>
  <c r="C356" i="1"/>
  <c r="K355" i="1"/>
  <c r="C355" i="1"/>
  <c r="K354" i="1"/>
  <c r="C354" i="1"/>
  <c r="K353" i="1"/>
  <c r="C353" i="1"/>
  <c r="K352" i="1"/>
  <c r="C352" i="1"/>
  <c r="K351" i="1"/>
  <c r="C351" i="1"/>
  <c r="K350" i="1"/>
  <c r="C350" i="1"/>
  <c r="K349" i="1"/>
  <c r="C349" i="1"/>
  <c r="K348" i="1"/>
  <c r="C348" i="1"/>
  <c r="K347" i="1"/>
  <c r="C347" i="1"/>
  <c r="K346" i="1"/>
  <c r="C346" i="1"/>
  <c r="K345" i="1"/>
  <c r="C345" i="1"/>
  <c r="K344" i="1"/>
  <c r="C344" i="1"/>
  <c r="K343" i="1"/>
  <c r="C343" i="1"/>
  <c r="K342" i="1"/>
  <c r="C342" i="1"/>
  <c r="K341" i="1"/>
  <c r="C341" i="1"/>
  <c r="K340" i="1"/>
  <c r="C340" i="1"/>
  <c r="K339" i="1"/>
  <c r="C339" i="1"/>
  <c r="K338" i="1"/>
  <c r="C338" i="1"/>
  <c r="K337" i="1"/>
  <c r="C337" i="1"/>
  <c r="K336" i="1"/>
  <c r="C336" i="1"/>
  <c r="K335" i="1"/>
  <c r="C335" i="1"/>
  <c r="K334" i="1"/>
  <c r="C334" i="1"/>
  <c r="K333" i="1"/>
  <c r="C333" i="1"/>
  <c r="K332" i="1"/>
  <c r="C332" i="1"/>
  <c r="K331" i="1"/>
  <c r="C331" i="1"/>
  <c r="K330" i="1"/>
  <c r="C330" i="1"/>
  <c r="K329" i="1"/>
  <c r="C329" i="1"/>
  <c r="K328" i="1"/>
  <c r="C328" i="1"/>
  <c r="K327" i="1"/>
  <c r="C327" i="1"/>
  <c r="K326" i="1"/>
  <c r="C326" i="1"/>
  <c r="K325" i="1"/>
  <c r="C325" i="1"/>
  <c r="K324" i="1"/>
  <c r="C324" i="1"/>
  <c r="K323" i="1"/>
  <c r="C323" i="1"/>
  <c r="K322" i="1"/>
  <c r="C322" i="1"/>
  <c r="K321" i="1"/>
  <c r="C321" i="1"/>
  <c r="K320" i="1"/>
  <c r="C320" i="1"/>
  <c r="K319" i="1"/>
  <c r="C319" i="1"/>
  <c r="K318" i="1"/>
  <c r="C318" i="1"/>
  <c r="K317" i="1"/>
  <c r="C317" i="1"/>
  <c r="K316" i="1"/>
  <c r="C316" i="1"/>
  <c r="K315" i="1"/>
  <c r="C315" i="1"/>
  <c r="K314" i="1"/>
  <c r="C314" i="1"/>
  <c r="K313" i="1"/>
  <c r="C313" i="1"/>
  <c r="K312" i="1"/>
  <c r="C312" i="1"/>
  <c r="K311" i="1"/>
  <c r="C311" i="1"/>
  <c r="K310" i="1"/>
  <c r="C310" i="1"/>
  <c r="K309" i="1"/>
  <c r="C309" i="1"/>
  <c r="K308" i="1"/>
  <c r="C308" i="1"/>
  <c r="K307" i="1"/>
  <c r="C307" i="1"/>
  <c r="K306" i="1"/>
  <c r="C306" i="1"/>
  <c r="K305" i="1"/>
  <c r="C305" i="1"/>
  <c r="K304" i="1"/>
  <c r="C304" i="1"/>
  <c r="K303" i="1"/>
  <c r="C303" i="1"/>
  <c r="K302" i="1"/>
  <c r="C302" i="1"/>
  <c r="K301" i="1"/>
  <c r="C301" i="1"/>
  <c r="K300" i="1"/>
  <c r="C300" i="1"/>
  <c r="K299" i="1"/>
  <c r="C299" i="1"/>
  <c r="K298" i="1"/>
  <c r="C298" i="1"/>
  <c r="K297" i="1"/>
  <c r="C297" i="1"/>
  <c r="K296" i="1"/>
  <c r="C296" i="1"/>
  <c r="K295" i="1"/>
  <c r="C295" i="1"/>
  <c r="K294" i="1"/>
  <c r="C294" i="1"/>
  <c r="K293" i="1"/>
  <c r="C293" i="1"/>
  <c r="K292" i="1"/>
  <c r="C292" i="1"/>
  <c r="K291" i="1"/>
  <c r="C291" i="1"/>
  <c r="K290" i="1"/>
  <c r="C290" i="1"/>
  <c r="K289" i="1"/>
  <c r="C289" i="1"/>
  <c r="K288" i="1"/>
  <c r="C288" i="1"/>
  <c r="K287" i="1"/>
  <c r="C287" i="1"/>
  <c r="K286" i="1"/>
  <c r="C286" i="1"/>
  <c r="K285" i="1"/>
  <c r="C285" i="1"/>
  <c r="K284" i="1"/>
  <c r="C284" i="1"/>
  <c r="K283" i="1"/>
  <c r="C283" i="1"/>
  <c r="K282" i="1"/>
  <c r="C282" i="1"/>
  <c r="K281" i="1"/>
  <c r="C281" i="1"/>
  <c r="K280" i="1"/>
  <c r="C280" i="1"/>
  <c r="K279" i="1"/>
  <c r="C279" i="1"/>
  <c r="K278" i="1"/>
  <c r="C278" i="1"/>
  <c r="K277" i="1"/>
  <c r="C277" i="1"/>
  <c r="K276" i="1"/>
  <c r="C276" i="1"/>
  <c r="K275" i="1"/>
  <c r="C275" i="1"/>
  <c r="K274" i="1"/>
  <c r="C274" i="1"/>
  <c r="K273" i="1"/>
  <c r="C273" i="1"/>
  <c r="K272" i="1"/>
  <c r="C272" i="1"/>
  <c r="K271" i="1"/>
  <c r="C271" i="1"/>
  <c r="K270" i="1"/>
  <c r="C270" i="1"/>
  <c r="K269" i="1"/>
  <c r="C269" i="1"/>
  <c r="K268" i="1"/>
  <c r="C268" i="1"/>
  <c r="K267" i="1"/>
  <c r="C267" i="1"/>
  <c r="K266" i="1"/>
  <c r="C266" i="1"/>
  <c r="K265" i="1"/>
  <c r="C265" i="1"/>
  <c r="K264" i="1"/>
  <c r="C264" i="1"/>
  <c r="K263" i="1"/>
  <c r="C263" i="1"/>
  <c r="K262" i="1"/>
  <c r="C262" i="1"/>
  <c r="T803" i="1"/>
  <c r="F725" i="1"/>
  <c r="F693" i="1"/>
  <c r="S669" i="1"/>
  <c r="S653" i="1"/>
  <c r="H642" i="1"/>
  <c r="Q631" i="1"/>
  <c r="S622" i="1"/>
  <c r="S614" i="1"/>
  <c r="F607" i="1"/>
  <c r="Q600" i="1"/>
  <c r="H594" i="1"/>
  <c r="T587" i="1"/>
  <c r="L581" i="1"/>
  <c r="F575" i="1"/>
  <c r="Q568" i="1"/>
  <c r="H562" i="1"/>
  <c r="T555" i="1"/>
  <c r="L549" i="1"/>
  <c r="F543" i="1"/>
  <c r="Q536" i="1"/>
  <c r="H530" i="1"/>
  <c r="T523" i="1"/>
  <c r="L518" i="1"/>
  <c r="E516" i="1"/>
  <c r="E514" i="1"/>
  <c r="E512" i="1"/>
  <c r="I510" i="1"/>
  <c r="K509" i="1"/>
  <c r="S508" i="1"/>
  <c r="E508" i="1"/>
  <c r="K507" i="1"/>
  <c r="S506" i="1"/>
  <c r="E506" i="1"/>
  <c r="K505" i="1"/>
  <c r="S504" i="1"/>
  <c r="E504" i="1"/>
  <c r="K503" i="1"/>
  <c r="S502" i="1"/>
  <c r="E502" i="1"/>
  <c r="K501" i="1"/>
  <c r="S500" i="1"/>
  <c r="E500" i="1"/>
  <c r="K499" i="1"/>
  <c r="S498" i="1"/>
  <c r="E498" i="1"/>
  <c r="K497" i="1"/>
  <c r="S496" i="1"/>
  <c r="E496" i="1"/>
  <c r="K495" i="1"/>
  <c r="S494" i="1"/>
  <c r="E494" i="1"/>
  <c r="K493" i="1"/>
  <c r="S492" i="1"/>
  <c r="E492" i="1"/>
  <c r="K491" i="1"/>
  <c r="S490" i="1"/>
  <c r="E490" i="1"/>
  <c r="K489" i="1"/>
  <c r="S488" i="1"/>
  <c r="E488" i="1"/>
  <c r="K487" i="1"/>
  <c r="S486" i="1"/>
  <c r="E486" i="1"/>
  <c r="K485" i="1"/>
  <c r="S484" i="1"/>
  <c r="E484" i="1"/>
  <c r="K483" i="1"/>
  <c r="B483" i="1"/>
  <c r="J482" i="1"/>
  <c r="B482" i="1"/>
  <c r="J481" i="1"/>
  <c r="B481" i="1"/>
  <c r="J480" i="1"/>
  <c r="B480" i="1"/>
  <c r="J479" i="1"/>
  <c r="B479" i="1"/>
  <c r="J478" i="1"/>
  <c r="B478" i="1"/>
  <c r="J477" i="1"/>
  <c r="B477" i="1"/>
  <c r="J476" i="1"/>
  <c r="B476" i="1"/>
  <c r="J475" i="1"/>
  <c r="B475" i="1"/>
  <c r="J474" i="1"/>
  <c r="B474" i="1"/>
  <c r="J473" i="1"/>
  <c r="B473" i="1"/>
  <c r="J472" i="1"/>
  <c r="B472" i="1"/>
  <c r="J471" i="1"/>
  <c r="B471" i="1"/>
  <c r="J470" i="1"/>
  <c r="B470" i="1"/>
  <c r="J469" i="1"/>
  <c r="B469" i="1"/>
  <c r="J468" i="1"/>
  <c r="B468" i="1"/>
  <c r="J467" i="1"/>
  <c r="B467" i="1"/>
  <c r="J466" i="1"/>
  <c r="B466" i="1"/>
  <c r="J465" i="1"/>
  <c r="B465" i="1"/>
  <c r="J464" i="1"/>
  <c r="B464" i="1"/>
  <c r="J463" i="1"/>
  <c r="B463" i="1"/>
  <c r="J462" i="1"/>
  <c r="B462" i="1"/>
  <c r="J461" i="1"/>
  <c r="B461" i="1"/>
  <c r="J460" i="1"/>
  <c r="B460" i="1"/>
  <c r="J459" i="1"/>
  <c r="B459" i="1"/>
  <c r="J458" i="1"/>
  <c r="B458" i="1"/>
  <c r="J457" i="1"/>
  <c r="B457" i="1"/>
  <c r="J456" i="1"/>
  <c r="B456" i="1"/>
  <c r="J455" i="1"/>
  <c r="B455" i="1"/>
  <c r="J454" i="1"/>
  <c r="B454" i="1"/>
  <c r="J453" i="1"/>
  <c r="B453" i="1"/>
  <c r="J452" i="1"/>
  <c r="B452" i="1"/>
  <c r="J451" i="1"/>
  <c r="B451" i="1"/>
  <c r="J450" i="1"/>
  <c r="B450" i="1"/>
  <c r="J449" i="1"/>
  <c r="B449" i="1"/>
  <c r="J448" i="1"/>
  <c r="B448" i="1"/>
  <c r="J447" i="1"/>
  <c r="B447" i="1"/>
  <c r="J446" i="1"/>
  <c r="B446" i="1"/>
  <c r="J445" i="1"/>
  <c r="B445" i="1"/>
  <c r="J444" i="1"/>
  <c r="B444" i="1"/>
  <c r="J443" i="1"/>
  <c r="B443" i="1"/>
  <c r="J442" i="1"/>
  <c r="B442" i="1"/>
  <c r="J441" i="1"/>
  <c r="B441" i="1"/>
  <c r="J440" i="1"/>
  <c r="B440" i="1"/>
  <c r="J439" i="1"/>
  <c r="B439" i="1"/>
  <c r="J438" i="1"/>
  <c r="B438" i="1"/>
  <c r="J437" i="1"/>
  <c r="B437" i="1"/>
  <c r="J436" i="1"/>
  <c r="B436" i="1"/>
  <c r="J435" i="1"/>
  <c r="B435" i="1"/>
  <c r="J434" i="1"/>
  <c r="B434" i="1"/>
  <c r="J433" i="1"/>
  <c r="B433" i="1"/>
  <c r="J432" i="1"/>
  <c r="B432" i="1"/>
  <c r="J431" i="1"/>
  <c r="B431" i="1"/>
  <c r="J430" i="1"/>
  <c r="B430" i="1"/>
  <c r="J429" i="1"/>
  <c r="B429" i="1"/>
  <c r="J428" i="1"/>
  <c r="B428" i="1"/>
  <c r="J427" i="1"/>
  <c r="B427" i="1"/>
  <c r="J426" i="1"/>
  <c r="B426" i="1"/>
  <c r="J425" i="1"/>
  <c r="B425" i="1"/>
  <c r="J424" i="1"/>
  <c r="B424" i="1"/>
  <c r="J423" i="1"/>
  <c r="B423" i="1"/>
  <c r="J422" i="1"/>
  <c r="B422" i="1"/>
  <c r="J421" i="1"/>
  <c r="B421" i="1"/>
  <c r="J420" i="1"/>
  <c r="B420" i="1"/>
  <c r="J419" i="1"/>
  <c r="B419" i="1"/>
  <c r="J418" i="1"/>
  <c r="B418" i="1"/>
  <c r="J417" i="1"/>
  <c r="B417" i="1"/>
  <c r="J416" i="1"/>
  <c r="B416" i="1"/>
  <c r="J415" i="1"/>
  <c r="B415" i="1"/>
  <c r="J414" i="1"/>
  <c r="B414" i="1"/>
  <c r="J413" i="1"/>
  <c r="B413" i="1"/>
  <c r="J412" i="1"/>
  <c r="B412" i="1"/>
  <c r="J411" i="1"/>
  <c r="B411" i="1"/>
  <c r="J410" i="1"/>
  <c r="B410" i="1"/>
  <c r="J409" i="1"/>
  <c r="B409" i="1"/>
  <c r="J408" i="1"/>
  <c r="B408" i="1"/>
  <c r="J407" i="1"/>
  <c r="B407" i="1"/>
  <c r="J406" i="1"/>
  <c r="B406" i="1"/>
  <c r="J405" i="1"/>
  <c r="B405" i="1"/>
  <c r="J404" i="1"/>
  <c r="B404" i="1"/>
  <c r="J403" i="1"/>
  <c r="B403" i="1"/>
  <c r="J402" i="1"/>
  <c r="B402" i="1"/>
  <c r="J401" i="1"/>
  <c r="B401" i="1"/>
  <c r="J400" i="1"/>
  <c r="B400" i="1"/>
  <c r="J399" i="1"/>
  <c r="B399" i="1"/>
  <c r="J398" i="1"/>
  <c r="B398" i="1"/>
  <c r="J397" i="1"/>
  <c r="B397" i="1"/>
  <c r="J396" i="1"/>
  <c r="B396" i="1"/>
  <c r="J395" i="1"/>
  <c r="B395" i="1"/>
  <c r="J394" i="1"/>
  <c r="B394" i="1"/>
  <c r="J393" i="1"/>
  <c r="B393" i="1"/>
  <c r="J392" i="1"/>
  <c r="B392" i="1"/>
  <c r="J391" i="1"/>
  <c r="B391" i="1"/>
  <c r="J390" i="1"/>
  <c r="B390" i="1"/>
  <c r="J389" i="1"/>
  <c r="B389" i="1"/>
  <c r="J388" i="1"/>
  <c r="B388" i="1"/>
  <c r="J387" i="1"/>
  <c r="B387" i="1"/>
  <c r="J386" i="1"/>
  <c r="B386" i="1"/>
  <c r="J385" i="1"/>
  <c r="B385" i="1"/>
  <c r="J384" i="1"/>
  <c r="B384" i="1"/>
  <c r="J383" i="1"/>
  <c r="B383" i="1"/>
  <c r="J382" i="1"/>
  <c r="B382" i="1"/>
  <c r="J381" i="1"/>
  <c r="B381" i="1"/>
  <c r="J380" i="1"/>
  <c r="B380" i="1"/>
  <c r="J379" i="1"/>
  <c r="B379" i="1"/>
  <c r="J378" i="1"/>
  <c r="B378" i="1"/>
  <c r="J377" i="1"/>
  <c r="B377" i="1"/>
  <c r="J376" i="1"/>
  <c r="B376" i="1"/>
  <c r="J375" i="1"/>
  <c r="B375" i="1"/>
  <c r="J374" i="1"/>
  <c r="B374" i="1"/>
  <c r="J373" i="1"/>
  <c r="B373" i="1"/>
  <c r="J372" i="1"/>
  <c r="B372" i="1"/>
  <c r="J371" i="1"/>
  <c r="B371" i="1"/>
  <c r="J370" i="1"/>
  <c r="B370" i="1"/>
  <c r="J369" i="1"/>
  <c r="B369" i="1"/>
  <c r="J368" i="1"/>
  <c r="B368" i="1"/>
  <c r="J367" i="1"/>
  <c r="B367" i="1"/>
  <c r="J366" i="1"/>
  <c r="B366" i="1"/>
  <c r="J365" i="1"/>
  <c r="B365" i="1"/>
  <c r="J364" i="1"/>
  <c r="B364" i="1"/>
  <c r="J363" i="1"/>
  <c r="B363" i="1"/>
  <c r="J362" i="1"/>
  <c r="B362" i="1"/>
  <c r="J361" i="1"/>
  <c r="B361" i="1"/>
  <c r="J360" i="1"/>
  <c r="B360" i="1"/>
  <c r="J359" i="1"/>
  <c r="B359" i="1"/>
  <c r="J358" i="1"/>
  <c r="B358" i="1"/>
  <c r="J357" i="1"/>
  <c r="B357" i="1"/>
  <c r="J356" i="1"/>
  <c r="B356" i="1"/>
  <c r="J355" i="1"/>
  <c r="B355" i="1"/>
  <c r="J354" i="1"/>
  <c r="B354" i="1"/>
  <c r="J353" i="1"/>
  <c r="B353" i="1"/>
  <c r="J352" i="1"/>
  <c r="B352" i="1"/>
  <c r="J351" i="1"/>
  <c r="B351" i="1"/>
  <c r="J350" i="1"/>
  <c r="B350" i="1"/>
  <c r="J349" i="1"/>
  <c r="B349" i="1"/>
  <c r="J348" i="1"/>
  <c r="B348" i="1"/>
  <c r="J347" i="1"/>
  <c r="B347" i="1"/>
  <c r="J346" i="1"/>
  <c r="B346" i="1"/>
  <c r="J345" i="1"/>
  <c r="B345" i="1"/>
  <c r="J344" i="1"/>
  <c r="B344" i="1"/>
  <c r="J343" i="1"/>
  <c r="B343" i="1"/>
  <c r="J342" i="1"/>
  <c r="B342" i="1"/>
  <c r="J341" i="1"/>
  <c r="B341" i="1"/>
  <c r="J340" i="1"/>
  <c r="B340" i="1"/>
  <c r="J339" i="1"/>
  <c r="B339" i="1"/>
  <c r="J338" i="1"/>
  <c r="B338" i="1"/>
  <c r="J337" i="1"/>
  <c r="B337" i="1"/>
  <c r="J336" i="1"/>
  <c r="B336" i="1"/>
  <c r="J335" i="1"/>
  <c r="B335" i="1"/>
  <c r="J334" i="1"/>
  <c r="B334" i="1"/>
  <c r="J333" i="1"/>
  <c r="B333" i="1"/>
  <c r="J332" i="1"/>
  <c r="B332" i="1"/>
  <c r="J331" i="1"/>
  <c r="B331" i="1"/>
  <c r="J330" i="1"/>
  <c r="B330" i="1"/>
  <c r="J329" i="1"/>
  <c r="B329" i="1"/>
  <c r="J328" i="1"/>
  <c r="B328" i="1"/>
  <c r="J327" i="1"/>
  <c r="B327" i="1"/>
  <c r="J326" i="1"/>
  <c r="B326" i="1"/>
  <c r="J325" i="1"/>
  <c r="B325" i="1"/>
  <c r="J324" i="1"/>
  <c r="B324" i="1"/>
  <c r="J323" i="1"/>
  <c r="B323" i="1"/>
  <c r="J322" i="1"/>
  <c r="B322" i="1"/>
  <c r="J321" i="1"/>
  <c r="B321" i="1"/>
  <c r="J320" i="1"/>
  <c r="B320" i="1"/>
  <c r="J319" i="1"/>
  <c r="B319" i="1"/>
  <c r="J318" i="1"/>
  <c r="B318" i="1"/>
  <c r="J317" i="1"/>
  <c r="B317" i="1"/>
  <c r="J316" i="1"/>
  <c r="T787" i="1"/>
  <c r="F721" i="1"/>
  <c r="F689" i="1"/>
  <c r="S667" i="1"/>
  <c r="S651" i="1"/>
  <c r="F641" i="1"/>
  <c r="H630" i="1"/>
  <c r="S621" i="1"/>
  <c r="S613" i="1"/>
  <c r="H606" i="1"/>
  <c r="T599" i="1"/>
  <c r="L593" i="1"/>
  <c r="F587" i="1"/>
  <c r="Q580" i="1"/>
  <c r="H574" i="1"/>
  <c r="T567" i="1"/>
  <c r="L561" i="1"/>
  <c r="F555" i="1"/>
  <c r="Q548" i="1"/>
  <c r="H542" i="1"/>
  <c r="T535" i="1"/>
  <c r="L529" i="1"/>
  <c r="F523" i="1"/>
  <c r="K518" i="1"/>
  <c r="D516" i="1"/>
  <c r="D514" i="1"/>
  <c r="D512" i="1"/>
  <c r="H510" i="1"/>
  <c r="I509" i="1"/>
  <c r="Q508" i="1"/>
  <c r="D508" i="1"/>
  <c r="I507" i="1"/>
  <c r="Q506" i="1"/>
  <c r="D506" i="1"/>
  <c r="I505" i="1"/>
  <c r="Q504" i="1"/>
  <c r="D504" i="1"/>
  <c r="I503" i="1"/>
  <c r="Q502" i="1"/>
  <c r="D502" i="1"/>
  <c r="I501" i="1"/>
  <c r="Q500" i="1"/>
  <c r="D500" i="1"/>
  <c r="I499" i="1"/>
  <c r="Q498" i="1"/>
  <c r="D498" i="1"/>
  <c r="I497" i="1"/>
  <c r="Q496" i="1"/>
  <c r="D496" i="1"/>
  <c r="I495" i="1"/>
  <c r="Q494" i="1"/>
  <c r="D494" i="1"/>
  <c r="I493" i="1"/>
  <c r="Q492" i="1"/>
  <c r="D492" i="1"/>
  <c r="I491" i="1"/>
  <c r="Q490" i="1"/>
  <c r="D490" i="1"/>
  <c r="I489" i="1"/>
  <c r="Q488" i="1"/>
  <c r="D488" i="1"/>
  <c r="I487" i="1"/>
  <c r="Q486" i="1"/>
  <c r="D486" i="1"/>
  <c r="I485" i="1"/>
  <c r="Q484" i="1"/>
  <c r="D484" i="1"/>
  <c r="J483" i="1"/>
  <c r="T482" i="1"/>
  <c r="I482" i="1"/>
  <c r="T481" i="1"/>
  <c r="I481" i="1"/>
  <c r="T480" i="1"/>
  <c r="I480" i="1"/>
  <c r="T479" i="1"/>
  <c r="I479" i="1"/>
  <c r="T478" i="1"/>
  <c r="I478" i="1"/>
  <c r="T477" i="1"/>
  <c r="I477" i="1"/>
  <c r="T476" i="1"/>
  <c r="I476" i="1"/>
  <c r="T475" i="1"/>
  <c r="I475" i="1"/>
  <c r="T474" i="1"/>
  <c r="I474" i="1"/>
  <c r="T473" i="1"/>
  <c r="I473" i="1"/>
  <c r="T472" i="1"/>
  <c r="I472" i="1"/>
  <c r="T471" i="1"/>
  <c r="I471" i="1"/>
  <c r="T470" i="1"/>
  <c r="I470" i="1"/>
  <c r="T469" i="1"/>
  <c r="I469" i="1"/>
  <c r="T468" i="1"/>
  <c r="I468" i="1"/>
  <c r="T467" i="1"/>
  <c r="I467" i="1"/>
  <c r="T466" i="1"/>
  <c r="I466" i="1"/>
  <c r="T465" i="1"/>
  <c r="I465" i="1"/>
  <c r="T464" i="1"/>
  <c r="I464" i="1"/>
  <c r="T463" i="1"/>
  <c r="I463" i="1"/>
  <c r="T462" i="1"/>
  <c r="I462" i="1"/>
  <c r="T461" i="1"/>
  <c r="I461" i="1"/>
  <c r="T460" i="1"/>
  <c r="I460" i="1"/>
  <c r="T459" i="1"/>
  <c r="I459" i="1"/>
  <c r="T458" i="1"/>
  <c r="I458" i="1"/>
  <c r="T457" i="1"/>
  <c r="I457" i="1"/>
  <c r="T456" i="1"/>
  <c r="I456" i="1"/>
  <c r="T455" i="1"/>
  <c r="I455" i="1"/>
  <c r="T454" i="1"/>
  <c r="I454" i="1"/>
  <c r="T453" i="1"/>
  <c r="I453" i="1"/>
  <c r="T452" i="1"/>
  <c r="I452" i="1"/>
  <c r="T451" i="1"/>
  <c r="I451" i="1"/>
  <c r="T450" i="1"/>
  <c r="I450" i="1"/>
  <c r="T449" i="1"/>
  <c r="I449" i="1"/>
  <c r="T448" i="1"/>
  <c r="I448" i="1"/>
  <c r="T447" i="1"/>
  <c r="I447" i="1"/>
  <c r="T446" i="1"/>
  <c r="I446" i="1"/>
  <c r="T445" i="1"/>
  <c r="I445" i="1"/>
  <c r="T444" i="1"/>
  <c r="I444" i="1"/>
  <c r="T443" i="1"/>
  <c r="I443" i="1"/>
  <c r="T442" i="1"/>
  <c r="I442" i="1"/>
  <c r="T441" i="1"/>
  <c r="I441" i="1"/>
  <c r="T440" i="1"/>
  <c r="I440" i="1"/>
  <c r="T439" i="1"/>
  <c r="I439" i="1"/>
  <c r="T438" i="1"/>
  <c r="I438" i="1"/>
  <c r="T437" i="1"/>
  <c r="I437" i="1"/>
  <c r="T436" i="1"/>
  <c r="I436" i="1"/>
  <c r="T435" i="1"/>
  <c r="I435" i="1"/>
  <c r="T434" i="1"/>
  <c r="I434" i="1"/>
  <c r="T433" i="1"/>
  <c r="I433" i="1"/>
  <c r="T432" i="1"/>
  <c r="I432" i="1"/>
  <c r="T431" i="1"/>
  <c r="I431" i="1"/>
  <c r="T430" i="1"/>
  <c r="I430" i="1"/>
  <c r="T429" i="1"/>
  <c r="I429" i="1"/>
  <c r="T428" i="1"/>
  <c r="I428" i="1"/>
  <c r="T427" i="1"/>
  <c r="I427" i="1"/>
  <c r="T426" i="1"/>
  <c r="I426" i="1"/>
  <c r="T425" i="1"/>
  <c r="I425" i="1"/>
  <c r="T424" i="1"/>
  <c r="I424" i="1"/>
  <c r="T423" i="1"/>
  <c r="I423" i="1"/>
  <c r="T422" i="1"/>
  <c r="I422" i="1"/>
  <c r="T421" i="1"/>
  <c r="I421" i="1"/>
  <c r="T420" i="1"/>
  <c r="I420" i="1"/>
  <c r="T419" i="1"/>
  <c r="I419" i="1"/>
  <c r="T418" i="1"/>
  <c r="I418" i="1"/>
  <c r="T417" i="1"/>
  <c r="I417" i="1"/>
  <c r="T416" i="1"/>
  <c r="I416" i="1"/>
  <c r="T415" i="1"/>
  <c r="I415" i="1"/>
  <c r="T414" i="1"/>
  <c r="I414" i="1"/>
  <c r="T413" i="1"/>
  <c r="I413" i="1"/>
  <c r="T412" i="1"/>
  <c r="I412" i="1"/>
  <c r="T411" i="1"/>
  <c r="I411" i="1"/>
  <c r="T410" i="1"/>
  <c r="I410" i="1"/>
  <c r="T409" i="1"/>
  <c r="I409" i="1"/>
  <c r="T408" i="1"/>
  <c r="I408" i="1"/>
  <c r="T407" i="1"/>
  <c r="I407" i="1"/>
  <c r="T406" i="1"/>
  <c r="I406" i="1"/>
  <c r="T405" i="1"/>
  <c r="I405" i="1"/>
  <c r="T404" i="1"/>
  <c r="I404" i="1"/>
  <c r="T403" i="1"/>
  <c r="I403" i="1"/>
  <c r="T402" i="1"/>
  <c r="I402" i="1"/>
  <c r="T401" i="1"/>
  <c r="I401" i="1"/>
  <c r="T400" i="1"/>
  <c r="I400" i="1"/>
  <c r="T399" i="1"/>
  <c r="I399" i="1"/>
  <c r="T398" i="1"/>
  <c r="I398" i="1"/>
  <c r="T397" i="1"/>
  <c r="I397" i="1"/>
  <c r="T396" i="1"/>
  <c r="I396" i="1"/>
  <c r="T395" i="1"/>
  <c r="I395" i="1"/>
  <c r="T394" i="1"/>
  <c r="I394" i="1"/>
  <c r="T393" i="1"/>
  <c r="I393" i="1"/>
  <c r="T392" i="1"/>
  <c r="I392" i="1"/>
  <c r="T391" i="1"/>
  <c r="I391" i="1"/>
  <c r="T390" i="1"/>
  <c r="I390" i="1"/>
  <c r="T389" i="1"/>
  <c r="I389" i="1"/>
  <c r="T388" i="1"/>
  <c r="I388" i="1"/>
  <c r="T387" i="1"/>
  <c r="I387" i="1"/>
  <c r="T386" i="1"/>
  <c r="I386" i="1"/>
  <c r="T385" i="1"/>
  <c r="I385" i="1"/>
  <c r="T384" i="1"/>
  <c r="I384" i="1"/>
  <c r="T383" i="1"/>
  <c r="I383" i="1"/>
  <c r="T382" i="1"/>
  <c r="I382" i="1"/>
  <c r="T381" i="1"/>
  <c r="I381" i="1"/>
  <c r="T380" i="1"/>
  <c r="I380" i="1"/>
  <c r="T379" i="1"/>
  <c r="I379" i="1"/>
  <c r="T378" i="1"/>
  <c r="I378" i="1"/>
  <c r="T377" i="1"/>
  <c r="I377" i="1"/>
  <c r="T376" i="1"/>
  <c r="I376" i="1"/>
  <c r="T375" i="1"/>
  <c r="I375" i="1"/>
  <c r="T374" i="1"/>
  <c r="I374" i="1"/>
  <c r="T373" i="1"/>
  <c r="I373" i="1"/>
  <c r="T372" i="1"/>
  <c r="I372" i="1"/>
  <c r="T371" i="1"/>
  <c r="I371" i="1"/>
  <c r="T370" i="1"/>
  <c r="I370" i="1"/>
  <c r="T369" i="1"/>
  <c r="I369" i="1"/>
  <c r="T368" i="1"/>
  <c r="I368" i="1"/>
  <c r="T367" i="1"/>
  <c r="I367" i="1"/>
  <c r="T366" i="1"/>
  <c r="I366" i="1"/>
  <c r="T365" i="1"/>
  <c r="I365" i="1"/>
  <c r="T364" i="1"/>
  <c r="I364" i="1"/>
  <c r="T363" i="1"/>
  <c r="I363" i="1"/>
  <c r="T362" i="1"/>
  <c r="I362" i="1"/>
  <c r="T361" i="1"/>
  <c r="I361" i="1"/>
  <c r="T360" i="1"/>
  <c r="I360" i="1"/>
  <c r="T359" i="1"/>
  <c r="I359" i="1"/>
  <c r="T358" i="1"/>
  <c r="I358" i="1"/>
  <c r="T357" i="1"/>
  <c r="I357" i="1"/>
  <c r="T356" i="1"/>
  <c r="I356" i="1"/>
  <c r="T355" i="1"/>
  <c r="I355" i="1"/>
  <c r="T354" i="1"/>
  <c r="I354" i="1"/>
  <c r="T353" i="1"/>
  <c r="I353" i="1"/>
  <c r="T352" i="1"/>
  <c r="I352" i="1"/>
  <c r="T351" i="1"/>
  <c r="I351" i="1"/>
  <c r="T350" i="1"/>
  <c r="I350" i="1"/>
  <c r="T349" i="1"/>
  <c r="I349" i="1"/>
  <c r="T348" i="1"/>
  <c r="I348" i="1"/>
  <c r="T347" i="1"/>
  <c r="I347" i="1"/>
  <c r="T346" i="1"/>
  <c r="I346" i="1"/>
  <c r="T345" i="1"/>
  <c r="I345" i="1"/>
  <c r="T344" i="1"/>
  <c r="I344" i="1"/>
  <c r="T343" i="1"/>
  <c r="I343" i="1"/>
  <c r="T342" i="1"/>
  <c r="I342" i="1"/>
  <c r="T341" i="1"/>
  <c r="I341" i="1"/>
  <c r="T340" i="1"/>
  <c r="I340" i="1"/>
  <c r="T339" i="1"/>
  <c r="I339" i="1"/>
  <c r="T338" i="1"/>
  <c r="I338" i="1"/>
  <c r="T337" i="1"/>
  <c r="I337" i="1"/>
  <c r="T336" i="1"/>
  <c r="I336" i="1"/>
  <c r="T335" i="1"/>
  <c r="I335" i="1"/>
  <c r="T334" i="1"/>
  <c r="I334" i="1"/>
  <c r="T333" i="1"/>
  <c r="I333" i="1"/>
  <c r="T332" i="1"/>
  <c r="I332" i="1"/>
  <c r="T331" i="1"/>
  <c r="I331" i="1"/>
  <c r="T330" i="1"/>
  <c r="I330" i="1"/>
  <c r="T329" i="1"/>
  <c r="I329" i="1"/>
  <c r="T328" i="1"/>
  <c r="I328" i="1"/>
  <c r="T327" i="1"/>
  <c r="I327" i="1"/>
  <c r="T326" i="1"/>
  <c r="I326" i="1"/>
  <c r="T325" i="1"/>
  <c r="I325" i="1"/>
  <c r="T324" i="1"/>
  <c r="I324" i="1"/>
  <c r="T323" i="1"/>
  <c r="I323" i="1"/>
  <c r="T322" i="1"/>
  <c r="I322" i="1"/>
  <c r="T321" i="1"/>
  <c r="I321" i="1"/>
  <c r="T320" i="1"/>
  <c r="I320" i="1"/>
  <c r="T319" i="1"/>
  <c r="I319" i="1"/>
  <c r="T318" i="1"/>
  <c r="I318" i="1"/>
  <c r="T317" i="1"/>
  <c r="I317" i="1"/>
  <c r="T316" i="1"/>
  <c r="I316" i="1"/>
  <c r="T315" i="1"/>
  <c r="I315" i="1"/>
  <c r="T314" i="1"/>
  <c r="I314" i="1"/>
  <c r="T313" i="1"/>
  <c r="I313" i="1"/>
  <c r="T312" i="1"/>
  <c r="I312" i="1"/>
  <c r="T311" i="1"/>
  <c r="I311" i="1"/>
  <c r="L773" i="1"/>
  <c r="F717" i="1"/>
  <c r="F685" i="1"/>
  <c r="S665" i="1"/>
  <c r="H650" i="1"/>
  <c r="Q639" i="1"/>
  <c r="F629" i="1"/>
  <c r="S620" i="1"/>
  <c r="S612" i="1"/>
  <c r="L605" i="1"/>
  <c r="F599" i="1"/>
  <c r="Q592" i="1"/>
  <c r="H586" i="1"/>
  <c r="T579" i="1"/>
  <c r="L573" i="1"/>
  <c r="F567" i="1"/>
  <c r="Q560" i="1"/>
  <c r="H554" i="1"/>
  <c r="T547" i="1"/>
  <c r="L541" i="1"/>
  <c r="F535" i="1"/>
  <c r="Q528" i="1"/>
  <c r="H522" i="1"/>
  <c r="T517" i="1"/>
  <c r="O515" i="1"/>
  <c r="O513" i="1"/>
  <c r="O511" i="1"/>
  <c r="E510" i="1"/>
  <c r="H509" i="1"/>
  <c r="O508" i="1"/>
  <c r="C508" i="1"/>
  <c r="H507" i="1"/>
  <c r="O506" i="1"/>
  <c r="C506" i="1"/>
  <c r="H505" i="1"/>
  <c r="O504" i="1"/>
  <c r="C504" i="1"/>
  <c r="H503" i="1"/>
  <c r="O502" i="1"/>
  <c r="C502" i="1"/>
  <c r="H501" i="1"/>
  <c r="O500" i="1"/>
  <c r="C500" i="1"/>
  <c r="H499" i="1"/>
  <c r="O498" i="1"/>
  <c r="C498" i="1"/>
  <c r="H497" i="1"/>
  <c r="O496" i="1"/>
  <c r="C496" i="1"/>
  <c r="H495" i="1"/>
  <c r="O494" i="1"/>
  <c r="C494" i="1"/>
  <c r="H493" i="1"/>
  <c r="O492" i="1"/>
  <c r="C492" i="1"/>
  <c r="H491" i="1"/>
  <c r="O490" i="1"/>
  <c r="C490" i="1"/>
  <c r="H489" i="1"/>
  <c r="O488" i="1"/>
  <c r="C488" i="1"/>
  <c r="H487" i="1"/>
  <c r="O486" i="1"/>
  <c r="C486" i="1"/>
  <c r="H485" i="1"/>
  <c r="O484" i="1"/>
  <c r="C484" i="1"/>
  <c r="I483" i="1"/>
  <c r="S482" i="1"/>
  <c r="H482" i="1"/>
  <c r="S481" i="1"/>
  <c r="H481" i="1"/>
  <c r="S480" i="1"/>
  <c r="H480" i="1"/>
  <c r="S479" i="1"/>
  <c r="H479" i="1"/>
  <c r="S478" i="1"/>
  <c r="H478" i="1"/>
  <c r="S477" i="1"/>
  <c r="H477" i="1"/>
  <c r="S476" i="1"/>
  <c r="H476" i="1"/>
  <c r="S475" i="1"/>
  <c r="H475" i="1"/>
  <c r="S474" i="1"/>
  <c r="H474" i="1"/>
  <c r="S473" i="1"/>
  <c r="H473" i="1"/>
  <c r="S472" i="1"/>
  <c r="H472" i="1"/>
  <c r="S471" i="1"/>
  <c r="H471" i="1"/>
  <c r="S470" i="1"/>
  <c r="H470" i="1"/>
  <c r="S469" i="1"/>
  <c r="H469" i="1"/>
  <c r="S468" i="1"/>
  <c r="H468" i="1"/>
  <c r="S467" i="1"/>
  <c r="H467" i="1"/>
  <c r="S466" i="1"/>
  <c r="H466" i="1"/>
  <c r="S465" i="1"/>
  <c r="H465" i="1"/>
  <c r="S464" i="1"/>
  <c r="H464" i="1"/>
  <c r="S463" i="1"/>
  <c r="H463" i="1"/>
  <c r="S462" i="1"/>
  <c r="H462" i="1"/>
  <c r="S461" i="1"/>
  <c r="H461" i="1"/>
  <c r="S460" i="1"/>
  <c r="H460" i="1"/>
  <c r="S459" i="1"/>
  <c r="H459" i="1"/>
  <c r="S458" i="1"/>
  <c r="H458" i="1"/>
  <c r="S457" i="1"/>
  <c r="H457" i="1"/>
  <c r="S456" i="1"/>
  <c r="H456" i="1"/>
  <c r="S455" i="1"/>
  <c r="H455" i="1"/>
  <c r="S454" i="1"/>
  <c r="H454" i="1"/>
  <c r="S453" i="1"/>
  <c r="H453" i="1"/>
  <c r="S452" i="1"/>
  <c r="H452" i="1"/>
  <c r="S451" i="1"/>
  <c r="H451" i="1"/>
  <c r="S450" i="1"/>
  <c r="H450" i="1"/>
  <c r="S449" i="1"/>
  <c r="H449" i="1"/>
  <c r="S448" i="1"/>
  <c r="H448" i="1"/>
  <c r="S447" i="1"/>
  <c r="H447" i="1"/>
  <c r="S446" i="1"/>
  <c r="H446" i="1"/>
  <c r="S445" i="1"/>
  <c r="H445" i="1"/>
  <c r="S444" i="1"/>
  <c r="H444" i="1"/>
  <c r="S443" i="1"/>
  <c r="H443" i="1"/>
  <c r="S442" i="1"/>
  <c r="H442" i="1"/>
  <c r="S441" i="1"/>
  <c r="H441" i="1"/>
  <c r="S440" i="1"/>
  <c r="H440" i="1"/>
  <c r="S439" i="1"/>
  <c r="H439" i="1"/>
  <c r="S438" i="1"/>
  <c r="H438" i="1"/>
  <c r="S437" i="1"/>
  <c r="H437" i="1"/>
  <c r="S436" i="1"/>
  <c r="H436" i="1"/>
  <c r="S435" i="1"/>
  <c r="H435" i="1"/>
  <c r="S434" i="1"/>
  <c r="H434" i="1"/>
  <c r="S433" i="1"/>
  <c r="H433" i="1"/>
  <c r="S432" i="1"/>
  <c r="H432" i="1"/>
  <c r="S431" i="1"/>
  <c r="H431" i="1"/>
  <c r="S430" i="1"/>
  <c r="H430" i="1"/>
  <c r="S429" i="1"/>
  <c r="H429" i="1"/>
  <c r="S428" i="1"/>
  <c r="H428" i="1"/>
  <c r="S427" i="1"/>
  <c r="H427" i="1"/>
  <c r="S426" i="1"/>
  <c r="H426" i="1"/>
  <c r="S425" i="1"/>
  <c r="H425" i="1"/>
  <c r="S424" i="1"/>
  <c r="H424" i="1"/>
  <c r="S423" i="1"/>
  <c r="H423" i="1"/>
  <c r="S422" i="1"/>
  <c r="H422" i="1"/>
  <c r="S421" i="1"/>
  <c r="H421" i="1"/>
  <c r="S420" i="1"/>
  <c r="H420" i="1"/>
  <c r="S419" i="1"/>
  <c r="H419" i="1"/>
  <c r="S418" i="1"/>
  <c r="H418" i="1"/>
  <c r="S417" i="1"/>
  <c r="H417" i="1"/>
  <c r="S416" i="1"/>
  <c r="H416" i="1"/>
  <c r="S415" i="1"/>
  <c r="H415" i="1"/>
  <c r="S414" i="1"/>
  <c r="H414" i="1"/>
  <c r="S413" i="1"/>
  <c r="H413" i="1"/>
  <c r="S412" i="1"/>
  <c r="H412" i="1"/>
  <c r="S411" i="1"/>
  <c r="H411" i="1"/>
  <c r="S410" i="1"/>
  <c r="H410" i="1"/>
  <c r="S409" i="1"/>
  <c r="H409" i="1"/>
  <c r="S408" i="1"/>
  <c r="H408" i="1"/>
  <c r="S407" i="1"/>
  <c r="H407" i="1"/>
  <c r="S406" i="1"/>
  <c r="H406" i="1"/>
  <c r="S405" i="1"/>
  <c r="H405" i="1"/>
  <c r="S404" i="1"/>
  <c r="H404" i="1"/>
  <c r="S403" i="1"/>
  <c r="H403" i="1"/>
  <c r="S402" i="1"/>
  <c r="H402" i="1"/>
  <c r="S401" i="1"/>
  <c r="H401" i="1"/>
  <c r="S400" i="1"/>
  <c r="H400" i="1"/>
  <c r="S399" i="1"/>
  <c r="H399" i="1"/>
  <c r="S398" i="1"/>
  <c r="H398" i="1"/>
  <c r="S397" i="1"/>
  <c r="H397" i="1"/>
  <c r="S396" i="1"/>
  <c r="H396" i="1"/>
  <c r="S395" i="1"/>
  <c r="H395" i="1"/>
  <c r="S394" i="1"/>
  <c r="H394" i="1"/>
  <c r="S393" i="1"/>
  <c r="H393" i="1"/>
  <c r="S392" i="1"/>
  <c r="H392" i="1"/>
  <c r="S391" i="1"/>
  <c r="H391" i="1"/>
  <c r="S390" i="1"/>
  <c r="H390" i="1"/>
  <c r="S389" i="1"/>
  <c r="H389" i="1"/>
  <c r="S388" i="1"/>
  <c r="H388" i="1"/>
  <c r="S387" i="1"/>
  <c r="H387" i="1"/>
  <c r="S386" i="1"/>
  <c r="H386" i="1"/>
  <c r="S385" i="1"/>
  <c r="H385" i="1"/>
  <c r="S384" i="1"/>
  <c r="H384" i="1"/>
  <c r="S383" i="1"/>
  <c r="H383" i="1"/>
  <c r="S382" i="1"/>
  <c r="H382" i="1"/>
  <c r="S381" i="1"/>
  <c r="H381" i="1"/>
  <c r="S380" i="1"/>
  <c r="H380" i="1"/>
  <c r="S379" i="1"/>
  <c r="H379" i="1"/>
  <c r="S378" i="1"/>
  <c r="H378" i="1"/>
  <c r="S377" i="1"/>
  <c r="H377" i="1"/>
  <c r="S376" i="1"/>
  <c r="H376" i="1"/>
  <c r="S375" i="1"/>
  <c r="H375" i="1"/>
  <c r="S374" i="1"/>
  <c r="H374" i="1"/>
  <c r="S373" i="1"/>
  <c r="H373" i="1"/>
  <c r="S372" i="1"/>
  <c r="H372" i="1"/>
  <c r="S371" i="1"/>
  <c r="H371" i="1"/>
  <c r="S370" i="1"/>
  <c r="H370" i="1"/>
  <c r="S369" i="1"/>
  <c r="H369" i="1"/>
  <c r="S368" i="1"/>
  <c r="H368" i="1"/>
  <c r="S367" i="1"/>
  <c r="H367" i="1"/>
  <c r="S366" i="1"/>
  <c r="H366" i="1"/>
  <c r="S365" i="1"/>
  <c r="H365" i="1"/>
  <c r="S364" i="1"/>
  <c r="H364" i="1"/>
  <c r="S363" i="1"/>
  <c r="H363" i="1"/>
  <c r="S362" i="1"/>
  <c r="H362" i="1"/>
  <c r="S361" i="1"/>
  <c r="H361" i="1"/>
  <c r="S360" i="1"/>
  <c r="H360" i="1"/>
  <c r="S359" i="1"/>
  <c r="H359" i="1"/>
  <c r="S358" i="1"/>
  <c r="H358" i="1"/>
  <c r="S357" i="1"/>
  <c r="H357" i="1"/>
  <c r="S356" i="1"/>
  <c r="H356" i="1"/>
  <c r="S355" i="1"/>
  <c r="H355" i="1"/>
  <c r="S354" i="1"/>
  <c r="H354" i="1"/>
  <c r="S353" i="1"/>
  <c r="H353" i="1"/>
  <c r="S352" i="1"/>
  <c r="H352" i="1"/>
  <c r="S351" i="1"/>
  <c r="H351" i="1"/>
  <c r="S350" i="1"/>
  <c r="H350" i="1"/>
  <c r="S349" i="1"/>
  <c r="H349" i="1"/>
  <c r="S348" i="1"/>
  <c r="H348" i="1"/>
  <c r="S347" i="1"/>
  <c r="H347" i="1"/>
  <c r="S346" i="1"/>
  <c r="H346" i="1"/>
  <c r="S345" i="1"/>
  <c r="H345" i="1"/>
  <c r="S344" i="1"/>
  <c r="H344" i="1"/>
  <c r="S343" i="1"/>
  <c r="H343" i="1"/>
  <c r="S342" i="1"/>
  <c r="H342" i="1"/>
  <c r="S341" i="1"/>
  <c r="H341" i="1"/>
  <c r="S340" i="1"/>
  <c r="H340" i="1"/>
  <c r="S339" i="1"/>
  <c r="H339" i="1"/>
  <c r="S338" i="1"/>
  <c r="H338" i="1"/>
  <c r="S337" i="1"/>
  <c r="H337" i="1"/>
  <c r="S336" i="1"/>
  <c r="H336" i="1"/>
  <c r="S335" i="1"/>
  <c r="H335" i="1"/>
  <c r="S334" i="1"/>
  <c r="H334" i="1"/>
  <c r="S333" i="1"/>
  <c r="H333" i="1"/>
  <c r="S332" i="1"/>
  <c r="H332" i="1"/>
  <c r="S331" i="1"/>
  <c r="H331" i="1"/>
  <c r="S330" i="1"/>
  <c r="H330" i="1"/>
  <c r="S329" i="1"/>
  <c r="H329" i="1"/>
  <c r="S328" i="1"/>
  <c r="H328" i="1"/>
  <c r="S327" i="1"/>
  <c r="H327" i="1"/>
  <c r="S326" i="1"/>
  <c r="H326" i="1"/>
  <c r="S325" i="1"/>
  <c r="H325" i="1"/>
  <c r="S324" i="1"/>
  <c r="H324" i="1"/>
  <c r="S323" i="1"/>
  <c r="H323" i="1"/>
  <c r="S322" i="1"/>
  <c r="H322" i="1"/>
  <c r="S321" i="1"/>
  <c r="H321" i="1"/>
  <c r="S320" i="1"/>
  <c r="H320" i="1"/>
  <c r="S319" i="1"/>
  <c r="H319" i="1"/>
  <c r="S318" i="1"/>
  <c r="H318" i="1"/>
  <c r="S317" i="1"/>
  <c r="H317" i="1"/>
  <c r="S316" i="1"/>
  <c r="H316" i="1"/>
  <c r="S315" i="1"/>
  <c r="H315" i="1"/>
  <c r="S314" i="1"/>
  <c r="H314" i="1"/>
  <c r="S313" i="1"/>
  <c r="H313" i="1"/>
  <c r="S312" i="1"/>
  <c r="H312" i="1"/>
  <c r="S311" i="1"/>
  <c r="H311" i="1"/>
  <c r="S310" i="1"/>
  <c r="H310" i="1"/>
  <c r="S309" i="1"/>
  <c r="H309" i="1"/>
  <c r="S308" i="1"/>
  <c r="H308" i="1"/>
  <c r="S307" i="1"/>
  <c r="H307" i="1"/>
  <c r="S306" i="1"/>
  <c r="H306" i="1"/>
  <c r="S305" i="1"/>
  <c r="H305" i="1"/>
  <c r="S304" i="1"/>
  <c r="H304" i="1"/>
  <c r="S303" i="1"/>
  <c r="H303" i="1"/>
  <c r="S302" i="1"/>
  <c r="H302" i="1"/>
  <c r="S301" i="1"/>
  <c r="H301" i="1"/>
  <c r="S300" i="1"/>
  <c r="H300" i="1"/>
  <c r="S299" i="1"/>
  <c r="H299" i="1"/>
  <c r="S298" i="1"/>
  <c r="H298" i="1"/>
  <c r="S297" i="1"/>
  <c r="H297" i="1"/>
  <c r="S296" i="1"/>
  <c r="H296" i="1"/>
  <c r="S295" i="1"/>
  <c r="H295" i="1"/>
  <c r="S294" i="1"/>
  <c r="H294" i="1"/>
  <c r="S293" i="1"/>
  <c r="H293" i="1"/>
  <c r="S292" i="1"/>
  <c r="H292" i="1"/>
  <c r="S291" i="1"/>
  <c r="H291" i="1"/>
  <c r="S290" i="1"/>
  <c r="H290" i="1"/>
  <c r="S289" i="1"/>
  <c r="H289" i="1"/>
  <c r="S288" i="1"/>
  <c r="H288" i="1"/>
  <c r="S287" i="1"/>
  <c r="H287" i="1"/>
  <c r="S286" i="1"/>
  <c r="H286" i="1"/>
  <c r="S285" i="1"/>
  <c r="H285" i="1"/>
  <c r="S284" i="1"/>
  <c r="H284" i="1"/>
  <c r="S283" i="1"/>
  <c r="H283" i="1"/>
  <c r="S282" i="1"/>
  <c r="H282" i="1"/>
  <c r="S281" i="1"/>
  <c r="H281" i="1"/>
  <c r="S280" i="1"/>
  <c r="H280" i="1"/>
  <c r="S279" i="1"/>
  <c r="H279" i="1"/>
  <c r="S278" i="1"/>
  <c r="H278" i="1"/>
  <c r="S277" i="1"/>
  <c r="H277" i="1"/>
  <c r="S276" i="1"/>
  <c r="H276" i="1"/>
  <c r="S275" i="1"/>
  <c r="H275" i="1"/>
  <c r="S274" i="1"/>
  <c r="H274" i="1"/>
  <c r="S273" i="1"/>
  <c r="H273" i="1"/>
  <c r="S272" i="1"/>
  <c r="H272" i="1"/>
  <c r="S271" i="1"/>
  <c r="H271" i="1"/>
  <c r="S270" i="1"/>
  <c r="H270" i="1"/>
  <c r="B763" i="1"/>
  <c r="F713" i="1"/>
  <c r="F681" i="1"/>
  <c r="S663" i="1"/>
  <c r="F649" i="1"/>
  <c r="H638" i="1"/>
  <c r="S627" i="1"/>
  <c r="S619" i="1"/>
  <c r="S611" i="1"/>
  <c r="Q604" i="1"/>
  <c r="H598" i="1"/>
  <c r="T591" i="1"/>
  <c r="L585" i="1"/>
  <c r="F579" i="1"/>
  <c r="Q572" i="1"/>
  <c r="H566" i="1"/>
  <c r="T559" i="1"/>
  <c r="L553" i="1"/>
  <c r="F547" i="1"/>
  <c r="Q540" i="1"/>
  <c r="H534" i="1"/>
  <c r="T527" i="1"/>
  <c r="L521" i="1"/>
  <c r="S517" i="1"/>
  <c r="L515" i="1"/>
  <c r="L513" i="1"/>
  <c r="L511" i="1"/>
  <c r="D510" i="1"/>
  <c r="G509" i="1"/>
  <c r="L508" i="1"/>
  <c r="T507" i="1"/>
  <c r="G507" i="1"/>
  <c r="L506" i="1"/>
  <c r="T505" i="1"/>
  <c r="G505" i="1"/>
  <c r="L504" i="1"/>
  <c r="T503" i="1"/>
  <c r="G503" i="1"/>
  <c r="L502" i="1"/>
  <c r="T501" i="1"/>
  <c r="G501" i="1"/>
  <c r="L500" i="1"/>
  <c r="T499" i="1"/>
  <c r="G499" i="1"/>
  <c r="L498" i="1"/>
  <c r="T497" i="1"/>
  <c r="G497" i="1"/>
  <c r="L496" i="1"/>
  <c r="T495" i="1"/>
  <c r="G495" i="1"/>
  <c r="L494" i="1"/>
  <c r="T493" i="1"/>
  <c r="G493" i="1"/>
  <c r="L492" i="1"/>
  <c r="T491" i="1"/>
  <c r="G491" i="1"/>
  <c r="L490" i="1"/>
  <c r="T489" i="1"/>
  <c r="G489" i="1"/>
  <c r="L488" i="1"/>
  <c r="T487" i="1"/>
  <c r="G487" i="1"/>
  <c r="L486" i="1"/>
  <c r="T485" i="1"/>
  <c r="G485" i="1"/>
  <c r="L484" i="1"/>
  <c r="T483" i="1"/>
  <c r="H483" i="1"/>
  <c r="Q482" i="1"/>
  <c r="G482" i="1"/>
  <c r="Q481" i="1"/>
  <c r="G481" i="1"/>
  <c r="Q480" i="1"/>
  <c r="G480" i="1"/>
  <c r="Q479" i="1"/>
  <c r="G479" i="1"/>
  <c r="Q478" i="1"/>
  <c r="G478" i="1"/>
  <c r="Q477" i="1"/>
  <c r="G477" i="1"/>
  <c r="Q476" i="1"/>
  <c r="G476" i="1"/>
  <c r="Q475" i="1"/>
  <c r="G475" i="1"/>
  <c r="Q474" i="1"/>
  <c r="G474" i="1"/>
  <c r="Q473" i="1"/>
  <c r="G473" i="1"/>
  <c r="Q472" i="1"/>
  <c r="G472" i="1"/>
  <c r="Q471" i="1"/>
  <c r="G471" i="1"/>
  <c r="Q470" i="1"/>
  <c r="G470" i="1"/>
  <c r="Q469" i="1"/>
  <c r="G469" i="1"/>
  <c r="Q468" i="1"/>
  <c r="G468" i="1"/>
  <c r="Q467" i="1"/>
  <c r="G467" i="1"/>
  <c r="Q466" i="1"/>
  <c r="G466" i="1"/>
  <c r="Q465" i="1"/>
  <c r="G465" i="1"/>
  <c r="Q464" i="1"/>
  <c r="G464" i="1"/>
  <c r="Q463" i="1"/>
  <c r="G463" i="1"/>
  <c r="Q462" i="1"/>
  <c r="G462" i="1"/>
  <c r="Q461" i="1"/>
  <c r="G461" i="1"/>
  <c r="Q460" i="1"/>
  <c r="G460" i="1"/>
  <c r="Q459" i="1"/>
  <c r="G459" i="1"/>
  <c r="Q458" i="1"/>
  <c r="G458" i="1"/>
  <c r="Q457" i="1"/>
  <c r="G457" i="1"/>
  <c r="Q456" i="1"/>
  <c r="G456" i="1"/>
  <c r="Q455" i="1"/>
  <c r="G455" i="1"/>
  <c r="Q454" i="1"/>
  <c r="G454" i="1"/>
  <c r="Q453" i="1"/>
  <c r="G453" i="1"/>
  <c r="Q452" i="1"/>
  <c r="G452" i="1"/>
  <c r="Q451" i="1"/>
  <c r="G451" i="1"/>
  <c r="Q450" i="1"/>
  <c r="G450" i="1"/>
  <c r="Q449" i="1"/>
  <c r="G449" i="1"/>
  <c r="Q448" i="1"/>
  <c r="G448" i="1"/>
  <c r="Q447" i="1"/>
  <c r="G447" i="1"/>
  <c r="Q446" i="1"/>
  <c r="G446" i="1"/>
  <c r="Q445" i="1"/>
  <c r="G445" i="1"/>
  <c r="Q444" i="1"/>
  <c r="G444" i="1"/>
  <c r="Q443" i="1"/>
  <c r="G443" i="1"/>
  <c r="Q442" i="1"/>
  <c r="G442" i="1"/>
  <c r="Q441" i="1"/>
  <c r="G441" i="1"/>
  <c r="Q440" i="1"/>
  <c r="G440" i="1"/>
  <c r="Q439" i="1"/>
  <c r="G439" i="1"/>
  <c r="Q438" i="1"/>
  <c r="G438" i="1"/>
  <c r="Q437" i="1"/>
  <c r="G437" i="1"/>
  <c r="Q436" i="1"/>
  <c r="G436" i="1"/>
  <c r="Q435" i="1"/>
  <c r="G435" i="1"/>
  <c r="Q434" i="1"/>
  <c r="G434" i="1"/>
  <c r="Q433" i="1"/>
  <c r="G433" i="1"/>
  <c r="Q432" i="1"/>
  <c r="G432" i="1"/>
  <c r="Q431" i="1"/>
  <c r="G431" i="1"/>
  <c r="Q430" i="1"/>
  <c r="G430" i="1"/>
  <c r="Q429" i="1"/>
  <c r="G429" i="1"/>
  <c r="Q428" i="1"/>
  <c r="G428" i="1"/>
  <c r="Q427" i="1"/>
  <c r="G427" i="1"/>
  <c r="Q426" i="1"/>
  <c r="G426" i="1"/>
  <c r="Q425" i="1"/>
  <c r="G425" i="1"/>
  <c r="Q424" i="1"/>
  <c r="G424" i="1"/>
  <c r="Q423" i="1"/>
  <c r="G423" i="1"/>
  <c r="Q422" i="1"/>
  <c r="G422" i="1"/>
  <c r="Q421" i="1"/>
  <c r="G421" i="1"/>
  <c r="Q420" i="1"/>
  <c r="G420" i="1"/>
  <c r="Q419" i="1"/>
  <c r="G419" i="1"/>
  <c r="Q418" i="1"/>
  <c r="G418" i="1"/>
  <c r="Q417" i="1"/>
  <c r="G417" i="1"/>
  <c r="Q416" i="1"/>
  <c r="G416" i="1"/>
  <c r="Q415" i="1"/>
  <c r="G415" i="1"/>
  <c r="Q414" i="1"/>
  <c r="G414" i="1"/>
  <c r="Q413" i="1"/>
  <c r="G413" i="1"/>
  <c r="Q412" i="1"/>
  <c r="G412" i="1"/>
  <c r="Q411" i="1"/>
  <c r="G411" i="1"/>
  <c r="Q410" i="1"/>
  <c r="G410" i="1"/>
  <c r="Q409" i="1"/>
  <c r="G409" i="1"/>
  <c r="Q408" i="1"/>
  <c r="G408" i="1"/>
  <c r="Q407" i="1"/>
  <c r="G407" i="1"/>
  <c r="Q406" i="1"/>
  <c r="G406" i="1"/>
  <c r="Q405" i="1"/>
  <c r="G405" i="1"/>
  <c r="Q404" i="1"/>
  <c r="G404" i="1"/>
  <c r="Q403" i="1"/>
  <c r="G403" i="1"/>
  <c r="Q402" i="1"/>
  <c r="G402" i="1"/>
  <c r="Q401" i="1"/>
  <c r="G401" i="1"/>
  <c r="Q400" i="1"/>
  <c r="G400" i="1"/>
  <c r="Q399" i="1"/>
  <c r="G399" i="1"/>
  <c r="Q398" i="1"/>
  <c r="G398" i="1"/>
  <c r="Q397" i="1"/>
  <c r="G397" i="1"/>
  <c r="Q396" i="1"/>
  <c r="G396" i="1"/>
  <c r="Q395" i="1"/>
  <c r="G395" i="1"/>
  <c r="Q394" i="1"/>
  <c r="G394" i="1"/>
  <c r="Q393" i="1"/>
  <c r="G393" i="1"/>
  <c r="Q392" i="1"/>
  <c r="G392" i="1"/>
  <c r="Q391" i="1"/>
  <c r="G391" i="1"/>
  <c r="Q390" i="1"/>
  <c r="G390" i="1"/>
  <c r="Q389" i="1"/>
  <c r="G389" i="1"/>
  <c r="Q388" i="1"/>
  <c r="G388" i="1"/>
  <c r="Q387" i="1"/>
  <c r="G387" i="1"/>
  <c r="Q386" i="1"/>
  <c r="G386" i="1"/>
  <c r="Q385" i="1"/>
  <c r="G385" i="1"/>
  <c r="Q384" i="1"/>
  <c r="G384" i="1"/>
  <c r="Q383" i="1"/>
  <c r="G383" i="1"/>
  <c r="Q382" i="1"/>
  <c r="G382" i="1"/>
  <c r="Q381" i="1"/>
  <c r="G381" i="1"/>
  <c r="Q380" i="1"/>
  <c r="G380" i="1"/>
  <c r="Q379" i="1"/>
  <c r="G379" i="1"/>
  <c r="Q378" i="1"/>
  <c r="G378" i="1"/>
  <c r="Q377" i="1"/>
  <c r="G377" i="1"/>
  <c r="Q376" i="1"/>
  <c r="G376" i="1"/>
  <c r="Q375" i="1"/>
  <c r="G375" i="1"/>
  <c r="Q374" i="1"/>
  <c r="G374" i="1"/>
  <c r="Q373" i="1"/>
  <c r="G373" i="1"/>
  <c r="Q372" i="1"/>
  <c r="G372" i="1"/>
  <c r="Q371" i="1"/>
  <c r="G371" i="1"/>
  <c r="Q370" i="1"/>
  <c r="G370" i="1"/>
  <c r="Q369" i="1"/>
  <c r="G369" i="1"/>
  <c r="Q368" i="1"/>
  <c r="G368" i="1"/>
  <c r="Q367" i="1"/>
  <c r="G367" i="1"/>
  <c r="Q366" i="1"/>
  <c r="G366" i="1"/>
  <c r="Q365" i="1"/>
  <c r="G365" i="1"/>
  <c r="Q364" i="1"/>
  <c r="G364" i="1"/>
  <c r="Q363" i="1"/>
  <c r="G363" i="1"/>
  <c r="Q362" i="1"/>
  <c r="G362" i="1"/>
  <c r="Q361" i="1"/>
  <c r="G361" i="1"/>
  <c r="Q360" i="1"/>
  <c r="G360" i="1"/>
  <c r="Q359" i="1"/>
  <c r="G359" i="1"/>
  <c r="Q358" i="1"/>
  <c r="G358" i="1"/>
  <c r="Q357" i="1"/>
  <c r="G357" i="1"/>
  <c r="Q356" i="1"/>
  <c r="G356" i="1"/>
  <c r="Q355" i="1"/>
  <c r="G355" i="1"/>
  <c r="Q354" i="1"/>
  <c r="G354" i="1"/>
  <c r="Q353" i="1"/>
  <c r="G353" i="1"/>
  <c r="Q352" i="1"/>
  <c r="G352" i="1"/>
  <c r="Q351" i="1"/>
  <c r="G351" i="1"/>
  <c r="Q350" i="1"/>
  <c r="G350" i="1"/>
  <c r="Q349" i="1"/>
  <c r="G349" i="1"/>
  <c r="Q348" i="1"/>
  <c r="G348" i="1"/>
  <c r="Q347" i="1"/>
  <c r="G347" i="1"/>
  <c r="Q346" i="1"/>
  <c r="G346" i="1"/>
  <c r="Q345" i="1"/>
  <c r="G345" i="1"/>
  <c r="Q344" i="1"/>
  <c r="G344" i="1"/>
  <c r="Q343" i="1"/>
  <c r="G343" i="1"/>
  <c r="Q342" i="1"/>
  <c r="G342" i="1"/>
  <c r="Q341" i="1"/>
  <c r="G341" i="1"/>
  <c r="Q340" i="1"/>
  <c r="G340" i="1"/>
  <c r="Q339" i="1"/>
  <c r="G339" i="1"/>
  <c r="Q338" i="1"/>
  <c r="G338" i="1"/>
  <c r="Q337" i="1"/>
  <c r="G337" i="1"/>
  <c r="Q336" i="1"/>
  <c r="G336" i="1"/>
  <c r="Q335" i="1"/>
  <c r="G335" i="1"/>
  <c r="Q334" i="1"/>
  <c r="G334" i="1"/>
  <c r="Q333" i="1"/>
  <c r="G333" i="1"/>
  <c r="Q332" i="1"/>
  <c r="G332" i="1"/>
  <c r="Q331" i="1"/>
  <c r="G331" i="1"/>
  <c r="Q330" i="1"/>
  <c r="G330" i="1"/>
  <c r="Q329" i="1"/>
  <c r="G329" i="1"/>
  <c r="Q328" i="1"/>
  <c r="G328" i="1"/>
  <c r="Q327" i="1"/>
  <c r="G327" i="1"/>
  <c r="Q326" i="1"/>
  <c r="G326" i="1"/>
  <c r="Q325" i="1"/>
  <c r="G325" i="1"/>
  <c r="Q324" i="1"/>
  <c r="G324" i="1"/>
  <c r="Q323" i="1"/>
  <c r="G323" i="1"/>
  <c r="Q322" i="1"/>
  <c r="G322" i="1"/>
  <c r="Q321" i="1"/>
  <c r="G321" i="1"/>
  <c r="Q320" i="1"/>
  <c r="G320" i="1"/>
  <c r="Q319" i="1"/>
  <c r="G319" i="1"/>
  <c r="Q318" i="1"/>
  <c r="G318" i="1"/>
  <c r="Q317" i="1"/>
  <c r="G317" i="1"/>
  <c r="Q316" i="1"/>
  <c r="G316" i="1"/>
  <c r="Q315" i="1"/>
  <c r="G315" i="1"/>
  <c r="I752" i="1"/>
  <c r="S610" i="1"/>
  <c r="F559" i="1"/>
  <c r="E515" i="1"/>
  <c r="K506" i="1"/>
  <c r="E501" i="1"/>
  <c r="S495" i="1"/>
  <c r="K490" i="1"/>
  <c r="E485" i="1"/>
  <c r="P480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4" i="1"/>
  <c r="G313" i="1"/>
  <c r="B312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T269" i="1"/>
  <c r="G269" i="1"/>
  <c r="L268" i="1"/>
  <c r="T267" i="1"/>
  <c r="G267" i="1"/>
  <c r="L266" i="1"/>
  <c r="T265" i="1"/>
  <c r="G265" i="1"/>
  <c r="L264" i="1"/>
  <c r="T263" i="1"/>
  <c r="G263" i="1"/>
  <c r="L262" i="1"/>
  <c r="T261" i="1"/>
  <c r="H261" i="1"/>
  <c r="S260" i="1"/>
  <c r="H260" i="1"/>
  <c r="S259" i="1"/>
  <c r="H259" i="1"/>
  <c r="S258" i="1"/>
  <c r="H258" i="1"/>
  <c r="S257" i="1"/>
  <c r="H257" i="1"/>
  <c r="S256" i="1"/>
  <c r="H256" i="1"/>
  <c r="S255" i="1"/>
  <c r="H255" i="1"/>
  <c r="S254" i="1"/>
  <c r="H254" i="1"/>
  <c r="S253" i="1"/>
  <c r="H253" i="1"/>
  <c r="S252" i="1"/>
  <c r="H252" i="1"/>
  <c r="S251" i="1"/>
  <c r="H251" i="1"/>
  <c r="S250" i="1"/>
  <c r="H250" i="1"/>
  <c r="S249" i="1"/>
  <c r="H249" i="1"/>
  <c r="S248" i="1"/>
  <c r="H248" i="1"/>
  <c r="S247" i="1"/>
  <c r="H247" i="1"/>
  <c r="S246" i="1"/>
  <c r="H246" i="1"/>
  <c r="S245" i="1"/>
  <c r="H245" i="1"/>
  <c r="S244" i="1"/>
  <c r="H244" i="1"/>
  <c r="S243" i="1"/>
  <c r="H243" i="1"/>
  <c r="S242" i="1"/>
  <c r="H242" i="1"/>
  <c r="S241" i="1"/>
  <c r="H241" i="1"/>
  <c r="S240" i="1"/>
  <c r="H240" i="1"/>
  <c r="S239" i="1"/>
  <c r="H239" i="1"/>
  <c r="S238" i="1"/>
  <c r="H238" i="1"/>
  <c r="S237" i="1"/>
  <c r="H237" i="1"/>
  <c r="S236" i="1"/>
  <c r="H236" i="1"/>
  <c r="S235" i="1"/>
  <c r="H235" i="1"/>
  <c r="S234" i="1"/>
  <c r="H234" i="1"/>
  <c r="S233" i="1"/>
  <c r="H233" i="1"/>
  <c r="S232" i="1"/>
  <c r="H232" i="1"/>
  <c r="S231" i="1"/>
  <c r="H231" i="1"/>
  <c r="S230" i="1"/>
  <c r="H230" i="1"/>
  <c r="S229" i="1"/>
  <c r="H229" i="1"/>
  <c r="S228" i="1"/>
  <c r="H228" i="1"/>
  <c r="S227" i="1"/>
  <c r="H227" i="1"/>
  <c r="S226" i="1"/>
  <c r="H226" i="1"/>
  <c r="S225" i="1"/>
  <c r="H225" i="1"/>
  <c r="S224" i="1"/>
  <c r="H224" i="1"/>
  <c r="S223" i="1"/>
  <c r="H223" i="1"/>
  <c r="S222" i="1"/>
  <c r="H222" i="1"/>
  <c r="S221" i="1"/>
  <c r="H221" i="1"/>
  <c r="S220" i="1"/>
  <c r="H220" i="1"/>
  <c r="S219" i="1"/>
  <c r="H219" i="1"/>
  <c r="S218" i="1"/>
  <c r="H218" i="1"/>
  <c r="S217" i="1"/>
  <c r="H217" i="1"/>
  <c r="S216" i="1"/>
  <c r="H216" i="1"/>
  <c r="S215" i="1"/>
  <c r="H215" i="1"/>
  <c r="S214" i="1"/>
  <c r="H214" i="1"/>
  <c r="S213" i="1"/>
  <c r="H213" i="1"/>
  <c r="S212" i="1"/>
  <c r="H212" i="1"/>
  <c r="S211" i="1"/>
  <c r="H211" i="1"/>
  <c r="S210" i="1"/>
  <c r="H210" i="1"/>
  <c r="S209" i="1"/>
  <c r="H209" i="1"/>
  <c r="S208" i="1"/>
  <c r="H208" i="1"/>
  <c r="S207" i="1"/>
  <c r="H207" i="1"/>
  <c r="S206" i="1"/>
  <c r="H206" i="1"/>
  <c r="S205" i="1"/>
  <c r="H205" i="1"/>
  <c r="S204" i="1"/>
  <c r="H204" i="1"/>
  <c r="S203" i="1"/>
  <c r="H203" i="1"/>
  <c r="S202" i="1"/>
  <c r="H202" i="1"/>
  <c r="S201" i="1"/>
  <c r="H201" i="1"/>
  <c r="S200" i="1"/>
  <c r="H200" i="1"/>
  <c r="S199" i="1"/>
  <c r="H199" i="1"/>
  <c r="S198" i="1"/>
  <c r="H198" i="1"/>
  <c r="S197" i="1"/>
  <c r="H197" i="1"/>
  <c r="S196" i="1"/>
  <c r="H196" i="1"/>
  <c r="S195" i="1"/>
  <c r="H195" i="1"/>
  <c r="S194" i="1"/>
  <c r="H194" i="1"/>
  <c r="S193" i="1"/>
  <c r="H193" i="1"/>
  <c r="S192" i="1"/>
  <c r="H192" i="1"/>
  <c r="S191" i="1"/>
  <c r="H191" i="1"/>
  <c r="S190" i="1"/>
  <c r="H190" i="1"/>
  <c r="S189" i="1"/>
  <c r="H189" i="1"/>
  <c r="S188" i="1"/>
  <c r="H188" i="1"/>
  <c r="S187" i="1"/>
  <c r="H187" i="1"/>
  <c r="S186" i="1"/>
  <c r="H186" i="1"/>
  <c r="S185" i="1"/>
  <c r="H185" i="1"/>
  <c r="S184" i="1"/>
  <c r="H184" i="1"/>
  <c r="S183" i="1"/>
  <c r="H183" i="1"/>
  <c r="S182" i="1"/>
  <c r="H182" i="1"/>
  <c r="S181" i="1"/>
  <c r="H181" i="1"/>
  <c r="S180" i="1"/>
  <c r="H180" i="1"/>
  <c r="S179" i="1"/>
  <c r="H179" i="1"/>
  <c r="S178" i="1"/>
  <c r="H178" i="1"/>
  <c r="S177" i="1"/>
  <c r="H177" i="1"/>
  <c r="S176" i="1"/>
  <c r="H176" i="1"/>
  <c r="S175" i="1"/>
  <c r="H175" i="1"/>
  <c r="S174" i="1"/>
  <c r="H174" i="1"/>
  <c r="S173" i="1"/>
  <c r="H173" i="1"/>
  <c r="S172" i="1"/>
  <c r="H172" i="1"/>
  <c r="S171" i="1"/>
  <c r="H171" i="1"/>
  <c r="S170" i="1"/>
  <c r="H170" i="1"/>
  <c r="S169" i="1"/>
  <c r="H169" i="1"/>
  <c r="S168" i="1"/>
  <c r="H168" i="1"/>
  <c r="S167" i="1"/>
  <c r="H167" i="1"/>
  <c r="S166" i="1"/>
  <c r="H166" i="1"/>
  <c r="S165" i="1"/>
  <c r="H165" i="1"/>
  <c r="S164" i="1"/>
  <c r="H164" i="1"/>
  <c r="S163" i="1"/>
  <c r="H163" i="1"/>
  <c r="S162" i="1"/>
  <c r="H162" i="1"/>
  <c r="S161" i="1"/>
  <c r="H161" i="1"/>
  <c r="S160" i="1"/>
  <c r="H160" i="1"/>
  <c r="S159" i="1"/>
  <c r="H159" i="1"/>
  <c r="S158" i="1"/>
  <c r="H158" i="1"/>
  <c r="S157" i="1"/>
  <c r="H157" i="1"/>
  <c r="S156" i="1"/>
  <c r="H156" i="1"/>
  <c r="S155" i="1"/>
  <c r="H155" i="1"/>
  <c r="S154" i="1"/>
  <c r="H154" i="1"/>
  <c r="S153" i="1"/>
  <c r="H153" i="1"/>
  <c r="S152" i="1"/>
  <c r="H152" i="1"/>
  <c r="S151" i="1"/>
  <c r="H151" i="1"/>
  <c r="S150" i="1"/>
  <c r="H150" i="1"/>
  <c r="S149" i="1"/>
  <c r="H149" i="1"/>
  <c r="S148" i="1"/>
  <c r="H148" i="1"/>
  <c r="S147" i="1"/>
  <c r="H147" i="1"/>
  <c r="S146" i="1"/>
  <c r="H146" i="1"/>
  <c r="S145" i="1"/>
  <c r="H145" i="1"/>
  <c r="S144" i="1"/>
  <c r="H144" i="1"/>
  <c r="S143" i="1"/>
  <c r="H143" i="1"/>
  <c r="S142" i="1"/>
  <c r="H142" i="1"/>
  <c r="S141" i="1"/>
  <c r="H141" i="1"/>
  <c r="S140" i="1"/>
  <c r="H140" i="1"/>
  <c r="S139" i="1"/>
  <c r="H139" i="1"/>
  <c r="S138" i="1"/>
  <c r="H138" i="1"/>
  <c r="S137" i="1"/>
  <c r="H137" i="1"/>
  <c r="S136" i="1"/>
  <c r="H136" i="1"/>
  <c r="S135" i="1"/>
  <c r="H135" i="1"/>
  <c r="S134" i="1"/>
  <c r="H134" i="1"/>
  <c r="S133" i="1"/>
  <c r="H133" i="1"/>
  <c r="S132" i="1"/>
  <c r="H132" i="1"/>
  <c r="S131" i="1"/>
  <c r="H131" i="1"/>
  <c r="S130" i="1"/>
  <c r="H130" i="1"/>
  <c r="S129" i="1"/>
  <c r="H129" i="1"/>
  <c r="S128" i="1"/>
  <c r="H128" i="1"/>
  <c r="S127" i="1"/>
  <c r="H127" i="1"/>
  <c r="S126" i="1"/>
  <c r="H126" i="1"/>
  <c r="S125" i="1"/>
  <c r="H125" i="1"/>
  <c r="S124" i="1"/>
  <c r="H124" i="1"/>
  <c r="S123" i="1"/>
  <c r="H123" i="1"/>
  <c r="S122" i="1"/>
  <c r="H122" i="1"/>
  <c r="S121" i="1"/>
  <c r="H121" i="1"/>
  <c r="S120" i="1"/>
  <c r="H120" i="1"/>
  <c r="S119" i="1"/>
  <c r="H119" i="1"/>
  <c r="S118" i="1"/>
  <c r="H118" i="1"/>
  <c r="S117" i="1"/>
  <c r="H117" i="1"/>
  <c r="S116" i="1"/>
  <c r="H116" i="1"/>
  <c r="S115" i="1"/>
  <c r="H115" i="1"/>
  <c r="S114" i="1"/>
  <c r="H114" i="1"/>
  <c r="S113" i="1"/>
  <c r="H113" i="1"/>
  <c r="S112" i="1"/>
  <c r="H112" i="1"/>
  <c r="S111" i="1"/>
  <c r="H111" i="1"/>
  <c r="S110" i="1"/>
  <c r="H110" i="1"/>
  <c r="S109" i="1"/>
  <c r="H109" i="1"/>
  <c r="S108" i="1"/>
  <c r="H108" i="1"/>
  <c r="S107" i="1"/>
  <c r="H107" i="1"/>
  <c r="S106" i="1"/>
  <c r="H106" i="1"/>
  <c r="S105" i="1"/>
  <c r="H105" i="1"/>
  <c r="S104" i="1"/>
  <c r="H104" i="1"/>
  <c r="S103" i="1"/>
  <c r="H103" i="1"/>
  <c r="S102" i="1"/>
  <c r="H102" i="1"/>
  <c r="S101" i="1"/>
  <c r="H101" i="1"/>
  <c r="S100" i="1"/>
  <c r="H100" i="1"/>
  <c r="S99" i="1"/>
  <c r="H99" i="1"/>
  <c r="S98" i="1"/>
  <c r="H98" i="1"/>
  <c r="S97" i="1"/>
  <c r="H97" i="1"/>
  <c r="S96" i="1"/>
  <c r="H96" i="1"/>
  <c r="S95" i="1"/>
  <c r="H95" i="1"/>
  <c r="S94" i="1"/>
  <c r="H94" i="1"/>
  <c r="S93" i="1"/>
  <c r="H93" i="1"/>
  <c r="S92" i="1"/>
  <c r="H92" i="1"/>
  <c r="S91" i="1"/>
  <c r="H91" i="1"/>
  <c r="S90" i="1"/>
  <c r="H90" i="1"/>
  <c r="S89" i="1"/>
  <c r="H89" i="1"/>
  <c r="S88" i="1"/>
  <c r="H88" i="1"/>
  <c r="S87" i="1"/>
  <c r="H87" i="1"/>
  <c r="S86" i="1"/>
  <c r="H86" i="1"/>
  <c r="S85" i="1"/>
  <c r="H85" i="1"/>
  <c r="S84" i="1"/>
  <c r="H84" i="1"/>
  <c r="S83" i="1"/>
  <c r="H83" i="1"/>
  <c r="S82" i="1"/>
  <c r="H82" i="1"/>
  <c r="S81" i="1"/>
  <c r="H81" i="1"/>
  <c r="S80" i="1"/>
  <c r="H80" i="1"/>
  <c r="S79" i="1"/>
  <c r="H79" i="1"/>
  <c r="S78" i="1"/>
  <c r="H78" i="1"/>
  <c r="S77" i="1"/>
  <c r="H77" i="1"/>
  <c r="S76" i="1"/>
  <c r="H76" i="1"/>
  <c r="S75" i="1"/>
  <c r="H75" i="1"/>
  <c r="S74" i="1"/>
  <c r="H74" i="1"/>
  <c r="S73" i="1"/>
  <c r="H73" i="1"/>
  <c r="S72" i="1"/>
  <c r="H72" i="1"/>
  <c r="S71" i="1"/>
  <c r="H71" i="1"/>
  <c r="S70" i="1"/>
  <c r="H70" i="1"/>
  <c r="S69" i="1"/>
  <c r="H69" i="1"/>
  <c r="S68" i="1"/>
  <c r="H68" i="1"/>
  <c r="S67" i="1"/>
  <c r="H67" i="1"/>
  <c r="S66" i="1"/>
  <c r="H66" i="1"/>
  <c r="S65" i="1"/>
  <c r="H65" i="1"/>
  <c r="S64" i="1"/>
  <c r="F709" i="1"/>
  <c r="T603" i="1"/>
  <c r="Q552" i="1"/>
  <c r="E513" i="1"/>
  <c r="S505" i="1"/>
  <c r="K500" i="1"/>
  <c r="E495" i="1"/>
  <c r="S489" i="1"/>
  <c r="K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J314" i="1"/>
  <c r="F313" i="1"/>
  <c r="Q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S269" i="1"/>
  <c r="F269" i="1"/>
  <c r="J268" i="1"/>
  <c r="S267" i="1"/>
  <c r="F267" i="1"/>
  <c r="J266" i="1"/>
  <c r="S265" i="1"/>
  <c r="F265" i="1"/>
  <c r="J264" i="1"/>
  <c r="S263" i="1"/>
  <c r="F263" i="1"/>
  <c r="J262" i="1"/>
  <c r="S261" i="1"/>
  <c r="G261" i="1"/>
  <c r="Q260" i="1"/>
  <c r="G260" i="1"/>
  <c r="Q259" i="1"/>
  <c r="G259" i="1"/>
  <c r="Q258" i="1"/>
  <c r="G258" i="1"/>
  <c r="Q257" i="1"/>
  <c r="G257" i="1"/>
  <c r="Q256" i="1"/>
  <c r="G256" i="1"/>
  <c r="Q255" i="1"/>
  <c r="G255" i="1"/>
  <c r="Q254" i="1"/>
  <c r="G254" i="1"/>
  <c r="Q253" i="1"/>
  <c r="G253" i="1"/>
  <c r="Q252" i="1"/>
  <c r="G252" i="1"/>
  <c r="Q251" i="1"/>
  <c r="G251" i="1"/>
  <c r="Q250" i="1"/>
  <c r="G250" i="1"/>
  <c r="Q249" i="1"/>
  <c r="G249" i="1"/>
  <c r="Q248" i="1"/>
  <c r="G248" i="1"/>
  <c r="Q247" i="1"/>
  <c r="G247" i="1"/>
  <c r="Q246" i="1"/>
  <c r="G246" i="1"/>
  <c r="Q245" i="1"/>
  <c r="G245" i="1"/>
  <c r="Q244" i="1"/>
  <c r="G244" i="1"/>
  <c r="Q243" i="1"/>
  <c r="G243" i="1"/>
  <c r="Q242" i="1"/>
  <c r="G242" i="1"/>
  <c r="Q241" i="1"/>
  <c r="G241" i="1"/>
  <c r="Q240" i="1"/>
  <c r="G240" i="1"/>
  <c r="Q239" i="1"/>
  <c r="G239" i="1"/>
  <c r="Q238" i="1"/>
  <c r="G238" i="1"/>
  <c r="Q237" i="1"/>
  <c r="G237" i="1"/>
  <c r="Q236" i="1"/>
  <c r="G236" i="1"/>
  <c r="Q235" i="1"/>
  <c r="G235" i="1"/>
  <c r="Q234" i="1"/>
  <c r="G234" i="1"/>
  <c r="Q233" i="1"/>
  <c r="G233" i="1"/>
  <c r="Q232" i="1"/>
  <c r="G232" i="1"/>
  <c r="Q231" i="1"/>
  <c r="G231" i="1"/>
  <c r="Q230" i="1"/>
  <c r="G230" i="1"/>
  <c r="Q229" i="1"/>
  <c r="G229" i="1"/>
  <c r="Q228" i="1"/>
  <c r="G228" i="1"/>
  <c r="Q227" i="1"/>
  <c r="G227" i="1"/>
  <c r="Q226" i="1"/>
  <c r="G226" i="1"/>
  <c r="Q225" i="1"/>
  <c r="G225" i="1"/>
  <c r="Q224" i="1"/>
  <c r="G224" i="1"/>
  <c r="Q223" i="1"/>
  <c r="G223" i="1"/>
  <c r="Q222" i="1"/>
  <c r="G222" i="1"/>
  <c r="Q221" i="1"/>
  <c r="G221" i="1"/>
  <c r="Q220" i="1"/>
  <c r="G220" i="1"/>
  <c r="Q219" i="1"/>
  <c r="G219" i="1"/>
  <c r="Q218" i="1"/>
  <c r="G218" i="1"/>
  <c r="Q217" i="1"/>
  <c r="G217" i="1"/>
  <c r="Q216" i="1"/>
  <c r="G216" i="1"/>
  <c r="Q215" i="1"/>
  <c r="G215" i="1"/>
  <c r="Q214" i="1"/>
  <c r="G214" i="1"/>
  <c r="Q213" i="1"/>
  <c r="G213" i="1"/>
  <c r="Q212" i="1"/>
  <c r="G212" i="1"/>
  <c r="Q211" i="1"/>
  <c r="G211" i="1"/>
  <c r="Q210" i="1"/>
  <c r="G210" i="1"/>
  <c r="Q209" i="1"/>
  <c r="G209" i="1"/>
  <c r="Q208" i="1"/>
  <c r="G208" i="1"/>
  <c r="Q207" i="1"/>
  <c r="G207" i="1"/>
  <c r="Q206" i="1"/>
  <c r="G206" i="1"/>
  <c r="Q205" i="1"/>
  <c r="G205" i="1"/>
  <c r="Q204" i="1"/>
  <c r="G204" i="1"/>
  <c r="Q203" i="1"/>
  <c r="G203" i="1"/>
  <c r="Q202" i="1"/>
  <c r="G202" i="1"/>
  <c r="Q201" i="1"/>
  <c r="G201" i="1"/>
  <c r="Q200" i="1"/>
  <c r="G200" i="1"/>
  <c r="Q199" i="1"/>
  <c r="G199" i="1"/>
  <c r="Q198" i="1"/>
  <c r="G198" i="1"/>
  <c r="Q197" i="1"/>
  <c r="G197" i="1"/>
  <c r="Q196" i="1"/>
  <c r="G196" i="1"/>
  <c r="Q195" i="1"/>
  <c r="G195" i="1"/>
  <c r="Q194" i="1"/>
  <c r="G194" i="1"/>
  <c r="Q193" i="1"/>
  <c r="G193" i="1"/>
  <c r="Q192" i="1"/>
  <c r="G192" i="1"/>
  <c r="Q191" i="1"/>
  <c r="G191" i="1"/>
  <c r="Q190" i="1"/>
  <c r="G190" i="1"/>
  <c r="Q189" i="1"/>
  <c r="G189" i="1"/>
  <c r="Q188" i="1"/>
  <c r="G188" i="1"/>
  <c r="Q187" i="1"/>
  <c r="G187" i="1"/>
  <c r="Q186" i="1"/>
  <c r="G186" i="1"/>
  <c r="Q185" i="1"/>
  <c r="G185" i="1"/>
  <c r="Q184" i="1"/>
  <c r="G184" i="1"/>
  <c r="Q183" i="1"/>
  <c r="G183" i="1"/>
  <c r="Q182" i="1"/>
  <c r="G182" i="1"/>
  <c r="Q181" i="1"/>
  <c r="G181" i="1"/>
  <c r="Q180" i="1"/>
  <c r="G180" i="1"/>
  <c r="Q179" i="1"/>
  <c r="G179" i="1"/>
  <c r="Q178" i="1"/>
  <c r="G178" i="1"/>
  <c r="Q177" i="1"/>
  <c r="G177" i="1"/>
  <c r="Q176" i="1"/>
  <c r="G176" i="1"/>
  <c r="Q175" i="1"/>
  <c r="G175" i="1"/>
  <c r="Q174" i="1"/>
  <c r="G174" i="1"/>
  <c r="Q173" i="1"/>
  <c r="G173" i="1"/>
  <c r="Q172" i="1"/>
  <c r="G172" i="1"/>
  <c r="Q171" i="1"/>
  <c r="G171" i="1"/>
  <c r="Q170" i="1"/>
  <c r="G170" i="1"/>
  <c r="Q169" i="1"/>
  <c r="G169" i="1"/>
  <c r="Q168" i="1"/>
  <c r="G168" i="1"/>
  <c r="Q167" i="1"/>
  <c r="G167" i="1"/>
  <c r="Q166" i="1"/>
  <c r="G166" i="1"/>
  <c r="Q165" i="1"/>
  <c r="G165" i="1"/>
  <c r="Q164" i="1"/>
  <c r="G164" i="1"/>
  <c r="Q163" i="1"/>
  <c r="G163" i="1"/>
  <c r="Q162" i="1"/>
  <c r="G162" i="1"/>
  <c r="Q161" i="1"/>
  <c r="G161" i="1"/>
  <c r="Q160" i="1"/>
  <c r="G160" i="1"/>
  <c r="Q159" i="1"/>
  <c r="G159" i="1"/>
  <c r="Q158" i="1"/>
  <c r="G158" i="1"/>
  <c r="Q157" i="1"/>
  <c r="G157" i="1"/>
  <c r="Q156" i="1"/>
  <c r="G156" i="1"/>
  <c r="Q155" i="1"/>
  <c r="G155" i="1"/>
  <c r="Q154" i="1"/>
  <c r="G154" i="1"/>
  <c r="Q153" i="1"/>
  <c r="G153" i="1"/>
  <c r="Q152" i="1"/>
  <c r="G152" i="1"/>
  <c r="Q151" i="1"/>
  <c r="G151" i="1"/>
  <c r="Q150" i="1"/>
  <c r="G150" i="1"/>
  <c r="Q149" i="1"/>
  <c r="G149" i="1"/>
  <c r="Q148" i="1"/>
  <c r="G148" i="1"/>
  <c r="Q147" i="1"/>
  <c r="G147" i="1"/>
  <c r="Q146" i="1"/>
  <c r="G146" i="1"/>
  <c r="Q145" i="1"/>
  <c r="G145" i="1"/>
  <c r="Q144" i="1"/>
  <c r="G144" i="1"/>
  <c r="Q143" i="1"/>
  <c r="G143" i="1"/>
  <c r="Q142" i="1"/>
  <c r="G142" i="1"/>
  <c r="Q141" i="1"/>
  <c r="G141" i="1"/>
  <c r="Q140" i="1"/>
  <c r="G140" i="1"/>
  <c r="Q139" i="1"/>
  <c r="G139" i="1"/>
  <c r="Q138" i="1"/>
  <c r="G138" i="1"/>
  <c r="Q137" i="1"/>
  <c r="G137" i="1"/>
  <c r="Q136" i="1"/>
  <c r="G136" i="1"/>
  <c r="Q135" i="1"/>
  <c r="G135" i="1"/>
  <c r="Q134" i="1"/>
  <c r="G134" i="1"/>
  <c r="Q133" i="1"/>
  <c r="G133" i="1"/>
  <c r="Q132" i="1"/>
  <c r="G132" i="1"/>
  <c r="Q131" i="1"/>
  <c r="G131" i="1"/>
  <c r="Q130" i="1"/>
  <c r="G130" i="1"/>
  <c r="Q129" i="1"/>
  <c r="G129" i="1"/>
  <c r="Q128" i="1"/>
  <c r="G128" i="1"/>
  <c r="Q127" i="1"/>
  <c r="G127" i="1"/>
  <c r="Q126" i="1"/>
  <c r="G126" i="1"/>
  <c r="Q125" i="1"/>
  <c r="G125" i="1"/>
  <c r="Q124" i="1"/>
  <c r="G124" i="1"/>
  <c r="Q123" i="1"/>
  <c r="G123" i="1"/>
  <c r="Q122" i="1"/>
  <c r="G122" i="1"/>
  <c r="Q121" i="1"/>
  <c r="G121" i="1"/>
  <c r="Q120" i="1"/>
  <c r="G120" i="1"/>
  <c r="Q119" i="1"/>
  <c r="G119" i="1"/>
  <c r="Q118" i="1"/>
  <c r="G118" i="1"/>
  <c r="Q117" i="1"/>
  <c r="G117" i="1"/>
  <c r="Q116" i="1"/>
  <c r="G116" i="1"/>
  <c r="Q115" i="1"/>
  <c r="G115" i="1"/>
  <c r="Q114" i="1"/>
  <c r="G114" i="1"/>
  <c r="Q113" i="1"/>
  <c r="G113" i="1"/>
  <c r="Q112" i="1"/>
  <c r="G112" i="1"/>
  <c r="Q111" i="1"/>
  <c r="G111" i="1"/>
  <c r="Q110" i="1"/>
  <c r="G110" i="1"/>
  <c r="Q109" i="1"/>
  <c r="G109" i="1"/>
  <c r="Q108" i="1"/>
  <c r="G108" i="1"/>
  <c r="Q107" i="1"/>
  <c r="G107" i="1"/>
  <c r="Q106" i="1"/>
  <c r="G106" i="1"/>
  <c r="Q105" i="1"/>
  <c r="G105" i="1"/>
  <c r="Q104" i="1"/>
  <c r="G104" i="1"/>
  <c r="Q103" i="1"/>
  <c r="G103" i="1"/>
  <c r="Q102" i="1"/>
  <c r="G102" i="1"/>
  <c r="Q101" i="1"/>
  <c r="G101" i="1"/>
  <c r="Q100" i="1"/>
  <c r="G100" i="1"/>
  <c r="Q99" i="1"/>
  <c r="G99" i="1"/>
  <c r="Q98" i="1"/>
  <c r="G98" i="1"/>
  <c r="Q97" i="1"/>
  <c r="G97" i="1"/>
  <c r="Q96" i="1"/>
  <c r="G96" i="1"/>
  <c r="Q95" i="1"/>
  <c r="G95" i="1"/>
  <c r="Q94" i="1"/>
  <c r="G94" i="1"/>
  <c r="Q93" i="1"/>
  <c r="G93" i="1"/>
  <c r="Q92" i="1"/>
  <c r="G92" i="1"/>
  <c r="Q91" i="1"/>
  <c r="G91" i="1"/>
  <c r="Q90" i="1"/>
  <c r="G90" i="1"/>
  <c r="Q89" i="1"/>
  <c r="G89" i="1"/>
  <c r="Q88" i="1"/>
  <c r="G88" i="1"/>
  <c r="Q87" i="1"/>
  <c r="G87" i="1"/>
  <c r="Q86" i="1"/>
  <c r="G86" i="1"/>
  <c r="Q85" i="1"/>
  <c r="G85" i="1"/>
  <c r="Q84" i="1"/>
  <c r="G84" i="1"/>
  <c r="Q83" i="1"/>
  <c r="G83" i="1"/>
  <c r="Q82" i="1"/>
  <c r="G82" i="1"/>
  <c r="Q81" i="1"/>
  <c r="G81" i="1"/>
  <c r="Q80" i="1"/>
  <c r="G80" i="1"/>
  <c r="Q79" i="1"/>
  <c r="G79" i="1"/>
  <c r="Q78" i="1"/>
  <c r="G78" i="1"/>
  <c r="Q77" i="1"/>
  <c r="G77" i="1"/>
  <c r="Q76" i="1"/>
  <c r="G76" i="1"/>
  <c r="Q75" i="1"/>
  <c r="S677" i="1"/>
  <c r="L597" i="1"/>
  <c r="H546" i="1"/>
  <c r="E511" i="1"/>
  <c r="E505" i="1"/>
  <c r="S499" i="1"/>
  <c r="K494" i="1"/>
  <c r="E489" i="1"/>
  <c r="S483" i="1"/>
  <c r="P479" i="1"/>
  <c r="P475" i="1"/>
  <c r="P471" i="1"/>
  <c r="P467" i="1"/>
  <c r="P463" i="1"/>
  <c r="P459" i="1"/>
  <c r="P455" i="1"/>
  <c r="P451" i="1"/>
  <c r="P447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B316" i="1"/>
  <c r="G314" i="1"/>
  <c r="B313" i="1"/>
  <c r="P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Q269" i="1"/>
  <c r="D269" i="1"/>
  <c r="I268" i="1"/>
  <c r="Q267" i="1"/>
  <c r="D267" i="1"/>
  <c r="I266" i="1"/>
  <c r="Q265" i="1"/>
  <c r="D265" i="1"/>
  <c r="I264" i="1"/>
  <c r="Q263" i="1"/>
  <c r="D263" i="1"/>
  <c r="I262" i="1"/>
  <c r="Q261" i="1"/>
  <c r="F261" i="1"/>
  <c r="P260" i="1"/>
  <c r="F260" i="1"/>
  <c r="P259" i="1"/>
  <c r="F259" i="1"/>
  <c r="P258" i="1"/>
  <c r="F258" i="1"/>
  <c r="P257" i="1"/>
  <c r="F257" i="1"/>
  <c r="P256" i="1"/>
  <c r="F256" i="1"/>
  <c r="P255" i="1"/>
  <c r="F255" i="1"/>
  <c r="P254" i="1"/>
  <c r="F254" i="1"/>
  <c r="P253" i="1"/>
  <c r="F253" i="1"/>
  <c r="P252" i="1"/>
  <c r="F252" i="1"/>
  <c r="P251" i="1"/>
  <c r="F251" i="1"/>
  <c r="P250" i="1"/>
  <c r="F250" i="1"/>
  <c r="P249" i="1"/>
  <c r="F249" i="1"/>
  <c r="P248" i="1"/>
  <c r="F248" i="1"/>
  <c r="P247" i="1"/>
  <c r="F247" i="1"/>
  <c r="P246" i="1"/>
  <c r="F246" i="1"/>
  <c r="P245" i="1"/>
  <c r="F245" i="1"/>
  <c r="P244" i="1"/>
  <c r="F244" i="1"/>
  <c r="P243" i="1"/>
  <c r="F243" i="1"/>
  <c r="P242" i="1"/>
  <c r="F242" i="1"/>
  <c r="P241" i="1"/>
  <c r="F241" i="1"/>
  <c r="P240" i="1"/>
  <c r="F240" i="1"/>
  <c r="P239" i="1"/>
  <c r="F239" i="1"/>
  <c r="P238" i="1"/>
  <c r="F238" i="1"/>
  <c r="P237" i="1"/>
  <c r="F237" i="1"/>
  <c r="P236" i="1"/>
  <c r="F236" i="1"/>
  <c r="P235" i="1"/>
  <c r="F235" i="1"/>
  <c r="P234" i="1"/>
  <c r="F234" i="1"/>
  <c r="P233" i="1"/>
  <c r="F233" i="1"/>
  <c r="P232" i="1"/>
  <c r="F232" i="1"/>
  <c r="P231" i="1"/>
  <c r="F231" i="1"/>
  <c r="P230" i="1"/>
  <c r="F230" i="1"/>
  <c r="P229" i="1"/>
  <c r="F229" i="1"/>
  <c r="P228" i="1"/>
  <c r="F228" i="1"/>
  <c r="P227" i="1"/>
  <c r="F227" i="1"/>
  <c r="P226" i="1"/>
  <c r="F226" i="1"/>
  <c r="P225" i="1"/>
  <c r="F225" i="1"/>
  <c r="P224" i="1"/>
  <c r="F224" i="1"/>
  <c r="P223" i="1"/>
  <c r="F223" i="1"/>
  <c r="P222" i="1"/>
  <c r="F222" i="1"/>
  <c r="P221" i="1"/>
  <c r="F221" i="1"/>
  <c r="P220" i="1"/>
  <c r="F220" i="1"/>
  <c r="P219" i="1"/>
  <c r="F219" i="1"/>
  <c r="P218" i="1"/>
  <c r="F218" i="1"/>
  <c r="P217" i="1"/>
  <c r="F217" i="1"/>
  <c r="P216" i="1"/>
  <c r="F216" i="1"/>
  <c r="P215" i="1"/>
  <c r="F215" i="1"/>
  <c r="P214" i="1"/>
  <c r="F214" i="1"/>
  <c r="P213" i="1"/>
  <c r="F213" i="1"/>
  <c r="P212" i="1"/>
  <c r="F212" i="1"/>
  <c r="P211" i="1"/>
  <c r="F211" i="1"/>
  <c r="P210" i="1"/>
  <c r="F210" i="1"/>
  <c r="P209" i="1"/>
  <c r="F209" i="1"/>
  <c r="P208" i="1"/>
  <c r="F208" i="1"/>
  <c r="P207" i="1"/>
  <c r="F207" i="1"/>
  <c r="P206" i="1"/>
  <c r="F206" i="1"/>
  <c r="P205" i="1"/>
  <c r="F205" i="1"/>
  <c r="P204" i="1"/>
  <c r="F204" i="1"/>
  <c r="P203" i="1"/>
  <c r="F203" i="1"/>
  <c r="P202" i="1"/>
  <c r="F202" i="1"/>
  <c r="P201" i="1"/>
  <c r="F201" i="1"/>
  <c r="P200" i="1"/>
  <c r="F200" i="1"/>
  <c r="P199" i="1"/>
  <c r="F199" i="1"/>
  <c r="P198" i="1"/>
  <c r="F198" i="1"/>
  <c r="P197" i="1"/>
  <c r="F197" i="1"/>
  <c r="P196" i="1"/>
  <c r="F196" i="1"/>
  <c r="P195" i="1"/>
  <c r="F195" i="1"/>
  <c r="P194" i="1"/>
  <c r="F194" i="1"/>
  <c r="P193" i="1"/>
  <c r="F193" i="1"/>
  <c r="P192" i="1"/>
  <c r="F192" i="1"/>
  <c r="P191" i="1"/>
  <c r="F191" i="1"/>
  <c r="P190" i="1"/>
  <c r="F190" i="1"/>
  <c r="P189" i="1"/>
  <c r="F189" i="1"/>
  <c r="P188" i="1"/>
  <c r="F188" i="1"/>
  <c r="P187" i="1"/>
  <c r="F187" i="1"/>
  <c r="P186" i="1"/>
  <c r="F186" i="1"/>
  <c r="P185" i="1"/>
  <c r="F185" i="1"/>
  <c r="P184" i="1"/>
  <c r="F184" i="1"/>
  <c r="P183" i="1"/>
  <c r="F183" i="1"/>
  <c r="P182" i="1"/>
  <c r="F182" i="1"/>
  <c r="P181" i="1"/>
  <c r="F181" i="1"/>
  <c r="P180" i="1"/>
  <c r="F180" i="1"/>
  <c r="P179" i="1"/>
  <c r="F179" i="1"/>
  <c r="P178" i="1"/>
  <c r="F178" i="1"/>
  <c r="P177" i="1"/>
  <c r="F177" i="1"/>
  <c r="P176" i="1"/>
  <c r="F176" i="1"/>
  <c r="P175" i="1"/>
  <c r="F175" i="1"/>
  <c r="P174" i="1"/>
  <c r="F174" i="1"/>
  <c r="P173" i="1"/>
  <c r="F173" i="1"/>
  <c r="P172" i="1"/>
  <c r="F172" i="1"/>
  <c r="P171" i="1"/>
  <c r="F171" i="1"/>
  <c r="P170" i="1"/>
  <c r="F170" i="1"/>
  <c r="P169" i="1"/>
  <c r="F169" i="1"/>
  <c r="P168" i="1"/>
  <c r="F168" i="1"/>
  <c r="P167" i="1"/>
  <c r="F167" i="1"/>
  <c r="P166" i="1"/>
  <c r="F166" i="1"/>
  <c r="P165" i="1"/>
  <c r="F165" i="1"/>
  <c r="P164" i="1"/>
  <c r="F164" i="1"/>
  <c r="P163" i="1"/>
  <c r="F163" i="1"/>
  <c r="P162" i="1"/>
  <c r="F162" i="1"/>
  <c r="P161" i="1"/>
  <c r="F161" i="1"/>
  <c r="P160" i="1"/>
  <c r="F160" i="1"/>
  <c r="P159" i="1"/>
  <c r="F159" i="1"/>
  <c r="P158" i="1"/>
  <c r="F158" i="1"/>
  <c r="P157" i="1"/>
  <c r="F157" i="1"/>
  <c r="P156" i="1"/>
  <c r="F156" i="1"/>
  <c r="P155" i="1"/>
  <c r="F155" i="1"/>
  <c r="P154" i="1"/>
  <c r="F154" i="1"/>
  <c r="P153" i="1"/>
  <c r="F153" i="1"/>
  <c r="P152" i="1"/>
  <c r="F152" i="1"/>
  <c r="P151" i="1"/>
  <c r="F151" i="1"/>
  <c r="P150" i="1"/>
  <c r="F150" i="1"/>
  <c r="P149" i="1"/>
  <c r="F149" i="1"/>
  <c r="P148" i="1"/>
  <c r="F148" i="1"/>
  <c r="P147" i="1"/>
  <c r="F147" i="1"/>
  <c r="P146" i="1"/>
  <c r="F146" i="1"/>
  <c r="P145" i="1"/>
  <c r="F145" i="1"/>
  <c r="P144" i="1"/>
  <c r="F144" i="1"/>
  <c r="P143" i="1"/>
  <c r="F143" i="1"/>
  <c r="P142" i="1"/>
  <c r="F142" i="1"/>
  <c r="P141" i="1"/>
  <c r="F141" i="1"/>
  <c r="P140" i="1"/>
  <c r="F140" i="1"/>
  <c r="P139" i="1"/>
  <c r="F139" i="1"/>
  <c r="P138" i="1"/>
  <c r="F138" i="1"/>
  <c r="P137" i="1"/>
  <c r="F137" i="1"/>
  <c r="P136" i="1"/>
  <c r="F136" i="1"/>
  <c r="P135" i="1"/>
  <c r="F135" i="1"/>
  <c r="P134" i="1"/>
  <c r="F134" i="1"/>
  <c r="P133" i="1"/>
  <c r="F133" i="1"/>
  <c r="P132" i="1"/>
  <c r="F132" i="1"/>
  <c r="P131" i="1"/>
  <c r="F131" i="1"/>
  <c r="P130" i="1"/>
  <c r="F130" i="1"/>
  <c r="P129" i="1"/>
  <c r="F129" i="1"/>
  <c r="P128" i="1"/>
  <c r="F128" i="1"/>
  <c r="P127" i="1"/>
  <c r="F127" i="1"/>
  <c r="P126" i="1"/>
  <c r="F126" i="1"/>
  <c r="P125" i="1"/>
  <c r="F125" i="1"/>
  <c r="P124" i="1"/>
  <c r="F124" i="1"/>
  <c r="P123" i="1"/>
  <c r="F123" i="1"/>
  <c r="P122" i="1"/>
  <c r="F122" i="1"/>
  <c r="P121" i="1"/>
  <c r="F121" i="1"/>
  <c r="P120" i="1"/>
  <c r="F120" i="1"/>
  <c r="P119" i="1"/>
  <c r="F119" i="1"/>
  <c r="P118" i="1"/>
  <c r="F118" i="1"/>
  <c r="P117" i="1"/>
  <c r="F117" i="1"/>
  <c r="P116" i="1"/>
  <c r="F116" i="1"/>
  <c r="P115" i="1"/>
  <c r="F115" i="1"/>
  <c r="P114" i="1"/>
  <c r="F114" i="1"/>
  <c r="P113" i="1"/>
  <c r="F113" i="1"/>
  <c r="P112" i="1"/>
  <c r="F112" i="1"/>
  <c r="P111" i="1"/>
  <c r="F111" i="1"/>
  <c r="P110" i="1"/>
  <c r="F110" i="1"/>
  <c r="P109" i="1"/>
  <c r="F109" i="1"/>
  <c r="P108" i="1"/>
  <c r="F108" i="1"/>
  <c r="P107" i="1"/>
  <c r="F107" i="1"/>
  <c r="P106" i="1"/>
  <c r="F106" i="1"/>
  <c r="P105" i="1"/>
  <c r="F105" i="1"/>
  <c r="P104" i="1"/>
  <c r="F104" i="1"/>
  <c r="P103" i="1"/>
  <c r="F103" i="1"/>
  <c r="P102" i="1"/>
  <c r="F102" i="1"/>
  <c r="P101" i="1"/>
  <c r="F101" i="1"/>
  <c r="P100" i="1"/>
  <c r="F100" i="1"/>
  <c r="P99" i="1"/>
  <c r="F99" i="1"/>
  <c r="P98" i="1"/>
  <c r="F98" i="1"/>
  <c r="P97" i="1"/>
  <c r="F97" i="1"/>
  <c r="P96" i="1"/>
  <c r="F96" i="1"/>
  <c r="P95" i="1"/>
  <c r="F95" i="1"/>
  <c r="P94" i="1"/>
  <c r="F94" i="1"/>
  <c r="P93" i="1"/>
  <c r="F93" i="1"/>
  <c r="P92" i="1"/>
  <c r="F92" i="1"/>
  <c r="P91" i="1"/>
  <c r="F91" i="1"/>
  <c r="P90" i="1"/>
  <c r="F90" i="1"/>
  <c r="P89" i="1"/>
  <c r="F89" i="1"/>
  <c r="P88" i="1"/>
  <c r="F88" i="1"/>
  <c r="P87" i="1"/>
  <c r="F87" i="1"/>
  <c r="P86" i="1"/>
  <c r="F86" i="1"/>
  <c r="P85" i="1"/>
  <c r="F85" i="1"/>
  <c r="P84" i="1"/>
  <c r="F84" i="1"/>
  <c r="P83" i="1"/>
  <c r="F83" i="1"/>
  <c r="P82" i="1"/>
  <c r="F82" i="1"/>
  <c r="P81" i="1"/>
  <c r="F81" i="1"/>
  <c r="P80" i="1"/>
  <c r="F80" i="1"/>
  <c r="P79" i="1"/>
  <c r="F79" i="1"/>
  <c r="P78" i="1"/>
  <c r="F78" i="1"/>
  <c r="P77" i="1"/>
  <c r="F77" i="1"/>
  <c r="P76" i="1"/>
  <c r="F76" i="1"/>
  <c r="P75" i="1"/>
  <c r="F75" i="1"/>
  <c r="P74" i="1"/>
  <c r="F74" i="1"/>
  <c r="P73" i="1"/>
  <c r="F73" i="1"/>
  <c r="P72" i="1"/>
  <c r="F72" i="1"/>
  <c r="P71" i="1"/>
  <c r="F71" i="1"/>
  <c r="P70" i="1"/>
  <c r="F70" i="1"/>
  <c r="P69" i="1"/>
  <c r="F69" i="1"/>
  <c r="P68" i="1"/>
  <c r="F68" i="1"/>
  <c r="P67" i="1"/>
  <c r="F67" i="1"/>
  <c r="P66" i="1"/>
  <c r="F66" i="1"/>
  <c r="P65" i="1"/>
  <c r="F65" i="1"/>
  <c r="P64" i="1"/>
  <c r="F64" i="1"/>
  <c r="P63" i="1"/>
  <c r="F63" i="1"/>
  <c r="P62" i="1"/>
  <c r="F62" i="1"/>
  <c r="P61" i="1"/>
  <c r="F61" i="1"/>
  <c r="P60" i="1"/>
  <c r="F60" i="1"/>
  <c r="P59" i="1"/>
  <c r="S661" i="1"/>
  <c r="F591" i="1"/>
  <c r="T539" i="1"/>
  <c r="T509" i="1"/>
  <c r="K504" i="1"/>
  <c r="E499" i="1"/>
  <c r="S493" i="1"/>
  <c r="K488" i="1"/>
  <c r="G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P315" i="1"/>
  <c r="F314" i="1"/>
  <c r="Q312" i="1"/>
  <c r="J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P269" i="1"/>
  <c r="B269" i="1"/>
  <c r="H268" i="1"/>
  <c r="P267" i="1"/>
  <c r="B267" i="1"/>
  <c r="H266" i="1"/>
  <c r="P265" i="1"/>
  <c r="B265" i="1"/>
  <c r="H264" i="1"/>
  <c r="P263" i="1"/>
  <c r="B263" i="1"/>
  <c r="H262" i="1"/>
  <c r="P261" i="1"/>
  <c r="E261" i="1"/>
  <c r="O260" i="1"/>
  <c r="E260" i="1"/>
  <c r="O259" i="1"/>
  <c r="E259" i="1"/>
  <c r="O258" i="1"/>
  <c r="E258" i="1"/>
  <c r="O257" i="1"/>
  <c r="E257" i="1"/>
  <c r="O256" i="1"/>
  <c r="E256" i="1"/>
  <c r="O255" i="1"/>
  <c r="E255" i="1"/>
  <c r="O254" i="1"/>
  <c r="E254" i="1"/>
  <c r="O253" i="1"/>
  <c r="E253" i="1"/>
  <c r="O252" i="1"/>
  <c r="E252" i="1"/>
  <c r="O251" i="1"/>
  <c r="E251" i="1"/>
  <c r="O250" i="1"/>
  <c r="E250" i="1"/>
  <c r="O249" i="1"/>
  <c r="E249" i="1"/>
  <c r="O248" i="1"/>
  <c r="E248" i="1"/>
  <c r="O247" i="1"/>
  <c r="E247" i="1"/>
  <c r="O246" i="1"/>
  <c r="E246" i="1"/>
  <c r="O245" i="1"/>
  <c r="E245" i="1"/>
  <c r="O244" i="1"/>
  <c r="E244" i="1"/>
  <c r="O243" i="1"/>
  <c r="E243" i="1"/>
  <c r="O242" i="1"/>
  <c r="E242" i="1"/>
  <c r="O241" i="1"/>
  <c r="E241" i="1"/>
  <c r="O240" i="1"/>
  <c r="E240" i="1"/>
  <c r="O239" i="1"/>
  <c r="E239" i="1"/>
  <c r="O238" i="1"/>
  <c r="E238" i="1"/>
  <c r="O237" i="1"/>
  <c r="E237" i="1"/>
  <c r="O236" i="1"/>
  <c r="E236" i="1"/>
  <c r="O235" i="1"/>
  <c r="E235" i="1"/>
  <c r="O234" i="1"/>
  <c r="E234" i="1"/>
  <c r="O233" i="1"/>
  <c r="E233" i="1"/>
  <c r="O232" i="1"/>
  <c r="E232" i="1"/>
  <c r="O231" i="1"/>
  <c r="E231" i="1"/>
  <c r="O230" i="1"/>
  <c r="E230" i="1"/>
  <c r="O229" i="1"/>
  <c r="E229" i="1"/>
  <c r="O228" i="1"/>
  <c r="E228" i="1"/>
  <c r="O227" i="1"/>
  <c r="E227" i="1"/>
  <c r="O226" i="1"/>
  <c r="E226" i="1"/>
  <c r="O225" i="1"/>
  <c r="E225" i="1"/>
  <c r="O224" i="1"/>
  <c r="E224" i="1"/>
  <c r="O223" i="1"/>
  <c r="E223" i="1"/>
  <c r="O222" i="1"/>
  <c r="E222" i="1"/>
  <c r="O221" i="1"/>
  <c r="E221" i="1"/>
  <c r="O220" i="1"/>
  <c r="E220" i="1"/>
  <c r="O219" i="1"/>
  <c r="E219" i="1"/>
  <c r="O218" i="1"/>
  <c r="E218" i="1"/>
  <c r="O217" i="1"/>
  <c r="E217" i="1"/>
  <c r="O216" i="1"/>
  <c r="E216" i="1"/>
  <c r="O215" i="1"/>
  <c r="E215" i="1"/>
  <c r="O214" i="1"/>
  <c r="E214" i="1"/>
  <c r="O213" i="1"/>
  <c r="E213" i="1"/>
  <c r="O212" i="1"/>
  <c r="E212" i="1"/>
  <c r="O211" i="1"/>
  <c r="E211" i="1"/>
  <c r="O210" i="1"/>
  <c r="E210" i="1"/>
  <c r="O209" i="1"/>
  <c r="E209" i="1"/>
  <c r="O208" i="1"/>
  <c r="E208" i="1"/>
  <c r="O207" i="1"/>
  <c r="E207" i="1"/>
  <c r="O206" i="1"/>
  <c r="E206" i="1"/>
  <c r="O205" i="1"/>
  <c r="E205" i="1"/>
  <c r="O204" i="1"/>
  <c r="E204" i="1"/>
  <c r="O203" i="1"/>
  <c r="E203" i="1"/>
  <c r="O202" i="1"/>
  <c r="E202" i="1"/>
  <c r="O201" i="1"/>
  <c r="E201" i="1"/>
  <c r="O200" i="1"/>
  <c r="E200" i="1"/>
  <c r="O199" i="1"/>
  <c r="E199" i="1"/>
  <c r="O198" i="1"/>
  <c r="E198" i="1"/>
  <c r="O197" i="1"/>
  <c r="E197" i="1"/>
  <c r="O196" i="1"/>
  <c r="E196" i="1"/>
  <c r="O195" i="1"/>
  <c r="E195" i="1"/>
  <c r="O194" i="1"/>
  <c r="E194" i="1"/>
  <c r="O193" i="1"/>
  <c r="E193" i="1"/>
  <c r="O192" i="1"/>
  <c r="E192" i="1"/>
  <c r="O191" i="1"/>
  <c r="E191" i="1"/>
  <c r="O190" i="1"/>
  <c r="E190" i="1"/>
  <c r="O189" i="1"/>
  <c r="E189" i="1"/>
  <c r="O188" i="1"/>
  <c r="E188" i="1"/>
  <c r="O187" i="1"/>
  <c r="E187" i="1"/>
  <c r="O186" i="1"/>
  <c r="E186" i="1"/>
  <c r="O185" i="1"/>
  <c r="E185" i="1"/>
  <c r="O184" i="1"/>
  <c r="E184" i="1"/>
  <c r="O183" i="1"/>
  <c r="E183" i="1"/>
  <c r="O182" i="1"/>
  <c r="E182" i="1"/>
  <c r="O181" i="1"/>
  <c r="E181" i="1"/>
  <c r="O180" i="1"/>
  <c r="E180" i="1"/>
  <c r="O179" i="1"/>
  <c r="E179" i="1"/>
  <c r="O178" i="1"/>
  <c r="E178" i="1"/>
  <c r="O177" i="1"/>
  <c r="E177" i="1"/>
  <c r="O176" i="1"/>
  <c r="E176" i="1"/>
  <c r="O175" i="1"/>
  <c r="E175" i="1"/>
  <c r="O174" i="1"/>
  <c r="E174" i="1"/>
  <c r="O173" i="1"/>
  <c r="E173" i="1"/>
  <c r="O172" i="1"/>
  <c r="E172" i="1"/>
  <c r="O171" i="1"/>
  <c r="E171" i="1"/>
  <c r="O170" i="1"/>
  <c r="E170" i="1"/>
  <c r="O169" i="1"/>
  <c r="E169" i="1"/>
  <c r="O168" i="1"/>
  <c r="E168" i="1"/>
  <c r="O167" i="1"/>
  <c r="E167" i="1"/>
  <c r="O166" i="1"/>
  <c r="E166" i="1"/>
  <c r="O165" i="1"/>
  <c r="E165" i="1"/>
  <c r="O164" i="1"/>
  <c r="E164" i="1"/>
  <c r="O163" i="1"/>
  <c r="E163" i="1"/>
  <c r="O162" i="1"/>
  <c r="E162" i="1"/>
  <c r="O161" i="1"/>
  <c r="E161" i="1"/>
  <c r="O160" i="1"/>
  <c r="E160" i="1"/>
  <c r="O159" i="1"/>
  <c r="E159" i="1"/>
  <c r="O158" i="1"/>
  <c r="E158" i="1"/>
  <c r="O157" i="1"/>
  <c r="E157" i="1"/>
  <c r="O156" i="1"/>
  <c r="E156" i="1"/>
  <c r="O155" i="1"/>
  <c r="E155" i="1"/>
  <c r="O154" i="1"/>
  <c r="E154" i="1"/>
  <c r="O153" i="1"/>
  <c r="E153" i="1"/>
  <c r="O152" i="1"/>
  <c r="E152" i="1"/>
  <c r="O151" i="1"/>
  <c r="E151" i="1"/>
  <c r="O150" i="1"/>
  <c r="E150" i="1"/>
  <c r="O149" i="1"/>
  <c r="E149" i="1"/>
  <c r="O148" i="1"/>
  <c r="E148" i="1"/>
  <c r="O147" i="1"/>
  <c r="E147" i="1"/>
  <c r="O146" i="1"/>
  <c r="E146" i="1"/>
  <c r="O145" i="1"/>
  <c r="E145" i="1"/>
  <c r="O144" i="1"/>
  <c r="E144" i="1"/>
  <c r="O143" i="1"/>
  <c r="E143" i="1"/>
  <c r="O142" i="1"/>
  <c r="E142" i="1"/>
  <c r="O141" i="1"/>
  <c r="E141" i="1"/>
  <c r="O140" i="1"/>
  <c r="E140" i="1"/>
  <c r="O139" i="1"/>
  <c r="E139" i="1"/>
  <c r="O138" i="1"/>
  <c r="E138" i="1"/>
  <c r="O137" i="1"/>
  <c r="E137" i="1"/>
  <c r="O136" i="1"/>
  <c r="E136" i="1"/>
  <c r="O135" i="1"/>
  <c r="E135" i="1"/>
  <c r="O134" i="1"/>
  <c r="E134" i="1"/>
  <c r="O133" i="1"/>
  <c r="E133" i="1"/>
  <c r="O132" i="1"/>
  <c r="E132" i="1"/>
  <c r="O131" i="1"/>
  <c r="E131" i="1"/>
  <c r="O130" i="1"/>
  <c r="E130" i="1"/>
  <c r="O129" i="1"/>
  <c r="E129" i="1"/>
  <c r="O128" i="1"/>
  <c r="E128" i="1"/>
  <c r="O127" i="1"/>
  <c r="E127" i="1"/>
  <c r="O126" i="1"/>
  <c r="E126" i="1"/>
  <c r="O125" i="1"/>
  <c r="E125" i="1"/>
  <c r="O124" i="1"/>
  <c r="E124" i="1"/>
  <c r="O123" i="1"/>
  <c r="E123" i="1"/>
  <c r="O122" i="1"/>
  <c r="E122" i="1"/>
  <c r="O121" i="1"/>
  <c r="E121" i="1"/>
  <c r="O120" i="1"/>
  <c r="E120" i="1"/>
  <c r="O119" i="1"/>
  <c r="E119" i="1"/>
  <c r="O118" i="1"/>
  <c r="E118" i="1"/>
  <c r="O117" i="1"/>
  <c r="E117" i="1"/>
  <c r="O116" i="1"/>
  <c r="E116" i="1"/>
  <c r="O115" i="1"/>
  <c r="E115" i="1"/>
  <c r="O114" i="1"/>
  <c r="E114" i="1"/>
  <c r="O113" i="1"/>
  <c r="E113" i="1"/>
  <c r="O112" i="1"/>
  <c r="E112" i="1"/>
  <c r="O111" i="1"/>
  <c r="E111" i="1"/>
  <c r="O110" i="1"/>
  <c r="Q647" i="1"/>
  <c r="Q584" i="1"/>
  <c r="L533" i="1"/>
  <c r="E509" i="1"/>
  <c r="S503" i="1"/>
  <c r="K498" i="1"/>
  <c r="E493" i="1"/>
  <c r="S487" i="1"/>
  <c r="P482" i="1"/>
  <c r="P478" i="1"/>
  <c r="P474" i="1"/>
  <c r="P470" i="1"/>
  <c r="P466" i="1"/>
  <c r="P462" i="1"/>
  <c r="P458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J315" i="1"/>
  <c r="B314" i="1"/>
  <c r="P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L269" i="1"/>
  <c r="T268" i="1"/>
  <c r="G268" i="1"/>
  <c r="L267" i="1"/>
  <c r="T266" i="1"/>
  <c r="G266" i="1"/>
  <c r="L265" i="1"/>
  <c r="T264" i="1"/>
  <c r="G264" i="1"/>
  <c r="L263" i="1"/>
  <c r="T262" i="1"/>
  <c r="G262" i="1"/>
  <c r="L261" i="1"/>
  <c r="D261" i="1"/>
  <c r="L260" i="1"/>
  <c r="D260" i="1"/>
  <c r="L259" i="1"/>
  <c r="D259" i="1"/>
  <c r="L258" i="1"/>
  <c r="D258" i="1"/>
  <c r="L257" i="1"/>
  <c r="D257" i="1"/>
  <c r="L256" i="1"/>
  <c r="D256" i="1"/>
  <c r="L255" i="1"/>
  <c r="D255" i="1"/>
  <c r="L254" i="1"/>
  <c r="D254" i="1"/>
  <c r="L253" i="1"/>
  <c r="D253" i="1"/>
  <c r="L252" i="1"/>
  <c r="D252" i="1"/>
  <c r="L251" i="1"/>
  <c r="D251" i="1"/>
  <c r="L250" i="1"/>
  <c r="D250" i="1"/>
  <c r="L249" i="1"/>
  <c r="D249" i="1"/>
  <c r="L248" i="1"/>
  <c r="D248" i="1"/>
  <c r="L247" i="1"/>
  <c r="D247" i="1"/>
  <c r="L246" i="1"/>
  <c r="D246" i="1"/>
  <c r="L245" i="1"/>
  <c r="D245" i="1"/>
  <c r="L244" i="1"/>
  <c r="D244" i="1"/>
  <c r="L243" i="1"/>
  <c r="D243" i="1"/>
  <c r="L242" i="1"/>
  <c r="D242" i="1"/>
  <c r="L241" i="1"/>
  <c r="D241" i="1"/>
  <c r="L240" i="1"/>
  <c r="D240" i="1"/>
  <c r="L239" i="1"/>
  <c r="D239" i="1"/>
  <c r="L238" i="1"/>
  <c r="D238" i="1"/>
  <c r="L237" i="1"/>
  <c r="D237" i="1"/>
  <c r="L236" i="1"/>
  <c r="D236" i="1"/>
  <c r="L235" i="1"/>
  <c r="D235" i="1"/>
  <c r="L234" i="1"/>
  <c r="D234" i="1"/>
  <c r="L233" i="1"/>
  <c r="D233" i="1"/>
  <c r="L232" i="1"/>
  <c r="D232" i="1"/>
  <c r="L231" i="1"/>
  <c r="D231" i="1"/>
  <c r="L230" i="1"/>
  <c r="D230" i="1"/>
  <c r="L229" i="1"/>
  <c r="D229" i="1"/>
  <c r="L228" i="1"/>
  <c r="D228" i="1"/>
  <c r="L227" i="1"/>
  <c r="D227" i="1"/>
  <c r="L226" i="1"/>
  <c r="D226" i="1"/>
  <c r="L225" i="1"/>
  <c r="D225" i="1"/>
  <c r="L224" i="1"/>
  <c r="D224" i="1"/>
  <c r="L223" i="1"/>
  <c r="D223" i="1"/>
  <c r="L222" i="1"/>
  <c r="D222" i="1"/>
  <c r="L221" i="1"/>
  <c r="D221" i="1"/>
  <c r="L220" i="1"/>
  <c r="D220" i="1"/>
  <c r="L219" i="1"/>
  <c r="D219" i="1"/>
  <c r="L218" i="1"/>
  <c r="D218" i="1"/>
  <c r="L217" i="1"/>
  <c r="D217" i="1"/>
  <c r="L216" i="1"/>
  <c r="D216" i="1"/>
  <c r="L215" i="1"/>
  <c r="D215" i="1"/>
  <c r="L214" i="1"/>
  <c r="D214" i="1"/>
  <c r="L213" i="1"/>
  <c r="D213" i="1"/>
  <c r="L212" i="1"/>
  <c r="D212" i="1"/>
  <c r="L211" i="1"/>
  <c r="D211" i="1"/>
  <c r="L210" i="1"/>
  <c r="D210" i="1"/>
  <c r="L209" i="1"/>
  <c r="D209" i="1"/>
  <c r="L208" i="1"/>
  <c r="D208" i="1"/>
  <c r="L207" i="1"/>
  <c r="D207" i="1"/>
  <c r="L206" i="1"/>
  <c r="D206" i="1"/>
  <c r="L205" i="1"/>
  <c r="D205" i="1"/>
  <c r="L204" i="1"/>
  <c r="D204" i="1"/>
  <c r="L203" i="1"/>
  <c r="D203" i="1"/>
  <c r="L202" i="1"/>
  <c r="D202" i="1"/>
  <c r="L201" i="1"/>
  <c r="D201" i="1"/>
  <c r="L200" i="1"/>
  <c r="D200" i="1"/>
  <c r="L199" i="1"/>
  <c r="D199" i="1"/>
  <c r="L198" i="1"/>
  <c r="D198" i="1"/>
  <c r="L197" i="1"/>
  <c r="D197" i="1"/>
  <c r="L196" i="1"/>
  <c r="D196" i="1"/>
  <c r="L195" i="1"/>
  <c r="D195" i="1"/>
  <c r="L194" i="1"/>
  <c r="D194" i="1"/>
  <c r="L193" i="1"/>
  <c r="D193" i="1"/>
  <c r="L192" i="1"/>
  <c r="D192" i="1"/>
  <c r="L191" i="1"/>
  <c r="D191" i="1"/>
  <c r="L190" i="1"/>
  <c r="D190" i="1"/>
  <c r="L189" i="1"/>
  <c r="D189" i="1"/>
  <c r="L188" i="1"/>
  <c r="D188" i="1"/>
  <c r="L187" i="1"/>
  <c r="D187" i="1"/>
  <c r="L186" i="1"/>
  <c r="D186" i="1"/>
  <c r="L185" i="1"/>
  <c r="D185" i="1"/>
  <c r="L184" i="1"/>
  <c r="D184" i="1"/>
  <c r="L183" i="1"/>
  <c r="D183" i="1"/>
  <c r="L182" i="1"/>
  <c r="D182" i="1"/>
  <c r="L181" i="1"/>
  <c r="D181" i="1"/>
  <c r="L180" i="1"/>
  <c r="D180" i="1"/>
  <c r="L179" i="1"/>
  <c r="D179" i="1"/>
  <c r="L178" i="1"/>
  <c r="D178" i="1"/>
  <c r="L177" i="1"/>
  <c r="D177" i="1"/>
  <c r="L176" i="1"/>
  <c r="D176" i="1"/>
  <c r="L175" i="1"/>
  <c r="D175" i="1"/>
  <c r="L174" i="1"/>
  <c r="D174" i="1"/>
  <c r="L173" i="1"/>
  <c r="D173" i="1"/>
  <c r="L172" i="1"/>
  <c r="D172" i="1"/>
  <c r="L171" i="1"/>
  <c r="D171" i="1"/>
  <c r="L170" i="1"/>
  <c r="D170" i="1"/>
  <c r="L169" i="1"/>
  <c r="D169" i="1"/>
  <c r="L168" i="1"/>
  <c r="D168" i="1"/>
  <c r="L167" i="1"/>
  <c r="D167" i="1"/>
  <c r="L166" i="1"/>
  <c r="D166" i="1"/>
  <c r="L165" i="1"/>
  <c r="D165" i="1"/>
  <c r="L164" i="1"/>
  <c r="D164" i="1"/>
  <c r="L163" i="1"/>
  <c r="D163" i="1"/>
  <c r="L162" i="1"/>
  <c r="D162" i="1"/>
  <c r="L161" i="1"/>
  <c r="D161" i="1"/>
  <c r="L160" i="1"/>
  <c r="D160" i="1"/>
  <c r="L159" i="1"/>
  <c r="D159" i="1"/>
  <c r="L158" i="1"/>
  <c r="D158" i="1"/>
  <c r="L157" i="1"/>
  <c r="D157" i="1"/>
  <c r="L156" i="1"/>
  <c r="D156" i="1"/>
  <c r="L155" i="1"/>
  <c r="D155" i="1"/>
  <c r="L154" i="1"/>
  <c r="D154" i="1"/>
  <c r="L153" i="1"/>
  <c r="D153" i="1"/>
  <c r="L152" i="1"/>
  <c r="D152" i="1"/>
  <c r="L151" i="1"/>
  <c r="D151" i="1"/>
  <c r="L150" i="1"/>
  <c r="D150" i="1"/>
  <c r="L149" i="1"/>
  <c r="D149" i="1"/>
  <c r="L148" i="1"/>
  <c r="D148" i="1"/>
  <c r="L147" i="1"/>
  <c r="D147" i="1"/>
  <c r="L146" i="1"/>
  <c r="D146" i="1"/>
  <c r="L145" i="1"/>
  <c r="D145" i="1"/>
  <c r="L144" i="1"/>
  <c r="D144" i="1"/>
  <c r="L143" i="1"/>
  <c r="D143" i="1"/>
  <c r="L142" i="1"/>
  <c r="D142" i="1"/>
  <c r="L141" i="1"/>
  <c r="D141" i="1"/>
  <c r="L140" i="1"/>
  <c r="D140" i="1"/>
  <c r="L139" i="1"/>
  <c r="D139" i="1"/>
  <c r="L138" i="1"/>
  <c r="D138" i="1"/>
  <c r="L137" i="1"/>
  <c r="D137" i="1"/>
  <c r="L136" i="1"/>
  <c r="D136" i="1"/>
  <c r="L135" i="1"/>
  <c r="D135" i="1"/>
  <c r="L134" i="1"/>
  <c r="D134" i="1"/>
  <c r="L133" i="1"/>
  <c r="D133" i="1"/>
  <c r="L132" i="1"/>
  <c r="D132" i="1"/>
  <c r="L131" i="1"/>
  <c r="D131" i="1"/>
  <c r="L130" i="1"/>
  <c r="D130" i="1"/>
  <c r="L129" i="1"/>
  <c r="D129" i="1"/>
  <c r="L128" i="1"/>
  <c r="D128" i="1"/>
  <c r="L127" i="1"/>
  <c r="D127" i="1"/>
  <c r="L126" i="1"/>
  <c r="D126" i="1"/>
  <c r="L125" i="1"/>
  <c r="D125" i="1"/>
  <c r="L124" i="1"/>
  <c r="D124" i="1"/>
  <c r="L123" i="1"/>
  <c r="D123" i="1"/>
  <c r="L122" i="1"/>
  <c r="D122" i="1"/>
  <c r="L121" i="1"/>
  <c r="D121" i="1"/>
  <c r="L120" i="1"/>
  <c r="D120" i="1"/>
  <c r="L119" i="1"/>
  <c r="D119" i="1"/>
  <c r="L118" i="1"/>
  <c r="D118" i="1"/>
  <c r="L117" i="1"/>
  <c r="D117" i="1"/>
  <c r="L116" i="1"/>
  <c r="D116" i="1"/>
  <c r="L115" i="1"/>
  <c r="D115" i="1"/>
  <c r="L114" i="1"/>
  <c r="D114" i="1"/>
  <c r="L113" i="1"/>
  <c r="D113" i="1"/>
  <c r="L112" i="1"/>
  <c r="D112" i="1"/>
  <c r="L111" i="1"/>
  <c r="D111" i="1"/>
  <c r="L110" i="1"/>
  <c r="D110" i="1"/>
  <c r="L109" i="1"/>
  <c r="D109" i="1"/>
  <c r="L108" i="1"/>
  <c r="D108" i="1"/>
  <c r="L107" i="1"/>
  <c r="D107" i="1"/>
  <c r="L106" i="1"/>
  <c r="D106" i="1"/>
  <c r="L105" i="1"/>
  <c r="D105" i="1"/>
  <c r="L104" i="1"/>
  <c r="D104" i="1"/>
  <c r="L103" i="1"/>
  <c r="D103" i="1"/>
  <c r="L102" i="1"/>
  <c r="D102" i="1"/>
  <c r="L101" i="1"/>
  <c r="D101" i="1"/>
  <c r="L100" i="1"/>
  <c r="D100" i="1"/>
  <c r="L99" i="1"/>
  <c r="D99" i="1"/>
  <c r="L98" i="1"/>
  <c r="D98" i="1"/>
  <c r="L97" i="1"/>
  <c r="D97" i="1"/>
  <c r="L96" i="1"/>
  <c r="D96" i="1"/>
  <c r="L95" i="1"/>
  <c r="D95" i="1"/>
  <c r="L94" i="1"/>
  <c r="D94" i="1"/>
  <c r="L93" i="1"/>
  <c r="D93" i="1"/>
  <c r="L92" i="1"/>
  <c r="D92" i="1"/>
  <c r="L91" i="1"/>
  <c r="D91" i="1"/>
  <c r="L90" i="1"/>
  <c r="D90" i="1"/>
  <c r="L89" i="1"/>
  <c r="D89" i="1"/>
  <c r="L88" i="1"/>
  <c r="D88" i="1"/>
  <c r="L87" i="1"/>
  <c r="D87" i="1"/>
  <c r="L86" i="1"/>
  <c r="D86" i="1"/>
  <c r="L85" i="1"/>
  <c r="D85" i="1"/>
  <c r="L84" i="1"/>
  <c r="D84" i="1"/>
  <c r="L83" i="1"/>
  <c r="D83" i="1"/>
  <c r="L82" i="1"/>
  <c r="D82" i="1"/>
  <c r="L81" i="1"/>
  <c r="D81" i="1"/>
  <c r="L80" i="1"/>
  <c r="D80" i="1"/>
  <c r="L79" i="1"/>
  <c r="D79" i="1"/>
  <c r="L78" i="1"/>
  <c r="D78" i="1"/>
  <c r="L77" i="1"/>
  <c r="D77" i="1"/>
  <c r="L76" i="1"/>
  <c r="D76" i="1"/>
  <c r="L75" i="1"/>
  <c r="D75" i="1"/>
  <c r="L74" i="1"/>
  <c r="S626" i="1"/>
  <c r="T571" i="1"/>
  <c r="Q520" i="1"/>
  <c r="S507" i="1"/>
  <c r="K502" i="1"/>
  <c r="E497" i="1"/>
  <c r="S491" i="1"/>
  <c r="K486" i="1"/>
  <c r="P481" i="1"/>
  <c r="P477" i="1"/>
  <c r="P473" i="1"/>
  <c r="P469" i="1"/>
  <c r="P465" i="1"/>
  <c r="P461" i="1"/>
  <c r="P457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B315" i="1"/>
  <c r="P313" i="1"/>
  <c r="G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D270" i="1"/>
  <c r="I269" i="1"/>
  <c r="Q268" i="1"/>
  <c r="D268" i="1"/>
  <c r="I267" i="1"/>
  <c r="Q266" i="1"/>
  <c r="D266" i="1"/>
  <c r="I265" i="1"/>
  <c r="Q264" i="1"/>
  <c r="D264" i="1"/>
  <c r="I263" i="1"/>
  <c r="Q262" i="1"/>
  <c r="D262" i="1"/>
  <c r="J261" i="1"/>
  <c r="B261" i="1"/>
  <c r="J260" i="1"/>
  <c r="B260" i="1"/>
  <c r="J259" i="1"/>
  <c r="B259" i="1"/>
  <c r="J258" i="1"/>
  <c r="B258" i="1"/>
  <c r="J257" i="1"/>
  <c r="B257" i="1"/>
  <c r="J256" i="1"/>
  <c r="B256" i="1"/>
  <c r="J255" i="1"/>
  <c r="B255" i="1"/>
  <c r="J254" i="1"/>
  <c r="B254" i="1"/>
  <c r="J253" i="1"/>
  <c r="B253" i="1"/>
  <c r="J252" i="1"/>
  <c r="B252" i="1"/>
  <c r="J251" i="1"/>
  <c r="B251" i="1"/>
  <c r="J250" i="1"/>
  <c r="B250" i="1"/>
  <c r="J249" i="1"/>
  <c r="B249" i="1"/>
  <c r="J248" i="1"/>
  <c r="B248" i="1"/>
  <c r="J247" i="1"/>
  <c r="B247" i="1"/>
  <c r="J246" i="1"/>
  <c r="B246" i="1"/>
  <c r="J245" i="1"/>
  <c r="B245" i="1"/>
  <c r="J244" i="1"/>
  <c r="B244" i="1"/>
  <c r="J243" i="1"/>
  <c r="B243" i="1"/>
  <c r="J242" i="1"/>
  <c r="B242" i="1"/>
  <c r="J241" i="1"/>
  <c r="B241" i="1"/>
  <c r="J240" i="1"/>
  <c r="B240" i="1"/>
  <c r="J239" i="1"/>
  <c r="B239" i="1"/>
  <c r="J238" i="1"/>
  <c r="B238" i="1"/>
  <c r="J237" i="1"/>
  <c r="B237" i="1"/>
  <c r="J236" i="1"/>
  <c r="B236" i="1"/>
  <c r="J235" i="1"/>
  <c r="B235" i="1"/>
  <c r="J234" i="1"/>
  <c r="B234" i="1"/>
  <c r="J233" i="1"/>
  <c r="B233" i="1"/>
  <c r="J232" i="1"/>
  <c r="B232" i="1"/>
  <c r="J231" i="1"/>
  <c r="B231" i="1"/>
  <c r="J230" i="1"/>
  <c r="B230" i="1"/>
  <c r="J229" i="1"/>
  <c r="B229" i="1"/>
  <c r="J228" i="1"/>
  <c r="B228" i="1"/>
  <c r="J227" i="1"/>
  <c r="B227" i="1"/>
  <c r="J226" i="1"/>
  <c r="B226" i="1"/>
  <c r="J225" i="1"/>
  <c r="B225" i="1"/>
  <c r="J224" i="1"/>
  <c r="B224" i="1"/>
  <c r="J223" i="1"/>
  <c r="B223" i="1"/>
  <c r="J222" i="1"/>
  <c r="B222" i="1"/>
  <c r="J221" i="1"/>
  <c r="B221" i="1"/>
  <c r="J220" i="1"/>
  <c r="B220" i="1"/>
  <c r="J219" i="1"/>
  <c r="B219" i="1"/>
  <c r="J218" i="1"/>
  <c r="B218" i="1"/>
  <c r="J217" i="1"/>
  <c r="B217" i="1"/>
  <c r="J216" i="1"/>
  <c r="B216" i="1"/>
  <c r="J215" i="1"/>
  <c r="B215" i="1"/>
  <c r="J214" i="1"/>
  <c r="B214" i="1"/>
  <c r="J213" i="1"/>
  <c r="B213" i="1"/>
  <c r="J212" i="1"/>
  <c r="B212" i="1"/>
  <c r="J211" i="1"/>
  <c r="B211" i="1"/>
  <c r="J210" i="1"/>
  <c r="B210" i="1"/>
  <c r="J209" i="1"/>
  <c r="B209" i="1"/>
  <c r="J208" i="1"/>
  <c r="B208" i="1"/>
  <c r="J207" i="1"/>
  <c r="B207" i="1"/>
  <c r="J206" i="1"/>
  <c r="B206" i="1"/>
  <c r="J205" i="1"/>
  <c r="B205" i="1"/>
  <c r="J204" i="1"/>
  <c r="B204" i="1"/>
  <c r="J203" i="1"/>
  <c r="B203" i="1"/>
  <c r="J202" i="1"/>
  <c r="B202" i="1"/>
  <c r="J201" i="1"/>
  <c r="B201" i="1"/>
  <c r="J200" i="1"/>
  <c r="B200" i="1"/>
  <c r="J199" i="1"/>
  <c r="B199" i="1"/>
  <c r="J198" i="1"/>
  <c r="B198" i="1"/>
  <c r="J197" i="1"/>
  <c r="B197" i="1"/>
  <c r="J196" i="1"/>
  <c r="B196" i="1"/>
  <c r="J195" i="1"/>
  <c r="B195" i="1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86" i="1"/>
  <c r="B186" i="1"/>
  <c r="J185" i="1"/>
  <c r="B185" i="1"/>
  <c r="J184" i="1"/>
  <c r="B184" i="1"/>
  <c r="J183" i="1"/>
  <c r="B183" i="1"/>
  <c r="J182" i="1"/>
  <c r="B182" i="1"/>
  <c r="J181" i="1"/>
  <c r="B181" i="1"/>
  <c r="J180" i="1"/>
  <c r="B180" i="1"/>
  <c r="J179" i="1"/>
  <c r="B179" i="1"/>
  <c r="J178" i="1"/>
  <c r="B178" i="1"/>
  <c r="J177" i="1"/>
  <c r="B177" i="1"/>
  <c r="J176" i="1"/>
  <c r="B176" i="1"/>
  <c r="J175" i="1"/>
  <c r="B175" i="1"/>
  <c r="J174" i="1"/>
  <c r="B174" i="1"/>
  <c r="J173" i="1"/>
  <c r="B173" i="1"/>
  <c r="J172" i="1"/>
  <c r="B172" i="1"/>
  <c r="J171" i="1"/>
  <c r="B171" i="1"/>
  <c r="J170" i="1"/>
  <c r="B170" i="1"/>
  <c r="J169" i="1"/>
  <c r="B169" i="1"/>
  <c r="J168" i="1"/>
  <c r="B168" i="1"/>
  <c r="J167" i="1"/>
  <c r="B167" i="1"/>
  <c r="J166" i="1"/>
  <c r="B166" i="1"/>
  <c r="J165" i="1"/>
  <c r="B165" i="1"/>
  <c r="J164" i="1"/>
  <c r="B164" i="1"/>
  <c r="J163" i="1"/>
  <c r="B163" i="1"/>
  <c r="J162" i="1"/>
  <c r="B162" i="1"/>
  <c r="J161" i="1"/>
  <c r="B161" i="1"/>
  <c r="J160" i="1"/>
  <c r="B160" i="1"/>
  <c r="J159" i="1"/>
  <c r="B159" i="1"/>
  <c r="J158" i="1"/>
  <c r="B158" i="1"/>
  <c r="J157" i="1"/>
  <c r="B157" i="1"/>
  <c r="J156" i="1"/>
  <c r="B156" i="1"/>
  <c r="J155" i="1"/>
  <c r="B155" i="1"/>
  <c r="J154" i="1"/>
  <c r="B154" i="1"/>
  <c r="J153" i="1"/>
  <c r="B153" i="1"/>
  <c r="J152" i="1"/>
  <c r="B152" i="1"/>
  <c r="J151" i="1"/>
  <c r="B151" i="1"/>
  <c r="J150" i="1"/>
  <c r="B150" i="1"/>
  <c r="J149" i="1"/>
  <c r="B149" i="1"/>
  <c r="J148" i="1"/>
  <c r="B148" i="1"/>
  <c r="J147" i="1"/>
  <c r="B147" i="1"/>
  <c r="J146" i="1"/>
  <c r="B146" i="1"/>
  <c r="J145" i="1"/>
  <c r="B145" i="1"/>
  <c r="J144" i="1"/>
  <c r="B144" i="1"/>
  <c r="J143" i="1"/>
  <c r="B143" i="1"/>
  <c r="J142" i="1"/>
  <c r="B142" i="1"/>
  <c r="J141" i="1"/>
  <c r="B141" i="1"/>
  <c r="J140" i="1"/>
  <c r="B140" i="1"/>
  <c r="J139" i="1"/>
  <c r="B139" i="1"/>
  <c r="J138" i="1"/>
  <c r="B138" i="1"/>
  <c r="J137" i="1"/>
  <c r="B137" i="1"/>
  <c r="J136" i="1"/>
  <c r="B136" i="1"/>
  <c r="J135" i="1"/>
  <c r="B135" i="1"/>
  <c r="J134" i="1"/>
  <c r="B134" i="1"/>
  <c r="J133" i="1"/>
  <c r="B133" i="1"/>
  <c r="J132" i="1"/>
  <c r="B132" i="1"/>
  <c r="J131" i="1"/>
  <c r="B131" i="1"/>
  <c r="J130" i="1"/>
  <c r="B130" i="1"/>
  <c r="J129" i="1"/>
  <c r="B129" i="1"/>
  <c r="J128" i="1"/>
  <c r="B128" i="1"/>
  <c r="J127" i="1"/>
  <c r="B127" i="1"/>
  <c r="J126" i="1"/>
  <c r="B126" i="1"/>
  <c r="J125" i="1"/>
  <c r="B125" i="1"/>
  <c r="J124" i="1"/>
  <c r="B124" i="1"/>
  <c r="J123" i="1"/>
  <c r="B123" i="1"/>
  <c r="J122" i="1"/>
  <c r="B122" i="1"/>
  <c r="J121" i="1"/>
  <c r="B121" i="1"/>
  <c r="J120" i="1"/>
  <c r="B120" i="1"/>
  <c r="J119" i="1"/>
  <c r="B119" i="1"/>
  <c r="J118" i="1"/>
  <c r="B118" i="1"/>
  <c r="J117" i="1"/>
  <c r="B117" i="1"/>
  <c r="J116" i="1"/>
  <c r="B116" i="1"/>
  <c r="J115" i="1"/>
  <c r="B115" i="1"/>
  <c r="J114" i="1"/>
  <c r="B114" i="1"/>
  <c r="J113" i="1"/>
  <c r="B113" i="1"/>
  <c r="J112" i="1"/>
  <c r="B112" i="1"/>
  <c r="J111" i="1"/>
  <c r="B111" i="1"/>
  <c r="S618" i="1"/>
  <c r="L565" i="1"/>
  <c r="G517" i="1"/>
  <c r="E507" i="1"/>
  <c r="S501" i="1"/>
  <c r="K496" i="1"/>
  <c r="E491" i="1"/>
  <c r="S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Q314" i="1"/>
  <c r="J313" i="1"/>
  <c r="F312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B270" i="1"/>
  <c r="H269" i="1"/>
  <c r="P268" i="1"/>
  <c r="B268" i="1"/>
  <c r="H267" i="1"/>
  <c r="P266" i="1"/>
  <c r="B266" i="1"/>
  <c r="H265" i="1"/>
  <c r="P264" i="1"/>
  <c r="B264" i="1"/>
  <c r="H263" i="1"/>
  <c r="P262" i="1"/>
  <c r="B262" i="1"/>
  <c r="I261" i="1"/>
  <c r="T260" i="1"/>
  <c r="I260" i="1"/>
  <c r="T259" i="1"/>
  <c r="I259" i="1"/>
  <c r="T258" i="1"/>
  <c r="I258" i="1"/>
  <c r="T257" i="1"/>
  <c r="I257" i="1"/>
  <c r="T256" i="1"/>
  <c r="I256" i="1"/>
  <c r="T255" i="1"/>
  <c r="I255" i="1"/>
  <c r="T254" i="1"/>
  <c r="I254" i="1"/>
  <c r="T253" i="1"/>
  <c r="I253" i="1"/>
  <c r="T252" i="1"/>
  <c r="I252" i="1"/>
  <c r="T251" i="1"/>
  <c r="I251" i="1"/>
  <c r="T250" i="1"/>
  <c r="I250" i="1"/>
  <c r="T249" i="1"/>
  <c r="I249" i="1"/>
  <c r="T248" i="1"/>
  <c r="I248" i="1"/>
  <c r="T247" i="1"/>
  <c r="I247" i="1"/>
  <c r="T246" i="1"/>
  <c r="I246" i="1"/>
  <c r="T245" i="1"/>
  <c r="I245" i="1"/>
  <c r="T244" i="1"/>
  <c r="I244" i="1"/>
  <c r="T243" i="1"/>
  <c r="I243" i="1"/>
  <c r="T242" i="1"/>
  <c r="I242" i="1"/>
  <c r="T241" i="1"/>
  <c r="I241" i="1"/>
  <c r="T240" i="1"/>
  <c r="I240" i="1"/>
  <c r="T239" i="1"/>
  <c r="I239" i="1"/>
  <c r="T238" i="1"/>
  <c r="I238" i="1"/>
  <c r="T237" i="1"/>
  <c r="I237" i="1"/>
  <c r="T236" i="1"/>
  <c r="I236" i="1"/>
  <c r="T235" i="1"/>
  <c r="I235" i="1"/>
  <c r="T234" i="1"/>
  <c r="I234" i="1"/>
  <c r="T233" i="1"/>
  <c r="I233" i="1"/>
  <c r="T232" i="1"/>
  <c r="I232" i="1"/>
  <c r="T231" i="1"/>
  <c r="I231" i="1"/>
  <c r="T230" i="1"/>
  <c r="I230" i="1"/>
  <c r="T229" i="1"/>
  <c r="I229" i="1"/>
  <c r="T228" i="1"/>
  <c r="I228" i="1"/>
  <c r="T227" i="1"/>
  <c r="I227" i="1"/>
  <c r="T226" i="1"/>
  <c r="I226" i="1"/>
  <c r="T225" i="1"/>
  <c r="I225" i="1"/>
  <c r="T224" i="1"/>
  <c r="I224" i="1"/>
  <c r="T223" i="1"/>
  <c r="I223" i="1"/>
  <c r="T222" i="1"/>
  <c r="I222" i="1"/>
  <c r="T221" i="1"/>
  <c r="I221" i="1"/>
  <c r="T220" i="1"/>
  <c r="I220" i="1"/>
  <c r="T219" i="1"/>
  <c r="I219" i="1"/>
  <c r="T218" i="1"/>
  <c r="I218" i="1"/>
  <c r="T217" i="1"/>
  <c r="I217" i="1"/>
  <c r="T216" i="1"/>
  <c r="I216" i="1"/>
  <c r="T215" i="1"/>
  <c r="I215" i="1"/>
  <c r="T214" i="1"/>
  <c r="I214" i="1"/>
  <c r="T213" i="1"/>
  <c r="I213" i="1"/>
  <c r="T212" i="1"/>
  <c r="I212" i="1"/>
  <c r="T211" i="1"/>
  <c r="I211" i="1"/>
  <c r="T210" i="1"/>
  <c r="I210" i="1"/>
  <c r="T209" i="1"/>
  <c r="I209" i="1"/>
  <c r="T208" i="1"/>
  <c r="I208" i="1"/>
  <c r="T207" i="1"/>
  <c r="I207" i="1"/>
  <c r="T206" i="1"/>
  <c r="I206" i="1"/>
  <c r="T205" i="1"/>
  <c r="I205" i="1"/>
  <c r="T204" i="1"/>
  <c r="I204" i="1"/>
  <c r="T203" i="1"/>
  <c r="I203" i="1"/>
  <c r="T202" i="1"/>
  <c r="I202" i="1"/>
  <c r="T201" i="1"/>
  <c r="I201" i="1"/>
  <c r="T200" i="1"/>
  <c r="I200" i="1"/>
  <c r="T199" i="1"/>
  <c r="I199" i="1"/>
  <c r="T198" i="1"/>
  <c r="I198" i="1"/>
  <c r="T197" i="1"/>
  <c r="I197" i="1"/>
  <c r="T196" i="1"/>
  <c r="I196" i="1"/>
  <c r="T195" i="1"/>
  <c r="I195" i="1"/>
  <c r="T194" i="1"/>
  <c r="I194" i="1"/>
  <c r="T193" i="1"/>
  <c r="I193" i="1"/>
  <c r="T192" i="1"/>
  <c r="I192" i="1"/>
  <c r="T191" i="1"/>
  <c r="I191" i="1"/>
  <c r="T190" i="1"/>
  <c r="I190" i="1"/>
  <c r="T189" i="1"/>
  <c r="I189" i="1"/>
  <c r="T188" i="1"/>
  <c r="I188" i="1"/>
  <c r="T187" i="1"/>
  <c r="I187" i="1"/>
  <c r="T186" i="1"/>
  <c r="I186" i="1"/>
  <c r="T185" i="1"/>
  <c r="I185" i="1"/>
  <c r="T184" i="1"/>
  <c r="I184" i="1"/>
  <c r="T183" i="1"/>
  <c r="I183" i="1"/>
  <c r="T182" i="1"/>
  <c r="I182" i="1"/>
  <c r="T181" i="1"/>
  <c r="I181" i="1"/>
  <c r="T180" i="1"/>
  <c r="I180" i="1"/>
  <c r="T179" i="1"/>
  <c r="I179" i="1"/>
  <c r="T178" i="1"/>
  <c r="I178" i="1"/>
  <c r="T177" i="1"/>
  <c r="I177" i="1"/>
  <c r="T176" i="1"/>
  <c r="I176" i="1"/>
  <c r="T175" i="1"/>
  <c r="I175" i="1"/>
  <c r="T174" i="1"/>
  <c r="I174" i="1"/>
  <c r="T173" i="1"/>
  <c r="I173" i="1"/>
  <c r="T172" i="1"/>
  <c r="I172" i="1"/>
  <c r="T171" i="1"/>
  <c r="I171" i="1"/>
  <c r="T170" i="1"/>
  <c r="I170" i="1"/>
  <c r="T169" i="1"/>
  <c r="I169" i="1"/>
  <c r="T168" i="1"/>
  <c r="I168" i="1"/>
  <c r="T167" i="1"/>
  <c r="I167" i="1"/>
  <c r="T166" i="1"/>
  <c r="I166" i="1"/>
  <c r="T165" i="1"/>
  <c r="I165" i="1"/>
  <c r="T164" i="1"/>
  <c r="I164" i="1"/>
  <c r="T163" i="1"/>
  <c r="I163" i="1"/>
  <c r="T162" i="1"/>
  <c r="I162" i="1"/>
  <c r="T161" i="1"/>
  <c r="I161" i="1"/>
  <c r="T160" i="1"/>
  <c r="I160" i="1"/>
  <c r="T159" i="1"/>
  <c r="I159" i="1"/>
  <c r="T158" i="1"/>
  <c r="I158" i="1"/>
  <c r="T157" i="1"/>
  <c r="I157" i="1"/>
  <c r="T156" i="1"/>
  <c r="I156" i="1"/>
  <c r="T155" i="1"/>
  <c r="I155" i="1"/>
  <c r="T154" i="1"/>
  <c r="I154" i="1"/>
  <c r="T153" i="1"/>
  <c r="I153" i="1"/>
  <c r="T152" i="1"/>
  <c r="I152" i="1"/>
  <c r="T151" i="1"/>
  <c r="I151" i="1"/>
  <c r="T150" i="1"/>
  <c r="I150" i="1"/>
  <c r="T149" i="1"/>
  <c r="I149" i="1"/>
  <c r="T148" i="1"/>
  <c r="I148" i="1"/>
  <c r="T147" i="1"/>
  <c r="I147" i="1"/>
  <c r="T146" i="1"/>
  <c r="I146" i="1"/>
  <c r="T145" i="1"/>
  <c r="I145" i="1"/>
  <c r="T144" i="1"/>
  <c r="I144" i="1"/>
  <c r="T143" i="1"/>
  <c r="I143" i="1"/>
  <c r="T142" i="1"/>
  <c r="I142" i="1"/>
  <c r="T141" i="1"/>
  <c r="I141" i="1"/>
  <c r="T140" i="1"/>
  <c r="I140" i="1"/>
  <c r="T139" i="1"/>
  <c r="I139" i="1"/>
  <c r="T138" i="1"/>
  <c r="I138" i="1"/>
  <c r="T137" i="1"/>
  <c r="I137" i="1"/>
  <c r="T136" i="1"/>
  <c r="I136" i="1"/>
  <c r="T135" i="1"/>
  <c r="I135" i="1"/>
  <c r="T134" i="1"/>
  <c r="I134" i="1"/>
  <c r="T133" i="1"/>
  <c r="I133" i="1"/>
  <c r="T132" i="1"/>
  <c r="I132" i="1"/>
  <c r="T131" i="1"/>
  <c r="I131" i="1"/>
  <c r="T130" i="1"/>
  <c r="I130" i="1"/>
  <c r="T129" i="1"/>
  <c r="I129" i="1"/>
  <c r="T128" i="1"/>
  <c r="I128" i="1"/>
  <c r="T127" i="1"/>
  <c r="I127" i="1"/>
  <c r="T126" i="1"/>
  <c r="I126" i="1"/>
  <c r="T125" i="1"/>
  <c r="I125" i="1"/>
  <c r="T124" i="1"/>
  <c r="I124" i="1"/>
  <c r="T123" i="1"/>
  <c r="I123" i="1"/>
  <c r="T122" i="1"/>
  <c r="I122" i="1"/>
  <c r="T121" i="1"/>
  <c r="I121" i="1"/>
  <c r="T120" i="1"/>
  <c r="I120" i="1"/>
  <c r="T119" i="1"/>
  <c r="I119" i="1"/>
  <c r="T118" i="1"/>
  <c r="I118" i="1"/>
  <c r="T117" i="1"/>
  <c r="I117" i="1"/>
  <c r="T116" i="1"/>
  <c r="I116" i="1"/>
  <c r="T115" i="1"/>
  <c r="I115" i="1"/>
  <c r="T114" i="1"/>
  <c r="I114" i="1"/>
  <c r="T113" i="1"/>
  <c r="I113" i="1"/>
  <c r="T112" i="1"/>
  <c r="I112" i="1"/>
  <c r="T111" i="1"/>
  <c r="I111" i="1"/>
  <c r="T110" i="1"/>
  <c r="I110" i="1"/>
  <c r="T109" i="1"/>
  <c r="I109" i="1"/>
  <c r="T108" i="1"/>
  <c r="I108" i="1"/>
  <c r="T107" i="1"/>
  <c r="I107" i="1"/>
  <c r="T106" i="1"/>
  <c r="I106" i="1"/>
  <c r="T105" i="1"/>
  <c r="I105" i="1"/>
  <c r="T104" i="1"/>
  <c r="I104" i="1"/>
  <c r="T103" i="1"/>
  <c r="I103" i="1"/>
  <c r="T102" i="1"/>
  <c r="I102" i="1"/>
  <c r="T101" i="1"/>
  <c r="I101" i="1"/>
  <c r="T100" i="1"/>
  <c r="I100" i="1"/>
  <c r="T99" i="1"/>
  <c r="I99" i="1"/>
  <c r="T98" i="1"/>
  <c r="I98" i="1"/>
  <c r="T97" i="1"/>
  <c r="I97" i="1"/>
  <c r="T96" i="1"/>
  <c r="I96" i="1"/>
  <c r="T95" i="1"/>
  <c r="I95" i="1"/>
  <c r="T94" i="1"/>
  <c r="I94" i="1"/>
  <c r="T93" i="1"/>
  <c r="I93" i="1"/>
  <c r="T92" i="1"/>
  <c r="I92" i="1"/>
  <c r="T91" i="1"/>
  <c r="I91" i="1"/>
  <c r="T90" i="1"/>
  <c r="I90" i="1"/>
  <c r="T89" i="1"/>
  <c r="I89" i="1"/>
  <c r="T88" i="1"/>
  <c r="I88" i="1"/>
  <c r="T87" i="1"/>
  <c r="I87" i="1"/>
  <c r="T86" i="1"/>
  <c r="I86" i="1"/>
  <c r="T85" i="1"/>
  <c r="I85" i="1"/>
  <c r="T84" i="1"/>
  <c r="I84" i="1"/>
  <c r="T83" i="1"/>
  <c r="I83" i="1"/>
  <c r="T82" i="1"/>
  <c r="I82" i="1"/>
  <c r="T81" i="1"/>
  <c r="I81" i="1"/>
  <c r="T80" i="1"/>
  <c r="I80" i="1"/>
  <c r="T79" i="1"/>
  <c r="I79" i="1"/>
  <c r="T78" i="1"/>
  <c r="I78" i="1"/>
  <c r="T77" i="1"/>
  <c r="I77" i="1"/>
  <c r="T76" i="1"/>
  <c r="I76" i="1"/>
  <c r="T75" i="1"/>
  <c r="I75" i="1"/>
  <c r="T74" i="1"/>
  <c r="I74" i="1"/>
  <c r="T73" i="1"/>
  <c r="I73" i="1"/>
  <c r="T72" i="1"/>
  <c r="I72" i="1"/>
  <c r="T71" i="1"/>
  <c r="I71" i="1"/>
  <c r="T70" i="1"/>
  <c r="I70" i="1"/>
  <c r="T69" i="1"/>
  <c r="I69" i="1"/>
  <c r="T68" i="1"/>
  <c r="I68" i="1"/>
  <c r="T67" i="1"/>
  <c r="I67" i="1"/>
  <c r="T66" i="1"/>
  <c r="I66" i="1"/>
  <c r="T65" i="1"/>
  <c r="I65" i="1"/>
  <c r="T64" i="1"/>
  <c r="I64" i="1"/>
  <c r="T63" i="1"/>
  <c r="I63" i="1"/>
  <c r="T62" i="1"/>
  <c r="I62" i="1"/>
  <c r="T61" i="1"/>
  <c r="I61" i="1"/>
  <c r="T60" i="1"/>
  <c r="I60" i="1"/>
  <c r="T59" i="1"/>
  <c r="F637" i="1"/>
  <c r="F482" i="1"/>
  <c r="F450" i="1"/>
  <c r="F418" i="1"/>
  <c r="F386" i="1"/>
  <c r="F354" i="1"/>
  <c r="F322" i="1"/>
  <c r="F308" i="1"/>
  <c r="F300" i="1"/>
  <c r="F292" i="1"/>
  <c r="F284" i="1"/>
  <c r="F276" i="1"/>
  <c r="S268" i="1"/>
  <c r="J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J109" i="1"/>
  <c r="C108" i="1"/>
  <c r="O106" i="1"/>
  <c r="J105" i="1"/>
  <c r="C104" i="1"/>
  <c r="O102" i="1"/>
  <c r="J101" i="1"/>
  <c r="C100" i="1"/>
  <c r="O98" i="1"/>
  <c r="J97" i="1"/>
  <c r="C96" i="1"/>
  <c r="O94" i="1"/>
  <c r="J93" i="1"/>
  <c r="C92" i="1"/>
  <c r="O90" i="1"/>
  <c r="J89" i="1"/>
  <c r="C88" i="1"/>
  <c r="O86" i="1"/>
  <c r="J85" i="1"/>
  <c r="C84" i="1"/>
  <c r="O82" i="1"/>
  <c r="J81" i="1"/>
  <c r="C80" i="1"/>
  <c r="O78" i="1"/>
  <c r="J77" i="1"/>
  <c r="C76" i="1"/>
  <c r="B75" i="1"/>
  <c r="C74" i="1"/>
  <c r="E73" i="1"/>
  <c r="J72" i="1"/>
  <c r="L71" i="1"/>
  <c r="Q70" i="1"/>
  <c r="C70" i="1"/>
  <c r="E69" i="1"/>
  <c r="J68" i="1"/>
  <c r="L67" i="1"/>
  <c r="Q66" i="1"/>
  <c r="C66" i="1"/>
  <c r="E65" i="1"/>
  <c r="J64" i="1"/>
  <c r="Q63" i="1"/>
  <c r="D63" i="1"/>
  <c r="J62" i="1"/>
  <c r="Q61" i="1"/>
  <c r="D61" i="1"/>
  <c r="J60" i="1"/>
  <c r="Q59" i="1"/>
  <c r="F59" i="1"/>
  <c r="P58" i="1"/>
  <c r="F58" i="1"/>
  <c r="P57" i="1"/>
  <c r="F57" i="1"/>
  <c r="P56" i="1"/>
  <c r="F56" i="1"/>
  <c r="P55" i="1"/>
  <c r="F55" i="1"/>
  <c r="P54" i="1"/>
  <c r="F54" i="1"/>
  <c r="P53" i="1"/>
  <c r="F53" i="1"/>
  <c r="P52" i="1"/>
  <c r="F52" i="1"/>
  <c r="P51" i="1"/>
  <c r="F51" i="1"/>
  <c r="P50" i="1"/>
  <c r="F50" i="1"/>
  <c r="P49" i="1"/>
  <c r="F49" i="1"/>
  <c r="P48" i="1"/>
  <c r="F48" i="1"/>
  <c r="P47" i="1"/>
  <c r="F47" i="1"/>
  <c r="P46" i="1"/>
  <c r="F46" i="1"/>
  <c r="P45" i="1"/>
  <c r="F45" i="1"/>
  <c r="P44" i="1"/>
  <c r="F44" i="1"/>
  <c r="P43" i="1"/>
  <c r="F43" i="1"/>
  <c r="P42" i="1"/>
  <c r="F42" i="1"/>
  <c r="P41" i="1"/>
  <c r="F41" i="1"/>
  <c r="P40" i="1"/>
  <c r="F40" i="1"/>
  <c r="P39" i="1"/>
  <c r="F39" i="1"/>
  <c r="P38" i="1"/>
  <c r="F38" i="1"/>
  <c r="P37" i="1"/>
  <c r="F37" i="1"/>
  <c r="P36" i="1"/>
  <c r="F36" i="1"/>
  <c r="P35" i="1"/>
  <c r="F35" i="1"/>
  <c r="P34" i="1"/>
  <c r="F34" i="1"/>
  <c r="P33" i="1"/>
  <c r="F33" i="1"/>
  <c r="P32" i="1"/>
  <c r="F32" i="1"/>
  <c r="P31" i="1"/>
  <c r="F31" i="1"/>
  <c r="P30" i="1"/>
  <c r="F30" i="1"/>
  <c r="P29" i="1"/>
  <c r="F29" i="1"/>
  <c r="P28" i="1"/>
  <c r="F28" i="1"/>
  <c r="P27" i="1"/>
  <c r="F27" i="1"/>
  <c r="P26" i="1"/>
  <c r="F26" i="1"/>
  <c r="P25" i="1"/>
  <c r="F25" i="1"/>
  <c r="P24" i="1"/>
  <c r="F24" i="1"/>
  <c r="P23" i="1"/>
  <c r="F23" i="1"/>
  <c r="P22" i="1"/>
  <c r="F22" i="1"/>
  <c r="P21" i="1"/>
  <c r="F21" i="1"/>
  <c r="P20" i="1"/>
  <c r="F20" i="1"/>
  <c r="P19" i="1"/>
  <c r="F19" i="1"/>
  <c r="P18" i="1"/>
  <c r="F18" i="1"/>
  <c r="P17" i="1"/>
  <c r="F17" i="1"/>
  <c r="P16" i="1"/>
  <c r="F16" i="1"/>
  <c r="P15" i="1"/>
  <c r="F15" i="1"/>
  <c r="P14" i="1"/>
  <c r="F14" i="1"/>
  <c r="P13" i="1"/>
  <c r="F13" i="1"/>
  <c r="P12" i="1"/>
  <c r="F12" i="1"/>
  <c r="P11" i="1"/>
  <c r="F11" i="1"/>
  <c r="P10" i="1"/>
  <c r="F10" i="1"/>
  <c r="P9" i="1"/>
  <c r="F9" i="1"/>
  <c r="P8" i="1"/>
  <c r="F8" i="1"/>
  <c r="P7" i="1"/>
  <c r="F7" i="1"/>
  <c r="P6" i="1"/>
  <c r="F6" i="1"/>
  <c r="P5" i="1"/>
  <c r="F5" i="1"/>
  <c r="P4" i="1"/>
  <c r="F4" i="1"/>
  <c r="P3" i="1"/>
  <c r="F3" i="1"/>
  <c r="P2" i="1"/>
  <c r="F2" i="1"/>
  <c r="E4" i="1"/>
  <c r="O2" i="1"/>
  <c r="C19" i="1"/>
  <c r="C14" i="1"/>
  <c r="K11" i="1"/>
  <c r="C8" i="1"/>
  <c r="K5" i="1"/>
  <c r="C2" i="1"/>
  <c r="F366" i="1"/>
  <c r="K216" i="1"/>
  <c r="K184" i="1"/>
  <c r="K152" i="1"/>
  <c r="K128" i="1"/>
  <c r="K108" i="1"/>
  <c r="K96" i="1"/>
  <c r="B86" i="1"/>
  <c r="B78" i="1"/>
  <c r="O72" i="1"/>
  <c r="B68" i="1"/>
  <c r="C62" i="1"/>
  <c r="T56" i="1"/>
  <c r="I54" i="1"/>
  <c r="T50" i="1"/>
  <c r="T45" i="1"/>
  <c r="I41" i="1"/>
  <c r="I37" i="1"/>
  <c r="T32" i="1"/>
  <c r="I28" i="1"/>
  <c r="T24" i="1"/>
  <c r="I21" i="1"/>
  <c r="T17" i="1"/>
  <c r="I14" i="1"/>
  <c r="I11" i="1"/>
  <c r="T8" i="1"/>
  <c r="I5" i="1"/>
  <c r="H578" i="1"/>
  <c r="F478" i="1"/>
  <c r="F446" i="1"/>
  <c r="F414" i="1"/>
  <c r="F382" i="1"/>
  <c r="F350" i="1"/>
  <c r="F318" i="1"/>
  <c r="F307" i="1"/>
  <c r="F299" i="1"/>
  <c r="F291" i="1"/>
  <c r="F283" i="1"/>
  <c r="F275" i="1"/>
  <c r="F268" i="1"/>
  <c r="S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E109" i="1"/>
  <c r="B108" i="1"/>
  <c r="K106" i="1"/>
  <c r="E105" i="1"/>
  <c r="B104" i="1"/>
  <c r="K102" i="1"/>
  <c r="E101" i="1"/>
  <c r="B100" i="1"/>
  <c r="K98" i="1"/>
  <c r="E97" i="1"/>
  <c r="B96" i="1"/>
  <c r="K94" i="1"/>
  <c r="E93" i="1"/>
  <c r="B92" i="1"/>
  <c r="K90" i="1"/>
  <c r="E89" i="1"/>
  <c r="B88" i="1"/>
  <c r="K86" i="1"/>
  <c r="E85" i="1"/>
  <c r="B84" i="1"/>
  <c r="K82" i="1"/>
  <c r="E81" i="1"/>
  <c r="B80" i="1"/>
  <c r="K78" i="1"/>
  <c r="E77" i="1"/>
  <c r="B76" i="1"/>
  <c r="Q74" i="1"/>
  <c r="B74" i="1"/>
  <c r="D73" i="1"/>
  <c r="G72" i="1"/>
  <c r="K71" i="1"/>
  <c r="O70" i="1"/>
  <c r="B70" i="1"/>
  <c r="D69" i="1"/>
  <c r="G68" i="1"/>
  <c r="K67" i="1"/>
  <c r="O66" i="1"/>
  <c r="B66" i="1"/>
  <c r="D65" i="1"/>
  <c r="H64" i="1"/>
  <c r="O63" i="1"/>
  <c r="C63" i="1"/>
  <c r="H62" i="1"/>
  <c r="O61" i="1"/>
  <c r="C61" i="1"/>
  <c r="H60" i="1"/>
  <c r="O59" i="1"/>
  <c r="E59" i="1"/>
  <c r="O58" i="1"/>
  <c r="E58" i="1"/>
  <c r="O57" i="1"/>
  <c r="E57" i="1"/>
  <c r="O56" i="1"/>
  <c r="E56" i="1"/>
  <c r="O55" i="1"/>
  <c r="E55" i="1"/>
  <c r="O54" i="1"/>
  <c r="E54" i="1"/>
  <c r="O53" i="1"/>
  <c r="E53" i="1"/>
  <c r="O52" i="1"/>
  <c r="E52" i="1"/>
  <c r="O51" i="1"/>
  <c r="E51" i="1"/>
  <c r="O50" i="1"/>
  <c r="E50" i="1"/>
  <c r="O49" i="1"/>
  <c r="E49" i="1"/>
  <c r="O48" i="1"/>
  <c r="E48" i="1"/>
  <c r="O47" i="1"/>
  <c r="E47" i="1"/>
  <c r="O46" i="1"/>
  <c r="E46" i="1"/>
  <c r="O45" i="1"/>
  <c r="E45" i="1"/>
  <c r="O44" i="1"/>
  <c r="E44" i="1"/>
  <c r="O43" i="1"/>
  <c r="E43" i="1"/>
  <c r="O42" i="1"/>
  <c r="E42" i="1"/>
  <c r="O41" i="1"/>
  <c r="E41" i="1"/>
  <c r="O40" i="1"/>
  <c r="E40" i="1"/>
  <c r="O39" i="1"/>
  <c r="E39" i="1"/>
  <c r="O38" i="1"/>
  <c r="E38" i="1"/>
  <c r="O37" i="1"/>
  <c r="E37" i="1"/>
  <c r="O36" i="1"/>
  <c r="E36" i="1"/>
  <c r="O35" i="1"/>
  <c r="E35" i="1"/>
  <c r="O34" i="1"/>
  <c r="E34" i="1"/>
  <c r="O33" i="1"/>
  <c r="E33" i="1"/>
  <c r="O32" i="1"/>
  <c r="E32" i="1"/>
  <c r="O31" i="1"/>
  <c r="E31" i="1"/>
  <c r="O30" i="1"/>
  <c r="E30" i="1"/>
  <c r="O29" i="1"/>
  <c r="E29" i="1"/>
  <c r="O28" i="1"/>
  <c r="E28" i="1"/>
  <c r="O27" i="1"/>
  <c r="E27" i="1"/>
  <c r="O26" i="1"/>
  <c r="E26" i="1"/>
  <c r="O25" i="1"/>
  <c r="E25" i="1"/>
  <c r="O24" i="1"/>
  <c r="E24" i="1"/>
  <c r="O23" i="1"/>
  <c r="E23" i="1"/>
  <c r="O22" i="1"/>
  <c r="E22" i="1"/>
  <c r="O21" i="1"/>
  <c r="E21" i="1"/>
  <c r="O20" i="1"/>
  <c r="E20" i="1"/>
  <c r="O19" i="1"/>
  <c r="E19" i="1"/>
  <c r="O18" i="1"/>
  <c r="E18" i="1"/>
  <c r="O17" i="1"/>
  <c r="E17" i="1"/>
  <c r="O16" i="1"/>
  <c r="E16" i="1"/>
  <c r="O15" i="1"/>
  <c r="E15" i="1"/>
  <c r="O14" i="1"/>
  <c r="E14" i="1"/>
  <c r="O13" i="1"/>
  <c r="E13" i="1"/>
  <c r="O12" i="1"/>
  <c r="E12" i="1"/>
  <c r="O11" i="1"/>
  <c r="E11" i="1"/>
  <c r="O10" i="1"/>
  <c r="E10" i="1"/>
  <c r="O9" i="1"/>
  <c r="E9" i="1"/>
  <c r="O8" i="1"/>
  <c r="E8" i="1"/>
  <c r="O7" i="1"/>
  <c r="E7" i="1"/>
  <c r="O6" i="1"/>
  <c r="E6" i="1"/>
  <c r="O5" i="1"/>
  <c r="E5" i="1"/>
  <c r="O4" i="1"/>
  <c r="O3" i="1"/>
  <c r="E3" i="1"/>
  <c r="K19" i="1"/>
  <c r="K16" i="1"/>
  <c r="K14" i="1"/>
  <c r="C13" i="1"/>
  <c r="K10" i="1"/>
  <c r="K7" i="1"/>
  <c r="C4" i="1"/>
  <c r="F462" i="1"/>
  <c r="F311" i="1"/>
  <c r="F287" i="1"/>
  <c r="F271" i="1"/>
  <c r="K260" i="1"/>
  <c r="K240" i="1"/>
  <c r="K232" i="1"/>
  <c r="K212" i="1"/>
  <c r="K192" i="1"/>
  <c r="K164" i="1"/>
  <c r="K140" i="1"/>
  <c r="K124" i="1"/>
  <c r="E107" i="1"/>
  <c r="E99" i="1"/>
  <c r="E91" i="1"/>
  <c r="E83" i="1"/>
  <c r="K76" i="1"/>
  <c r="K69" i="1"/>
  <c r="O64" i="1"/>
  <c r="O60" i="1"/>
  <c r="T57" i="1"/>
  <c r="T54" i="1"/>
  <c r="I51" i="1"/>
  <c r="T48" i="1"/>
  <c r="I45" i="1"/>
  <c r="I42" i="1"/>
  <c r="T39" i="1"/>
  <c r="I36" i="1"/>
  <c r="I33" i="1"/>
  <c r="T29" i="1"/>
  <c r="T26" i="1"/>
  <c r="T23" i="1"/>
  <c r="T19" i="1"/>
  <c r="T16" i="1"/>
  <c r="I13" i="1"/>
  <c r="T9" i="1"/>
  <c r="I7" i="1"/>
  <c r="I3" i="1"/>
  <c r="F527" i="1"/>
  <c r="F474" i="1"/>
  <c r="F442" i="1"/>
  <c r="F410" i="1"/>
  <c r="F378" i="1"/>
  <c r="F346" i="1"/>
  <c r="F315" i="1"/>
  <c r="F306" i="1"/>
  <c r="F298" i="1"/>
  <c r="F290" i="1"/>
  <c r="F282" i="1"/>
  <c r="F274" i="1"/>
  <c r="J267" i="1"/>
  <c r="F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J110" i="1"/>
  <c r="C109" i="1"/>
  <c r="O107" i="1"/>
  <c r="J106" i="1"/>
  <c r="C105" i="1"/>
  <c r="O103" i="1"/>
  <c r="J102" i="1"/>
  <c r="C101" i="1"/>
  <c r="O99" i="1"/>
  <c r="J98" i="1"/>
  <c r="C97" i="1"/>
  <c r="O95" i="1"/>
  <c r="J94" i="1"/>
  <c r="C93" i="1"/>
  <c r="O91" i="1"/>
  <c r="J90" i="1"/>
  <c r="C89" i="1"/>
  <c r="O87" i="1"/>
  <c r="J86" i="1"/>
  <c r="C85" i="1"/>
  <c r="O83" i="1"/>
  <c r="J82" i="1"/>
  <c r="C81" i="1"/>
  <c r="O79" i="1"/>
  <c r="J78" i="1"/>
  <c r="C77" i="1"/>
  <c r="O75" i="1"/>
  <c r="O74" i="1"/>
  <c r="Q73" i="1"/>
  <c r="C73" i="1"/>
  <c r="E72" i="1"/>
  <c r="J71" i="1"/>
  <c r="L70" i="1"/>
  <c r="Q69" i="1"/>
  <c r="C69" i="1"/>
  <c r="E68" i="1"/>
  <c r="J67" i="1"/>
  <c r="L66" i="1"/>
  <c r="Q65" i="1"/>
  <c r="C65" i="1"/>
  <c r="G64" i="1"/>
  <c r="L63" i="1"/>
  <c r="B63" i="1"/>
  <c r="G62" i="1"/>
  <c r="L61" i="1"/>
  <c r="B61" i="1"/>
  <c r="G60" i="1"/>
  <c r="L59" i="1"/>
  <c r="D59" i="1"/>
  <c r="L58" i="1"/>
  <c r="D58" i="1"/>
  <c r="L57" i="1"/>
  <c r="D57" i="1"/>
  <c r="L56" i="1"/>
  <c r="D56" i="1"/>
  <c r="L55" i="1"/>
  <c r="D55" i="1"/>
  <c r="L54" i="1"/>
  <c r="D54" i="1"/>
  <c r="L53" i="1"/>
  <c r="D53" i="1"/>
  <c r="L52" i="1"/>
  <c r="D52" i="1"/>
  <c r="L51" i="1"/>
  <c r="D51" i="1"/>
  <c r="L50" i="1"/>
  <c r="D50" i="1"/>
  <c r="L49" i="1"/>
  <c r="D49" i="1"/>
  <c r="L48" i="1"/>
  <c r="D48" i="1"/>
  <c r="L47" i="1"/>
  <c r="D47" i="1"/>
  <c r="L46" i="1"/>
  <c r="D46" i="1"/>
  <c r="L45" i="1"/>
  <c r="D45" i="1"/>
  <c r="L44" i="1"/>
  <c r="D44" i="1"/>
  <c r="L43" i="1"/>
  <c r="D43" i="1"/>
  <c r="L42" i="1"/>
  <c r="D42" i="1"/>
  <c r="L41" i="1"/>
  <c r="D41" i="1"/>
  <c r="L40" i="1"/>
  <c r="D40" i="1"/>
  <c r="L39" i="1"/>
  <c r="D39" i="1"/>
  <c r="L38" i="1"/>
  <c r="D38" i="1"/>
  <c r="L37" i="1"/>
  <c r="D37" i="1"/>
  <c r="L36" i="1"/>
  <c r="D36" i="1"/>
  <c r="L35" i="1"/>
  <c r="D35" i="1"/>
  <c r="L34" i="1"/>
  <c r="D34" i="1"/>
  <c r="L33" i="1"/>
  <c r="D33" i="1"/>
  <c r="L32" i="1"/>
  <c r="D32" i="1"/>
  <c r="L31" i="1"/>
  <c r="D31" i="1"/>
  <c r="L30" i="1"/>
  <c r="D30" i="1"/>
  <c r="L29" i="1"/>
  <c r="D29" i="1"/>
  <c r="L28" i="1"/>
  <c r="D28" i="1"/>
  <c r="L27" i="1"/>
  <c r="D27" i="1"/>
  <c r="L26" i="1"/>
  <c r="D26" i="1"/>
  <c r="L25" i="1"/>
  <c r="D25" i="1"/>
  <c r="L24" i="1"/>
  <c r="D24" i="1"/>
  <c r="L23" i="1"/>
  <c r="D23" i="1"/>
  <c r="L22" i="1"/>
  <c r="D22" i="1"/>
  <c r="L21" i="1"/>
  <c r="D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D14" i="1"/>
  <c r="L13" i="1"/>
  <c r="D13" i="1"/>
  <c r="L12" i="1"/>
  <c r="D12" i="1"/>
  <c r="L11" i="1"/>
  <c r="D11" i="1"/>
  <c r="L10" i="1"/>
  <c r="D10" i="1"/>
  <c r="L9" i="1"/>
  <c r="D9" i="1"/>
  <c r="L8" i="1"/>
  <c r="D8" i="1"/>
  <c r="L7" i="1"/>
  <c r="D7" i="1"/>
  <c r="L6" i="1"/>
  <c r="D6" i="1"/>
  <c r="L5" i="1"/>
  <c r="D5" i="1"/>
  <c r="L4" i="1"/>
  <c r="D4" i="1"/>
  <c r="L3" i="1"/>
  <c r="D3" i="1"/>
  <c r="L2" i="1"/>
  <c r="C18" i="1"/>
  <c r="C15" i="1"/>
  <c r="C12" i="1"/>
  <c r="K9" i="1"/>
  <c r="C9" i="1"/>
  <c r="K6" i="1"/>
  <c r="C5" i="1"/>
  <c r="C3" i="1"/>
  <c r="F430" i="1"/>
  <c r="K252" i="1"/>
  <c r="K224" i="1"/>
  <c r="K200" i="1"/>
  <c r="K180" i="1"/>
  <c r="K160" i="1"/>
  <c r="K136" i="1"/>
  <c r="K112" i="1"/>
  <c r="K104" i="1"/>
  <c r="B94" i="1"/>
  <c r="K88" i="1"/>
  <c r="K80" i="1"/>
  <c r="K73" i="1"/>
  <c r="D71" i="1"/>
  <c r="D67" i="1"/>
  <c r="H63" i="1"/>
  <c r="I59" i="1"/>
  <c r="T55" i="1"/>
  <c r="T53" i="1"/>
  <c r="T49" i="1"/>
  <c r="T46" i="1"/>
  <c r="I44" i="1"/>
  <c r="T40" i="1"/>
  <c r="T37" i="1"/>
  <c r="I34" i="1"/>
  <c r="T31" i="1"/>
  <c r="T28" i="1"/>
  <c r="I25" i="1"/>
  <c r="T21" i="1"/>
  <c r="I18" i="1"/>
  <c r="T14" i="1"/>
  <c r="T12" i="1"/>
  <c r="I9" i="1"/>
  <c r="T7" i="1"/>
  <c r="I4" i="1"/>
  <c r="K508" i="1"/>
  <c r="F470" i="1"/>
  <c r="F438" i="1"/>
  <c r="F406" i="1"/>
  <c r="F374" i="1"/>
  <c r="F342" i="1"/>
  <c r="Q313" i="1"/>
  <c r="F305" i="1"/>
  <c r="F297" i="1"/>
  <c r="F289" i="1"/>
  <c r="F281" i="1"/>
  <c r="F273" i="1"/>
  <c r="S266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E110" i="1"/>
  <c r="B109" i="1"/>
  <c r="K107" i="1"/>
  <c r="E106" i="1"/>
  <c r="B105" i="1"/>
  <c r="K103" i="1"/>
  <c r="E102" i="1"/>
  <c r="B101" i="1"/>
  <c r="K99" i="1"/>
  <c r="E98" i="1"/>
  <c r="B97" i="1"/>
  <c r="K95" i="1"/>
  <c r="E94" i="1"/>
  <c r="B93" i="1"/>
  <c r="K91" i="1"/>
  <c r="E90" i="1"/>
  <c r="B89" i="1"/>
  <c r="K87" i="1"/>
  <c r="E86" i="1"/>
  <c r="B85" i="1"/>
  <c r="K83" i="1"/>
  <c r="E82" i="1"/>
  <c r="B81" i="1"/>
  <c r="K79" i="1"/>
  <c r="E78" i="1"/>
  <c r="B77" i="1"/>
  <c r="K75" i="1"/>
  <c r="K74" i="1"/>
  <c r="O73" i="1"/>
  <c r="B73" i="1"/>
  <c r="D72" i="1"/>
  <c r="G71" i="1"/>
  <c r="K70" i="1"/>
  <c r="O69" i="1"/>
  <c r="B69" i="1"/>
  <c r="D68" i="1"/>
  <c r="G67" i="1"/>
  <c r="K66" i="1"/>
  <c r="O65" i="1"/>
  <c r="B65" i="1"/>
  <c r="E64" i="1"/>
  <c r="K63" i="1"/>
  <c r="S62" i="1"/>
  <c r="E62" i="1"/>
  <c r="K61" i="1"/>
  <c r="S60" i="1"/>
  <c r="E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K29" i="1"/>
  <c r="C29" i="1"/>
  <c r="K28" i="1"/>
  <c r="C28" i="1"/>
  <c r="K27" i="1"/>
  <c r="C27" i="1"/>
  <c r="K26" i="1"/>
  <c r="C26" i="1"/>
  <c r="K25" i="1"/>
  <c r="C25" i="1"/>
  <c r="K24" i="1"/>
  <c r="C24" i="1"/>
  <c r="K23" i="1"/>
  <c r="C23" i="1"/>
  <c r="K22" i="1"/>
  <c r="C22" i="1"/>
  <c r="K21" i="1"/>
  <c r="C21" i="1"/>
  <c r="K20" i="1"/>
  <c r="C20" i="1"/>
  <c r="K17" i="1"/>
  <c r="C17" i="1"/>
  <c r="C16" i="1"/>
  <c r="K13" i="1"/>
  <c r="C11" i="1"/>
  <c r="C7" i="1"/>
  <c r="K3" i="1"/>
  <c r="F334" i="1"/>
  <c r="K256" i="1"/>
  <c r="K236" i="1"/>
  <c r="K204" i="1"/>
  <c r="K172" i="1"/>
  <c r="K148" i="1"/>
  <c r="K120" i="1"/>
  <c r="B102" i="1"/>
  <c r="K92" i="1"/>
  <c r="E79" i="1"/>
  <c r="G70" i="1"/>
  <c r="C64" i="1"/>
  <c r="I57" i="1"/>
  <c r="T51" i="1"/>
  <c r="I48" i="1"/>
  <c r="I43" i="1"/>
  <c r="T38" i="1"/>
  <c r="I35" i="1"/>
  <c r="T30" i="1"/>
  <c r="I27" i="1"/>
  <c r="T22" i="1"/>
  <c r="I19" i="1"/>
  <c r="T15" i="1"/>
  <c r="T11" i="1"/>
  <c r="T5" i="1"/>
  <c r="T2" i="1"/>
  <c r="E503" i="1"/>
  <c r="F466" i="1"/>
  <c r="F434" i="1"/>
  <c r="F402" i="1"/>
  <c r="F370" i="1"/>
  <c r="F338" i="1"/>
  <c r="J312" i="1"/>
  <c r="F304" i="1"/>
  <c r="F296" i="1"/>
  <c r="F288" i="1"/>
  <c r="F280" i="1"/>
  <c r="F272" i="1"/>
  <c r="F266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10" i="1"/>
  <c r="O108" i="1"/>
  <c r="J107" i="1"/>
  <c r="C106" i="1"/>
  <c r="O104" i="1"/>
  <c r="J103" i="1"/>
  <c r="C102" i="1"/>
  <c r="O100" i="1"/>
  <c r="J99" i="1"/>
  <c r="C98" i="1"/>
  <c r="O96" i="1"/>
  <c r="J95" i="1"/>
  <c r="C94" i="1"/>
  <c r="O92" i="1"/>
  <c r="J91" i="1"/>
  <c r="C90" i="1"/>
  <c r="O88" i="1"/>
  <c r="J87" i="1"/>
  <c r="C86" i="1"/>
  <c r="O84" i="1"/>
  <c r="J83" i="1"/>
  <c r="C82" i="1"/>
  <c r="O80" i="1"/>
  <c r="J79" i="1"/>
  <c r="C78" i="1"/>
  <c r="O76" i="1"/>
  <c r="J75" i="1"/>
  <c r="J74" i="1"/>
  <c r="L73" i="1"/>
  <c r="Q72" i="1"/>
  <c r="C72" i="1"/>
  <c r="E71" i="1"/>
  <c r="J70" i="1"/>
  <c r="L69" i="1"/>
  <c r="Q68" i="1"/>
  <c r="C68" i="1"/>
  <c r="E67" i="1"/>
  <c r="J66" i="1"/>
  <c r="L65" i="1"/>
  <c r="Q64" i="1"/>
  <c r="D64" i="1"/>
  <c r="J63" i="1"/>
  <c r="Q62" i="1"/>
  <c r="D62" i="1"/>
  <c r="J61" i="1"/>
  <c r="Q60" i="1"/>
  <c r="D60" i="1"/>
  <c r="J59" i="1"/>
  <c r="B59" i="1"/>
  <c r="J58" i="1"/>
  <c r="B58" i="1"/>
  <c r="J57" i="1"/>
  <c r="B57" i="1"/>
  <c r="J56" i="1"/>
  <c r="B56" i="1"/>
  <c r="J55" i="1"/>
  <c r="B55" i="1"/>
  <c r="J54" i="1"/>
  <c r="B54" i="1"/>
  <c r="J53" i="1"/>
  <c r="B53" i="1"/>
  <c r="J52" i="1"/>
  <c r="B52" i="1"/>
  <c r="J51" i="1"/>
  <c r="B51" i="1"/>
  <c r="J50" i="1"/>
  <c r="B50" i="1"/>
  <c r="J49" i="1"/>
  <c r="B49" i="1"/>
  <c r="J48" i="1"/>
  <c r="B48" i="1"/>
  <c r="J47" i="1"/>
  <c r="B47" i="1"/>
  <c r="J46" i="1"/>
  <c r="B46" i="1"/>
  <c r="J45" i="1"/>
  <c r="B45" i="1"/>
  <c r="J44" i="1"/>
  <c r="B44" i="1"/>
  <c r="J43" i="1"/>
  <c r="B43" i="1"/>
  <c r="J42" i="1"/>
  <c r="B42" i="1"/>
  <c r="J41" i="1"/>
  <c r="B41" i="1"/>
  <c r="J40" i="1"/>
  <c r="B40" i="1"/>
  <c r="J39" i="1"/>
  <c r="B39" i="1"/>
  <c r="J38" i="1"/>
  <c r="B38" i="1"/>
  <c r="J37" i="1"/>
  <c r="B37" i="1"/>
  <c r="J36" i="1"/>
  <c r="B36" i="1"/>
  <c r="J35" i="1"/>
  <c r="B35" i="1"/>
  <c r="J34" i="1"/>
  <c r="B34" i="1"/>
  <c r="J33" i="1"/>
  <c r="B33" i="1"/>
  <c r="J32" i="1"/>
  <c r="B32" i="1"/>
  <c r="J31" i="1"/>
  <c r="B31" i="1"/>
  <c r="J30" i="1"/>
  <c r="B30" i="1"/>
  <c r="J29" i="1"/>
  <c r="B29" i="1"/>
  <c r="J28" i="1"/>
  <c r="B28" i="1"/>
  <c r="J27" i="1"/>
  <c r="B27" i="1"/>
  <c r="J26" i="1"/>
  <c r="B26" i="1"/>
  <c r="J25" i="1"/>
  <c r="B25" i="1"/>
  <c r="J24" i="1"/>
  <c r="B24" i="1"/>
  <c r="J23" i="1"/>
  <c r="B23" i="1"/>
  <c r="J22" i="1"/>
  <c r="B22" i="1"/>
  <c r="J21" i="1"/>
  <c r="B21" i="1"/>
  <c r="J20" i="1"/>
  <c r="B20" i="1"/>
  <c r="J19" i="1"/>
  <c r="B19" i="1"/>
  <c r="J18" i="1"/>
  <c r="B18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  <c r="J2" i="1"/>
  <c r="B2" i="1"/>
  <c r="S497" i="1"/>
  <c r="F303" i="1"/>
  <c r="F295" i="1"/>
  <c r="F279" i="1"/>
  <c r="J265" i="1"/>
  <c r="K244" i="1"/>
  <c r="K228" i="1"/>
  <c r="K208" i="1"/>
  <c r="K188" i="1"/>
  <c r="K168" i="1"/>
  <c r="K144" i="1"/>
  <c r="K116" i="1"/>
  <c r="B106" i="1"/>
  <c r="B98" i="1"/>
  <c r="B90" i="1"/>
  <c r="K84" i="1"/>
  <c r="G75" i="1"/>
  <c r="B72" i="1"/>
  <c r="G66" i="1"/>
  <c r="H61" i="1"/>
  <c r="I58" i="1"/>
  <c r="I55" i="1"/>
  <c r="I52" i="1"/>
  <c r="I49" i="1"/>
  <c r="I46" i="1"/>
  <c r="T42" i="1"/>
  <c r="I40" i="1"/>
  <c r="T36" i="1"/>
  <c r="T33" i="1"/>
  <c r="I30" i="1"/>
  <c r="I26" i="1"/>
  <c r="I23" i="1"/>
  <c r="I20" i="1"/>
  <c r="I17" i="1"/>
  <c r="T13" i="1"/>
  <c r="T10" i="1"/>
  <c r="T6" i="1"/>
  <c r="T3" i="1"/>
  <c r="K492" i="1"/>
  <c r="F458" i="1"/>
  <c r="F426" i="1"/>
  <c r="F394" i="1"/>
  <c r="F362" i="1"/>
  <c r="F330" i="1"/>
  <c r="F310" i="1"/>
  <c r="F302" i="1"/>
  <c r="F294" i="1"/>
  <c r="F286" i="1"/>
  <c r="F278" i="1"/>
  <c r="F270" i="1"/>
  <c r="S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O109" i="1"/>
  <c r="J108" i="1"/>
  <c r="C107" i="1"/>
  <c r="O105" i="1"/>
  <c r="J104" i="1"/>
  <c r="C103" i="1"/>
  <c r="O101" i="1"/>
  <c r="J100" i="1"/>
  <c r="C99" i="1"/>
  <c r="O97" i="1"/>
  <c r="J96" i="1"/>
  <c r="C95" i="1"/>
  <c r="O93" i="1"/>
  <c r="J92" i="1"/>
  <c r="C91" i="1"/>
  <c r="O89" i="1"/>
  <c r="J88" i="1"/>
  <c r="C87" i="1"/>
  <c r="O85" i="1"/>
  <c r="J84" i="1"/>
  <c r="C83" i="1"/>
  <c r="O81" i="1"/>
  <c r="J80" i="1"/>
  <c r="C79" i="1"/>
  <c r="O77" i="1"/>
  <c r="J76" i="1"/>
  <c r="E75" i="1"/>
  <c r="E74" i="1"/>
  <c r="J73" i="1"/>
  <c r="L72" i="1"/>
  <c r="Q71" i="1"/>
  <c r="C71" i="1"/>
  <c r="E70" i="1"/>
  <c r="J69" i="1"/>
  <c r="L68" i="1"/>
  <c r="Q67" i="1"/>
  <c r="C67" i="1"/>
  <c r="E66" i="1"/>
  <c r="J65" i="1"/>
  <c r="L64" i="1"/>
  <c r="B64" i="1"/>
  <c r="G63" i="1"/>
  <c r="L62" i="1"/>
  <c r="B62" i="1"/>
  <c r="G61" i="1"/>
  <c r="L60" i="1"/>
  <c r="B60" i="1"/>
  <c r="H59" i="1"/>
  <c r="S58" i="1"/>
  <c r="H58" i="1"/>
  <c r="S57" i="1"/>
  <c r="H57" i="1"/>
  <c r="S56" i="1"/>
  <c r="H56" i="1"/>
  <c r="S55" i="1"/>
  <c r="H55" i="1"/>
  <c r="S54" i="1"/>
  <c r="H54" i="1"/>
  <c r="S53" i="1"/>
  <c r="H53" i="1"/>
  <c r="S52" i="1"/>
  <c r="H52" i="1"/>
  <c r="S51" i="1"/>
  <c r="H51" i="1"/>
  <c r="S50" i="1"/>
  <c r="H50" i="1"/>
  <c r="S49" i="1"/>
  <c r="H49" i="1"/>
  <c r="S48" i="1"/>
  <c r="H48" i="1"/>
  <c r="S47" i="1"/>
  <c r="H47" i="1"/>
  <c r="S46" i="1"/>
  <c r="H46" i="1"/>
  <c r="S45" i="1"/>
  <c r="H45" i="1"/>
  <c r="S44" i="1"/>
  <c r="H44" i="1"/>
  <c r="S43" i="1"/>
  <c r="H43" i="1"/>
  <c r="S42" i="1"/>
  <c r="H42" i="1"/>
  <c r="S41" i="1"/>
  <c r="H41" i="1"/>
  <c r="S40" i="1"/>
  <c r="H40" i="1"/>
  <c r="S39" i="1"/>
  <c r="H39" i="1"/>
  <c r="S38" i="1"/>
  <c r="H38" i="1"/>
  <c r="S37" i="1"/>
  <c r="H37" i="1"/>
  <c r="S36" i="1"/>
  <c r="H36" i="1"/>
  <c r="S35" i="1"/>
  <c r="H35" i="1"/>
  <c r="S34" i="1"/>
  <c r="H34" i="1"/>
  <c r="S33" i="1"/>
  <c r="H33" i="1"/>
  <c r="S32" i="1"/>
  <c r="H32" i="1"/>
  <c r="S31" i="1"/>
  <c r="H31" i="1"/>
  <c r="S30" i="1"/>
  <c r="H30" i="1"/>
  <c r="S29" i="1"/>
  <c r="H29" i="1"/>
  <c r="S28" i="1"/>
  <c r="H28" i="1"/>
  <c r="S27" i="1"/>
  <c r="H27" i="1"/>
  <c r="S26" i="1"/>
  <c r="H26" i="1"/>
  <c r="S25" i="1"/>
  <c r="H25" i="1"/>
  <c r="S24" i="1"/>
  <c r="H24" i="1"/>
  <c r="S23" i="1"/>
  <c r="H23" i="1"/>
  <c r="S22" i="1"/>
  <c r="H22" i="1"/>
  <c r="S21" i="1"/>
  <c r="H21" i="1"/>
  <c r="S20" i="1"/>
  <c r="H20" i="1"/>
  <c r="S19" i="1"/>
  <c r="H19" i="1"/>
  <c r="S18" i="1"/>
  <c r="H18" i="1"/>
  <c r="S17" i="1"/>
  <c r="H17" i="1"/>
  <c r="S16" i="1"/>
  <c r="H16" i="1"/>
  <c r="S15" i="1"/>
  <c r="H15" i="1"/>
  <c r="S14" i="1"/>
  <c r="H14" i="1"/>
  <c r="S13" i="1"/>
  <c r="H13" i="1"/>
  <c r="S12" i="1"/>
  <c r="H12" i="1"/>
  <c r="S11" i="1"/>
  <c r="H11" i="1"/>
  <c r="S10" i="1"/>
  <c r="H10" i="1"/>
  <c r="S9" i="1"/>
  <c r="H9" i="1"/>
  <c r="S8" i="1"/>
  <c r="H8" i="1"/>
  <c r="S7" i="1"/>
  <c r="H7" i="1"/>
  <c r="S6" i="1"/>
  <c r="H6" i="1"/>
  <c r="S5" i="1"/>
  <c r="H5" i="1"/>
  <c r="S4" i="1"/>
  <c r="H4" i="1"/>
  <c r="S3" i="1"/>
  <c r="H3" i="1"/>
  <c r="S2" i="1"/>
  <c r="H2" i="1"/>
  <c r="K100" i="1"/>
  <c r="C60" i="1"/>
  <c r="T52" i="1"/>
  <c r="T47" i="1"/>
  <c r="T43" i="1"/>
  <c r="I39" i="1"/>
  <c r="T35" i="1"/>
  <c r="I31" i="1"/>
  <c r="T27" i="1"/>
  <c r="I24" i="1"/>
  <c r="T20" i="1"/>
  <c r="I16" i="1"/>
  <c r="I12" i="1"/>
  <c r="I6" i="1"/>
  <c r="I2" i="1"/>
  <c r="E487" i="1"/>
  <c r="F454" i="1"/>
  <c r="F422" i="1"/>
  <c r="F390" i="1"/>
  <c r="F358" i="1"/>
  <c r="F326" i="1"/>
  <c r="F309" i="1"/>
  <c r="F301" i="1"/>
  <c r="F293" i="1"/>
  <c r="F285" i="1"/>
  <c r="F277" i="1"/>
  <c r="J269" i="1"/>
  <c r="F264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9" i="1"/>
  <c r="E108" i="1"/>
  <c r="B107" i="1"/>
  <c r="K105" i="1"/>
  <c r="E104" i="1"/>
  <c r="B103" i="1"/>
  <c r="K101" i="1"/>
  <c r="E100" i="1"/>
  <c r="B99" i="1"/>
  <c r="K97" i="1"/>
  <c r="E96" i="1"/>
  <c r="B95" i="1"/>
  <c r="K93" i="1"/>
  <c r="E92" i="1"/>
  <c r="B91" i="1"/>
  <c r="K89" i="1"/>
  <c r="E88" i="1"/>
  <c r="B87" i="1"/>
  <c r="K85" i="1"/>
  <c r="E84" i="1"/>
  <c r="B83" i="1"/>
  <c r="K81" i="1"/>
  <c r="E80" i="1"/>
  <c r="B79" i="1"/>
  <c r="K77" i="1"/>
  <c r="E76" i="1"/>
  <c r="C75" i="1"/>
  <c r="D74" i="1"/>
  <c r="G73" i="1"/>
  <c r="K72" i="1"/>
  <c r="O71" i="1"/>
  <c r="B71" i="1"/>
  <c r="D70" i="1"/>
  <c r="G69" i="1"/>
  <c r="K68" i="1"/>
  <c r="O67" i="1"/>
  <c r="B67" i="1"/>
  <c r="D66" i="1"/>
  <c r="G65" i="1"/>
  <c r="K64" i="1"/>
  <c r="S63" i="1"/>
  <c r="E63" i="1"/>
  <c r="K62" i="1"/>
  <c r="S61" i="1"/>
  <c r="E61" i="1"/>
  <c r="K60" i="1"/>
  <c r="S59" i="1"/>
  <c r="G59" i="1"/>
  <c r="Q58" i="1"/>
  <c r="G58" i="1"/>
  <c r="Q57" i="1"/>
  <c r="G57" i="1"/>
  <c r="Q56" i="1"/>
  <c r="G56" i="1"/>
  <c r="Q55" i="1"/>
  <c r="G55" i="1"/>
  <c r="Q54" i="1"/>
  <c r="G54" i="1"/>
  <c r="Q53" i="1"/>
  <c r="G53" i="1"/>
  <c r="Q52" i="1"/>
  <c r="G52" i="1"/>
  <c r="Q51" i="1"/>
  <c r="G51" i="1"/>
  <c r="Q50" i="1"/>
  <c r="G50" i="1"/>
  <c r="Q49" i="1"/>
  <c r="G49" i="1"/>
  <c r="Q48" i="1"/>
  <c r="G48" i="1"/>
  <c r="Q47" i="1"/>
  <c r="G47" i="1"/>
  <c r="Q46" i="1"/>
  <c r="G46" i="1"/>
  <c r="Q45" i="1"/>
  <c r="G45" i="1"/>
  <c r="Q44" i="1"/>
  <c r="G44" i="1"/>
  <c r="Q43" i="1"/>
  <c r="G43" i="1"/>
  <c r="Q42" i="1"/>
  <c r="G42" i="1"/>
  <c r="Q41" i="1"/>
  <c r="G41" i="1"/>
  <c r="Q40" i="1"/>
  <c r="G40" i="1"/>
  <c r="Q39" i="1"/>
  <c r="G39" i="1"/>
  <c r="Q38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" i="1"/>
  <c r="G3" i="1"/>
  <c r="Q2" i="1"/>
  <c r="G2" i="1"/>
  <c r="E2" i="1"/>
  <c r="D2" i="1"/>
  <c r="K18" i="1"/>
  <c r="K15" i="1"/>
  <c r="K12" i="1"/>
  <c r="C10" i="1"/>
  <c r="K8" i="1"/>
  <c r="C6" i="1"/>
  <c r="K4" i="1"/>
  <c r="K2" i="1"/>
  <c r="F398" i="1"/>
  <c r="K248" i="1"/>
  <c r="K220" i="1"/>
  <c r="K196" i="1"/>
  <c r="K176" i="1"/>
  <c r="K156" i="1"/>
  <c r="K132" i="1"/>
  <c r="B110" i="1"/>
  <c r="E103" i="1"/>
  <c r="E95" i="1"/>
  <c r="E87" i="1"/>
  <c r="B82" i="1"/>
  <c r="G74" i="1"/>
  <c r="O68" i="1"/>
  <c r="K65" i="1"/>
  <c r="O62" i="1"/>
  <c r="T58" i="1"/>
  <c r="I56" i="1"/>
  <c r="I53" i="1"/>
  <c r="I50" i="1"/>
  <c r="I47" i="1"/>
  <c r="T44" i="1"/>
  <c r="T41" i="1"/>
  <c r="I38" i="1"/>
  <c r="T34" i="1"/>
  <c r="I32" i="1"/>
  <c r="I29" i="1"/>
  <c r="T25" i="1"/>
  <c r="I22" i="1"/>
  <c r="T18" i="1"/>
  <c r="I15" i="1"/>
  <c r="I10" i="1"/>
  <c r="I8" i="1"/>
  <c r="T4" i="1"/>
</calcChain>
</file>

<file path=xl/sharedStrings.xml><?xml version="1.0" encoding="utf-8"?>
<sst xmlns="http://schemas.openxmlformats.org/spreadsheetml/2006/main" count="1643" uniqueCount="21">
  <si>
    <t>Ticker</t>
  </si>
  <si>
    <t>Maturity</t>
  </si>
  <si>
    <t>Currency</t>
  </si>
  <si>
    <t>Coupon Type</t>
  </si>
  <si>
    <t>ISIN</t>
  </si>
  <si>
    <t>Issue Date</t>
  </si>
  <si>
    <t>Day Count</t>
  </si>
  <si>
    <t>CUSIP</t>
  </si>
  <si>
    <t>Issuer Name</t>
  </si>
  <si>
    <t>Cpn</t>
  </si>
  <si>
    <t>Cpn Freq Des</t>
  </si>
  <si>
    <t>Amt Out</t>
  </si>
  <si>
    <t>Security Name</t>
  </si>
  <si>
    <t>Amt Issued</t>
  </si>
  <si>
    <t>United States Treasury Note/Bond</t>
  </si>
  <si>
    <t>Yld to Mty (Bid)</t>
  </si>
  <si>
    <t>Mty Type</t>
  </si>
  <si>
    <t>Country/Region (Full Name)</t>
  </si>
  <si>
    <t>First Cpn Dt</t>
  </si>
  <si>
    <t>Par Amt</t>
  </si>
  <si>
    <t>Inflation Idx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</si>
</sst>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3">
    <xf numFmtId="0" fontId="0" fillId="0" borderId="0" xfId="0"/>
    <xf numFmtId="0" fontId="1" fillId="2" borderId="0" xfId="1"/>
    <xf numFmtId="164" fontId="0" fillId="0" borderId="0" xfId="0" applyNumberFormat="1"/>
  </cellXfs>
  <cellStyles count="2">
    <cellStyle name="blp_column_header" xfId="1" xr:uid="{65CB86B2-52E8-4738-BF25-08EA510D0B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S/A</v>
        <stp/>
        <stp>##V3_BDPV12</stp>
        <stp>912827KN Govt</stp>
        <stp>COUPON_FREQUENCY_DESCRIPTION</stp>
        <stp>[TREASURY.xlsx]Sheet1!R569C10</stp>
        <tr r="J569" s="1"/>
      </tp>
      <tp t="s">
        <v>S/A</v>
        <stp/>
        <stp>##V3_BDPV12</stp>
        <stp>912827K4 Govt</stp>
        <stp>COUPON_FREQUENCY_DESCRIPTION</stp>
        <stp>[TREASURY.xlsx]Sheet1!R568C10</stp>
        <tr r="J568" s="1"/>
      </tp>
      <tp t="s">
        <v>S/A</v>
        <stp/>
        <stp>##V3_BDPV12</stp>
        <stp>912827KH Govt</stp>
        <stp>COUPON_FREQUENCY_DESCRIPTION</stp>
        <stp>[TREASURY.xlsx]Sheet1!R455C10</stp>
        <tr r="J455" s="1"/>
      </tp>
      <tp t="s">
        <v>S/A</v>
        <stp/>
        <stp>##V3_BDPV12</stp>
        <stp>912827H5 Govt</stp>
        <stp>COUPON_FREQUENCY_DESCRIPTION</stp>
        <stp>[TREASURY.xlsx]Sheet1!R705C10</stp>
        <tr r="J705" s="1"/>
      </tp>
      <tp t="s">
        <v>S/A</v>
        <stp/>
        <stp>##V3_BDPV12</stp>
        <stp>912827H2 Govt</stp>
        <stp>COUPON_FREQUENCY_DESCRIPTION</stp>
        <stp>[TREASURY.xlsx]Sheet1!R704C10</stp>
        <tr r="J704" s="1"/>
      </tp>
      <tp t="s">
        <v>S/A</v>
        <stp/>
        <stp>##V3_BDPV12</stp>
        <stp>912827KM Govt</stp>
        <stp>COUPON_FREQUENCY_DESCRIPTION</stp>
        <stp>[TREASURY.xlsx]Sheet1!R709C10</stp>
        <tr r="J709" s="1"/>
      </tp>
      <tp t="s">
        <v>S/A</v>
        <stp/>
        <stp>##V3_BDPV12</stp>
        <stp>912827KK Govt</stp>
        <stp>COUPON_FREQUENCY_DESCRIPTION</stp>
        <stp>[TREASURY.xlsx]Sheet1!R708C10</stp>
        <tr r="J708" s="1"/>
      </tp>
      <tp t="s">
        <v>S/A</v>
        <stp/>
        <stp>##V3_BDPV12</stp>
        <stp>912827KZ Govt</stp>
        <stp>COUPON_FREQUENCY_DESCRIPTION</stp>
        <stp>[TREASURY.xlsx]Sheet1!R713C10</stp>
        <tr r="J713" s="1"/>
      </tp>
      <tp t="s">
        <v>S/A</v>
        <stp/>
        <stp>##V3_BDPV12</stp>
        <stp>912827KY Govt</stp>
        <stp>COUPON_FREQUENCY_DESCRIPTION</stp>
        <stp>[TREASURY.xlsx]Sheet1!R712C10</stp>
        <tr r="J712" s="1"/>
      </tp>
      <tp t="s">
        <v>S/A</v>
        <stp/>
        <stp>##V3_BDPV12</stp>
        <stp>912827KV Govt</stp>
        <stp>COUPON_FREQUENCY_DESCRIPTION</stp>
        <stp>[TREASURY.xlsx]Sheet1!R711C10</stp>
        <tr r="J711" s="1"/>
      </tp>
      <tp t="s">
        <v>USD</v>
        <stp/>
        <stp>##V3_BDPV12</stp>
        <stp>912828YB Govt</stp>
        <stp>CRNCY</stp>
        <stp>[TREASURY.xlsx]Sheet1!R26C7</stp>
        <tr r="G26" s="1"/>
      </tp>
      <tp t="s">
        <v>USD</v>
        <stp/>
        <stp>##V3_BDPV12</stp>
        <stp>912828YF Govt</stp>
        <stp>CRNCY</stp>
        <stp>[TREASURY.xlsx]Sheet1!R76C7</stp>
        <tr r="G76" s="1"/>
      </tp>
      <tp t="s">
        <v>USD</v>
        <stp/>
        <stp>##V3_BDPV12</stp>
        <stp>912828ZL Govt</stp>
        <stp>CRNCY</stp>
        <stp>[TREASURY.xlsx]Sheet1!R66C7</stp>
        <tr r="G66" s="1"/>
      </tp>
      <tp t="s">
        <v>S/A</v>
        <stp/>
        <stp>##V3_BDPV12</stp>
        <stp>912827KQ Govt</stp>
        <stp>COUPON_FREQUENCY_DESCRIPTION</stp>
        <stp>[TREASURY.xlsx]Sheet1!R710C10</stp>
        <tr r="J710" s="1"/>
      </tp>
      <tp t="s">
        <v>USD</v>
        <stp/>
        <stp>##V3_BDPV12</stp>
        <stp>9128282A Govt</stp>
        <stp>CRNCY</stp>
        <stp>[TREASURY.xlsx]Sheet1!R56C7</stp>
        <tr r="G56" s="1"/>
      </tp>
      <tp>
        <v>1.4822123346292513</v>
        <stp/>
        <stp>##V3_BDPV12</stp>
        <stp>91282CAV Govt</stp>
        <stp>YLD_YTM_BID</stp>
        <stp>[TREASURY.xlsx]Sheet1!R17C4</stp>
        <tr r="D17" s="1"/>
      </tp>
      <tp t="s">
        <v>S/A</v>
        <stp/>
        <stp>##V3_BDPV12</stp>
        <stp>912827KC Govt</stp>
        <stp>COUPON_FREQUENCY_DESCRIPTION</stp>
        <stp>[TREASURY.xlsx]Sheet1!R608C10</stp>
        <tr r="J608" s="1"/>
      </tp>
      <tp t="s">
        <v>S/A</v>
        <stp/>
        <stp>##V3_BDPV12</stp>
        <stp>912827KU Govt</stp>
        <stp>COUPON_FREQUENCY_DESCRIPTION</stp>
        <stp>[TREASURY.xlsx]Sheet1!R683C10</stp>
        <tr r="J683" s="1"/>
      </tp>
      <tp t="s">
        <v>S/A</v>
        <stp/>
        <stp>##V3_BDPV12</stp>
        <stp>912827KS Govt</stp>
        <stp>COUPON_FREQUENCY_DESCRIPTION</stp>
        <stp>[TREASURY.xlsx]Sheet1!R668C10</stp>
        <tr r="J668" s="1"/>
      </tp>
      <tp t="s">
        <v>S/A</v>
        <stp/>
        <stp>##V3_BDPV12</stp>
        <stp>912827J3 Govt</stp>
        <stp>COUPON_FREQUENCY_DESCRIPTION</stp>
        <stp>[TREASURY.xlsx]Sheet1!R707C10</stp>
        <tr r="J707" s="1"/>
      </tp>
      <tp t="s">
        <v>S/A</v>
        <stp/>
        <stp>##V3_BDPV12</stp>
        <stp>912827J2 Govt</stp>
        <stp>COUPON_FREQUENCY_DESCRIPTION</stp>
        <stp>[TREASURY.xlsx]Sheet1!R706C10</stp>
        <tr r="J706" s="1"/>
      </tp>
      <tp t="s">
        <v>S/A</v>
        <stp/>
        <stp>##V3_BDPV12</stp>
        <stp>912827MF Govt</stp>
        <stp>COUPON_FREQUENCY_DESCRIPTION</stp>
        <stp>[TREASURY.xlsx]Sheet1!R722C10</stp>
        <tr r="J722" s="1"/>
      </tp>
      <tp t="s">
        <v>S/A</v>
        <stp/>
        <stp>##V3_BDPV12</stp>
        <stp>912827LF Govt</stp>
        <stp>COUPON_FREQUENCY_DESCRIPTION</stp>
        <stp>[TREASURY.xlsx]Sheet1!R656C10</stp>
        <tr r="J656" s="1"/>
      </tp>
      <tp t="s">
        <v>S/A</v>
        <stp/>
        <stp>##V3_BDPV12</stp>
        <stp>912827MA Govt</stp>
        <stp>COUPON_FREQUENCY_DESCRIPTION</stp>
        <stp>[TREASURY.xlsx]Sheet1!R720C10</stp>
        <tr r="J720" s="1"/>
      </tp>
      <tp t="s">
        <v>S/A</v>
        <stp/>
        <stp>##V3_BDPV12</stp>
        <stp>912827MB Govt</stp>
        <stp>COUPON_FREQUENCY_DESCRIPTION</stp>
        <stp>[TREASURY.xlsx]Sheet1!R721C10</stp>
        <tr r="J721" s="1"/>
      </tp>
      <tp t="s">
        <v>S/A</v>
        <stp/>
        <stp>##V3_BDPV12</stp>
        <stp>912827MY Govt</stp>
        <stp>COUPON_FREQUENCY_DESCRIPTION</stp>
        <stp>[TREASURY.xlsx]Sheet1!R725C10</stp>
        <tr r="J725" s="1"/>
      </tp>
      <tp t="s">
        <v>S/A</v>
        <stp/>
        <stp>##V3_BDPV12</stp>
        <stp>912827MT Govt</stp>
        <stp>COUPON_FREQUENCY_DESCRIPTION</stp>
        <stp>[TREASURY.xlsx]Sheet1!R724C10</stp>
        <tr r="J724" s="1"/>
      </tp>
      <tp t="s">
        <v>S/A</v>
        <stp/>
        <stp>##V3_BDPV12</stp>
        <stp>912827MQ Govt</stp>
        <stp>COUPON_FREQUENCY_DESCRIPTION</stp>
        <stp>[TREASURY.xlsx]Sheet1!R723C10</stp>
        <tr r="J723" s="1"/>
      </tp>
      <tp t="s">
        <v>S/A</v>
        <stp/>
        <stp>##V3_BDPV12</stp>
        <stp>912827M6 Govt</stp>
        <stp>COUPON_FREQUENCY_DESCRIPTION</stp>
        <stp>[TREASURY.xlsx]Sheet1!R719C10</stp>
        <tr r="J719" s="1"/>
      </tp>
      <tp t="s">
        <v>S/A</v>
        <stp/>
        <stp>##V3_BDPV12</stp>
        <stp>912827M5 Govt</stp>
        <stp>COUPON_FREQUENCY_DESCRIPTION</stp>
        <stp>[TREASURY.xlsx]Sheet1!R718C10</stp>
        <tr r="J718" s="1"/>
      </tp>
      <tp t="s">
        <v>S/A</v>
        <stp/>
        <stp>##V3_BDPV12</stp>
        <stp>912827LN Govt</stp>
        <stp>COUPON_FREQUENCY_DESCRIPTION</stp>
        <stp>[TREASURY.xlsx]Sheet1!R716C10</stp>
        <tr r="J716" s="1"/>
      </tp>
      <tp t="s">
        <v>S/A</v>
        <stp/>
        <stp>##V3_BDPV12</stp>
        <stp>912827LM Govt</stp>
        <stp>COUPON_FREQUENCY_DESCRIPTION</stp>
        <stp>[TREASURY.xlsx]Sheet1!R715C10</stp>
        <tr r="J715" s="1"/>
      </tp>
      <tp t="s">
        <v>S/A</v>
        <stp/>
        <stp>##V3_BDPV12</stp>
        <stp>912827LV Govt</stp>
        <stp>COUPON_FREQUENCY_DESCRIPTION</stp>
        <stp>[TREASURY.xlsx]Sheet1!R717C10</stp>
        <tr r="J717" s="1"/>
      </tp>
      <tp t="s">
        <v>S/A</v>
        <stp/>
        <stp>##V3_BDPV12</stp>
        <stp>912827L9 Govt</stp>
        <stp>COUPON_FREQUENCY_DESCRIPTION</stp>
        <stp>[TREASURY.xlsx]Sheet1!R714C10</stp>
        <tr r="J714" s="1"/>
      </tp>
      <tp t="s">
        <v>S/A</v>
        <stp/>
        <stp>##V3_BDPV12</stp>
        <stp>912827MH Govt</stp>
        <stp>COUPON_FREQUENCY_DESCRIPTION</stp>
        <stp>[TREASURY.xlsx]Sheet1!R544C10</stp>
        <tr r="J544" s="1"/>
      </tp>
      <tp t="s">
        <v>S/A</v>
        <stp/>
        <stp>##V3_BDPV12</stp>
        <stp>912827KW Govt</stp>
        <stp>COUPON_FREQUENCY_DESCRIPTION</stp>
        <stp>[TREASURY.xlsx]Sheet1!R392C10</stp>
        <tr r="J392" s="1"/>
      </tp>
      <tp>
        <v>1.25</v>
        <stp/>
        <stp>##V3_BDPV12</stp>
        <stp>91282CBS Govt</stp>
        <stp>CPN</stp>
        <stp>[TREASURY.xlsx]Sheet1!R75C3</stp>
        <tr r="C75" s="1"/>
      </tp>
      <tp t="s">
        <v>S/A</v>
        <stp/>
        <stp>##V3_BDPV12</stp>
        <stp>912827NM Govt</stp>
        <stp>COUPON_FREQUENCY_DESCRIPTION</stp>
        <stp>[TREASURY.xlsx]Sheet1!R732C10</stp>
        <tr r="J732" s="1"/>
      </tp>
      <tp t="s">
        <v>S/A</v>
        <stp/>
        <stp>##V3_BDPV12</stp>
        <stp>912827ND Govt</stp>
        <stp>COUPON_FREQUENCY_DESCRIPTION</stp>
        <stp>[TREASURY.xlsx]Sheet1!R731C10</stp>
        <tr r="J731" s="1"/>
      </tp>
      <tp t="s">
        <v>S/A</v>
        <stp/>
        <stp>##V3_BDPV12</stp>
        <stp>912827NC Govt</stp>
        <stp>COUPON_FREQUENCY_DESCRIPTION</stp>
        <stp>[TREASURY.xlsx]Sheet1!R730C10</stp>
        <tr r="J730" s="1"/>
      </tp>
      <tp t="s">
        <v>S/A</v>
        <stp/>
        <stp>##V3_BDPV12</stp>
        <stp>912827NV Govt</stp>
        <stp>COUPON_FREQUENCY_DESCRIPTION</stp>
        <stp>[TREASURY.xlsx]Sheet1!R734C10</stp>
        <tr r="J734" s="1"/>
      </tp>
      <tp t="s">
        <v>S/A</v>
        <stp/>
        <stp>##V3_BDPV12</stp>
        <stp>912827NP Govt</stp>
        <stp>COUPON_FREQUENCY_DESCRIPTION</stp>
        <stp>[TREASURY.xlsx]Sheet1!R733C10</stp>
        <tr r="J733" s="1"/>
      </tp>
      <tp t="s">
        <v>S/A</v>
        <stp/>
        <stp>##V3_BDPV12</stp>
        <stp>912827N8 Govt</stp>
        <stp>COUPON_FREQUENCY_DESCRIPTION</stp>
        <stp>[TREASURY.xlsx]Sheet1!R729C10</stp>
        <tr r="J729" s="1"/>
      </tp>
      <tp t="s">
        <v>S/A</v>
        <stp/>
        <stp>##V3_BDPV12</stp>
        <stp>912827N5 Govt</stp>
        <stp>COUPON_FREQUENCY_DESCRIPTION</stp>
        <stp>[TREASURY.xlsx]Sheet1!R727C10</stp>
        <tr r="J727" s="1"/>
      </tp>
      <tp t="s">
        <v>S/A</v>
        <stp/>
        <stp>##V3_BDPV12</stp>
        <stp>912827N6 Govt</stp>
        <stp>COUPON_FREQUENCY_DESCRIPTION</stp>
        <stp>[TREASURY.xlsx]Sheet1!R728C10</stp>
        <tr r="J728" s="1"/>
      </tp>
      <tp t="s">
        <v>S/A</v>
        <stp/>
        <stp>##V3_BDPV12</stp>
        <stp>912827N3 Govt</stp>
        <stp>COUPON_FREQUENCY_DESCRIPTION</stp>
        <stp>[TREASURY.xlsx]Sheet1!R726C10</stp>
        <tr r="J726" s="1"/>
      </tp>
      <tp>
        <v>0.25</v>
        <stp/>
        <stp>##V3_BDPV12</stp>
        <stp>91282CBR Govt</stp>
        <stp>CPN</stp>
        <stp>[TREASURY.xlsx]Sheet1!R55C3</stp>
        <tr r="C55" s="1"/>
      </tp>
      <tp t="s">
        <v>S/A</v>
        <stp/>
        <stp>##V3_BDPV12</stp>
        <stp>912827NL Govt</stp>
        <stp>COUPON_FREQUENCY_DESCRIPTION</stp>
        <stp>[TREASURY.xlsx]Sheet1!R902C10</stp>
        <tr r="J902" s="1"/>
      </tp>
      <tp t="s">
        <v>S/A</v>
        <stp/>
        <stp>##V3_BDPV12</stp>
        <stp>912827NK Govt</stp>
        <stp>COUPON_FREQUENCY_DESCRIPTION</stp>
        <stp>[TREASURY.xlsx]Sheet1!R901C10</stp>
        <tr r="J901" s="1"/>
      </tp>
      <tp t="s">
        <v>S/A</v>
        <stp/>
        <stp>##V3_BDPV12</stp>
        <stp>912827N7 Govt</stp>
        <stp>COUPON_FREQUENCY_DESCRIPTION</stp>
        <stp>[TREASURY.xlsx]Sheet1!R900C10</stp>
        <tr r="J900" s="1"/>
      </tp>
      <tp t="s">
        <v>S/A</v>
        <stp/>
        <stp>##V3_BDPV12</stp>
        <stp>912827LE Govt</stp>
        <stp>COUPON_FREQUENCY_DESCRIPTION</stp>
        <stp>[TREASURY.xlsx]Sheet1!R889C10</stp>
        <tr r="J889" s="1"/>
      </tp>
      <tp t="s">
        <v>S/A</v>
        <stp/>
        <stp>##V3_BDPV12</stp>
        <stp>912827LC Govt</stp>
        <stp>COUPON_FREQUENCY_DESCRIPTION</stp>
        <stp>[TREASURY.xlsx]Sheet1!R888C10</stp>
        <tr r="J888" s="1"/>
      </tp>
      <tp t="s">
        <v>S/A</v>
        <stp/>
        <stp>##V3_BDPV12</stp>
        <stp>912827LA Govt</stp>
        <stp>COUPON_FREQUENCY_DESCRIPTION</stp>
        <stp>[TREASURY.xlsx]Sheet1!R887C10</stp>
        <tr r="J887" s="1"/>
      </tp>
      <tp t="s">
        <v>S/A</v>
        <stp/>
        <stp>##V3_BDPV12</stp>
        <stp>912827LL Govt</stp>
        <stp>COUPON_FREQUENCY_DESCRIPTION</stp>
        <stp>[TREASURY.xlsx]Sheet1!R891C10</stp>
        <tr r="J891" s="1"/>
      </tp>
      <tp t="s">
        <v>S/A</v>
        <stp/>
        <stp>##V3_BDPV12</stp>
        <stp>912827LJ Govt</stp>
        <stp>COUPON_FREQUENCY_DESCRIPTION</stp>
        <stp>[TREASURY.xlsx]Sheet1!R890C10</stp>
        <tr r="J890" s="1"/>
      </tp>
      <tp t="s">
        <v>S/A</v>
        <stp/>
        <stp>##V3_BDPV12</stp>
        <stp>912827LU Govt</stp>
        <stp>COUPON_FREQUENCY_DESCRIPTION</stp>
        <stp>[TREASURY.xlsx]Sheet1!R892C10</stp>
        <tr r="J892" s="1"/>
      </tp>
      <tp t="s">
        <v>USD</v>
        <stp/>
        <stp>##V3_BDPV12</stp>
        <stp>912810SU Govt</stp>
        <stp>CRNCY</stp>
        <stp>[TREASURY.xlsx]Sheet1!R15C7</stp>
        <tr r="G15" s="1"/>
      </tp>
      <tp t="s">
        <v>USD</v>
        <stp/>
        <stp>##V3_BDPV12</stp>
        <stp>912810SP Govt</stp>
        <stp>CRNCY</stp>
        <stp>[TREASURY.xlsx]Sheet1!R35C7</stp>
        <tr r="G35" s="1"/>
      </tp>
      <tp t="s">
        <v>USD</v>
        <stp/>
        <stp>##V3_BDPV12</stp>
        <stp>912810SK Govt</stp>
        <stp>CRNCY</stp>
        <stp>[TREASURY.xlsx]Sheet1!R95C7</stp>
        <tr r="G95" s="1"/>
      </tp>
      <tp t="s">
        <v>S/A</v>
        <stp/>
        <stp>##V3_BDPV12</stp>
        <stp>912827LX Govt</stp>
        <stp>COUPON_FREQUENCY_DESCRIPTION</stp>
        <stp>[TREASURY.xlsx]Sheet1!R893C10</stp>
        <tr r="J893" s="1"/>
      </tp>
      <tp t="s">
        <v>S/A</v>
        <stp/>
        <stp>##V3_BDPV12</stp>
        <stp>912827LY Govt</stp>
        <stp>COUPON_FREQUENCY_DESCRIPTION</stp>
        <stp>[TREASURY.xlsx]Sheet1!R894C10</stp>
        <tr r="J894" s="1"/>
      </tp>
      <tp t="s">
        <v>S/A</v>
        <stp/>
        <stp>##V3_BDPV12</stp>
        <stp>912827L5 Govt</stp>
        <stp>COUPON_FREQUENCY_DESCRIPTION</stp>
        <stp>[TREASURY.xlsx]Sheet1!R886C10</stp>
        <tr r="J886" s="1"/>
      </tp>
      <tp t="s">
        <v>S/A</v>
        <stp/>
        <stp>##V3_BDPV12</stp>
        <stp>912827MG Govt</stp>
        <stp>COUPON_FREQUENCY_DESCRIPTION</stp>
        <stp>[TREASURY.xlsx]Sheet1!R896C10</stp>
        <tr r="J896" s="1"/>
      </tp>
      <tp t="s">
        <v>S/A</v>
        <stp/>
        <stp>##V3_BDPV12</stp>
        <stp>912827ME Govt</stp>
        <stp>COUPON_FREQUENCY_DESCRIPTION</stp>
        <stp>[TREASURY.xlsx]Sheet1!R895C10</stp>
        <tr r="J895" s="1"/>
      </tp>
      <tp t="s">
        <v>S/A</v>
        <stp/>
        <stp>##V3_BDPV12</stp>
        <stp>912827MJ Govt</stp>
        <stp>COUPON_FREQUENCY_DESCRIPTION</stp>
        <stp>[TREASURY.xlsx]Sheet1!R897C10</stp>
        <tr r="J897" s="1"/>
      </tp>
      <tp t="s">
        <v>S/A</v>
        <stp/>
        <stp>##V3_BDPV12</stp>
        <stp>912827MK Govt</stp>
        <stp>COUPON_FREQUENCY_DESCRIPTION</stp>
        <stp>[TREASURY.xlsx]Sheet1!R898C10</stp>
        <tr r="J898" s="1"/>
      </tp>
      <tp t="s">
        <v>S/A</v>
        <stp/>
        <stp>##V3_BDPV12</stp>
        <stp>912827MP Govt</stp>
        <stp>COUPON_FREQUENCY_DESCRIPTION</stp>
        <stp>[TREASURY.xlsx]Sheet1!R899C10</stp>
        <tr r="J899" s="1"/>
      </tp>
      <tp>
        <v>0.13859530491709271</v>
        <stp/>
        <stp>##V3_BDPV12</stp>
        <stp>91282CAX Govt</stp>
        <stp>YLD_YTM_BID</stp>
        <stp>[TREASURY.xlsx]Sheet1!R67C4</stp>
        <tr r="D67" s="1"/>
      </tp>
      <tp t="s">
        <v>S/A</v>
        <stp/>
        <stp>##V3_BDPV12</stp>
        <stp>912827KJ Govt</stp>
        <stp>COUPON_FREQUENCY_DESCRIPTION</stp>
        <stp>[TREASURY.xlsx]Sheet1!R884C10</stp>
        <tr r="J884" s="1"/>
      </tp>
      <tp t="s">
        <v>S/A</v>
        <stp/>
        <stp>##V3_BDPV12</stp>
        <stp>912827KP Govt</stp>
        <stp>COUPON_FREQUENCY_DESCRIPTION</stp>
        <stp>[TREASURY.xlsx]Sheet1!R885C10</stp>
        <tr r="J885" s="1"/>
      </tp>
      <tp t="s">
        <v>S/A</v>
        <stp/>
        <stp>##V3_BDPV12</stp>
        <stp>912827D9 Govt</stp>
        <stp>COUPON_FREQUENCY_DESCRIPTION</stp>
        <stp>[TREASURY.xlsx]Sheet1!R702C10</stp>
        <tr r="J702" s="1"/>
      </tp>
      <tp t="s">
        <v>S/A</v>
        <stp/>
        <stp>##V3_BDPV12</stp>
        <stp>912827D7 Govt</stp>
        <stp>COUPON_FREQUENCY_DESCRIPTION</stp>
        <stp>[TREASURY.xlsx]Sheet1!R701C10</stp>
        <tr r="J701" s="1"/>
      </tp>
      <tp t="s">
        <v>S/A</v>
        <stp/>
        <stp>##V3_BDPV12</stp>
        <stp>912827D6 Govt</stp>
        <stp>COUPON_FREQUENCY_DESCRIPTION</stp>
        <stp>[TREASURY.xlsx]Sheet1!R700C10</stp>
        <tr r="J700" s="1"/>
      </tp>
      <tp t="s">
        <v>S/A</v>
        <stp/>
        <stp>##V3_BDPV12</stp>
        <stp>912827E7 Govt</stp>
        <stp>COUPON_FREQUENCY_DESCRIPTION</stp>
        <stp>[TREASURY.xlsx]Sheet1!R590C10</stp>
        <tr r="J590" s="1"/>
      </tp>
      <tp t="s">
        <v>S/A</v>
        <stp/>
        <stp>##V3_BDPV12</stp>
        <stp>912827F2 Govt</stp>
        <stp>COUPON_FREQUENCY_DESCRIPTION</stp>
        <stp>[TREASURY.xlsx]Sheet1!R663C10</stp>
        <tr r="J663" s="1"/>
      </tp>
      <tp t="s">
        <v>S/A</v>
        <stp/>
        <stp>##V3_BDPV12</stp>
        <stp>912827G3 Govt</stp>
        <stp>COUPON_FREQUENCY_DESCRIPTION</stp>
        <stp>[TREASURY.xlsx]Sheet1!R703C10</stp>
        <tr r="J703" s="1"/>
      </tp>
      <tp t="s">
        <v>S/A</v>
        <stp/>
        <stp>##V3_BDPV12</stp>
        <stp>912827E5 Govt</stp>
        <stp>COUPON_FREQUENCY_DESCRIPTION</stp>
        <stp>[TREASURY.xlsx]Sheet1!R579C10</stp>
        <tr r="J579" s="1"/>
      </tp>
      <tp t="s">
        <v>S/A</v>
        <stp/>
        <stp>##V3_BDPV12</stp>
        <stp>912827YJ Govt</stp>
        <stp>COUPON_FREQUENCY_DESCRIPTION</stp>
        <stp>[TREASURY.xlsx]Sheet1!R775C10</stp>
        <tr r="J775" s="1"/>
      </tp>
      <tp t="s">
        <v>S/A</v>
        <stp/>
        <stp>##V3_BDPV12</stp>
        <stp>912827YN Govt</stp>
        <stp>COUPON_FREQUENCY_DESCRIPTION</stp>
        <stp>[TREASURY.xlsx]Sheet1!R776C10</stp>
        <tr r="J776" s="1"/>
      </tp>
      <tp t="s">
        <v>S/A</v>
        <stp/>
        <stp>##V3_BDPV12</stp>
        <stp>912827WK Govt</stp>
        <stp>COUPON_FREQUENCY_DESCRIPTION</stp>
        <stp>[TREASURY.xlsx]Sheet1!R932C10</stp>
        <tr r="J932" s="1"/>
      </tp>
      <tp t="s">
        <v>S/A</v>
        <stp/>
        <stp>##V3_BDPV12</stp>
        <stp>912827WB Govt</stp>
        <stp>COUPON_FREQUENCY_DESCRIPTION</stp>
        <stp>[TREASURY.xlsx]Sheet1!R931C10</stp>
        <tr r="J931" s="1"/>
      </tp>
      <tp t="s">
        <v>S/A</v>
        <stp/>
        <stp>##V3_BDPV12</stp>
        <stp>912827WR Govt</stp>
        <stp>COUPON_FREQUENCY_DESCRIPTION</stp>
        <stp>[TREASURY.xlsx]Sheet1!R933C10</stp>
        <tr r="J933" s="1"/>
      </tp>
      <tp t="s">
        <v>S/A</v>
        <stp/>
        <stp>##V3_BDPV12</stp>
        <stp>912827W8 Govt</stp>
        <stp>COUPON_FREQUENCY_DESCRIPTION</stp>
        <stp>[TREASURY.xlsx]Sheet1!R930C10</stp>
        <tr r="J930" s="1"/>
      </tp>
      <tp t="s">
        <v>S/A</v>
        <stp/>
        <stp>##V3_BDPV12</stp>
        <stp>912827W4 Govt</stp>
        <stp>COUPON_FREQUENCY_DESCRIPTION</stp>
        <stp>[TREASURY.xlsx]Sheet1!R929C10</stp>
        <tr r="J929" s="1"/>
      </tp>
      <tp t="s">
        <v>S/A</v>
        <stp/>
        <stp>##V3_BDPV12</stp>
        <stp>912827W3 Govt</stp>
        <stp>COUPON_FREQUENCY_DESCRIPTION</stp>
        <stp>[TREASURY.xlsx]Sheet1!R928C10</stp>
        <tr r="J928" s="1"/>
      </tp>
      <tp t="s">
        <v>S/A</v>
        <stp/>
        <stp>##V3_BDPV12</stp>
        <stp>912827XH Govt</stp>
        <stp>COUPON_FREQUENCY_DESCRIPTION</stp>
        <stp>[TREASURY.xlsx]Sheet1!R772C10</stp>
        <tr r="J772" s="1"/>
      </tp>
      <tp t="s">
        <v>S/A</v>
        <stp/>
        <stp>##V3_BDPV12</stp>
        <stp>912827VN Govt</stp>
        <stp>COUPON_FREQUENCY_DESCRIPTION</stp>
        <stp>[TREASURY.xlsx]Sheet1!R925C10</stp>
        <tr r="J925" s="1"/>
      </tp>
      <tp t="s">
        <v>S/A</v>
        <stp/>
        <stp>##V3_BDPV12</stp>
        <stp>912827XK Govt</stp>
        <stp>COUPON_FREQUENCY_DESCRIPTION</stp>
        <stp>[TREASURY.xlsx]Sheet1!R773C10</stp>
        <tr r="J773" s="1"/>
      </tp>
      <tp t="s">
        <v>S/A</v>
        <stp/>
        <stp>##V3_BDPV12</stp>
        <stp>912827VH Govt</stp>
        <stp>COUPON_FREQUENCY_DESCRIPTION</stp>
        <stp>[TREASURY.xlsx]Sheet1!R924C10</stp>
        <tr r="J924" s="1"/>
      </tp>
      <tp t="s">
        <v>S/A</v>
        <stp/>
        <stp>##V3_BDPV12</stp>
        <stp>912827XC Govt</stp>
        <stp>COUPON_FREQUENCY_DESCRIPTION</stp>
        <stp>[TREASURY.xlsx]Sheet1!R771C10</stp>
        <tr r="J771" s="1"/>
      </tp>
      <tp t="s">
        <v>S/A</v>
        <stp/>
        <stp>##V3_BDPV12</stp>
        <stp>912827VX Govt</stp>
        <stp>COUPON_FREQUENCY_DESCRIPTION</stp>
        <stp>[TREASURY.xlsx]Sheet1!R927C10</stp>
        <tr r="J927" s="1"/>
      </tp>
      <tp t="s">
        <v>S/A</v>
        <stp/>
        <stp>##V3_BDPV12</stp>
        <stp>912827YR Govt</stp>
        <stp>COUPON_FREQUENCY_DESCRIPTION</stp>
        <stp>[TREASURY.xlsx]Sheet1!R684C10</stp>
        <tr r="J684" s="1"/>
      </tp>
      <tp t="s">
        <v>S/A</v>
        <stp/>
        <stp>##V3_BDPV12</stp>
        <stp>912827VV Govt</stp>
        <stp>COUPON_FREQUENCY_DESCRIPTION</stp>
        <stp>[TREASURY.xlsx]Sheet1!R926C10</stp>
        <tr r="J926" s="1"/>
      </tp>
      <tp t="s">
        <v>S/A</v>
        <stp/>
        <stp>##V3_BDPV12</stp>
        <stp>912827XT Govt</stp>
        <stp>COUPON_FREQUENCY_DESCRIPTION</stp>
        <stp>[TREASURY.xlsx]Sheet1!R774C10</stp>
        <tr r="J774" s="1"/>
      </tp>
      <tp t="s">
        <v>S/A</v>
        <stp/>
        <stp>##V3_BDPV12</stp>
        <stp>912827X9 Govt</stp>
        <stp>COUPON_FREQUENCY_DESCRIPTION</stp>
        <stp>[TREASURY.xlsx]Sheet1!R770C10</stp>
        <tr r="J770" s="1"/>
      </tp>
      <tp t="s">
        <v>S/A</v>
        <stp/>
        <stp>##V3_BDPV12</stp>
        <stp>912827V9 Govt</stp>
        <stp>COUPON_FREQUENCY_DESCRIPTION</stp>
        <stp>[TREASURY.xlsx]Sheet1!R923C10</stp>
        <tr r="J923" s="1"/>
      </tp>
      <tp t="s">
        <v>S/A</v>
        <stp/>
        <stp>##V3_BDPV12</stp>
        <stp>912827X4 Govt</stp>
        <stp>COUPON_FREQUENCY_DESCRIPTION</stp>
        <stp>[TREASURY.xlsx]Sheet1!R769C10</stp>
        <tr r="J769" s="1"/>
      </tp>
      <tp t="s">
        <v>2/28/2021</v>
        <stp/>
        <stp>##V3_BDPV12</stp>
        <stp>91282CAJ Govt</stp>
        <stp>FIRST_CPN_DT</stp>
        <stp>[TREASURY.xlsx]Sheet1!R49C9</stp>
        <tr r="I49" s="1"/>
      </tp>
      <tp t="s">
        <v>S/A</v>
        <stp/>
        <stp>##V3_BDPV12</stp>
        <stp>912827ZH Govt</stp>
        <stp>COUPON_FREQUENCY_DESCRIPTION</stp>
        <stp>[TREASURY.xlsx]Sheet1!R634C10</stp>
        <tr r="J634" s="1"/>
      </tp>
      <tp t="s">
        <v>S/A</v>
        <stp/>
        <stp>##V3_BDPV12</stp>
        <stp>912827ZN Govt</stp>
        <stp>COUPON_FREQUENCY_DESCRIPTION</stp>
        <stp>[TREASURY.xlsx]Sheet1!R685C10</stp>
        <tr r="J685" s="1"/>
      </tp>
      <tp t="s">
        <v>S/A</v>
        <stp/>
        <stp>##V3_BDPV12</stp>
        <stp>912827TA Govt</stp>
        <stp>COUPON_FREQUENCY_DESCRIPTION</stp>
        <stp>[TREASURY.xlsx]Sheet1!R834C10</stp>
        <tr r="J834" s="1"/>
      </tp>
      <tp t="s">
        <v>S/A</v>
        <stp/>
        <stp>##V3_BDPV12</stp>
        <stp>912827UV Govt</stp>
        <stp>COUPON_FREQUENCY_DESCRIPTION</stp>
        <stp>[TREASURY.xlsx]Sheet1!R922C10</stp>
        <tr r="J922" s="1"/>
      </tp>
      <tp t="s">
        <v>S/A</v>
        <stp/>
        <stp>##V3_BDPV12</stp>
        <stp>912827T2 Govt</stp>
        <stp>COUPON_FREQUENCY_DESCRIPTION</stp>
        <stp>[TREASURY.xlsx]Sheet1!R833C10</stp>
        <tr r="J833" s="1"/>
      </tp>
      <tp t="s">
        <v>S/A</v>
        <stp/>
        <stp>##V3_BDPV12</stp>
        <stp>912827U3 Govt</stp>
        <stp>COUPON_FREQUENCY_DESCRIPTION</stp>
        <stp>[TREASURY.xlsx]Sheet1!R921C10</stp>
        <tr r="J921" s="1"/>
      </tp>
      <tp t="s">
        <v>5/15/2018</v>
        <stp/>
        <stp>##V3_BDPV12</stp>
        <stp>9128283F Govt</stp>
        <stp>FIRST_CPN_DT</stp>
        <stp>[TREASURY.xlsx]Sheet1!R65C9</stp>
        <tr r="I65" s="1"/>
      </tp>
      <tp t="s">
        <v>S/A</v>
        <stp/>
        <stp>##V3_BDPV12</stp>
        <stp>912827ZE Govt</stp>
        <stp>COUPON_FREQUENCY_DESCRIPTION</stp>
        <stp>[TREASURY.xlsx]Sheet1!R780C10</stp>
        <tr r="J780" s="1"/>
      </tp>
      <tp t="s">
        <v>S/A</v>
        <stp/>
        <stp>##V3_BDPV12</stp>
        <stp>912827ZC Govt</stp>
        <stp>COUPON_FREQUENCY_DESCRIPTION</stp>
        <stp>[TREASURY.xlsx]Sheet1!R779C10</stp>
        <tr r="J779" s="1"/>
      </tp>
      <tp t="s">
        <v>S/A</v>
        <stp/>
        <stp>##V3_BDPV12</stp>
        <stp>912827ZL Govt</stp>
        <stp>COUPON_FREQUENCY_DESCRIPTION</stp>
        <stp>[TREASURY.xlsx]Sheet1!R782C10</stp>
        <tr r="J782" s="1"/>
      </tp>
      <tp t="s">
        <v>S/A</v>
        <stp/>
        <stp>##V3_BDPV12</stp>
        <stp>912827UA Govt</stp>
        <stp>COUPON_FREQUENCY_DESCRIPTION</stp>
        <stp>[TREASURY.xlsx]Sheet1!R836C10</stp>
        <tr r="J836" s="1"/>
      </tp>
      <tp t="s">
        <v>S/A</v>
        <stp/>
        <stp>##V3_BDPV12</stp>
        <stp>912827ZJ Govt</stp>
        <stp>COUPON_FREQUENCY_DESCRIPTION</stp>
        <stp>[TREASURY.xlsx]Sheet1!R781C10</stp>
        <tr r="J781" s="1"/>
      </tp>
      <tp t="s">
        <v>S/A</v>
        <stp/>
        <stp>##V3_BDPV12</stp>
        <stp>912827XE Govt</stp>
        <stp>COUPON_FREQUENCY_DESCRIPTION</stp>
        <stp>[TREASURY.xlsx]Sheet1!R570C10</stp>
        <tr r="J570" s="1"/>
      </tp>
      <tp t="s">
        <v>S/A</v>
        <stp/>
        <stp>##V3_BDPV12</stp>
        <stp>912827ZR Govt</stp>
        <stp>COUPON_FREQUENCY_DESCRIPTION</stp>
        <stp>[TREASURY.xlsx]Sheet1!R783C10</stp>
        <tr r="J783" s="1"/>
      </tp>
      <tp t="s">
        <v>S/A</v>
        <stp/>
        <stp>##V3_BDPV12</stp>
        <stp>912827TZ Govt</stp>
        <stp>COUPON_FREQUENCY_DESCRIPTION</stp>
        <stp>[TREASURY.xlsx]Sheet1!R920C10</stp>
        <tr r="J920" s="1"/>
      </tp>
      <tp t="s">
        <v>S/A</v>
        <stp/>
        <stp>##V3_BDPV12</stp>
        <stp>912827Z9 Govt</stp>
        <stp>COUPON_FREQUENCY_DESCRIPTION</stp>
        <stp>[TREASURY.xlsx]Sheet1!R778C10</stp>
        <tr r="J778" s="1"/>
      </tp>
      <tp t="s">
        <v>S/A</v>
        <stp/>
        <stp>##V3_BDPV12</stp>
        <stp>912827T5 Govt</stp>
        <stp>COUPON_FREQUENCY_DESCRIPTION</stp>
        <stp>[TREASURY.xlsx]Sheet1!R919C10</stp>
        <tr r="J919" s="1"/>
      </tp>
      <tp t="s">
        <v>S/A</v>
        <stp/>
        <stp>##V3_BDPV12</stp>
        <stp>912827U2 Govt</stp>
        <stp>COUPON_FREQUENCY_DESCRIPTION</stp>
        <stp>[TREASURY.xlsx]Sheet1!R835C10</stp>
        <tr r="J835" s="1"/>
      </tp>
      <tp t="s">
        <v>S/A</v>
        <stp/>
        <stp>##V3_BDPV12</stp>
        <stp>912827Z7 Govt</stp>
        <stp>COUPON_FREQUENCY_DESCRIPTION</stp>
        <stp>[TREASURY.xlsx]Sheet1!R777C10</stp>
        <tr r="J777" s="1"/>
      </tp>
      <tp>
        <v>0.75</v>
        <stp/>
        <stp>##V3_BDPV12</stp>
        <stp>91282CCF Govt</stp>
        <stp>CPN</stp>
        <stp>[TREASURY.xlsx]Sheet1!R34C3</stp>
        <tr r="C34" s="1"/>
      </tp>
      <tp t="s">
        <v>S/A</v>
        <stp/>
        <stp>##V3_BDPV12</stp>
        <stp>912827SL Govt</stp>
        <stp>COUPON_FREQUENCY_DESCRIPTION</stp>
        <stp>[TREASURY.xlsx]Sheet1!R917C10</stp>
        <tr r="J917" s="1"/>
      </tp>
      <tp t="s">
        <v>S/A</v>
        <stp/>
        <stp>##V3_BDPV12</stp>
        <stp>912827SD Govt</stp>
        <stp>COUPON_FREQUENCY_DESCRIPTION</stp>
        <stp>[TREASURY.xlsx]Sheet1!R916C10</stp>
        <tr r="J916" s="1"/>
      </tp>
      <tp t="s">
        <v>S/A</v>
        <stp/>
        <stp>##V3_BDPV12</stp>
        <stp>912827SV Govt</stp>
        <stp>COUPON_FREQUENCY_DESCRIPTION</stp>
        <stp>[TREASURY.xlsx]Sheet1!R918C10</stp>
        <tr r="J918" s="1"/>
      </tp>
      <tp t="s">
        <v>S/A</v>
        <stp/>
        <stp>##V3_BDPV12</stp>
        <stp>912827RW Govt</stp>
        <stp>COUPON_FREQUENCY_DESCRIPTION</stp>
        <stp>[TREASURY.xlsx]Sheet1!R830C10</stp>
        <tr r="J830" s="1"/>
      </tp>
      <tp t="s">
        <v>S/A</v>
        <stp/>
        <stp>##V3_BDPV12</stp>
        <stp>912827RR Govt</stp>
        <stp>COUPON_FREQUENCY_DESCRIPTION</stp>
        <stp>[TREASURY.xlsx]Sheet1!R829C10</stp>
        <tr r="J829" s="1"/>
      </tp>
      <tp t="s">
        <v>S/A</v>
        <stp/>
        <stp>##V3_BDPV12</stp>
        <stp>912827RK Govt</stp>
        <stp>COUPON_FREQUENCY_DESCRIPTION</stp>
        <stp>[TREASURY.xlsx]Sheet1!R911C10</stp>
        <tr r="J911" s="1"/>
      </tp>
      <tp t="s">
        <v>S/A</v>
        <stp/>
        <stp>##V3_BDPV12</stp>
        <stp>912827RD Govt</stp>
        <stp>COUPON_FREQUENCY_DESCRIPTION</stp>
        <stp>[TREASURY.xlsx]Sheet1!R910C10</stp>
        <tr r="J910" s="1"/>
      </tp>
      <tp t="s">
        <v>S/A</v>
        <stp/>
        <stp>##V3_BDPV12</stp>
        <stp>912827RX Govt</stp>
        <stp>COUPON_FREQUENCY_DESCRIPTION</stp>
        <stp>[TREASURY.xlsx]Sheet1!R915C10</stp>
        <tr r="J915" s="1"/>
      </tp>
      <tp t="s">
        <v>S/A</v>
        <stp/>
        <stp>##V3_BDPV12</stp>
        <stp>912827SU Govt</stp>
        <stp>COUPON_FREQUENCY_DESCRIPTION</stp>
        <stp>[TREASURY.xlsx]Sheet1!R832C10</stp>
        <tr r="J832" s="1"/>
      </tp>
      <tp t="s">
        <v>S/A</v>
        <stp/>
        <stp>##V3_BDPV12</stp>
        <stp>912827RU Govt</stp>
        <stp>COUPON_FREQUENCY_DESCRIPTION</stp>
        <stp>[TREASURY.xlsx]Sheet1!R914C10</stp>
        <tr r="J914" s="1"/>
      </tp>
      <tp t="s">
        <v>S/A</v>
        <stp/>
        <stp>##V3_BDPV12</stp>
        <stp>912827RS Govt</stp>
        <stp>COUPON_FREQUENCY_DESCRIPTION</stp>
        <stp>[TREASURY.xlsx]Sheet1!R913C10</stp>
        <tr r="J913" s="1"/>
      </tp>
      <tp t="s">
        <v>S/A</v>
        <stp/>
        <stp>##V3_BDPV12</stp>
        <stp>912827RP Govt</stp>
        <stp>COUPON_FREQUENCY_DESCRIPTION</stp>
        <stp>[TREASURY.xlsx]Sheet1!R912C10</stp>
        <tr r="J912" s="1"/>
      </tp>
      <tp t="s">
        <v>S/A</v>
        <stp/>
        <stp>##V3_BDPV12</stp>
        <stp>912827R8 Govt</stp>
        <stp>COUPON_FREQUENCY_DESCRIPTION</stp>
        <stp>[TREASURY.xlsx]Sheet1!R909C10</stp>
        <tr r="J909" s="1"/>
      </tp>
      <tp t="s">
        <v>S/A</v>
        <stp/>
        <stp>##V3_BDPV12</stp>
        <stp>912827S5 Govt</stp>
        <stp>COUPON_FREQUENCY_DESCRIPTION</stp>
        <stp>[TREASURY.xlsx]Sheet1!R831C10</stp>
        <tr r="J831" s="1"/>
      </tp>
      <tp t="s">
        <v>S/A</v>
        <stp/>
        <stp>##V3_BDPV12</stp>
        <stp>912827QJ Govt</stp>
        <stp>COUPON_FREQUENCY_DESCRIPTION</stp>
        <stp>[TREASURY.xlsx]Sheet1!R907C10</stp>
        <tr r="J907" s="1"/>
      </tp>
      <tp t="s">
        <v>S/A</v>
        <stp/>
        <stp>##V3_BDPV12</stp>
        <stp>912827QG Govt</stp>
        <stp>COUPON_FREQUENCY_DESCRIPTION</stp>
        <stp>[TREASURY.xlsx]Sheet1!R906C10</stp>
        <tr r="J906" s="1"/>
      </tp>
      <tp t="s">
        <v>S/A</v>
        <stp/>
        <stp>##V3_BDPV12</stp>
        <stp>912827QR Govt</stp>
        <stp>COUPON_FREQUENCY_DESCRIPTION</stp>
        <stp>[TREASURY.xlsx]Sheet1!R908C10</stp>
        <tr r="J908" s="1"/>
      </tp>
      <tp t="s">
        <v>S/A</v>
        <stp/>
        <stp>##V3_BDPV12</stp>
        <stp>912827Q5 Govt</stp>
        <stp>COUPON_FREQUENCY_DESCRIPTION</stp>
        <stp>[TREASURY.xlsx]Sheet1!R905C10</stp>
        <tr r="J905" s="1"/>
      </tp>
      <tp t="s">
        <v>S/A</v>
        <stp/>
        <stp>##V3_BDPV12</stp>
        <stp>912827PN Govt</stp>
        <stp>COUPON_FREQUENCY_DESCRIPTION</stp>
        <stp>[TREASURY.xlsx]Sheet1!R903C10</stp>
        <tr r="J903" s="1"/>
      </tp>
      <tp t="s">
        <v>S/A</v>
        <stp/>
        <stp>##V3_BDPV12</stp>
        <stp>912827PP Govt</stp>
        <stp>COUPON_FREQUENCY_DESCRIPTION</stp>
        <stp>[TREASURY.xlsx]Sheet1!R904C10</stp>
        <tr r="J904" s="1"/>
      </tp>
      <tp t="s">
        <v>S/A</v>
        <stp/>
        <stp>##V3_BDPV12</stp>
        <stp>912827QL Govt</stp>
        <stp>COUPON_FREQUENCY_DESCRIPTION</stp>
        <stp>[TREASURY.xlsx]Sheet1!R741C10</stp>
        <tr r="J741" s="1"/>
      </tp>
      <tp t="s">
        <v>S/A</v>
        <stp/>
        <stp>##V3_BDPV12</stp>
        <stp>912827QE Govt</stp>
        <stp>COUPON_FREQUENCY_DESCRIPTION</stp>
        <stp>[TREASURY.xlsx]Sheet1!R740C10</stp>
        <tr r="J740" s="1"/>
      </tp>
      <tp t="s">
        <v>S/A</v>
        <stp/>
        <stp>##V3_BDPV12</stp>
        <stp>912827PQ Govt</stp>
        <stp>COUPON_FREQUENCY_DESCRIPTION</stp>
        <stp>[TREASURY.xlsx]Sheet1!R665C10</stp>
        <tr r="J665" s="1"/>
      </tp>
      <tp t="s">
        <v>S/A</v>
        <stp/>
        <stp>##V3_BDPV12</stp>
        <stp>912827QP Govt</stp>
        <stp>COUPON_FREQUENCY_DESCRIPTION</stp>
        <stp>[TREASURY.xlsx]Sheet1!R742C10</stp>
        <tr r="J742" s="1"/>
      </tp>
      <tp>
        <v>1.4929542308430255</v>
        <stp/>
        <stp>##V3_BDPV12</stp>
        <stp>91282CBL Govt</stp>
        <stp>YLD_YTM_BID</stp>
        <stp>[TREASURY.xlsx]Sheet1!R14C4</stp>
        <tr r="D14" s="1"/>
      </tp>
      <tp t="s">
        <v>S/A</v>
        <stp/>
        <stp>##V3_BDPV12</stp>
        <stp>912827PL Govt</stp>
        <stp>COUPON_FREQUENCY_DESCRIPTION</stp>
        <stp>[TREASURY.xlsx]Sheet1!R738C10</stp>
        <tr r="J738" s="1"/>
      </tp>
      <tp t="s">
        <v>S/A</v>
        <stp/>
        <stp>##V3_BDPV12</stp>
        <stp>912827PF Govt</stp>
        <stp>COUPON_FREQUENCY_DESCRIPTION</stp>
        <stp>[TREASURY.xlsx]Sheet1!R737C10</stp>
        <tr r="J737" s="1"/>
      </tp>
      <tp t="s">
        <v>S/A</v>
        <stp/>
        <stp>##V3_BDPV12</stp>
        <stp>912827PC Govt</stp>
        <stp>COUPON_FREQUENCY_DESCRIPTION</stp>
        <stp>[TREASURY.xlsx]Sheet1!R736C10</stp>
        <tr r="J736" s="1"/>
      </tp>
      <tp t="s">
        <v>S/A</v>
        <stp/>
        <stp>##V3_BDPV12</stp>
        <stp>912827PW Govt</stp>
        <stp>COUPON_FREQUENCY_DESCRIPTION</stp>
        <stp>[TREASURY.xlsx]Sheet1!R739C10</stp>
        <tr r="J739" s="1"/>
      </tp>
      <tp t="s">
        <v>S/A</v>
        <stp/>
        <stp>##V3_BDPV12</stp>
        <stp>912827P2 Govt</stp>
        <stp>COUPON_FREQUENCY_DESCRIPTION</stp>
        <stp>[TREASURY.xlsx]Sheet1!R735C10</stp>
        <tr r="J735" s="1"/>
      </tp>
      <tp t="s">
        <v>S/A</v>
        <stp/>
        <stp>##V3_BDPV12</stp>
        <stp>912827SM Govt</stp>
        <stp>COUPON_FREQUENCY_DESCRIPTION</stp>
        <stp>[TREASURY.xlsx]Sheet1!R748C10</stp>
        <tr r="J748" s="1"/>
      </tp>
      <tp t="s">
        <v>S/A</v>
        <stp/>
        <stp>##V3_BDPV12</stp>
        <stp>912827SC Govt</stp>
        <stp>COUPON_FREQUENCY_DESCRIPTION</stp>
        <stp>[TREASURY.xlsx]Sheet1!R747C10</stp>
        <tr r="J747" s="1"/>
      </tp>
      <tp t="s">
        <v>S/A</v>
        <stp/>
        <stp>##V3_BDPV12</stp>
        <stp>912827PH Govt</stp>
        <stp>COUPON_FREQUENCY_DESCRIPTION</stp>
        <stp>[TREASURY.xlsx]Sheet1!R499C10</stp>
        <tr r="J499" s="1"/>
      </tp>
      <tp t="s">
        <v>S/A</v>
        <stp/>
        <stp>##V3_BDPV12</stp>
        <stp>912827SX Govt</stp>
        <stp>COUPON_FREQUENCY_DESCRIPTION</stp>
        <stp>[TREASURY.xlsx]Sheet1!R749C10</stp>
        <tr r="J749" s="1"/>
      </tp>
      <tp t="s">
        <v>S/A</v>
        <stp/>
        <stp>##V3_BDPV12</stp>
        <stp>912827S9 Govt</stp>
        <stp>COUPON_FREQUENCY_DESCRIPTION</stp>
        <stp>[TREASURY.xlsx]Sheet1!R746C10</stp>
        <tr r="J746" s="1"/>
      </tp>
      <tp t="s">
        <v>S/A</v>
        <stp/>
        <stp>##V3_BDPV12</stp>
        <stp>912827S4 Govt</stp>
        <stp>COUPON_FREQUENCY_DESCRIPTION</stp>
        <stp>[TREASURY.xlsx]Sheet1!R745C10</stp>
        <tr r="J745" s="1"/>
      </tp>
      <tp t="s">
        <v>S/A</v>
        <stp/>
        <stp>##V3_BDPV12</stp>
        <stp>912827RB Govt</stp>
        <stp>COUPON_FREQUENCY_DESCRIPTION</stp>
        <stp>[TREASURY.xlsx]Sheet1!R744C10</stp>
        <tr r="J744" s="1"/>
      </tp>
      <tp t="s">
        <v>S/A</v>
        <stp/>
        <stp>##V3_BDPV12</stp>
        <stp>912827R2 Govt</stp>
        <stp>COUPON_FREQUENCY_DESCRIPTION</stp>
        <stp>[TREASURY.xlsx]Sheet1!R743C10</stp>
        <tr r="J743" s="1"/>
      </tp>
      <tp>
        <v>0.125</v>
        <stp/>
        <stp>##V3_BDPV12</stp>
        <stp>91282CAN Govt</stp>
        <stp>CPN</stp>
        <stp>[TREASURY.xlsx]Sheet1!R46C3</stp>
        <tr r="C46" s="1"/>
      </tp>
      <tp>
        <v>0.125</v>
        <stp/>
        <stp>##V3_BDPV12</stp>
        <stp>91282CCN Govt</stp>
        <stp>CPN</stp>
        <stp>[TREASURY.xlsx]Sheet1!R24C3</stp>
        <tr r="C24" s="1"/>
      </tp>
      <tp t="s">
        <v>S/A</v>
        <stp/>
        <stp>##V3_BDPV12</stp>
        <stp>912827UJ Govt</stp>
        <stp>COUPON_FREQUENCY_DESCRIPTION</stp>
        <stp>[TREASURY.xlsx]Sheet1!R755C10</stp>
        <tr r="J755" s="1"/>
      </tp>
      <tp t="s">
        <v>S/A</v>
        <stp/>
        <stp>##V3_BDPV12</stp>
        <stp>912827UB Govt</stp>
        <stp>COUPON_FREQUENCY_DESCRIPTION</stp>
        <stp>[TREASURY.xlsx]Sheet1!R753C10</stp>
        <tr r="J753" s="1"/>
      </tp>
      <tp t="s">
        <v>S/A</v>
        <stp/>
        <stp>##V3_BDPV12</stp>
        <stp>912827UC Govt</stp>
        <stp>COUPON_FREQUENCY_DESCRIPTION</stp>
        <stp>[TREASURY.xlsx]Sheet1!R754C10</stp>
        <tr r="J754" s="1"/>
      </tp>
      <tp t="s">
        <v>S/A</v>
        <stp/>
        <stp>##V3_BDPV12</stp>
        <stp>912827UT Govt</stp>
        <stp>COUPON_FREQUENCY_DESCRIPTION</stp>
        <stp>[TREASURY.xlsx]Sheet1!R756C10</stp>
        <tr r="J756" s="1"/>
      </tp>
      <tp t="s">
        <v>S/A</v>
        <stp/>
        <stp>##V3_BDPV12</stp>
        <stp>912827U9 Govt</stp>
        <stp>COUPON_FREQUENCY_DESCRIPTION</stp>
        <stp>[TREASURY.xlsx]Sheet1!R752C10</stp>
        <tr r="J752" s="1"/>
      </tp>
      <tp t="s">
        <v>S/A</v>
        <stp/>
        <stp>##V3_BDPV12</stp>
        <stp>912827U6 Govt</stp>
        <stp>COUPON_FREQUENCY_DESCRIPTION</stp>
        <stp>[TREASURY.xlsx]Sheet1!R751C10</stp>
        <tr r="J751" s="1"/>
      </tp>
      <tp t="s">
        <v>S/A</v>
        <stp/>
        <stp>##V3_BDPV12</stp>
        <stp>912827ZK Govt</stp>
        <stp>COUPON_FREQUENCY_DESCRIPTION</stp>
        <stp>[TREASURY.xlsx]Sheet1!R952C10</stp>
        <tr r="J952" s="1"/>
      </tp>
      <tp t="s">
        <v>S/A</v>
        <stp/>
        <stp>##V3_BDPV12</stp>
        <stp>912827ZX Govt</stp>
        <stp>COUPON_FREQUENCY_DESCRIPTION</stp>
        <stp>[TREASURY.xlsx]Sheet1!R956C10</stp>
        <tr r="J956" s="1"/>
      </tp>
      <tp t="s">
        <v>S/A</v>
        <stp/>
        <stp>##V3_BDPV12</stp>
        <stp>912827ZS Govt</stp>
        <stp>COUPON_FREQUENCY_DESCRIPTION</stp>
        <stp>[TREASURY.xlsx]Sheet1!R954C10</stp>
        <tr r="J954" s="1"/>
      </tp>
      <tp t="s">
        <v>S/A</v>
        <stp/>
        <stp>##V3_BDPV12</stp>
        <stp>912827TS Govt</stp>
        <stp>COUPON_FREQUENCY_DESCRIPTION</stp>
        <stp>[TREASURY.xlsx]Sheet1!R750C10</stp>
        <tr r="J750" s="1"/>
      </tp>
      <tp t="s">
        <v>S/A</v>
        <stp/>
        <stp>##V3_BDPV12</stp>
        <stp>912827ZP Govt</stp>
        <stp>COUPON_FREQUENCY_DESCRIPTION</stp>
        <stp>[TREASURY.xlsx]Sheet1!R953C10</stp>
        <tr r="J953" s="1"/>
      </tp>
      <tp t="s">
        <v>S/A</v>
        <stp/>
        <stp>##V3_BDPV12</stp>
        <stp>912827ZU Govt</stp>
        <stp>COUPON_FREQUENCY_DESCRIPTION</stp>
        <stp>[TREASURY.xlsx]Sheet1!R955C10</stp>
        <tr r="J955" s="1"/>
      </tp>
      <tp t="s">
        <v>S/A</v>
        <stp/>
        <stp>##V3_BDPV12</stp>
        <stp>912827Z2 Govt</stp>
        <stp>COUPON_FREQUENCY_DESCRIPTION</stp>
        <stp>[TREASURY.xlsx]Sheet1!R951C10</stp>
        <tr r="J951" s="1"/>
      </tp>
      <tp t="s">
        <v>S/A</v>
        <stp/>
        <stp>##V3_BDPV12</stp>
        <stp>912827YM Govt</stp>
        <stp>COUPON_FREQUENCY_DESCRIPTION</stp>
        <stp>[TREASURY.xlsx]Sheet1!R945C10</stp>
        <tr r="J945" s="1"/>
      </tp>
      <tp t="s">
        <v>S/A</v>
        <stp/>
        <stp>##V3_BDPV12</stp>
        <stp>912827VE Govt</stp>
        <stp>COUPON_FREQUENCY_DESCRIPTION</stp>
        <stp>[TREASURY.xlsx]Sheet1!R626C10</stp>
        <tr r="J626" s="1"/>
      </tp>
      <tp t="s">
        <v>S/A</v>
        <stp/>
        <stp>##V3_BDPV12</stp>
        <stp>912827WC Govt</stp>
        <stp>COUPON_FREQUENCY_DESCRIPTION</stp>
        <stp>[TREASURY.xlsx]Sheet1!R768C10</stp>
        <tr r="J768" s="1"/>
      </tp>
      <tp t="s">
        <v>S/A</v>
        <stp/>
        <stp>##V3_BDPV12</stp>
        <stp>912827YA Govt</stp>
        <stp>COUPON_FREQUENCY_DESCRIPTION</stp>
        <stp>[TREASURY.xlsx]Sheet1!R942C10</stp>
        <tr r="J942" s="1"/>
      </tp>
      <tp t="s">
        <v>S/A</v>
        <stp/>
        <stp>##V3_BDPV12</stp>
        <stp>912827YG Govt</stp>
        <stp>COUPON_FREQUENCY_DESCRIPTION</stp>
        <stp>[TREASURY.xlsx]Sheet1!R944C10</stp>
        <tr r="J944" s="1"/>
      </tp>
      <tp t="s">
        <v>S/A</v>
        <stp/>
        <stp>##V3_BDPV12</stp>
        <stp>912827YE Govt</stp>
        <stp>COUPON_FREQUENCY_DESCRIPTION</stp>
        <stp>[TREASURY.xlsx]Sheet1!R943C10</stp>
        <tr r="J943" s="1"/>
      </tp>
      <tp t="s">
        <v>S/A</v>
        <stp/>
        <stp>##V3_BDPV12</stp>
        <stp>912827YZ Govt</stp>
        <stp>COUPON_FREQUENCY_DESCRIPTION</stp>
        <stp>[TREASURY.xlsx]Sheet1!R950C10</stp>
        <tr r="J950" s="1"/>
      </tp>
      <tp t="s">
        <v>S/A</v>
        <stp/>
        <stp>##V3_BDPV12</stp>
        <stp>912827YY Govt</stp>
        <stp>COUPON_FREQUENCY_DESCRIPTION</stp>
        <stp>[TREASURY.xlsx]Sheet1!R949C10</stp>
        <tr r="J949" s="1"/>
      </tp>
      <tp t="s">
        <v>S/A</v>
        <stp/>
        <stp>##V3_BDPV12</stp>
        <stp>912827YX Govt</stp>
        <stp>COUPON_FREQUENCY_DESCRIPTION</stp>
        <stp>[TREASURY.xlsx]Sheet1!R948C10</stp>
        <tr r="J948" s="1"/>
      </tp>
      <tp t="s">
        <v>S/A</v>
        <stp/>
        <stp>##V3_BDPV12</stp>
        <stp>912827YS Govt</stp>
        <stp>COUPON_FREQUENCY_DESCRIPTION</stp>
        <stp>[TREASURY.xlsx]Sheet1!R946C10</stp>
        <tr r="J946" s="1"/>
      </tp>
      <tp t="s">
        <v>S/A</v>
        <stp/>
        <stp>##V3_BDPV12</stp>
        <stp>912827YV Govt</stp>
        <stp>COUPON_FREQUENCY_DESCRIPTION</stp>
        <stp>[TREASURY.xlsx]Sheet1!R947C10</stp>
        <tr r="J947" s="1"/>
      </tp>
      <tp t="s">
        <v>S/A</v>
        <stp/>
        <stp>##V3_BDPV12</stp>
        <stp>912827Y8 Govt</stp>
        <stp>COUPON_FREQUENCY_DESCRIPTION</stp>
        <stp>[TREASURY.xlsx]Sheet1!R941C10</stp>
        <tr r="J941" s="1"/>
      </tp>
      <tp t="s">
        <v>S/A</v>
        <stp/>
        <stp>##V3_BDPV12</stp>
        <stp>912827W2 Govt</stp>
        <stp>COUPON_FREQUENCY_DESCRIPTION</stp>
        <stp>[TREASURY.xlsx]Sheet1!R767C10</stp>
        <tr r="J767" s="1"/>
      </tp>
      <tp t="s">
        <v>S/A</v>
        <stp/>
        <stp>##V3_BDPV12</stp>
        <stp>912827Y5 Govt</stp>
        <stp>COUPON_FREQUENCY_DESCRIPTION</stp>
        <stp>[TREASURY.xlsx]Sheet1!R940C10</stp>
        <tr r="J940" s="1"/>
      </tp>
      <tp t="s">
        <v>S/A</v>
        <stp/>
        <stp>##V3_BDPV12</stp>
        <stp>912827VK Govt</stp>
        <stp>COUPON_FREQUENCY_DESCRIPTION</stp>
        <stp>[TREASURY.xlsx]Sheet1!R762C10</stp>
        <tr r="J762" s="1"/>
      </tp>
      <tp t="s">
        <v>S/A</v>
        <stp/>
        <stp>##V3_BDPV12</stp>
        <stp>912827XJ Govt</stp>
        <stp>COUPON_FREQUENCY_DESCRIPTION</stp>
        <stp>[TREASURY.xlsx]Sheet1!R936C10</stp>
        <tr r="J936" s="1"/>
      </tp>
      <tp t="s">
        <v>S/A</v>
        <stp/>
        <stp>##V3_BDPV12</stp>
        <stp>912827XD Govt</stp>
        <stp>COUPON_FREQUENCY_DESCRIPTION</stp>
        <stp>[TREASURY.xlsx]Sheet1!R935C10</stp>
        <tr r="J935" s="1"/>
      </tp>
      <tp t="s">
        <v>S/A</v>
        <stp/>
        <stp>##V3_BDPV12</stp>
        <stp>912827WE Govt</stp>
        <stp>COUPON_FREQUENCY_DESCRIPTION</stp>
        <stp>[TREASURY.xlsx]Sheet1!R601C10</stp>
        <tr r="J601" s="1"/>
      </tp>
      <tp t="s">
        <v>S/A</v>
        <stp/>
        <stp>##V3_BDPV12</stp>
        <stp>912827VC Govt</stp>
        <stp>COUPON_FREQUENCY_DESCRIPTION</stp>
        <stp>[TREASURY.xlsx]Sheet1!R760C10</stp>
        <tr r="J760" s="1"/>
      </tp>
      <tp t="s">
        <v>S/A</v>
        <stp/>
        <stp>##V3_BDPV12</stp>
        <stp>912827VA Govt</stp>
        <stp>COUPON_FREQUENCY_DESCRIPTION</stp>
        <stp>[TREASURY.xlsx]Sheet1!R759C10</stp>
        <tr r="J759" s="1"/>
      </tp>
      <tp t="s">
        <v>S/A</v>
        <stp/>
        <stp>##V3_BDPV12</stp>
        <stp>912827VG Govt</stp>
        <stp>COUPON_FREQUENCY_DESCRIPTION</stp>
        <stp>[TREASURY.xlsx]Sheet1!R761C10</stp>
        <tr r="J761" s="1"/>
      </tp>
      <tp t="s">
        <v>S/A</v>
        <stp/>
        <stp>##V3_BDPV12</stp>
        <stp>912827VY Govt</stp>
        <stp>COUPON_FREQUENCY_DESCRIPTION</stp>
        <stp>[TREASURY.xlsx]Sheet1!R766C10</stp>
        <tr r="J766" s="1"/>
      </tp>
      <tp t="s">
        <v>S/A</v>
        <stp/>
        <stp>##V3_BDPV12</stp>
        <stp>912827XX Govt</stp>
        <stp>COUPON_FREQUENCY_DESCRIPTION</stp>
        <stp>[TREASURY.xlsx]Sheet1!R939C10</stp>
        <tr r="J939" s="1"/>
      </tp>
      <tp t="s">
        <v>S/A</v>
        <stp/>
        <stp>##V3_BDPV12</stp>
        <stp>912827VQ Govt</stp>
        <stp>COUPON_FREQUENCY_DESCRIPTION</stp>
        <stp>[TREASURY.xlsx]Sheet1!R763C10</stp>
        <tr r="J763" s="1"/>
      </tp>
      <tp t="s">
        <v>S/A</v>
        <stp/>
        <stp>##V3_BDPV12</stp>
        <stp>912827VR Govt</stp>
        <stp>COUPON_FREQUENCY_DESCRIPTION</stp>
        <stp>[TREASURY.xlsx]Sheet1!R764C10</stp>
        <tr r="J764" s="1"/>
      </tp>
      <tp t="s">
        <v>S/A</v>
        <stp/>
        <stp>##V3_BDPV12</stp>
        <stp>912827XP Govt</stp>
        <stp>COUPON_FREQUENCY_DESCRIPTION</stp>
        <stp>[TREASURY.xlsx]Sheet1!R937C10</stp>
        <tr r="J937" s="1"/>
      </tp>
      <tp t="s">
        <v>S/A</v>
        <stp/>
        <stp>##V3_BDPV12</stp>
        <stp>912827VT Govt</stp>
        <stp>COUPON_FREQUENCY_DESCRIPTION</stp>
        <stp>[TREASURY.xlsx]Sheet1!R765C10</stp>
        <tr r="J765" s="1"/>
      </tp>
      <tp t="s">
        <v>S/A</v>
        <stp/>
        <stp>##V3_BDPV12</stp>
        <stp>912827UW Govt</stp>
        <stp>COUPON_FREQUENCY_DESCRIPTION</stp>
        <stp>[TREASURY.xlsx]Sheet1!R460C10</stp>
        <tr r="J460" s="1"/>
      </tp>
      <tp t="s">
        <v>S/A</v>
        <stp/>
        <stp>##V3_BDPV12</stp>
        <stp>912827XS Govt</stp>
        <stp>COUPON_FREQUENCY_DESCRIPTION</stp>
        <stp>[TREASURY.xlsx]Sheet1!R938C10</stp>
        <tr r="J938" s="1"/>
      </tp>
      <tp t="s">
        <v>S/A</v>
        <stp/>
        <stp>##V3_BDPV12</stp>
        <stp>912827V8 Govt</stp>
        <stp>COUPON_FREQUENCY_DESCRIPTION</stp>
        <stp>[TREASURY.xlsx]Sheet1!R758C10</stp>
        <tr r="J758" s="1"/>
      </tp>
      <tp t="s">
        <v>S/A</v>
        <stp/>
        <stp>##V3_BDPV12</stp>
        <stp>912827X5 Govt</stp>
        <stp>COUPON_FREQUENCY_DESCRIPTION</stp>
        <stp>[TREASURY.xlsx]Sheet1!R934C10</stp>
        <tr r="J934" s="1"/>
      </tp>
      <tp t="s">
        <v>S/A</v>
        <stp/>
        <stp>##V3_BDPV12</stp>
        <stp>912827V4 Govt</stp>
        <stp>COUPON_FREQUENCY_DESCRIPTION</stp>
        <stp>[TREASURY.xlsx]Sheet1!R757C10</stp>
        <tr r="J757" s="1"/>
      </tp>
      <tp t="s">
        <v>UNITED STATES</v>
        <stp/>
        <stp>##V3_BDPV12</stp>
        <stp>9128272F Govt</stp>
        <stp>COUNTRY_FULL_NAME</stp>
        <stp>[TREASURY.xlsx]Sheet1!R1351C8</stp>
        <tr r="H1351" s="1"/>
      </tp>
      <tp t="s">
        <v>UNITED STATES</v>
        <stp/>
        <stp>##V3_BDPV12</stp>
        <stp>9128276D Govt</stp>
        <stp>COUNTRY_FULL_NAME</stp>
        <stp>[TREASURY.xlsx]Sheet1!R1465C8</stp>
        <tr r="H1465" s="1"/>
      </tp>
      <tp t="s">
        <v>T 4 1/2 02/15/36</v>
        <stp/>
        <stp>##V3_BDPV12</stp>
        <stp>912810FT Govt</stp>
        <stp>SECURITY_NAME</stp>
        <stp>[TREASURY.xlsx]Sheet1!R79C16</stp>
        <tr r="P79" s="1"/>
      </tp>
      <tp t="s">
        <v>T 5 3/8 02/15/31</v>
        <stp/>
        <stp>##V3_BDPV12</stp>
        <stp>912810FP Govt</stp>
        <stp>SECURITY_NAME</stp>
        <stp>[TREASURY.xlsx]Sheet1!R93C16</stp>
        <tr r="P93" s="1"/>
      </tp>
      <tp t="s">
        <v>UNITED STATES</v>
        <stp/>
        <stp>##V3_BDPV12</stp>
        <stp>9128273C Govt</stp>
        <stp>COUNTRY_FULL_NAME</stp>
        <stp>[TREASURY.xlsx]Sheet1!R1010C8</stp>
        <tr r="H1010" s="1"/>
      </tp>
      <tp t="s">
        <v>UNITED STATES</v>
        <stp/>
        <stp>##V3_BDPV12</stp>
        <stp>9128277C Govt</stp>
        <stp>COUNTRY_FULL_NAME</stp>
        <stp>[TREASURY.xlsx]Sheet1!R1544C8</stp>
        <tr r="H1544" s="1"/>
      </tp>
      <tp t="s">
        <v>UNITED STATES</v>
        <stp/>
        <stp>##V3_BDPV12</stp>
        <stp>9128274A Govt</stp>
        <stp>COUNTRY_FULL_NAME</stp>
        <stp>[TREASURY.xlsx]Sheet1!R1457C8</stp>
        <tr r="H1457" s="1"/>
      </tp>
      <tp t="s">
        <v>T</v>
        <stp/>
        <stp>##V3_BDPV12</stp>
        <stp>9128282A Govt</stp>
        <stp>TICKER</stp>
        <stp>[TREASURY.xlsx]Sheet1!R56C2</stp>
        <tr r="B56" s="1"/>
      </tp>
      <tp t="s">
        <v>UNITED STATES</v>
        <stp/>
        <stp>##V3_BDPV12</stp>
        <stp>9128272J Govt</stp>
        <stp>COUNTRY_FULL_NAME</stp>
        <stp>[TREASURY.xlsx]Sheet1!R1451C8</stp>
        <tr r="H1451" s="1"/>
      </tp>
      <tp t="s">
        <v>T 3 02/15/47</v>
        <stp/>
        <stp>##V3_BDPV12</stp>
        <stp>912810RV Govt</stp>
        <stp>SECURITY_NAME</stp>
        <stp>[TREASURY.xlsx]Sheet1!R28C16</stp>
        <tr r="P28" s="1"/>
      </tp>
      <tp t="s">
        <v>T 2 1/4 08/15/46</v>
        <stp/>
        <stp>##V3_BDPV12</stp>
        <stp>912810RT Govt</stp>
        <stp>SECURITY_NAME</stp>
        <stp>[TREASURY.xlsx]Sheet1!R96C16</stp>
        <tr r="P96" s="1"/>
      </tp>
      <tp t="s">
        <v>UNITED STATES</v>
        <stp/>
        <stp>##V3_BDPV12</stp>
        <stp>9128273V Govt</stp>
        <stp>COUNTRY_FULL_NAME</stp>
        <stp>[TREASURY.xlsx]Sheet1!R1360C8</stp>
        <tr r="H1360" s="1"/>
      </tp>
      <tp t="s">
        <v>T 1 7/8 02/15/51</v>
        <stp/>
        <stp>##V3_BDPV12</stp>
        <stp>912810SU Govt</stp>
        <stp>SECURITY_NAME</stp>
        <stp>[TREASURY.xlsx]Sheet1!R15C16</stp>
        <tr r="P15" s="1"/>
      </tp>
      <tp t="s">
        <v>T 1 3/8 08/15/50</v>
        <stp/>
        <stp>##V3_BDPV12</stp>
        <stp>912810SP Govt</stp>
        <stp>SECURITY_NAME</stp>
        <stp>[TREASURY.xlsx]Sheet1!R35C16</stp>
        <tr r="P35" s="1"/>
      </tp>
      <tp t="s">
        <v>T 1 7/8 02/15/41</v>
        <stp/>
        <stp>##V3_BDPV12</stp>
        <stp>912810SW Govt</stp>
        <stp>SECURITY_NAME</stp>
        <stp>[TREASURY.xlsx]Sheet1!R44C16</stp>
        <tr r="P44" s="1"/>
      </tp>
      <tp t="s">
        <v>T 1 5/8 11/15/50</v>
        <stp/>
        <stp>##V3_BDPV12</stp>
        <stp>912810SS Govt</stp>
        <stp>SECURITY_NAME</stp>
        <stp>[TREASURY.xlsx]Sheet1!R37C16</stp>
        <tr r="P37" s="1"/>
      </tp>
      <tp t="s">
        <v>T 1 3/8 11/15/40</v>
        <stp/>
        <stp>##V3_BDPV12</stp>
        <stp>912810ST Govt</stp>
        <stp>SECURITY_NAME</stp>
        <stp>[TREASURY.xlsx]Sheet1!R90C16</stp>
        <tr r="P90" s="1"/>
      </tp>
      <tp t="s">
        <v>T 2 1/4 05/15/41</v>
        <stp/>
        <stp>##V3_BDPV12</stp>
        <stp>912810SY Govt</stp>
        <stp>SECURITY_NAME</stp>
        <stp>[TREASURY.xlsx]Sheet1!R21C16</stp>
        <tr r="P21" s="1"/>
      </tp>
      <tp t="s">
        <v>T 1 1/8 08/15/40</v>
        <stp/>
        <stp>##V3_BDPV12</stp>
        <stp>912810SQ Govt</stp>
        <stp>SECURITY_NAME</stp>
        <stp>[TREASURY.xlsx]Sheet1!R92C16</stp>
        <tr r="P92" s="1"/>
      </tp>
      <tp t="s">
        <v>T 2 3/8 11/15/49</v>
        <stp/>
        <stp>##V3_BDPV12</stp>
        <stp>912810SK Govt</stp>
        <stp>SECURITY_NAME</stp>
        <stp>[TREASURY.xlsx]Sheet1!R95C16</stp>
        <tr r="P95" s="1"/>
      </tp>
      <tp t="s">
        <v>T 2 1/4 08/15/49</v>
        <stp/>
        <stp>##V3_BDPV12</stp>
        <stp>912810SJ Govt</stp>
        <stp>SECURITY_NAME</stp>
        <stp>[TREASURY.xlsx]Sheet1!R73C16</stp>
        <tr r="P73" s="1"/>
      </tp>
      <tp t="s">
        <v>T 1 1/4 05/15/50</v>
        <stp/>
        <stp>##V3_BDPV12</stp>
        <stp>912810SN Govt</stp>
        <stp>SECURITY_NAME</stp>
        <stp>[TREASURY.xlsx]Sheet1!R27C16</stp>
        <tr r="P27" s="1"/>
      </tp>
      <tp t="s">
        <v>T 2 02/15/50</v>
        <stp/>
        <stp>##V3_BDPV12</stp>
        <stp>912810SL Govt</stp>
        <stp>SECURITY_NAME</stp>
        <stp>[TREASURY.xlsx]Sheet1!R40C16</stp>
        <tr r="P40" s="1"/>
      </tp>
      <tp t="s">
        <v>T 5 05/15/37</v>
        <stp/>
        <stp>##V3_BDPV12</stp>
        <stp>912810PU Govt</stp>
        <stp>SECURITY_NAME</stp>
        <stp>[TREASURY.xlsx]Sheet1!R63C16</stp>
        <tr r="P63" s="1"/>
      </tp>
      <tp t="s">
        <v>UNITED STATES</v>
        <stp/>
        <stp>##V3_BDPV12</stp>
        <stp>9128276T Govt</stp>
        <stp>COUNTRY_FULL_NAME</stp>
        <stp>[TREASURY.xlsx]Sheet1!R1025C8</stp>
        <tr r="H1025" s="1"/>
      </tp>
      <tp t="s">
        <v>UNITED STATES</v>
        <stp/>
        <stp>##V3_BDPV12</stp>
        <stp>9128272T Govt</stp>
        <stp>COUNTRY_FULL_NAME</stp>
        <stp>[TREASURY.xlsx]Sheet1!R1521C8</stp>
        <tr r="H1521" s="1"/>
      </tp>
      <tp t="s">
        <v>T 1 3/4 08/15/41</v>
        <stp/>
        <stp>##V3_BDPV12</stp>
        <stp>912810TA Govt</stp>
        <stp>SECURITY_NAME</stp>
        <stp>[TREASURY.xlsx]Sheet1!R10C16</stp>
        <tr r="P10" s="1"/>
      </tp>
      <tp t="s">
        <v>UNITED STATES</v>
        <stp/>
        <stp>##V3_BDPV12</stp>
        <stp>9128275P Govt</stp>
        <stp>COUNTRY_FULL_NAME</stp>
        <stp>[TREASURY.xlsx]Sheet1!R1016C8</stp>
        <tr r="H1016" s="1"/>
      </tp>
      <tp t="s">
        <v>UNITED STATES</v>
        <stp/>
        <stp>##V3_BDPV12</stp>
        <stp>9128273P Govt</stp>
        <stp>COUNTRY_FULL_NAME</stp>
        <stp>[TREASURY.xlsx]Sheet1!R1530C8</stp>
        <tr r="H1530" s="1"/>
      </tp>
      <tp t="s">
        <v>UNITED STATES</v>
        <stp/>
        <stp>##V3_BDPV12</stp>
        <stp>9128274Q Govt</stp>
        <stp>COUNTRY_FULL_NAME</stp>
        <stp>[TREASURY.xlsx]Sheet1!R1367C8</stp>
        <tr r="H1367" s="1"/>
      </tp>
      <tp t="s">
        <v>T</v>
        <stp/>
        <stp>##V3_BDPV12</stp>
        <stp>912828ZL Govt</stp>
        <stp>TICKER</stp>
        <stp>[TREASURY.xlsx]Sheet1!R66C2</stp>
        <tr r="B66" s="1"/>
      </tp>
      <tp t="s">
        <v>T</v>
        <stp/>
        <stp>##V3_BDPV12</stp>
        <stp>912828YF Govt</stp>
        <stp>TICKER</stp>
        <stp>[TREASURY.xlsx]Sheet1!R76C2</stp>
        <tr r="B76" s="1"/>
      </tp>
      <tp t="s">
        <v>T</v>
        <stp/>
        <stp>##V3_BDPV12</stp>
        <stp>912828YB Govt</stp>
        <stp>TICKER</stp>
        <stp>[TREASURY.xlsx]Sheet1!R26C2</stp>
        <tr r="B26" s="1"/>
      </tp>
      <tp t="s">
        <v>S/A</v>
        <stp/>
        <stp>##V3_BDPV12</stp>
        <stp>9128273X Govt</stp>
        <stp>COUPON_FREQUENCY_DESCRIPTION</stp>
        <stp>[TREASURY.xlsx]Sheet1!R500C10</stp>
        <tr r="J500" s="1"/>
      </tp>
      <tp t="s">
        <v>USD</v>
        <stp/>
        <stp>##V3_BDPV12</stp>
        <stp>91282CAN Govt</stp>
        <stp>CRNCY</stp>
        <stp>[TREASURY.xlsx]Sheet1!R46C7</stp>
        <tr r="G46" s="1"/>
      </tp>
      <tp t="s">
        <v>USD</v>
        <stp/>
        <stp>##V3_BDPV12</stp>
        <stp>91282CCT Govt</stp>
        <stp>CRNCY</stp>
        <stp>[TREASURY.xlsx]Sheet1!R16C7</stp>
        <tr r="G16" s="1"/>
      </tp>
      <tp t="s">
        <v>USD</v>
        <stp/>
        <stp>##V3_BDPV12</stp>
        <stp>91282CCH Govt</stp>
        <stp>CRNCY</stp>
        <stp>[TREASURY.xlsx]Sheet1!R36C7</stp>
        <tr r="G36" s="1"/>
      </tp>
      <tp t="s">
        <v>USD</v>
        <stp/>
        <stp>##V3_BDPV12</stp>
        <stp>91282CBP Govt</stp>
        <stp>CRNCY</stp>
        <stp>[TREASURY.xlsx]Sheet1!R86C7</stp>
        <tr r="G86" s="1"/>
      </tp>
      <tp t="s">
        <v>S/A</v>
        <stp/>
        <stp>##V3_BDPV12</stp>
        <stp>9128277B Govt</stp>
        <stp>COUPON_FREQUENCY_DESCRIPTION</stp>
        <stp>[TREASURY.xlsx]Sheet1!R354C10</stp>
        <tr r="J354" s="1"/>
      </tp>
      <tp t="s">
        <v>S/A</v>
        <stp/>
        <stp>##V3_BDPV12</stp>
        <stp>9128273Y Govt</stp>
        <stp>COUPON_FREQUENCY_DESCRIPTION</stp>
        <stp>[TREASURY.xlsx]Sheet1!R607C10</stp>
        <tr r="J607" s="1"/>
      </tp>
      <tp t="s">
        <v>S/A</v>
        <stp/>
        <stp>##V3_BDPV12</stp>
        <stp>9128276J Govt</stp>
        <stp>COUPON_FREQUENCY_DESCRIPTION</stp>
        <stp>[TREASURY.xlsx]Sheet1!R438C10</stp>
        <tr r="J438" s="1"/>
      </tp>
      <tp t="s">
        <v>S/A</v>
        <stp/>
        <stp>##V3_BDPV12</stp>
        <stp>9128277K Govt</stp>
        <stp>COUPON_FREQUENCY_DESCRIPTION</stp>
        <stp>[TREASURY.xlsx]Sheet1!R528C10</stp>
        <tr r="J528" s="1"/>
      </tp>
      <tp t="s">
        <v>S/A</v>
        <stp/>
        <stp>##V3_BDPV12</stp>
        <stp>9128274T Govt</stp>
        <stp>COUPON_FREQUENCY_DESCRIPTION</stp>
        <stp>[TREASURY.xlsx]Sheet1!R610C10</stp>
        <tr r="J610" s="1"/>
      </tp>
      <tp t="s">
        <v>S/A</v>
        <stp/>
        <stp>##V3_BDPV12</stp>
        <stp>9128276P Govt</stp>
        <stp>COUPON_FREQUENCY_DESCRIPTION</stp>
        <stp>[TREASURY.xlsx]Sheet1!R441C10</stp>
        <tr r="J441" s="1"/>
      </tp>
      <tp t="s">
        <v>S/A</v>
        <stp/>
        <stp>##V3_BDPV12</stp>
        <stp>9128275N Govt</stp>
        <stp>COUPON_FREQUENCY_DESCRIPTION</stp>
        <stp>[TREASURY.xlsx]Sheet1!R674C10</stp>
        <tr r="J674" s="1"/>
      </tp>
      <tp t="s">
        <v>S/A</v>
        <stp/>
        <stp>##V3_BDPV12</stp>
        <stp>9128275F Govt</stp>
        <stp>COUPON_FREQUENCY_DESCRIPTION</stp>
        <stp>[TREASURY.xlsx]Sheet1!R662C10</stp>
        <tr r="J662" s="1"/>
      </tp>
      <tp t="s">
        <v>S/A</v>
        <stp/>
        <stp>##V3_BDPV12</stp>
        <stp>9128275X Govt</stp>
        <stp>COUPON_FREQUENCY_DESCRIPTION</stp>
        <stp>[TREASURY.xlsx]Sheet1!R633C10</stp>
        <tr r="J633" s="1"/>
      </tp>
      <tp t="s">
        <v>S/A</v>
        <stp/>
        <stp>##V3_BDPV12</stp>
        <stp>9128275E Govt</stp>
        <stp>COUPON_FREQUENCY_DESCRIPTION</stp>
        <stp>[TREASURY.xlsx]Sheet1!R553C10</stp>
        <tr r="J553" s="1"/>
      </tp>
      <tp t="s">
        <v>S/A</v>
        <stp/>
        <stp>##V3_BDPV12</stp>
        <stp>9128274F Govt</stp>
        <stp>COUPON_FREQUENCY_DESCRIPTION</stp>
        <stp>[TREASURY.xlsx]Sheet1!R578C10</stp>
        <tr r="J578" s="1"/>
      </tp>
      <tp t="s">
        <v>S/A</v>
        <stp/>
        <stp>##V3_BDPV12</stp>
        <stp>9128275Z Govt</stp>
        <stp>COUPON_FREQUENCY_DESCRIPTION</stp>
        <stp>[TREASURY.xlsx]Sheet1!R428C10</stp>
        <tr r="J428" s="1"/>
      </tp>
      <tp t="s">
        <v>S/A</v>
        <stp/>
        <stp>##V3_BDPV12</stp>
        <stp>9128274W Govt</stp>
        <stp>COUPON_FREQUENCY_DESCRIPTION</stp>
        <stp>[TREASURY.xlsx]Sheet1!R522C10</stp>
        <tr r="J522" s="1"/>
      </tp>
      <tp t="s">
        <v>USD</v>
        <stp/>
        <stp>##V3_BDPV12</stp>
        <stp>912828YQ Govt</stp>
        <stp>CRNCY</stp>
        <stp>[TREASURY.xlsx]Sheet1!R87C7</stp>
        <tr r="G87" s="1"/>
      </tp>
      <tp t="s">
        <v>USD</v>
        <stp/>
        <stp>##V3_BDPV12</stp>
        <stp>912828X8 Govt</stp>
        <stp>CRNCY</stp>
        <stp>[TREASURY.xlsx]Sheet1!R97C7</stp>
        <tr r="G97" s="1"/>
      </tp>
      <tp>
        <v>0.875</v>
        <stp/>
        <stp>##V3_BDPV12</stp>
        <stp>91282CAV Govt</stp>
        <stp>CPN</stp>
        <stp>[TREASURY.xlsx]Sheet1!R17C3</stp>
        <tr r="C17" s="1"/>
      </tp>
      <tp>
        <v>0.39157308382473183</v>
        <stp/>
        <stp>##V3_BDPV12</stp>
        <stp>91282CBR Govt</stp>
        <stp>YLD_YTM_BID</stp>
        <stp>[TREASURY.xlsx]Sheet1!R55C4</stp>
        <tr r="D55" s="1"/>
      </tp>
      <tp>
        <v>1.2474737995944045</v>
        <stp/>
        <stp>##V3_BDPV12</stp>
        <stp>91282CBS Govt</stp>
        <stp>YLD_YTM_BID</stp>
        <stp>[TREASURY.xlsx]Sheet1!R75C4</stp>
        <tr r="D75" s="1"/>
      </tp>
      <tp t="s">
        <v>USD</v>
        <stp/>
        <stp>##V3_BDPV12</stp>
        <stp>912810SW Govt</stp>
        <stp>CRNCY</stp>
        <stp>[TREASURY.xlsx]Sheet1!R44C7</stp>
        <tr r="G44" s="1"/>
      </tp>
      <tp>
        <v>0.125</v>
        <stp/>
        <stp>##V3_BDPV12</stp>
        <stp>91282CAX Govt</stp>
        <stp>CPN</stp>
        <stp>[TREASURY.xlsx]Sheet1!R67C3</stp>
        <tr r="C67" s="1"/>
      </tp>
      <tp t="s">
        <v>6/30/2021</v>
        <stp/>
        <stp>##V3_BDPV12</stp>
        <stp>91282CBC Govt</stp>
        <stp>FIRST_CPN_DT</stp>
        <stp>[TREASURY.xlsx]Sheet1!R41C9</stp>
        <tr r="I41" s="1"/>
      </tp>
      <tp t="s">
        <v>11/30/2021</v>
        <stp/>
        <stp>##V3_BDPV12</stp>
        <stp>91282CCE Govt</stp>
        <stp>FIRST_CPN_DT</stp>
        <stp>[TREASURY.xlsx]Sheet1!R77C9</stp>
        <tr r="I77" s="1"/>
      </tp>
      <tp t="s">
        <v>11/30/2021</v>
        <stp/>
        <stp>##V3_BDPV12</stp>
        <stp>91282CCF Govt</stp>
        <stp>FIRST_CPN_DT</stp>
        <stp>[TREASURY.xlsx]Sheet1!R34C9</stp>
        <tr r="I34" s="1"/>
      </tp>
      <tp>
        <v>0.92888681618745872</v>
        <stp/>
        <stp>##V3_BDPV12</stp>
        <stp>91282CCF Govt</stp>
        <stp>YLD_YTM_BID</stp>
        <stp>[TREASURY.xlsx]Sheet1!R34C4</stp>
        <tr r="D34" s="1"/>
      </tp>
      <tp>
        <v>1.125</v>
        <stp/>
        <stp>##V3_BDPV12</stp>
        <stp>91282CBL Govt</stp>
        <stp>CPN</stp>
        <stp>[TREASURY.xlsx]Sheet1!R14C3</stp>
        <tr r="C14" s="1"/>
      </tp>
      <tp>
        <v>0.10115129892388135</v>
        <stp/>
        <stp>##V3_BDPV12</stp>
        <stp>91282CAN Govt</stp>
        <stp>YLD_YTM_BID</stp>
        <stp>[TREASURY.xlsx]Sheet1!R46C4</stp>
        <tr r="D46" s="1"/>
      </tp>
      <tp>
        <v>0.24566673419949778</v>
        <stp/>
        <stp>##V3_BDPV12</stp>
        <stp>91282CCN Govt</stp>
        <stp>YLD_YTM_BID</stp>
        <stp>[TREASURY.xlsx]Sheet1!R24C4</stp>
        <tr r="D24" s="1"/>
      </tp>
      <tp t="s">
        <v>UNITED STATES</v>
        <stp/>
        <stp>##V3_BDPV12</stp>
        <stp>9128273G Govt</stp>
        <stp>COUNTRY_FULL_NAME</stp>
        <stp>[TREASURY.xlsx]Sheet1!R1011C8</stp>
        <tr r="H1011" s="1"/>
      </tp>
      <tp t="s">
        <v>UNITED STATES</v>
        <stp/>
        <stp>##V3_BDPV12</stp>
        <stp>9128272D Govt</stp>
        <stp>COUNTRY_FULL_NAME</stp>
        <stp>[TREASURY.xlsx]Sheet1!R1350C8</stp>
        <tr r="H1350" s="1"/>
      </tp>
      <tp t="s">
        <v>UNITED STATES</v>
        <stp/>
        <stp>##V3_BDPV12</stp>
        <stp>9128277E Govt</stp>
        <stp>COUNTRY_FULL_NAME</stp>
        <stp>[TREASURY.xlsx]Sheet1!R1545C8</stp>
        <tr r="H1545" s="1"/>
      </tp>
      <tp t="s">
        <v>UNITED STATES</v>
        <stp/>
        <stp>##V3_BDPV12</stp>
        <stp>9128284B Govt</stp>
        <stp>COUNTRY_FULL_NAME</stp>
        <stp>[TREASURY.xlsx]Sheet1!R1106C8</stp>
        <tr r="H1106" s="1"/>
      </tp>
      <tp t="s">
        <v>UNITED STATES</v>
        <stp/>
        <stp>##V3_BDPV12</stp>
        <stp>9128276N Govt</stp>
        <stp>COUNTRY_FULL_NAME</stp>
        <stp>[TREASURY.xlsx]Sheet1!R1024C8</stp>
        <tr r="H1024" s="1"/>
      </tp>
      <tp t="s">
        <v>UNITED STATES</v>
        <stp/>
        <stp>##V3_BDPV12</stp>
        <stp>9128274K Govt</stp>
        <stp>COUNTRY_FULL_NAME</stp>
        <stp>[TREASURY.xlsx]Sheet1!R1366C8</stp>
        <tr r="H1366" s="1"/>
      </tp>
      <tp t="s">
        <v>UNITED STATES</v>
        <stp/>
        <stp>##V3_BDPV12</stp>
        <stp>9128272H Govt</stp>
        <stp>COUNTRY_FULL_NAME</stp>
        <stp>[TREASURY.xlsx]Sheet1!R1450C8</stp>
        <tr r="H1450" s="1"/>
      </tp>
      <tp t="s">
        <v>UNITED STATES</v>
        <stp/>
        <stp>##V3_BDPV12</stp>
        <stp>9128273S Govt</stp>
        <stp>COUNTRY_FULL_NAME</stp>
        <stp>[TREASURY.xlsx]Sheet1!R1531C8</stp>
        <tr r="H1531" s="1"/>
      </tp>
      <tp t="s">
        <v>UNITED STATES</v>
        <stp/>
        <stp>##V3_BDPV12</stp>
        <stp>9128272S Govt</stp>
        <stp>COUNTRY_FULL_NAME</stp>
        <stp>[TREASURY.xlsx]Sheet1!R1520C8</stp>
        <tr r="H1520" s="1"/>
      </tp>
      <tp t="s">
        <v>UNITED STATES</v>
        <stp/>
        <stp>##V3_BDPV12</stp>
        <stp>9128275Q Govt</stp>
        <stp>COUNTRY_FULL_NAME</stp>
        <stp>[TREASURY.xlsx]Sheet1!R1017C8</stp>
        <tr r="H1017" s="1"/>
      </tp>
      <tp t="s">
        <v>UNITED STATES</v>
        <stp/>
        <stp>##V3_BDPV12</stp>
        <stp>9128273Z Govt</stp>
        <stp>COUNTRY_FULL_NAME</stp>
        <stp>[TREASURY.xlsx]Sheet1!R1361C8</stp>
        <tr r="H1361" s="1"/>
      </tp>
      <tp t="s">
        <v>T</v>
        <stp/>
        <stp>##V3_BDPV12</stp>
        <stp>912828X8 Govt</stp>
        <stp>TICKER</stp>
        <stp>[TREASURY.xlsx]Sheet1!R97C2</stp>
        <tr r="B97" s="1"/>
      </tp>
      <tp t="s">
        <v>T</v>
        <stp/>
        <stp>##V3_BDPV12</stp>
        <stp>912828YQ Govt</stp>
        <stp>TICKER</stp>
        <stp>[TREASURY.xlsx]Sheet1!R87C2</stp>
        <tr r="B87" s="1"/>
      </tp>
      <tp t="s">
        <v>ACT/ACT</v>
        <stp/>
        <stp>##V3_BDPV12</stp>
        <stp>912810SN Govt</stp>
        <stp>DAY_CNT_DES</stp>
        <stp>[TREASURY.xlsx]Sheet1!R27C17</stp>
        <tr r="Q27" s="1"/>
      </tp>
      <tp t="s">
        <v>ACT/ACT</v>
        <stp/>
        <stp>##V3_BDPV12</stp>
        <stp>91282CAN Govt</stp>
        <stp>DAY_CNT_DES</stp>
        <stp>[TREASURY.xlsx]Sheet1!R46C17</stp>
        <tr r="Q46" s="1"/>
      </tp>
      <tp t="s">
        <v>ACT/ACT</v>
        <stp/>
        <stp>##V3_BDPV12</stp>
        <stp>91282CCN Govt</stp>
        <stp>DAY_CNT_DES</stp>
        <stp>[TREASURY.xlsx]Sheet1!R24C17</stp>
        <tr r="Q24" s="1"/>
      </tp>
      <tp t="s">
        <v>ACT/ACT</v>
        <stp/>
        <stp>##V3_BDPV12</stp>
        <stp>91282CBN Govt</stp>
        <stp>DAY_CNT_DES</stp>
        <stp>[TREASURY.xlsx]Sheet1!R82C17</stp>
        <tr r="Q82" s="1"/>
      </tp>
      <tp t="s">
        <v>ACT/ACT</v>
        <stp/>
        <stp>##V3_BDPV12</stp>
        <stp>9128284N Govt</stp>
        <stp>DAY_CNT_DES</stp>
        <stp>[TREASURY.xlsx]Sheet1!R71C17</stp>
        <tr r="Q71" s="1"/>
      </tp>
      <tp t="s">
        <v>USD</v>
        <stp/>
        <stp>##V3_BDPV12</stp>
        <stp>91282CAV Govt</stp>
        <stp>CRNCY</stp>
        <stp>[TREASURY.xlsx]Sheet1!R17C7</stp>
        <tr r="G17" s="1"/>
      </tp>
      <tp t="s">
        <v>USD</v>
        <stp/>
        <stp>##V3_BDPV12</stp>
        <stp>91282CAX Govt</stp>
        <stp>CRNCY</stp>
        <stp>[TREASURY.xlsx]Sheet1!R67C7</stp>
        <tr r="G67" s="1"/>
      </tp>
      <tp t="s">
        <v>USD</v>
        <stp/>
        <stp>##V3_BDPV12</stp>
        <stp>91282CCE Govt</stp>
        <stp>CRNCY</stp>
        <stp>[TREASURY.xlsx]Sheet1!R77C7</stp>
        <tr r="G77" s="1"/>
      </tp>
      <tp t="s">
        <v>USD</v>
        <stp/>
        <stp>##V3_BDPV12</stp>
        <stp>91282CCG Govt</stp>
        <stp>CRNCY</stp>
        <stp>[TREASURY.xlsx]Sheet1!R47C7</stp>
        <tr r="G47" s="1"/>
      </tp>
      <tp t="s">
        <v>USD</v>
        <stp/>
        <stp>##V3_BDPV12</stp>
        <stp>91282CBG Govt</stp>
        <stp>CRNCY</stp>
        <stp>[TREASURY.xlsx]Sheet1!R57C7</stp>
        <tr r="G57" s="1"/>
      </tp>
      <tp>
        <v>0.375</v>
        <stp/>
        <stp>##V3_BDPV12</stp>
        <stp>91282CCT Govt</stp>
        <stp>CPN</stp>
        <stp>[TREASURY.xlsx]Sheet1!R16C3</stp>
        <tr r="C16" s="1"/>
      </tp>
      <tp t="s">
        <v>USD</v>
        <stp/>
        <stp>##V3_BDPV12</stp>
        <stp>912828J2 Govt</stp>
        <stp>CRNCY</stp>
        <stp>[TREASURY.xlsx]Sheet1!R94C7</stp>
        <tr r="G94" s="1"/>
      </tp>
      <tp t="s">
        <v>USD</v>
        <stp/>
        <stp>##V3_BDPV12</stp>
        <stp>912828U2 Govt</stp>
        <stp>CRNCY</stp>
        <stp>[TREASURY.xlsx]Sheet1!R84C7</stp>
        <tr r="G84" s="1"/>
      </tp>
      <tp t="s">
        <v>USD</v>
        <stp/>
        <stp>##V3_BDPV12</stp>
        <stp>912828ZC Govt</stp>
        <stp>CRNCY</stp>
        <stp>[TREASURY.xlsx]Sheet1!R74C7</stp>
        <tr r="G74" s="1"/>
      </tp>
      <tp t="s">
        <v>USD</v>
        <stp/>
        <stp>##V3_BDPV12</stp>
        <stp>9128285D Govt</stp>
        <stp>CRNCY</stp>
        <stp>[TREASURY.xlsx]Sheet1!R54C7</stp>
        <tr r="G54" s="1"/>
      </tp>
      <tp>
        <v>1.2255089081773951</v>
        <stp/>
        <stp>##V3_BDPV12</stp>
        <stp>91282CBP Govt</stp>
        <stp>YLD_YTM_BID</stp>
        <stp>[TREASURY.xlsx]Sheet1!R86C4</stp>
        <tr r="D86" s="1"/>
      </tp>
      <tp>
        <v>5.375</v>
        <stp/>
        <stp>##V3_BDPV12</stp>
        <stp>912810FP Govt</stp>
        <stp>CPN</stp>
        <stp>[TREASURY.xlsx]Sheet1!R93C3</stp>
        <tr r="C93" s="1"/>
      </tp>
      <tp>
        <v>0.125</v>
        <stp/>
        <stp>##V3_BDPV12</stp>
        <stp>91282CAR Govt</stp>
        <stp>CPN</stp>
        <stp>[TREASURY.xlsx]Sheet1!R64C3</stp>
        <tr r="C64" s="1"/>
      </tp>
      <tp t="s">
        <v>USD</v>
        <stp/>
        <stp>##V3_BDPV12</stp>
        <stp>912810SS Govt</stp>
        <stp>CRNCY</stp>
        <stp>[TREASURY.xlsx]Sheet1!R37C7</stp>
        <tr r="G37" s="1"/>
      </tp>
      <tp t="s">
        <v>USD</v>
        <stp/>
        <stp>##V3_BDPV12</stp>
        <stp>912810SN Govt</stp>
        <stp>CRNCY</stp>
        <stp>[TREASURY.xlsx]Sheet1!R27C7</stp>
        <tr r="G27" s="1"/>
      </tp>
      <tp>
        <v>0.83363950326518044</v>
        <stp/>
        <stp>##V3_BDPV12</stp>
        <stp>91282CAZ Govt</stp>
        <stp>YLD_YTM_BID</stp>
        <stp>[TREASURY.xlsx]Sheet1!R45C4</stp>
        <tr r="D45" s="1"/>
      </tp>
      <tp t="s">
        <v>2/15/2022</v>
        <stp/>
        <stp>##V3_BDPV12</stp>
        <stp>912810TA Govt</stp>
        <stp>FIRST_CPN_DT</stp>
        <stp>[TREASURY.xlsx]Sheet1!R10C9</stp>
        <tr r="I10" s="1"/>
      </tp>
      <tp>
        <v>1.2695950322187917</v>
        <stp/>
        <stp>##V3_BDPV12</stp>
        <stp>91282CCE Govt</stp>
        <stp>YLD_YTM_BID</stp>
        <stp>[TREASURY.xlsx]Sheet1!R77C4</stp>
        <tr r="D77" s="1"/>
      </tp>
      <tp t="s">
        <v>7/31/2021</v>
        <stp/>
        <stp>##V3_BDPV12</stp>
        <stp>91282CBH Govt</stp>
        <stp>FIRST_CPN_DT</stp>
        <stp>[TREASURY.xlsx]Sheet1!R59C9</stp>
        <tr r="I59" s="1"/>
      </tp>
      <tp t="s">
        <v>8/15/2019</v>
        <stp/>
        <stp>##V3_BDPV12</stp>
        <stp>9128286B Govt</stp>
        <stp>FIRST_CPN_DT</stp>
        <stp>[TREASURY.xlsx]Sheet1!R43C9</stp>
        <tr r="I43" s="1"/>
      </tp>
      <tp>
        <v>0.125</v>
        <stp/>
        <stp>##V3_BDPV12</stp>
        <stp>91282CBG Govt</stp>
        <stp>CPN</stp>
        <stp>[TREASURY.xlsx]Sheet1!R57C3</stp>
        <tr r="C57" s="1"/>
      </tp>
      <tp>
        <v>0.46053592116781089</v>
        <stp/>
        <stp>##V3_BDPV12</stp>
        <stp>91282CCG Govt</stp>
        <stp>YLD_YTM_BID</stp>
        <stp>[TREASURY.xlsx]Sheet1!R47C4</stp>
        <tr r="D47" s="1"/>
      </tp>
      <tp>
        <v>0.25</v>
        <stp/>
        <stp>##V3_BDPV12</stp>
        <stp>91282CDA Govt</stp>
        <stp>CPN</stp>
        <stp>[TREASURY.xlsx]Sheet1!R11C3</stp>
        <tr r="C11" s="1"/>
      </tp>
      <tp>
        <v>1.25</v>
        <stp/>
        <stp>##V3_BDPV12</stp>
        <stp>91282CCH Govt</stp>
        <stp>CPN</stp>
        <stp>[TREASURY.xlsx]Sheet1!R36C3</stp>
        <tr r="C36" s="1"/>
      </tp>
      <tp t="s">
        <v>UNITED STATES</v>
        <stp/>
        <stp>##V3_BDPV12</stp>
        <stp>9128277L Govt</stp>
        <stp>COUNTRY_FULL_NAME</stp>
        <stp>[TREASURY.xlsx]Sheet1!R1546C8</stp>
        <tr r="H1546" s="1"/>
      </tp>
      <tp t="s">
        <v>UNITED STATES</v>
        <stp/>
        <stp>##V3_BDPV12</stp>
        <stp>9128275L Govt</stp>
        <stp>COUNTRY_FULL_NAME</stp>
        <stp>[TREASURY.xlsx]Sheet1!R1464C8</stp>
        <tr r="H1464" s="1"/>
      </tp>
      <tp t="s">
        <v>UNITED STATES</v>
        <stp/>
        <stp>##V3_BDPV12</stp>
        <stp>9128275J Govt</stp>
        <stp>COUNTRY_FULL_NAME</stp>
        <stp>[TREASURY.xlsx]Sheet1!R1014C8</stp>
        <tr r="H1014" s="1"/>
      </tp>
      <tp t="s">
        <v>UNITED STATES</v>
        <stp/>
        <stp>##V3_BDPV12</stp>
        <stp>9128274J Govt</stp>
        <stp>COUNTRY_FULL_NAME</stp>
        <stp>[TREASURY.xlsx]Sheet1!R1365C8</stp>
        <tr r="H1365" s="1"/>
      </tp>
      <tp t="s">
        <v>UNITED STATES</v>
        <stp/>
        <stp>##V3_BDPV12</stp>
        <stp>9128276H Govt</stp>
        <stp>COUNTRY_FULL_NAME</stp>
        <stp>[TREASURY.xlsx]Sheet1!R1537C8</stp>
        <tr r="H1537" s="1"/>
      </tp>
      <tp t="s">
        <v>T</v>
        <stp/>
        <stp>##V3_BDPV12</stp>
        <stp>9128285D Govt</stp>
        <stp>TICKER</stp>
        <stp>[TREASURY.xlsx]Sheet1!R54C2</stp>
        <tr r="B54" s="1"/>
      </tp>
      <tp t="s">
        <v>UNITED STATES</v>
        <stp/>
        <stp>##V3_BDPV12</stp>
        <stp>9128272W Govt</stp>
        <stp>COUNTRY_FULL_NAME</stp>
        <stp>[TREASURY.xlsx]Sheet1!R1523C8</stp>
        <tr r="H1523" s="1"/>
      </tp>
      <tp t="s">
        <v>UNITED STATES</v>
        <stp/>
        <stp>##V3_BDPV12</stp>
        <stp>9128276U Govt</stp>
        <stp>COUNTRY_FULL_NAME</stp>
        <stp>[TREASURY.xlsx]Sheet1!R1467C8</stp>
        <tr r="H1467" s="1"/>
      </tp>
      <tp t="s">
        <v>UNITED STATES</v>
        <stp/>
        <stp>##V3_BDPV12</stp>
        <stp>9128272R Govt</stp>
        <stp>COUNTRY_FULL_NAME</stp>
        <stp>[TREASURY.xlsx]Sheet1!R1453C8</stp>
        <tr r="H1453" s="1"/>
      </tp>
      <tp t="s">
        <v>T</v>
        <stp/>
        <stp>##V3_BDPV12</stp>
        <stp>912828ZC Govt</stp>
        <stp>TICKER</stp>
        <stp>[TREASURY.xlsx]Sheet1!R74C2</stp>
        <tr r="B74" s="1"/>
      </tp>
      <tp t="s">
        <v>T</v>
        <stp/>
        <stp>##V3_BDPV12</stp>
        <stp>912828U2 Govt</stp>
        <stp>TICKER</stp>
        <stp>[TREASURY.xlsx]Sheet1!R84C2</stp>
        <tr r="B84" s="1"/>
      </tp>
      <tp t="s">
        <v>T</v>
        <stp/>
        <stp>##V3_BDPV12</stp>
        <stp>912828J2 Govt</stp>
        <stp>TICKER</stp>
        <stp>[TREASURY.xlsx]Sheet1!R94C2</stp>
        <tr r="B94" s="1"/>
      </tp>
      <tp>
        <v>0.49018210260934747</v>
        <stp/>
        <stp>##V3_BDPV12</stp>
        <stp>912828D5 Govt</stp>
        <stp>YLD_YTM_BID</stp>
        <stp>[TREASURY.xlsx]Sheet1!R70C4</stp>
        <tr r="D70" s="1"/>
      </tp>
      <tp t="s">
        <v>ACT/ACT</v>
        <stp/>
        <stp>##V3_BDPV12</stp>
        <stp>91282CAM Govt</stp>
        <stp>DAY_CNT_DES</stp>
        <stp>[TREASURY.xlsx]Sheet1!R42C17</stp>
        <tr r="Q42" s="1"/>
      </tp>
      <tp t="s">
        <v>ACT/ACT</v>
        <stp/>
        <stp>##V3_BDPV12</stp>
        <stp>9128285M Govt</stp>
        <stp>DAY_CNT_DES</stp>
        <stp>[TREASURY.xlsx]Sheet1!R51C17</stp>
        <tr r="Q51" s="1"/>
      </tp>
      <tp t="s">
        <v>USD</v>
        <stp/>
        <stp>##V3_BDPV12</stp>
        <stp>91282CAR Govt</stp>
        <stp>CRNCY</stp>
        <stp>[TREASURY.xlsx]Sheet1!R64C7</stp>
        <tr r="G64" s="1"/>
      </tp>
      <tp t="s">
        <v>USD</v>
        <stp/>
        <stp>##V3_BDPV12</stp>
        <stp>91282CCF Govt</stp>
        <stp>CRNCY</stp>
        <stp>[TREASURY.xlsx]Sheet1!R34C7</stp>
        <tr r="G34" s="1"/>
      </tp>
      <tp t="s">
        <v>USD</v>
        <stp/>
        <stp>##V3_BDPV12</stp>
        <stp>91282CCN Govt</stp>
        <stp>CRNCY</stp>
        <stp>[TREASURY.xlsx]Sheet1!R24C7</stp>
        <tr r="G24" s="1"/>
      </tp>
      <tp t="s">
        <v>USD</v>
        <stp/>
        <stp>##V3_BDPV12</stp>
        <stp>91282CBL Govt</stp>
        <stp>CRNCY</stp>
        <stp>[TREASURY.xlsx]Sheet1!R14C7</stp>
        <tr r="G14" s="1"/>
      </tp>
      <tp>
        <v>0.49899591050127451</v>
        <stp/>
        <stp>##V3_BDPV12</stp>
        <stp>91282CCT Govt</stp>
        <stp>YLD_YTM_BID</stp>
        <stp>[TREASURY.xlsx]Sheet1!R16C4</stp>
        <tr r="D16" s="1"/>
      </tp>
      <tp t="s">
        <v>USD</v>
        <stp/>
        <stp>##V3_BDPV12</stp>
        <stp>912828ZT Govt</stp>
        <stp>CRNCY</stp>
        <stp>[TREASURY.xlsx]Sheet1!R85C7</stp>
        <tr r="G85" s="1"/>
      </tp>
      <tp t="s">
        <v>USD</v>
        <stp/>
        <stp>##V3_BDPV12</stp>
        <stp>912828Z9 Govt</stp>
        <stp>CRNCY</stp>
        <stp>[TREASURY.xlsx]Sheet1!R25C7</stp>
        <tr r="G25" s="1"/>
      </tp>
      <tp t="s">
        <v>USD</v>
        <stp/>
        <stp>##V3_BDPV12</stp>
        <stp>9128283F Govt</stp>
        <stp>CRNCY</stp>
        <stp>[TREASURY.xlsx]Sheet1!R65C7</stp>
        <tr r="G65" s="1"/>
      </tp>
      <tp>
        <v>1.4346896645450651</v>
        <stp/>
        <stp>##V3_BDPV12</stp>
        <stp>912810FP Govt</stp>
        <stp>YLD_YTM_BID</stp>
        <stp>[TREASURY.xlsx]Sheet1!R93C4</stp>
        <tr r="D93" s="1"/>
      </tp>
      <tp>
        <v>1.125</v>
        <stp/>
        <stp>##V3_BDPV12</stp>
        <stp>91282CBP Govt</stp>
        <stp>CPN</stp>
        <stp>[TREASURY.xlsx]Sheet1!R86C3</stp>
        <tr r="C86" s="1"/>
      </tp>
      <tp>
        <v>0.11035440055351152</v>
        <stp/>
        <stp>##V3_BDPV12</stp>
        <stp>91282CAR Govt</stp>
        <stp>YLD_YTM_BID</stp>
        <stp>[TREASURY.xlsx]Sheet1!R64C4</stp>
        <tr r="D64" s="1"/>
      </tp>
      <tp t="s">
        <v>USD</v>
        <stp/>
        <stp>##V3_BDPV12</stp>
        <stp>912810RT Govt</stp>
        <stp>CRNCY</stp>
        <stp>[TREASURY.xlsx]Sheet1!R96C7</stp>
        <tr r="G96" s="1"/>
      </tp>
      <tp>
        <v>0.375</v>
        <stp/>
        <stp>##V3_BDPV12</stp>
        <stp>91282CAZ Govt</stp>
        <stp>CPN</stp>
        <stp>[TREASURY.xlsx]Sheet1!R45C3</stp>
        <tr r="C45" s="1"/>
      </tp>
      <tp>
        <v>1.25</v>
        <stp/>
        <stp>##V3_BDPV12</stp>
        <stp>91282CCE Govt</stp>
        <stp>CPN</stp>
        <stp>[TREASURY.xlsx]Sheet1!R77C3</stp>
        <tr r="C77" s="1"/>
      </tp>
      <tp t="s">
        <v>7/31/2021</v>
        <stp/>
        <stp>##V3_BDPV12</stp>
        <stp>91282CBG Govt</stp>
        <stp>FIRST_CPN_DT</stp>
        <stp>[TREASURY.xlsx]Sheet1!R57C9</stp>
        <tr r="I57" s="1"/>
      </tp>
      <tp t="s">
        <v>12/15/2021</v>
        <stp/>
        <stp>##V3_BDPV12</stp>
        <stp>91282CCG Govt</stp>
        <stp>FIRST_CPN_DT</stp>
        <stp>[TREASURY.xlsx]Sheet1!R47C9</stp>
        <tr r="I47" s="1"/>
      </tp>
      <tp t="s">
        <v>3/31/2022</v>
        <stp/>
        <stp>##V3_BDPV12</stp>
        <stp>91282CDA Govt</stp>
        <stp>FIRST_CPN_DT</stp>
        <stp>[TREASURY.xlsx]Sheet1!R11C9</stp>
        <tr r="I11" s="1"/>
      </tp>
      <tp t="s">
        <v>11/15/2021</v>
        <stp/>
        <stp>##V3_BDPV12</stp>
        <stp>91282CCB Govt</stp>
        <stp>FIRST_CPN_DT</stp>
        <stp>[TREASURY.xlsx]Sheet1!R12C9</stp>
        <tr r="I12" s="1"/>
      </tp>
      <tp t="s">
        <v>3/15/2020</v>
        <stp/>
        <stp>##V3_BDPV12</stp>
        <stp>912828YF Govt</stp>
        <stp>FIRST_CPN_DT</stp>
        <stp>[TREASURY.xlsx]Sheet1!R76C9</stp>
        <tr r="I76" s="1"/>
      </tp>
      <tp t="s">
        <v>3/31/2019</v>
        <stp/>
        <stp>##V3_BDPV12</stp>
        <stp>9128285D Govt</stp>
        <stp>FIRST_CPN_DT</stp>
        <stp>[TREASURY.xlsx]Sheet1!R54C9</stp>
        <tr r="I54" s="1"/>
      </tp>
      <tp>
        <v>0.25</v>
        <stp/>
        <stp>##V3_BDPV12</stp>
        <stp>91282CCG Govt</stp>
        <stp>CPN</stp>
        <stp>[TREASURY.xlsx]Sheet1!R47C3</stp>
        <tr r="C47" s="1"/>
      </tp>
      <tp>
        <v>0.16952262694993989</v>
        <stp/>
        <stp>##V3_BDPV12</stp>
        <stp>91282CBG Govt</stp>
        <stp>YLD_YTM_BID</stp>
        <stp>[TREASURY.xlsx]Sheet1!R57C4</stp>
        <tr r="D57" s="1"/>
      </tp>
      <tp>
        <v>0.28755001672343328</v>
        <stp/>
        <stp>##V3_BDPV12</stp>
        <stp>91282CDA Govt</stp>
        <stp>YLD_YTM_BID</stp>
        <stp>[TREASURY.xlsx]Sheet1!R11C4</stp>
        <tr r="D11" s="1"/>
      </tp>
      <tp>
        <v>1.281504922058277</v>
        <stp/>
        <stp>##V3_BDPV12</stp>
        <stp>91282CCH Govt</stp>
        <stp>YLD_YTM_BID</stp>
        <stp>[TREASURY.xlsx]Sheet1!R36C4</stp>
        <tr r="D36" s="1"/>
      </tp>
      <tp t="s">
        <v>UNITED STATES</v>
        <stp/>
        <stp>##V3_BDPV12</stp>
        <stp>9128277F Govt</stp>
        <stp>COUNTRY_FULL_NAME</stp>
        <stp>[TREASURY.xlsx]Sheet1!R1027C8</stp>
        <tr r="H1027" s="1"/>
      </tp>
      <tp t="s">
        <v>UNITED STATES</v>
        <stp/>
        <stp>##V3_BDPV12</stp>
        <stp>9128276F Govt</stp>
        <stp>COUNTRY_FULL_NAME</stp>
        <stp>[TREASURY.xlsx]Sheet1!R1466C8</stp>
        <tr r="H1466" s="1"/>
      </tp>
      <tp t="s">
        <v>UNITED STATES</v>
        <stp/>
        <stp>##V3_BDPV12</stp>
        <stp>9128274G Govt</stp>
        <stp>COUNTRY_FULL_NAME</stp>
        <stp>[TREASURY.xlsx]Sheet1!R1364C8</stp>
        <tr r="H1364" s="1"/>
      </tp>
      <tp t="s">
        <v>UNITED STATES</v>
        <stp/>
        <stp>##V3_BDPV12</stp>
        <stp>9128276E Govt</stp>
        <stp>COUNTRY_FULL_NAME</stp>
        <stp>[TREASURY.xlsx]Sheet1!R1536C8</stp>
        <tr r="H1536" s="1"/>
      </tp>
      <tp t="s">
        <v>UNITED STATES</v>
        <stp/>
        <stp>##V3_BDPV12</stp>
        <stp>9128273B Govt</stp>
        <stp>COUNTRY_FULL_NAME</stp>
        <stp>[TREASURY.xlsx]Sheet1!R1353C8</stp>
        <tr r="H1353" s="1"/>
      </tp>
      <tp t="s">
        <v>UNITED STATES</v>
        <stp/>
        <stp>##V3_BDPV12</stp>
        <stp>9128275C Govt</stp>
        <stp>COUNTRY_FULL_NAME</stp>
        <stp>[TREASURY.xlsx]Sheet1!R1535C8</stp>
        <tr r="H1535" s="1"/>
      </tp>
      <tp t="s">
        <v>UNITED STATES</v>
        <stp/>
        <stp>##V3_BDPV12</stp>
        <stp>9128272N Govt</stp>
        <stp>COUNTRY_FULL_NAME</stp>
        <stp>[TREASURY.xlsx]Sheet1!R1352C8</stp>
        <tr r="H1352" s="1"/>
      </tp>
      <tp t="s">
        <v>T</v>
        <stp/>
        <stp>##V3_BDPV12</stp>
        <stp>9128283F Govt</stp>
        <stp>TICKER</stp>
        <stp>[TREASURY.xlsx]Sheet1!R65C2</stp>
        <tr r="B65" s="1"/>
      </tp>
      <tp t="s">
        <v>UNITED STATES</v>
        <stp/>
        <stp>##V3_BDPV12</stp>
        <stp>9128272L Govt</stp>
        <stp>COUNTRY_FULL_NAME</stp>
        <stp>[TREASURY.xlsx]Sheet1!R1452C8</stp>
        <tr r="H1452" s="1"/>
      </tp>
      <tp t="s">
        <v>UNITED STATES</v>
        <stp/>
        <stp>##V3_BDPV12</stp>
        <stp>9128275M Govt</stp>
        <stp>COUNTRY_FULL_NAME</stp>
        <stp>[TREASURY.xlsx]Sheet1!R1015C8</stp>
        <tr r="H1015" s="1"/>
      </tp>
      <tp t="s">
        <v>UNITED STATES</v>
        <stp/>
        <stp>##V3_BDPV12</stp>
        <stp>9128272V Govt</stp>
        <stp>COUNTRY_FULL_NAME</stp>
        <stp>[TREASURY.xlsx]Sheet1!R1522C8</stp>
        <tr r="H1522" s="1"/>
      </tp>
      <tp t="s">
        <v>UNITED STATES</v>
        <stp/>
        <stp>##V3_BDPV12</stp>
        <stp>9128276Z Govt</stp>
        <stp>COUNTRY_FULL_NAME</stp>
        <stp>[TREASURY.xlsx]Sheet1!R1026C8</stp>
        <tr r="H1026" s="1"/>
      </tp>
      <tp t="s">
        <v>UNITED STATES</v>
        <stp/>
        <stp>##V3_BDPV12</stp>
        <stp>9128274Z Govt</stp>
        <stp>COUNTRY_FULL_NAME</stp>
        <stp>[TREASURY.xlsx]Sheet1!R1534C8</stp>
        <tr r="H1534" s="1"/>
      </tp>
      <tp t="s">
        <v>T</v>
        <stp/>
        <stp>##V3_BDPV12</stp>
        <stp>912828ZT Govt</stp>
        <stp>TICKER</stp>
        <stp>[TREASURY.xlsx]Sheet1!R85C2</stp>
        <tr r="B85" s="1"/>
      </tp>
      <tp t="s">
        <v>T</v>
        <stp/>
        <stp>##V3_BDPV12</stp>
        <stp>912828Z9 Govt</stp>
        <stp>TICKER</stp>
        <stp>[TREASURY.xlsx]Sheet1!R25C2</stp>
        <tr r="B25" s="1"/>
      </tp>
      <tp t="s">
        <v>USD</v>
        <stp/>
        <stp>##V3_BDPV12</stp>
        <stp>91282CAW Govt</stp>
        <stp>CRNCY</stp>
        <stp>[TREASURY.xlsx]Sheet1!R109C7</stp>
        <tr r="G109" s="1"/>
      </tp>
      <tp>
        <v>2.375</v>
        <stp/>
        <stp>##V3_BDPV12</stp>
        <stp>912828D5 Govt</stp>
        <stp>CPN</stp>
        <stp>[TREASURY.xlsx]Sheet1!R70C3</stp>
        <tr r="C70" s="1"/>
      </tp>
      <tp t="s">
        <v>ACT/ACT</v>
        <stp/>
        <stp>##V3_BDPV12</stp>
        <stp>912810SL Govt</stp>
        <stp>DAY_CNT_DES</stp>
        <stp>[TREASURY.xlsx]Sheet1!R40C17</stp>
        <tr r="Q40" s="1"/>
      </tp>
      <tp t="s">
        <v>ACT/ACT</v>
        <stp/>
        <stp>##V3_BDPV12</stp>
        <stp>91282CBL Govt</stp>
        <stp>DAY_CNT_DES</stp>
        <stp>[TREASURY.xlsx]Sheet1!R14C17</stp>
        <tr r="Q14" s="1"/>
      </tp>
      <tp t="s">
        <v>ACT/ACT</v>
        <stp/>
        <stp>##V3_BDPV12</stp>
        <stp>91282CCL Govt</stp>
        <stp>DAY_CNT_DES</stp>
        <stp>[TREASURY.xlsx]Sheet1!R32C17</stp>
        <tr r="Q32" s="1"/>
      </tp>
      <tp t="s">
        <v>ACT/ACT</v>
        <stp/>
        <stp>##V3_BDPV12</stp>
        <stp>912828ZL Govt</stp>
        <stp>DAY_CNT_DES</stp>
        <stp>[TREASURY.xlsx]Sheet1!R66C17</stp>
        <tr r="Q66" s="1"/>
      </tp>
      <tp t="s">
        <v>USD</v>
        <stp/>
        <stp>##V3_BDPV12</stp>
        <stp>91282CAZ Govt</stp>
        <stp>CRNCY</stp>
        <stp>[TREASURY.xlsx]Sheet1!R45C7</stp>
        <tr r="G45" s="1"/>
      </tp>
      <tp t="s">
        <v>USD</v>
        <stp/>
        <stp>##V3_BDPV12</stp>
        <stp>91282CBR Govt</stp>
        <stp>CRNCY</stp>
        <stp>[TREASURY.xlsx]Sheet1!R55C7</stp>
        <tr r="G55" s="1"/>
      </tp>
      <tp t="s">
        <v>USD</v>
        <stp/>
        <stp>##V3_BDPV12</stp>
        <stp>91282CBS Govt</stp>
        <stp>CRNCY</stp>
        <stp>[TREASURY.xlsx]Sheet1!R75C7</stp>
        <tr r="G75" s="1"/>
      </tp>
      <tp t="s">
        <v>USD</v>
        <stp/>
        <stp>##V3_BDPV12</stp>
        <stp>912828ZG Govt</stp>
        <stp>CRNCY</stp>
        <stp>[TREASURY.xlsx]Sheet1!R62C7</stp>
        <tr r="G62" s="1"/>
      </tp>
      <tp>
        <v>0.88272614750630685</v>
        <stp/>
        <stp>##V3_BDPV12</stp>
        <stp>91282CBQ Govt</stp>
        <stp>YLD_YTM_BID</stp>
        <stp>[TREASURY.xlsx]Sheet1!R30C4</stp>
        <tr r="D30" s="1"/>
      </tp>
      <tp>
        <v>1</v>
        <stp/>
        <stp>##V3_BDPV12</stp>
        <stp>91282CCR Govt</stp>
        <stp>CPN</stp>
        <stp>[TREASURY.xlsx]Sheet1!R20C3</stp>
        <tr r="C20" s="1"/>
      </tp>
      <tp t="s">
        <v>USD</v>
        <stp/>
        <stp>##V3_BDPV12</stp>
        <stp>912810SY Govt</stp>
        <stp>CRNCY</stp>
        <stp>[TREASURY.xlsx]Sheet1!R21C7</stp>
        <tr r="G21" s="1"/>
      </tp>
      <tp>
        <v>0.15352978337790713</v>
        <stp/>
        <stp>##V3_BDPV12</stp>
        <stp>91282CBD Govt</stp>
        <stp>YLD_YTM_BID</stp>
        <stp>[TREASURY.xlsx]Sheet1!R50C4</stp>
        <tr r="D50" s="1"/>
      </tp>
      <tp t="s">
        <v>9/30/2020</v>
        <stp/>
        <stp>##V3_BDPV12</stp>
        <stp>912828ZF Govt</stp>
        <stp>FIRST_CPN_DT</stp>
        <stp>[TREASURY.xlsx]Sheet1!R61C9</stp>
        <tr r="I61" s="1"/>
      </tp>
      <tp t="s">
        <v>8/31/2020</v>
        <stp/>
        <stp>##V3_BDPV12</stp>
        <stp>912828ZC Govt</stp>
        <stp>FIRST_CPN_DT</stp>
        <stp>[TREASURY.xlsx]Sheet1!R74C9</stp>
        <tr r="I74" s="1"/>
      </tp>
      <tp t="s">
        <v>2/15/2017</v>
        <stp/>
        <stp>##V3_BDPV12</stp>
        <stp>9128282A Govt</stp>
        <stp>FIRST_CPN_DT</stp>
        <stp>[TREASURY.xlsx]Sheet1!R56C9</stp>
        <tr r="I56" s="1"/>
      </tp>
      <tp>
        <v>0.375</v>
        <stp/>
        <stp>##V3_BDPV12</stp>
        <stp>91282CBC Govt</stp>
        <stp>CPN</stp>
        <stp>[TREASURY.xlsx]Sheet1!R41C3</stp>
        <tr r="C41" s="1"/>
      </tp>
      <tp>
        <v>0.25</v>
        <stp/>
        <stp>##V3_BDPV12</stp>
        <stp>91282CAM Govt</stp>
        <stp>CPN</stp>
        <stp>[TREASURY.xlsx]Sheet1!R42C3</stp>
        <tr r="C42" s="1"/>
      </tp>
      <tp t="s">
        <v>UNITED STATES</v>
        <stp/>
        <stp>##V3_BDPV12</stp>
        <stp>9128282G Govt</stp>
        <stp>COUNTRY_FULL_NAME</stp>
        <stp>[TREASURY.xlsx]Sheet1!R1105C8</stp>
        <tr r="H1105" s="1"/>
      </tp>
      <tp t="s">
        <v>UNITED STATES</v>
        <stp/>
        <stp>##V3_BDPV12</stp>
        <stp>9128273D Govt</stp>
        <stp>COUNTRY_FULL_NAME</stp>
        <stp>[TREASURY.xlsx]Sheet1!R1354C8</stp>
        <tr r="H1354" s="1"/>
      </tp>
      <tp t="s">
        <v>UNITED STATES</v>
        <stp/>
        <stp>##V3_BDPV12</stp>
        <stp>9128277D Govt</stp>
        <stp>COUNTRY_FULL_NAME</stp>
        <stp>[TREASURY.xlsx]Sheet1!R1470C8</stp>
        <tr r="H1470" s="1"/>
      </tp>
      <tp t="s">
        <v>UNITED STATES</v>
        <stp/>
        <stp>##V3_BDPV12</stp>
        <stp>9128274E Govt</stp>
        <stp>COUNTRY_FULL_NAME</stp>
        <stp>[TREASURY.xlsx]Sheet1!R1363C8</stp>
        <tr r="H1363" s="1"/>
      </tp>
      <tp t="s">
        <v>UNITED STATES</v>
        <stp/>
        <stp>##V3_BDPV12</stp>
        <stp>9128276B Govt</stp>
        <stp>COUNTRY_FULL_NAME</stp>
        <stp>[TREASURY.xlsx]Sheet1!R1021C8</stp>
        <tr r="H1021" s="1"/>
      </tp>
      <tp t="s">
        <v>UNITED STATES</v>
        <stp/>
        <stp>##V3_BDPV12</stp>
        <stp>9128274V Govt</stp>
        <stp>COUNTRY_FULL_NAME</stp>
        <stp>[TREASURY.xlsx]Sheet1!R1533C8</stp>
        <tr r="H1533" s="1"/>
      </tp>
      <tp t="s">
        <v>UNITED STATES</v>
        <stp/>
        <stp>##V3_BDPV12</stp>
        <stp>9128276W Govt</stp>
        <stp>COUNTRY_FULL_NAME</stp>
        <stp>[TREASURY.xlsx]Sheet1!R1541C8</stp>
        <tr r="H1541" s="1"/>
      </tp>
      <tp t="s">
        <v>UNITED STATES</v>
        <stp/>
        <stp>##V3_BDPV12</stp>
        <stp>9128282Z Govt</stp>
        <stp>COUNTRY_FULL_NAME</stp>
        <stp>[TREASURY.xlsx]Sheet1!R1615C8</stp>
        <tr r="H1615" s="1"/>
      </tp>
      <tp t="s">
        <v>UNITED STATES</v>
        <stp/>
        <stp>##V3_BDPV12</stp>
        <stp>9128272Y Govt</stp>
        <stp>COUNTRY_FULL_NAME</stp>
        <stp>[TREASURY.xlsx]Sheet1!R1525C8</stp>
        <tr r="H1525" s="1"/>
      </tp>
      <tp t="s">
        <v>T</v>
        <stp/>
        <stp>##V3_BDPV12</stp>
        <stp>912828ZG Govt</stp>
        <stp>TICKER</stp>
        <stp>[TREASURY.xlsx]Sheet1!R62C2</stp>
        <tr r="B62" s="1"/>
      </tp>
      <tp t="s">
        <v>ACT/ACT</v>
        <stp/>
        <stp>##V3_BDPV12</stp>
        <stp>912810SK Govt</stp>
        <stp>DAY_CNT_DES</stp>
        <stp>[TREASURY.xlsx]Sheet1!R95C17</stp>
        <tr r="Q95" s="1"/>
      </tp>
      <tp t="s">
        <v>ACT/ACT</v>
        <stp/>
        <stp>##V3_BDPV12</stp>
        <stp>91282CAK Govt</stp>
        <stp>DAY_CNT_DES</stp>
        <stp>[TREASURY.xlsx]Sheet1!R60C17</stp>
        <tr r="Q60" s="1"/>
      </tp>
      <tp t="s">
        <v>ACT/ACT</v>
        <stp/>
        <stp>##V3_BDPV12</stp>
        <stp>91282CCK Govt</stp>
        <stp>DAY_CNT_DES</stp>
        <stp>[TREASURY.xlsx]Sheet1!R33C17</stp>
        <tr r="Q33" s="1"/>
      </tp>
      <tp t="s">
        <v>USD</v>
        <stp/>
        <stp>##V3_BDPV12</stp>
        <stp>91282CAM Govt</stp>
        <stp>CRNCY</stp>
        <stp>[TREASURY.xlsx]Sheet1!R42C7</stp>
        <tr r="G42" s="1"/>
      </tp>
      <tp t="s">
        <v>USD</v>
        <stp/>
        <stp>##V3_BDPV12</stp>
        <stp>91282CCB Govt</stp>
        <stp>CRNCY</stp>
        <stp>[TREASURY.xlsx]Sheet1!R12C7</stp>
        <tr r="G12" s="1"/>
      </tp>
      <tp t="s">
        <v>USD</v>
        <stp/>
        <stp>##V3_BDPV12</stp>
        <stp>91282CCL Govt</stp>
        <stp>CRNCY</stp>
        <stp>[TREASURY.xlsx]Sheet1!R32C7</stp>
        <tr r="G32" s="1"/>
      </tp>
      <tp t="s">
        <v>USD</v>
        <stp/>
        <stp>##V3_BDPV12</stp>
        <stp>91282CCJ Govt</stp>
        <stp>CRNCY</stp>
        <stp>[TREASURY.xlsx]Sheet1!R22C7</stp>
        <tr r="G22" s="1"/>
      </tp>
      <tp t="s">
        <v>USD</v>
        <stp/>
        <stp>##V3_BDPV12</stp>
        <stp>91282CBT Govt</stp>
        <stp>CRNCY</stp>
        <stp>[TREASURY.xlsx]Sheet1!R52C7</stp>
        <tr r="G52" s="1"/>
      </tp>
      <tp t="s">
        <v>USD</v>
        <stp/>
        <stp>##V3_BDPV12</stp>
        <stp>91282CBX Govt</stp>
        <stp>CRNCY</stp>
        <stp>[TREASURY.xlsx]Sheet1!R72C7</stp>
        <tr r="G72" s="1"/>
      </tp>
      <tp t="s">
        <v>USD</v>
        <stp/>
        <stp>##V3_BDPV12</stp>
        <stp>91282CBN Govt</stp>
        <stp>CRNCY</stp>
        <stp>[TREASURY.xlsx]Sheet1!R82C7</stp>
        <tr r="G82" s="1"/>
      </tp>
      <tp t="s">
        <v>USD</v>
        <stp/>
        <stp>##V3_BDPV12</stp>
        <stp>912828Z5 Govt</stp>
        <stp>CRNCY</stp>
        <stp>[TREASURY.xlsx]Sheet1!R83C7</stp>
        <tr r="G83" s="1"/>
      </tp>
      <tp t="s">
        <v>USD</v>
        <stp/>
        <stp>##V3_BDPV12</stp>
        <stp>9128284V Govt</stp>
        <stp>CRNCY</stp>
        <stp>[TREASURY.xlsx]Sheet1!R23C7</stp>
        <tr r="G23" s="1"/>
      </tp>
      <tp t="s">
        <v>USD</v>
        <stp/>
        <stp>##V3_BDPV12</stp>
        <stp>9128286B Govt</stp>
        <stp>CRNCY</stp>
        <stp>[TREASURY.xlsx]Sheet1!R43C7</stp>
        <tr r="G43" s="1"/>
      </tp>
      <tp>
        <v>0.5</v>
        <stp/>
        <stp>##V3_BDPV12</stp>
        <stp>91282CBQ Govt</stp>
        <stp>CPN</stp>
        <stp>[TREASURY.xlsx]Sheet1!R30C3</stp>
        <tr r="C30" s="1"/>
      </tp>
      <tp>
        <v>1.2977976383078227</v>
        <stp/>
        <stp>##V3_BDPV12</stp>
        <stp>91282CCR Govt</stp>
        <stp>YLD_YTM_BID</stp>
        <stp>[TREASURY.xlsx]Sheet1!R20C4</stp>
        <tr r="D20" s="1"/>
      </tp>
      <tp t="s">
        <v>USD</v>
        <stp/>
        <stp>##V3_BDPV12</stp>
        <stp>912810TA Govt</stp>
        <stp>CRNCY</stp>
        <stp>[TREASURY.xlsx]Sheet1!R10C7</stp>
        <tr r="G10" s="1"/>
      </tp>
      <tp t="s">
        <v>USD</v>
        <stp/>
        <stp>##V3_BDPV12</stp>
        <stp>912810ST Govt</stp>
        <stp>CRNCY</stp>
        <stp>[TREASURY.xlsx]Sheet1!R90C7</stp>
        <tr r="G90" s="1"/>
      </tp>
      <tp t="s">
        <v>USD</v>
        <stp/>
        <stp>##V3_BDPV12</stp>
        <stp>912810SL Govt</stp>
        <stp>CRNCY</stp>
        <stp>[TREASURY.xlsx]Sheet1!R40C7</stp>
        <tr r="G40" s="1"/>
      </tp>
      <tp>
        <v>0.125</v>
        <stp/>
        <stp>##V3_BDPV12</stp>
        <stp>91282CBD Govt</stp>
        <stp>CPN</stp>
        <stp>[TREASURY.xlsx]Sheet1!R50C3</stp>
        <tr r="C50" s="1"/>
      </tp>
      <tp>
        <v>0.84939340581749123</v>
        <stp/>
        <stp>##V3_BDPV12</stp>
        <stp>91282CBC Govt</stp>
        <stp>YLD_YTM_BID</stp>
        <stp>[TREASURY.xlsx]Sheet1!R41C4</stp>
        <tr r="D41" s="1"/>
      </tp>
      <tp>
        <v>0.78489170581238332</v>
        <stp/>
        <stp>##V3_BDPV12</stp>
        <stp>91282CAM Govt</stp>
        <stp>YLD_YTM_BID</stp>
        <stp>[TREASURY.xlsx]Sheet1!R42C4</stp>
        <tr r="D42" s="1"/>
      </tp>
      <tp t="s">
        <v>UNITED STATES</v>
        <stp/>
        <stp>##V3_BDPV12</stp>
        <stp>9128273F Govt</stp>
        <stp>COUNTRY_FULL_NAME</stp>
        <stp>[TREASURY.xlsx]Sheet1!R1355C8</stp>
        <tr r="H1355" s="1"/>
      </tp>
      <tp t="s">
        <v>UNITED STATES</v>
        <stp/>
        <stp>##V3_BDPV12</stp>
        <stp>9128277G Govt</stp>
        <stp>COUNTRY_FULL_NAME</stp>
        <stp>[TREASURY.xlsx]Sheet1!R1471C8</stp>
        <tr r="H1471" s="1"/>
      </tp>
      <tp t="s">
        <v>#N/A Field Not Applicable</v>
        <stp/>
        <stp>##V3_BDPV12</stp>
        <stp>912828Z6 Govt</stp>
        <stp>IDX_RATIO</stp>
        <stp>[TREASURY.xlsx]Sheet1!R234C20</stp>
        <tr r="T234" s="1"/>
      </tp>
      <tp t="s">
        <v>UNITED STATES</v>
        <stp/>
        <stp>##V3_BDPV12</stp>
        <stp>9128275D Govt</stp>
        <stp>COUNTRY_FULL_NAME</stp>
        <stp>[TREASURY.xlsx]Sheet1!R1013C8</stp>
        <tr r="H1013" s="1"/>
      </tp>
      <tp t="s">
        <v>#N/A Field Not Applicable</v>
        <stp/>
        <stp>##V3_BDPV12</stp>
        <stp>912828Z7 Govt</stp>
        <stp>IDX_RATIO</stp>
        <stp>[TREASURY.xlsx]Sheet1!R169C20</stp>
        <tr r="T169" s="1"/>
      </tp>
      <tp t="s">
        <v>UNITED STATES</v>
        <stp/>
        <stp>##V3_BDPV12</stp>
        <stp>9128274B Govt</stp>
        <stp>COUNTRY_FULL_NAME</stp>
        <stp>[TREASURY.xlsx]Sheet1!R1362C8</stp>
        <tr r="H1362" s="1"/>
      </tp>
      <tp t="s">
        <v>#N/A Field Not Applicable</v>
        <stp/>
        <stp>##V3_BDPV12</stp>
        <stp>912827Z7 Govt</stp>
        <stp>IDX_RATIO</stp>
        <stp>[TREASURY.xlsx]Sheet1!R777C20</stp>
        <tr r="T777" s="1"/>
      </tp>
      <tp t="s">
        <v>#N/A Field Not Applicable</v>
        <stp/>
        <stp>##V3_BDPV12</stp>
        <stp>912828Z2 Govt</stp>
        <stp>IDX_RATIO</stp>
        <stp>[TREASURY.xlsx]Sheet1!R210C20</stp>
        <tr r="T210" s="1"/>
      </tp>
      <tp t="s">
        <v>UNITED STATES</v>
        <stp/>
        <stp>##V3_BDPV12</stp>
        <stp>9128276A Govt</stp>
        <stp>COUNTRY_FULL_NAME</stp>
        <stp>[TREASURY.xlsx]Sheet1!R1020C8</stp>
        <tr r="H1020" s="1"/>
      </tp>
      <tp t="s">
        <v>UNITED STATES</v>
        <stp/>
        <stp>##V3_BDPV12</stp>
        <stp>9128275A Govt</stp>
        <stp>COUNTRY_FULL_NAME</stp>
        <stp>[TREASURY.xlsx]Sheet1!R1463C8</stp>
        <tr r="H1463" s="1"/>
      </tp>
      <tp t="s">
        <v>UNITED STATES</v>
        <stp/>
        <stp>##V3_BDPV12</stp>
        <stp>9128274N Govt</stp>
        <stp>COUNTRY_FULL_NAME</stp>
        <stp>[TREASURY.xlsx]Sheet1!R1462C8</stp>
        <tr r="H1462" s="1"/>
      </tp>
      <tp t="s">
        <v>#N/A Field Not Applicable</v>
        <stp/>
        <stp>##V3_BDPV12</stp>
        <stp>912827Z9 Govt</stp>
        <stp>IDX_RATIO</stp>
        <stp>[TREASURY.xlsx]Sheet1!R778C20</stp>
        <tr r="T778" s="1"/>
      </tp>
      <tp t="s">
        <v>T</v>
        <stp/>
        <stp>##V3_BDPV12</stp>
        <stp>9128286B Govt</stp>
        <stp>TICKER</stp>
        <stp>[TREASURY.xlsx]Sheet1!R43C2</stp>
        <tr r="B43" s="1"/>
      </tp>
      <tp t="s">
        <v>T</v>
        <stp/>
        <stp>##V3_BDPV12</stp>
        <stp>9128284V Govt</stp>
        <stp>TICKER</stp>
        <stp>[TREASURY.xlsx]Sheet1!R23C2</stp>
        <tr r="B23" s="1"/>
      </tp>
      <tp t="s">
        <v>#N/A Field Not Applicable</v>
        <stp/>
        <stp>##V3_BDPV12</stp>
        <stp>912827Z2 Govt</stp>
        <stp>IDX_RATIO</stp>
        <stp>[TREASURY.xlsx]Sheet1!R951C20</stp>
        <tr r="T951" s="1"/>
      </tp>
      <tp t="s">
        <v>#N/A Field Not Applicable</v>
        <stp/>
        <stp>##V3_BDPV12</stp>
        <stp>912828Z8 Govt</stp>
        <stp>IDX_RATIO</stp>
        <stp>[TREASURY.xlsx]Sheet1!R236C20</stp>
        <tr r="T236" s="1"/>
      </tp>
      <tp t="s">
        <v>UNITED STATES</v>
        <stp/>
        <stp>##V3_BDPV12</stp>
        <stp>9128274U Govt</stp>
        <stp>COUNTRY_FULL_NAME</stp>
        <stp>[TREASURY.xlsx]Sheet1!R1012C8</stp>
        <tr r="H1012" s="1"/>
      </tp>
      <tp t="s">
        <v>UNITED STATES</v>
        <stp/>
        <stp>##V3_BDPV12</stp>
        <stp>9128272U Govt</stp>
        <stp>COUNTRY_FULL_NAME</stp>
        <stp>[TREASURY.xlsx]Sheet1!R1454C8</stp>
        <tr r="H1454" s="1"/>
      </tp>
      <tp t="s">
        <v>UNITED STATES</v>
        <stp/>
        <stp>##V3_BDPV12</stp>
        <stp>9128273U Govt</stp>
        <stp>COUNTRY_FULL_NAME</stp>
        <stp>[TREASURY.xlsx]Sheet1!R1455C8</stp>
        <tr r="H1455" s="1"/>
      </tp>
      <tp t="s">
        <v>UNITED STATES</v>
        <stp/>
        <stp>##V3_BDPV12</stp>
        <stp>9128274R Govt</stp>
        <stp>COUNTRY_FULL_NAME</stp>
        <stp>[TREASURY.xlsx]Sheet1!R1532C8</stp>
        <tr r="H1532" s="1"/>
      </tp>
      <tp t="s">
        <v>UNITED STATES</v>
        <stp/>
        <stp>##V3_BDPV12</stp>
        <stp>9128276S Govt</stp>
        <stp>COUNTRY_FULL_NAME</stp>
        <stp>[TREASURY.xlsx]Sheet1!R1540C8</stp>
        <tr r="H1540" s="1"/>
      </tp>
      <tp t="s">
        <v>UNITED STATES</v>
        <stp/>
        <stp>##V3_BDPV12</stp>
        <stp>9128272X Govt</stp>
        <stp>COUNTRY_FULL_NAME</stp>
        <stp>[TREASURY.xlsx]Sheet1!R1524C8</stp>
        <tr r="H1524" s="1"/>
      </tp>
      <tp t="s">
        <v>T</v>
        <stp/>
        <stp>##V3_BDPV12</stp>
        <stp>912828Z5 Govt</stp>
        <stp>TICKER</stp>
        <stp>[TREASURY.xlsx]Sheet1!R83C2</stp>
        <tr r="B83" s="1"/>
      </tp>
      <tp t="s">
        <v>#N/A Field Not Applicable</v>
        <stp/>
        <stp>##V3_BDPV12</stp>
        <stp>912827ZR Govt</stp>
        <stp>IDX_RATIO</stp>
        <stp>[TREASURY.xlsx]Sheet1!R783C20</stp>
        <tr r="T783" s="1"/>
      </tp>
      <tp t="s">
        <v>#N/A Field Not Applicable</v>
        <stp/>
        <stp>##V3_BDPV12</stp>
        <stp>912828ZU Govt</stp>
        <stp>IDX_RATIO</stp>
        <stp>[TREASURY.xlsx]Sheet1!R162C20</stp>
        <tr r="T162" s="1"/>
      </tp>
      <tp t="s">
        <v>#N/A Field Not Applicable</v>
        <stp/>
        <stp>##V3_BDPV12</stp>
        <stp>912828ZV Govt</stp>
        <stp>IDX_RATIO</stp>
        <stp>[TREASURY.xlsx]Sheet1!R159C20</stp>
        <tr r="T159" s="1"/>
      </tp>
      <tp t="s">
        <v>#N/A Field Not Applicable</v>
        <stp/>
        <stp>##V3_BDPV12</stp>
        <stp>912828ZW Govt</stp>
        <stp>IDX_RATIO</stp>
        <stp>[TREASURY.xlsx]Sheet1!R101C20</stp>
        <tr r="T101" s="1"/>
      </tp>
      <tp t="s">
        <v>#N/A Field Not Applicable</v>
        <stp/>
        <stp>##V3_BDPV12</stp>
        <stp>912827ZX Govt</stp>
        <stp>IDX_RATIO</stp>
        <stp>[TREASURY.xlsx]Sheet1!R956C20</stp>
        <tr r="T956" s="1"/>
      </tp>
      <tp t="s">
        <v>#N/A Field Not Applicable</v>
        <stp/>
        <stp>##V3_BDPV12</stp>
        <stp>912828ZP Govt</stp>
        <stp>IDX_RATIO</stp>
        <stp>[TREASURY.xlsx]Sheet1!R153C20</stp>
        <tr r="T153" s="1"/>
      </tp>
      <tp t="s">
        <v>#N/A Field Not Applicable</v>
        <stp/>
        <stp>##V3_BDPV12</stp>
        <stp>912828ZR Govt</stp>
        <stp>IDX_RATIO</stp>
        <stp>[TREASURY.xlsx]Sheet1!R136C20</stp>
        <tr r="T136" s="1"/>
      </tp>
      <tp t="s">
        <v>#N/A Field Not Applicable</v>
        <stp/>
        <stp>##V3_BDPV12</stp>
        <stp>912828ZS Govt</stp>
        <stp>IDX_RATIO</stp>
        <stp>[TREASURY.xlsx]Sheet1!R171C20</stp>
        <tr r="T171" s="1"/>
      </tp>
      <tp t="s">
        <v>#N/A Field Not Applicable</v>
        <stp/>
        <stp>##V3_BDPV12</stp>
        <stp>912827ZU Govt</stp>
        <stp>IDX_RATIO</stp>
        <stp>[TREASURY.xlsx]Sheet1!R955C20</stp>
        <tr r="T955" s="1"/>
      </tp>
      <tp t="s">
        <v>#N/A Field Not Applicable</v>
        <stp/>
        <stp>##V3_BDPV12</stp>
        <stp>912827ZP Govt</stp>
        <stp>IDX_RATIO</stp>
        <stp>[TREASURY.xlsx]Sheet1!R953C20</stp>
        <tr r="T953" s="1"/>
      </tp>
      <tp t="s">
        <v>#N/A Field Not Applicable</v>
        <stp/>
        <stp>##V3_BDPV12</stp>
        <stp>912828ZX Govt</stp>
        <stp>IDX_RATIO</stp>
        <stp>[TREASURY.xlsx]Sheet1!R111C20</stp>
        <tr r="T111" s="1"/>
      </tp>
      <tp t="s">
        <v>#N/A Field Not Applicable</v>
        <stp/>
        <stp>##V3_BDPV12</stp>
        <stp>912828ZY Govt</stp>
        <stp>IDX_RATIO</stp>
        <stp>[TREASURY.xlsx]Sheet1!R184C20</stp>
        <tr r="T184" s="1"/>
      </tp>
      <tp t="s">
        <v>#N/A Field Not Applicable</v>
        <stp/>
        <stp>##V3_BDPV12</stp>
        <stp>912827ZS Govt</stp>
        <stp>IDX_RATIO</stp>
        <stp>[TREASURY.xlsx]Sheet1!R954C20</stp>
        <tr r="T954" s="1"/>
      </tp>
      <tp t="s">
        <v>#N/A Field Not Applicable</v>
        <stp/>
        <stp>##V3_BDPV12</stp>
        <stp>912828ZD Govt</stp>
        <stp>IDX_RATIO</stp>
        <stp>[TREASURY.xlsx]Sheet1!R121C20</stp>
        <tr r="T121" s="1"/>
      </tp>
      <tp t="s">
        <v>#N/A Field Not Applicable</v>
        <stp/>
        <stp>##V3_BDPV12</stp>
        <stp>912827ZC Govt</stp>
        <stp>IDX_RATIO</stp>
        <stp>[TREASURY.xlsx]Sheet1!R779C20</stp>
        <tr r="T779" s="1"/>
      </tp>
      <tp t="s">
        <v>#N/A Field Not Applicable</v>
        <stp/>
        <stp>##V3_BDPV12</stp>
        <stp>912828ZE Govt</stp>
        <stp>IDX_RATIO</stp>
        <stp>[TREASURY.xlsx]Sheet1!R112C20</stp>
        <tr r="T112" s="1"/>
      </tp>
      <tp t="s">
        <v>#N/A Field Not Applicable</v>
        <stp/>
        <stp>##V3_BDPV12</stp>
        <stp>912828ZA Govt</stp>
        <stp>IDX_RATIO</stp>
        <stp>[TREASURY.xlsx]Sheet1!R190C20</stp>
        <tr r="T190" s="1"/>
      </tp>
      <tp t="s">
        <v>#N/A Field Not Applicable</v>
        <stp/>
        <stp>##V3_BDPV12</stp>
        <stp>912828ZB Govt</stp>
        <stp>IDX_RATIO</stp>
        <stp>[TREASURY.xlsx]Sheet1!R148C20</stp>
        <tr r="T148" s="1"/>
      </tp>
      <tp t="s">
        <v>#N/A Field Not Applicable</v>
        <stp/>
        <stp>##V3_BDPV12</stp>
        <stp>912827ZK Govt</stp>
        <stp>IDX_RATIO</stp>
        <stp>[TREASURY.xlsx]Sheet1!R952C20</stp>
        <tr r="T952" s="1"/>
      </tp>
      <tp t="s">
        <v>#N/A Field Not Applicable</v>
        <stp/>
        <stp>##V3_BDPV12</stp>
        <stp>912827ZE Govt</stp>
        <stp>IDX_RATIO</stp>
        <stp>[TREASURY.xlsx]Sheet1!R780C20</stp>
        <tr r="T780" s="1"/>
      </tp>
      <tp t="s">
        <v>#N/A Field Not Applicable</v>
        <stp/>
        <stp>##V3_BDPV12</stp>
        <stp>912827ZJ Govt</stp>
        <stp>IDX_RATIO</stp>
        <stp>[TREASURY.xlsx]Sheet1!R781C20</stp>
        <tr r="T781" s="1"/>
      </tp>
      <tp t="s">
        <v>#N/A Field Not Applicable</v>
        <stp/>
        <stp>##V3_BDPV12</stp>
        <stp>912828ZM Govt</stp>
        <stp>IDX_RATIO</stp>
        <stp>[TREASURY.xlsx]Sheet1!R175C20</stp>
        <tr r="T175" s="1"/>
      </tp>
      <tp t="s">
        <v>#N/A Field Not Applicable</v>
        <stp/>
        <stp>##V3_BDPV12</stp>
        <stp>912828ZN Govt</stp>
        <stp>IDX_RATIO</stp>
        <stp>[TREASURY.xlsx]Sheet1!R117C20</stp>
        <tr r="T117" s="1"/>
      </tp>
      <tp t="s">
        <v>#N/A Field Not Applicable</v>
        <stp/>
        <stp>##V3_BDPV12</stp>
        <stp>912827ZH Govt</stp>
        <stp>IDX_RATIO</stp>
        <stp>[TREASURY.xlsx]Sheet1!R634C20</stp>
        <tr r="T634" s="1"/>
      </tp>
      <tp t="s">
        <v>#N/A Field Not Applicable</v>
        <stp/>
        <stp>##V3_BDPV12</stp>
        <stp>912828ZH Govt</stp>
        <stp>IDX_RATIO</stp>
        <stp>[TREASURY.xlsx]Sheet1!R165C20</stp>
        <tr r="T165" s="1"/>
      </tp>
      <tp t="s">
        <v>#N/A Field Not Applicable</v>
        <stp/>
        <stp>##V3_BDPV12</stp>
        <stp>912827ZN Govt</stp>
        <stp>IDX_RATIO</stp>
        <stp>[TREASURY.xlsx]Sheet1!R685C20</stp>
        <tr r="T685" s="1"/>
      </tp>
      <tp t="s">
        <v>#N/A Field Not Applicable</v>
        <stp/>
        <stp>##V3_BDPV12</stp>
        <stp>912827ZL Govt</stp>
        <stp>IDX_RATIO</stp>
        <stp>[TREASURY.xlsx]Sheet1!R782C20</stp>
        <tr r="T782" s="1"/>
      </tp>
      <tp t="s">
        <v>ACT/ACT</v>
        <stp/>
        <stp>##V3_BDPV12</stp>
        <stp>912810SJ Govt</stp>
        <stp>DAY_CNT_DES</stp>
        <stp>[TREASURY.xlsx]Sheet1!R73C17</stp>
        <tr r="Q73" s="1"/>
      </tp>
      <tp t="s">
        <v>ACT/ACT</v>
        <stp/>
        <stp>##V3_BDPV12</stp>
        <stp>91282CAJ Govt</stp>
        <stp>DAY_CNT_DES</stp>
        <stp>[TREASURY.xlsx]Sheet1!R49C17</stp>
        <tr r="Q49" s="1"/>
      </tp>
      <tp t="s">
        <v>ACT/ACT</v>
        <stp/>
        <stp>##V3_BDPV12</stp>
        <stp>91282CCJ Govt</stp>
        <stp>DAY_CNT_DES</stp>
        <stp>[TREASURY.xlsx]Sheet1!R22C17</stp>
        <tr r="Q22" s="1"/>
      </tp>
      <tp t="s">
        <v>ACT/ACT</v>
        <stp/>
        <stp>##V3_BDPV12</stp>
        <stp>912828YJ Govt</stp>
        <stp>DAY_CNT_DES</stp>
        <stp>[TREASURY.xlsx]Sheet1!R80C17</stp>
        <tr r="Q80" s="1"/>
      </tp>
      <tp t="s">
        <v>USD</v>
        <stp/>
        <stp>##V3_BDPV12</stp>
        <stp>91282CCY Govt</stp>
        <stp>CRNCY</stp>
        <stp>[TREASURY.xlsx]Sheet1!R13C7</stp>
        <tr r="G13" s="1"/>
      </tp>
      <tp t="s">
        <v>USD</v>
        <stp/>
        <stp>##V3_BDPV12</stp>
        <stp>91282CCK Govt</stp>
        <stp>CRNCY</stp>
        <stp>[TREASURY.xlsx]Sheet1!R33C7</stp>
        <tr r="G33" s="1"/>
      </tp>
      <tp t="s">
        <v>USD</v>
        <stp/>
        <stp>##V3_BDPV12</stp>
        <stp>91282CBU Govt</stp>
        <stp>CRNCY</stp>
        <stp>[TREASURY.xlsx]Sheet1!R53C7</stp>
        <tr r="G53" s="1"/>
      </tp>
      <tp>
        <v>0.125</v>
        <stp/>
        <stp>##V3_BDPV12</stp>
        <stp>91282CBU Govt</stp>
        <stp>CPN</stp>
        <stp>[TREASURY.xlsx]Sheet1!R53C3</stp>
        <tr r="C53" s="1"/>
      </tp>
      <tp>
        <v>0.89966415672267197</v>
        <stp/>
        <stp>##V3_BDPV12</stp>
        <stp>91282CBT Govt</stp>
        <stp>YLD_YTM_BID</stp>
        <stp>[TREASURY.xlsx]Sheet1!R52C4</stp>
        <tr r="D52" s="1"/>
      </tp>
      <tp t="s">
        <v>USD</v>
        <stp/>
        <stp>##V3_BDPV12</stp>
        <stp>912828D5 Govt</stp>
        <stp>CRNCY</stp>
        <stp>[TREASURY.xlsx]Sheet1!R70C7</stp>
        <tr r="G70" s="1"/>
      </tp>
      <tp t="s">
        <v>USD</v>
        <stp/>
        <stp>##V3_BDPV12</stp>
        <stp>912828YJ Govt</stp>
        <stp>CRNCY</stp>
        <stp>[TREASURY.xlsx]Sheet1!R80C7</stp>
        <tr r="G80" s="1"/>
      </tp>
      <tp t="s">
        <v>USD</v>
        <stp/>
        <stp>##V3_BDPV12</stp>
        <stp>912810FP Govt</stp>
        <stp>CRNCY</stp>
        <stp>[TREASURY.xlsx]Sheet1!R93C7</stp>
        <tr r="G93" s="1"/>
      </tp>
      <tp t="s">
        <v>USD</v>
        <stp/>
        <stp>##V3_BDPV12</stp>
        <stp>912810PU Govt</stp>
        <stp>CRNCY</stp>
        <stp>[TREASURY.xlsx]Sheet1!R63C7</stp>
        <tr r="G63" s="1"/>
      </tp>
      <tp t="s">
        <v>USD</v>
        <stp/>
        <stp>##V3_BDPV12</stp>
        <stp>912810SJ Govt</stp>
        <stp>CRNCY</stp>
        <stp>[TREASURY.xlsx]Sheet1!R73C7</stp>
        <tr r="G73" s="1"/>
      </tp>
      <tp>
        <v>0.21488487144171367</v>
        <stp/>
        <stp>##V3_BDPV12</stp>
        <stp>91282CBX Govt</stp>
        <stp>YLD_YTM_BID</stp>
        <stp>[TREASURY.xlsx]Sheet1!R72C4</stp>
        <tr r="D72" s="1"/>
      </tp>
      <tp>
        <v>1.3134111435074789</v>
        <stp/>
        <stp>##V3_BDPV12</stp>
        <stp>91282CCY Govt</stp>
        <stp>YLD_YTM_BID</stp>
        <stp>[TREASURY.xlsx]Sheet1!R13C4</stp>
        <tr r="D13" s="1"/>
      </tp>
      <tp t="s">
        <v>9/30/2020</v>
        <stp/>
        <stp>##V3_BDPV12</stp>
        <stp>912828ZG Govt</stp>
        <stp>FIRST_CPN_DT</stp>
        <stp>[TREASURY.xlsx]Sheet1!R62C9</stp>
        <tr r="I62" s="1"/>
      </tp>
      <tp>
        <v>1.625</v>
        <stp/>
        <stp>##V3_BDPV12</stp>
        <stp>91282CCB Govt</stp>
        <stp>CPN</stp>
        <stp>[TREASURY.xlsx]Sheet1!R12C3</stp>
        <tr r="C12" s="1"/>
      </tp>
      <tp>
        <v>0.375</v>
        <stp/>
        <stp>##V3_BDPV12</stp>
        <stp>91282CCL Govt</stp>
        <stp>CPN</stp>
        <stp>[TREASURY.xlsx]Sheet1!R32C3</stp>
        <tr r="C32" s="1"/>
      </tp>
      <tp>
        <v>0.18366962281460444</v>
        <stp/>
        <stp>##V3_BDPV12</stp>
        <stp>91282CBN Govt</stp>
        <stp>YLD_YTM_BID</stp>
        <stp>[TREASURY.xlsx]Sheet1!R82C4</stp>
        <tr r="D82" s="1"/>
      </tp>
      <tp>
        <v>0.125</v>
        <stp/>
        <stp>##V3_BDPV12</stp>
        <stp>91282CAK Govt</stp>
        <stp>CPN</stp>
        <stp>[TREASURY.xlsx]Sheet1!R60C3</stp>
        <tr r="C60" s="1"/>
      </tp>
      <tp>
        <v>0.875</v>
        <stp/>
        <stp>##V3_BDPV12</stp>
        <stp>91282CCJ Govt</stp>
        <stp>CPN</stp>
        <stp>[TREASURY.xlsx]Sheet1!R22C3</stp>
        <tr r="C22" s="1"/>
      </tp>
      <tp>
        <v>0.22664273705316351</v>
        <stp/>
        <stp>##V3_BDPV12</stp>
        <stp>91282CCK Govt</stp>
        <stp>YLD_YTM_BID</stp>
        <stp>[TREASURY.xlsx]Sheet1!R33C4</stp>
        <tr r="D33" s="1"/>
      </tp>
      <tp t="s">
        <v>#N/A Field Not Applicable</v>
        <stp/>
        <stp>##V3_BDPV12</stp>
        <stp>912828Y7 Govt</stp>
        <stp>IDX_RATIO</stp>
        <stp>[TREASURY.xlsx]Sheet1!R255C20</stp>
        <tr r="T255" s="1"/>
      </tp>
      <tp t="s">
        <v>UNITED STATES</v>
        <stp/>
        <stp>##V3_BDPV12</stp>
        <stp>9128272G Govt</stp>
        <stp>COUNTRY_FULL_NAME</stp>
        <stp>[TREASURY.xlsx]Sheet1!R1517C8</stp>
        <tr r="H1517" s="1"/>
      </tp>
      <tp t="s">
        <v>#N/A Field Not Applicable</v>
        <stp/>
        <stp>##V3_BDPV12</stp>
        <stp>912828Y6 Govt</stp>
        <stp>IDX_RATIO</stp>
        <stp>[TREASURY.xlsx]Sheet1!R297C20</stp>
        <tr r="T297" s="1"/>
      </tp>
      <tp t="s">
        <v>UNITED STATES</v>
        <stp/>
        <stp>##V3_BDPV12</stp>
        <stp>9128273E Govt</stp>
        <stp>COUNTRY_FULL_NAME</stp>
        <stp>[TREASURY.xlsx]Sheet1!R1526C8</stp>
        <tr r="H1526" s="1"/>
      </tp>
      <tp t="s">
        <v>#N/A Field Not Applicable</v>
        <stp/>
        <stp>##V3_BDPV12</stp>
        <stp>912827Y8 Govt</stp>
        <stp>IDX_RATIO</stp>
        <stp>[TREASURY.xlsx]Sheet1!R941C20</stp>
        <tr r="T941" s="1"/>
      </tp>
      <tp t="s">
        <v>#N/A Field Not Applicable</v>
        <stp/>
        <stp>##V3_BDPV12</stp>
        <stp>912828Y2 Govt</stp>
        <stp>IDX_RATIO</stp>
        <stp>[TREASURY.xlsx]Sheet1!R336C20</stp>
        <tr r="T336" s="1"/>
      </tp>
      <tp t="s">
        <v>#N/A Field Not Applicable</v>
        <stp/>
        <stp>##V3_BDPV12</stp>
        <stp>912828Y4 Govt</stp>
        <stp>IDX_RATIO</stp>
        <stp>[TREASURY.xlsx]Sheet1!R589C20</stp>
        <tr r="T589" s="1"/>
      </tp>
      <tp t="s">
        <v>#N/A Field Not Applicable</v>
        <stp/>
        <stp>##V3_BDPV12</stp>
        <stp>912827Y5 Govt</stp>
        <stp>IDX_RATIO</stp>
        <stp>[TREASURY.xlsx]Sheet1!R940C20</stp>
        <tr r="T940" s="1"/>
      </tp>
      <tp t="s">
        <v>UNITED STATES</v>
        <stp/>
        <stp>##V3_BDPV12</stp>
        <stp>9128277M Govt</stp>
        <stp>COUNTRY_FULL_NAME</stp>
        <stp>[TREASURY.xlsx]Sheet1!R1472C8</stp>
        <tr r="H1472" s="1"/>
      </tp>
      <tp t="s">
        <v>UNITED STATES</v>
        <stp/>
        <stp>##V3_BDPV12</stp>
        <stp>9128274M Govt</stp>
        <stp>COUNTRY_FULL_NAME</stp>
        <stp>[TREASURY.xlsx]Sheet1!R1461C8</stp>
        <tr r="H1461" s="1"/>
      </tp>
      <tp t="s">
        <v>#N/A Field Not Applicable</v>
        <stp/>
        <stp>##V3_BDPV12</stp>
        <stp>912828Y9 Govt</stp>
        <stp>IDX_RATIO</stp>
        <stp>[TREASURY.xlsx]Sheet1!R157C20</stp>
        <tr r="T157" s="1"/>
      </tp>
      <tp t="s">
        <v>UNITED STATES</v>
        <stp/>
        <stp>##V3_BDPV12</stp>
        <stp>9128276K Govt</stp>
        <stp>COUNTRY_FULL_NAME</stp>
        <stp>[TREASURY.xlsx]Sheet1!R1023C8</stp>
        <tr r="H1023" s="1"/>
      </tp>
      <tp t="s">
        <v>UNITED STATES</v>
        <stp/>
        <stp>##V3_BDPV12</stp>
        <stp>9128273K Govt</stp>
        <stp>COUNTRY_FULL_NAME</stp>
        <stp>[TREASURY.xlsx]Sheet1!R1356C8</stp>
        <tr r="H1356" s="1"/>
      </tp>
      <tp t="s">
        <v>UNITED STATES</v>
        <stp/>
        <stp>##V3_BDPV12</stp>
        <stp>9128275H Govt</stp>
        <stp>COUNTRY_FULL_NAME</stp>
        <stp>[TREASURY.xlsx]Sheet1!R1370C8</stp>
        <tr r="H1370" s="1"/>
      </tp>
      <tp t="s">
        <v>#N/A Field Not Applicable</v>
        <stp/>
        <stp>##V3_BDPV12</stp>
        <stp>912828Y8 Govt</stp>
        <stp>IDX_RATIO</stp>
        <stp>[TREASURY.xlsx]Sheet1!R208C20</stp>
        <tr r="T208" s="1"/>
      </tp>
      <tp t="s">
        <v>UNITED STATES</v>
        <stp/>
        <stp>##V3_BDPV12</stp>
        <stp>9128273W Govt</stp>
        <stp>COUNTRY_FULL_NAME</stp>
        <stp>[TREASURY.xlsx]Sheet1!R1456C8</stp>
        <tr r="H1456" s="1"/>
      </tp>
      <tp t="s">
        <v>#N/A Field Not Applicable</v>
        <stp/>
        <stp>##V3_BDPV12</stp>
        <stp>912828YT Govt</stp>
        <stp>IDX_RATIO</stp>
        <stp>[TREASURY.xlsx]Sheet1!R198C20</stp>
        <tr r="T198" s="1"/>
      </tp>
      <tp t="s">
        <v>#N/A Field Not Applicable</v>
        <stp/>
        <stp>##V3_BDPV12</stp>
        <stp>912828YU Govt</stp>
        <stp>IDX_RATIO</stp>
        <stp>[TREASURY.xlsx]Sheet1!R174C20</stp>
        <tr r="T174" s="1"/>
      </tp>
      <tp t="s">
        <v>#N/A Field Not Applicable</v>
        <stp/>
        <stp>##V3_BDPV12</stp>
        <stp>912827YR Govt</stp>
        <stp>IDX_RATIO</stp>
        <stp>[TREASURY.xlsx]Sheet1!R684C20</stp>
        <tr r="T684" s="1"/>
      </tp>
      <tp t="s">
        <v>#N/A Field Not Applicable</v>
        <stp/>
        <stp>##V3_BDPV12</stp>
        <stp>912828YV Govt</stp>
        <stp>IDX_RATIO</stp>
        <stp>[TREASURY.xlsx]Sheet1!R139C20</stp>
        <tr r="T139" s="1"/>
      </tp>
      <tp t="s">
        <v>T</v>
        <stp/>
        <stp>##V3_BDPV12</stp>
        <stp>912828YJ Govt</stp>
        <stp>TICKER</stp>
        <stp>[TREASURY.xlsx]Sheet1!R80C2</stp>
        <tr r="B80" s="1"/>
      </tp>
      <tp t="s">
        <v>#N/A Field Not Applicable</v>
        <stp/>
        <stp>##V3_BDPV12</stp>
        <stp>912828YW Govt</stp>
        <stp>IDX_RATIO</stp>
        <stp>[TREASURY.xlsx]Sheet1!R141C20</stp>
        <tr r="T141" s="1"/>
      </tp>
      <tp t="s">
        <v>#N/A Field Not Applicable</v>
        <stp/>
        <stp>##V3_BDPV12</stp>
        <stp>912828YP Govt</stp>
        <stp>IDX_RATIO</stp>
        <stp>[TREASURY.xlsx]Sheet1!R149C20</stp>
        <tr r="T149" s="1"/>
      </tp>
      <tp t="s">
        <v>#N/A Field Not Applicable</v>
        <stp/>
        <stp>##V3_BDPV12</stp>
        <stp>912827YX Govt</stp>
        <stp>IDX_RATIO</stp>
        <stp>[TREASURY.xlsx]Sheet1!R948C20</stp>
        <tr r="T948" s="1"/>
      </tp>
      <tp t="s">
        <v>#N/A Field Not Applicable</v>
        <stp/>
        <stp>##V3_BDPV12</stp>
        <stp>912827YY Govt</stp>
        <stp>IDX_RATIO</stp>
        <stp>[TREASURY.xlsx]Sheet1!R949C20</stp>
        <tr r="T949" s="1"/>
      </tp>
      <tp t="s">
        <v>#N/A Field Not Applicable</v>
        <stp/>
        <stp>##V3_BDPV12</stp>
        <stp>912827YZ Govt</stp>
        <stp>IDX_RATIO</stp>
        <stp>[TREASURY.xlsx]Sheet1!R950C20</stp>
        <tr r="T950" s="1"/>
      </tp>
      <tp t="s">
        <v>T</v>
        <stp/>
        <stp>##V3_BDPV12</stp>
        <stp>912810RV Govt</stp>
        <stp>TICKER</stp>
        <stp>[TREASURY.xlsx]Sheet1!R28C2</stp>
        <tr r="B28" s="1"/>
      </tp>
      <tp t="s">
        <v>#N/A Field Not Applicable</v>
        <stp/>
        <stp>##V3_BDPV12</stp>
        <stp>912827YV Govt</stp>
        <stp>IDX_RATIO</stp>
        <stp>[TREASURY.xlsx]Sheet1!R947C20</stp>
        <tr r="T947" s="1"/>
      </tp>
      <tp t="s">
        <v>#N/A Field Not Applicable</v>
        <stp/>
        <stp>##V3_BDPV12</stp>
        <stp>912828YX Govt</stp>
        <stp>IDX_RATIO</stp>
        <stp>[TREASURY.xlsx]Sheet1!R104C20</stp>
        <tr r="T104" s="1"/>
      </tp>
      <tp t="s">
        <v>#N/A Field Not Applicable</v>
        <stp/>
        <stp>##V3_BDPV12</stp>
        <stp>912828YY Govt</stp>
        <stp>IDX_RATIO</stp>
        <stp>[TREASURY.xlsx]Sheet1!R158C20</stp>
        <tr r="T158" s="1"/>
      </tp>
      <tp t="s">
        <v>#N/A Field Not Applicable</v>
        <stp/>
        <stp>##V3_BDPV12</stp>
        <stp>912828YZ Govt</stp>
        <stp>IDX_RATIO</stp>
        <stp>[TREASURY.xlsx]Sheet1!R170C20</stp>
        <tr r="T170" s="1"/>
      </tp>
      <tp t="s">
        <v>#N/A Field Not Applicable</v>
        <stp/>
        <stp>##V3_BDPV12</stp>
        <stp>912827YS Govt</stp>
        <stp>IDX_RATIO</stp>
        <stp>[TREASURY.xlsx]Sheet1!R946C20</stp>
        <tr r="T946" s="1"/>
      </tp>
      <tp t="s">
        <v>#N/A Field Not Applicable</v>
        <stp/>
        <stp>##V3_BDPV12</stp>
        <stp>912828YD Govt</stp>
        <stp>IDX_RATIO</stp>
        <stp>[TREASURY.xlsx]Sheet1!R178C20</stp>
        <tr r="T178" s="1"/>
      </tp>
      <tp t="s">
        <v>#N/A Field Not Applicable</v>
        <stp/>
        <stp>##V3_BDPV12</stp>
        <stp>912827YM Govt</stp>
        <stp>IDX_RATIO</stp>
        <stp>[TREASURY.xlsx]Sheet1!R945C20</stp>
        <tr r="T945" s="1"/>
      </tp>
      <tp t="s">
        <v>#N/A Field Not Applicable</v>
        <stp/>
        <stp>##V3_BDPV12</stp>
        <stp>912828YE Govt</stp>
        <stp>IDX_RATIO</stp>
        <stp>[TREASURY.xlsx]Sheet1!R143C20</stp>
        <tr r="T143" s="1"/>
      </tp>
      <tp t="s">
        <v>#N/A Field Not Applicable</v>
        <stp/>
        <stp>##V3_BDPV12</stp>
        <stp>912828YC Govt</stp>
        <stp>IDX_RATIO</stp>
        <stp>[TREASURY.xlsx]Sheet1!R335C20</stp>
        <tr r="T335" s="1"/>
      </tp>
      <tp t="s">
        <v>#N/A Field Not Applicable</v>
        <stp/>
        <stp>##V3_BDPV12</stp>
        <stp>912828YA Govt</stp>
        <stp>IDX_RATIO</stp>
        <stp>[TREASURY.xlsx]Sheet1!R183C20</stp>
        <tr r="T183" s="1"/>
      </tp>
      <tp t="s">
        <v>#N/A Field Not Applicable</v>
        <stp/>
        <stp>##V3_BDPV12</stp>
        <stp>912827YJ Govt</stp>
        <stp>IDX_RATIO</stp>
        <stp>[TREASURY.xlsx]Sheet1!R775C20</stp>
        <tr r="T775" s="1"/>
      </tp>
      <tp t="s">
        <v>#N/A Field Not Applicable</v>
        <stp/>
        <stp>##V3_BDPV12</stp>
        <stp>912827YE Govt</stp>
        <stp>IDX_RATIO</stp>
        <stp>[TREASURY.xlsx]Sheet1!R943C20</stp>
        <tr r="T943" s="1"/>
      </tp>
      <tp t="s">
        <v>#N/A Field Not Applicable</v>
        <stp/>
        <stp>##V3_BDPV12</stp>
        <stp>912828YM Govt</stp>
        <stp>IDX_RATIO</stp>
        <stp>[TREASURY.xlsx]Sheet1!R113C20</stp>
        <tr r="T113" s="1"/>
      </tp>
      <tp t="s">
        <v>#N/A Field Not Applicable</v>
        <stp/>
        <stp>##V3_BDPV12</stp>
        <stp>912827YG Govt</stp>
        <stp>IDX_RATIO</stp>
        <stp>[TREASURY.xlsx]Sheet1!R944C20</stp>
        <tr r="T944" s="1"/>
      </tp>
      <tp t="s">
        <v>#N/A Field Not Applicable</v>
        <stp/>
        <stp>##V3_BDPV12</stp>
        <stp>912827YN Govt</stp>
        <stp>IDX_RATIO</stp>
        <stp>[TREASURY.xlsx]Sheet1!R776C20</stp>
        <tr r="T776" s="1"/>
      </tp>
      <tp t="s">
        <v>#N/A Field Not Applicable</v>
        <stp/>
        <stp>##V3_BDPV12</stp>
        <stp>912828YH Govt</stp>
        <stp>IDX_RATIO</stp>
        <stp>[TREASURY.xlsx]Sheet1!R135C20</stp>
        <tr r="T135" s="1"/>
      </tp>
      <tp t="s">
        <v>#N/A Field Not Applicable</v>
        <stp/>
        <stp>##V3_BDPV12</stp>
        <stp>912827YA Govt</stp>
        <stp>IDX_RATIO</stp>
        <stp>[TREASURY.xlsx]Sheet1!R942C20</stp>
        <tr r="T942" s="1"/>
      </tp>
      <tp t="s">
        <v>T</v>
        <stp/>
        <stp>##V3_BDPV12</stp>
        <stp>912828D5 Govt</stp>
        <stp>TICKER</stp>
        <stp>[TREASURY.xlsx]Sheet1!R70C2</stp>
        <tr r="B70" s="1"/>
      </tp>
      <tp t="s">
        <v>#N/A Field Not Applicable</v>
        <stp/>
        <stp>##V3_BDPV12</stp>
        <stp>912828YK Govt</stp>
        <stp>IDX_RATIO</stp>
        <stp>[TREASURY.xlsx]Sheet1!R131C20</stp>
        <tr r="T131" s="1"/>
      </tp>
      <tp t="s">
        <v>USD</v>
        <stp/>
        <stp>##V3_BDPV12</stp>
        <stp>91282CAK Govt</stp>
        <stp>CRNCY</stp>
        <stp>[TREASURY.xlsx]Sheet1!R60C7</stp>
        <tr r="G60" s="1"/>
      </tp>
      <tp t="s">
        <v>USD</v>
        <stp/>
        <stp>##V3_BDPV12</stp>
        <stp>91282CCR Govt</stp>
        <stp>CRNCY</stp>
        <stp>[TREASURY.xlsx]Sheet1!R20C7</stp>
        <tr r="G20" s="1"/>
      </tp>
      <tp t="s">
        <v>USD</v>
        <stp/>
        <stp>##V3_BDPV12</stp>
        <stp>91282CBQ Govt</stp>
        <stp>CRNCY</stp>
        <stp>[TREASURY.xlsx]Sheet1!R30C7</stp>
        <tr r="G30" s="1"/>
      </tp>
      <tp t="s">
        <v>USD</v>
        <stp/>
        <stp>##V3_BDPV12</stp>
        <stp>91282CBD Govt</stp>
        <stp>CRNCY</stp>
        <stp>[TREASURY.xlsx]Sheet1!R50C7</stp>
        <tr r="G50" s="1"/>
      </tp>
      <tp>
        <v>0.75</v>
        <stp/>
        <stp>##V3_BDPV12</stp>
        <stp>91282CBT Govt</stp>
        <stp>CPN</stp>
        <stp>[TREASURY.xlsx]Sheet1!R52C3</stp>
        <tr r="C52" s="1"/>
      </tp>
      <tp>
        <v>0.19887164396877713</v>
        <stp/>
        <stp>##V3_BDPV12</stp>
        <stp>91282CBU Govt</stp>
        <stp>YLD_YTM_BID</stp>
        <stp>[TREASURY.xlsx]Sheet1!R53C4</stp>
        <tr r="D53" s="1"/>
      </tp>
      <tp t="s">
        <v>USD</v>
        <stp/>
        <stp>##V3_BDPV12</stp>
        <stp>912828K7 Govt</stp>
        <stp>CRNCY</stp>
        <stp>[TREASURY.xlsx]Sheet1!R81C7</stp>
        <tr r="G81" s="1"/>
      </tp>
      <tp t="s">
        <v>USD</v>
        <stp/>
        <stp>##V3_BDPV12</stp>
        <stp>912828P4 Govt</stp>
        <stp>CRNCY</stp>
        <stp>[TREASURY.xlsx]Sheet1!R91C7</stp>
        <tr r="G91" s="1"/>
      </tp>
      <tp t="s">
        <v>USD</v>
        <stp/>
        <stp>##V3_BDPV12</stp>
        <stp>912828ZQ Govt</stp>
        <stp>CRNCY</stp>
        <stp>[TREASURY.xlsx]Sheet1!R31C7</stp>
        <tr r="G31" s="1"/>
      </tp>
      <tp t="s">
        <v>USD</v>
        <stp/>
        <stp>##V3_BDPV12</stp>
        <stp>912828ZF Govt</stp>
        <stp>CRNCY</stp>
        <stp>[TREASURY.xlsx]Sheet1!R61C7</stp>
        <tr r="G61" s="1"/>
      </tp>
      <tp t="s">
        <v>USD</v>
        <stp/>
        <stp>##V3_BDPV12</stp>
        <stp>9128285M Govt</stp>
        <stp>CRNCY</stp>
        <stp>[TREASURY.xlsx]Sheet1!R51C7</stp>
        <tr r="G51" s="1"/>
      </tp>
      <tp t="s">
        <v>USD</v>
        <stp/>
        <stp>##V3_BDPV12</stp>
        <stp>9128284N Govt</stp>
        <stp>CRNCY</stp>
        <stp>[TREASURY.xlsx]Sheet1!R71C7</stp>
        <tr r="G71" s="1"/>
      </tp>
      <tp t="s">
        <v>S/A</v>
        <stp/>
        <stp>##V3_BDPV12</stp>
        <stp>912810EN Govt</stp>
        <stp>COUPON_FREQUENCY_DESCRIPTION</stp>
        <stp>[TREASURY.xlsx]Sheet1!R319C10</stp>
        <tr r="J319" s="1"/>
      </tp>
      <tp t="s">
        <v>S/A</v>
        <stp/>
        <stp>##V3_BDPV12</stp>
        <stp>912810EK Govt</stp>
        <stp>COUPON_FREQUENCY_DESCRIPTION</stp>
        <stp>[TREASURY.xlsx]Sheet1!R357C10</stp>
        <tr r="J357" s="1"/>
      </tp>
      <tp t="s">
        <v>S/A</v>
        <stp/>
        <stp>##V3_BDPV12</stp>
        <stp>912810EM Govt</stp>
        <stp>COUPON_FREQUENCY_DESCRIPTION</stp>
        <stp>[TREASURY.xlsx]Sheet1!R304C10</stp>
        <tr r="J304" s="1"/>
      </tp>
      <tp t="s">
        <v>S/A</v>
        <stp/>
        <stp>##V3_BDPV12</stp>
        <stp>912810CC Govt</stp>
        <stp>COUPON_FREQUENCY_DESCRIPTION</stp>
        <stp>[TREASURY.xlsx]Sheet1!R526C10</stp>
        <tr r="J526" s="1"/>
      </tp>
      <tp t="s">
        <v>S/A</v>
        <stp/>
        <stp>##V3_BDPV12</stp>
        <stp>912810EY Govt</stp>
        <stp>COUPON_FREQUENCY_DESCRIPTION</stp>
        <stp>[TREASURY.xlsx]Sheet1!R328C10</stp>
        <tr r="J328" s="1"/>
      </tp>
      <tp t="s">
        <v>S/A</v>
        <stp/>
        <stp>##V3_BDPV12</stp>
        <stp>912810EX Govt</stp>
        <stp>COUPON_FREQUENCY_DESCRIPTION</stp>
        <stp>[TREASURY.xlsx]Sheet1!R324C10</stp>
        <tr r="J324" s="1"/>
      </tp>
      <tp t="s">
        <v>S/A</v>
        <stp/>
        <stp>##V3_BDPV12</stp>
        <stp>912810EZ Govt</stp>
        <stp>COUPON_FREQUENCY_DESCRIPTION</stp>
        <stp>[TREASURY.xlsx]Sheet1!R323C10</stp>
        <tr r="J323" s="1"/>
      </tp>
      <tp t="s">
        <v>S/A</v>
        <stp/>
        <stp>##V3_BDPV12</stp>
        <stp>912810ET Govt</stp>
        <stp>COUPON_FREQUENCY_DESCRIPTION</stp>
        <stp>[TREASURY.xlsx]Sheet1!R313C10</stp>
        <tr r="J313" s="1"/>
      </tp>
      <tp t="s">
        <v>S/A</v>
        <stp/>
        <stp>##V3_BDPV12</stp>
        <stp>912810EV Govt</stp>
        <stp>COUPON_FREQUENCY_DESCRIPTION</stp>
        <stp>[TREASURY.xlsx]Sheet1!R326C10</stp>
        <tr r="J326" s="1"/>
      </tp>
      <tp t="s">
        <v>S/A</v>
        <stp/>
        <stp>##V3_BDPV12</stp>
        <stp>912810CT Govt</stp>
        <stp>COUPON_FREQUENCY_DESCRIPTION</stp>
        <stp>[TREASURY.xlsx]Sheet1!R501C10</stp>
        <tr r="J501" s="1"/>
      </tp>
      <tp t="s">
        <v>S/A</v>
        <stp/>
        <stp>##V3_BDPV12</stp>
        <stp>912810ES Govt</stp>
        <stp>COUPON_FREQUENCY_DESCRIPTION</stp>
        <stp>[TREASURY.xlsx]Sheet1!R312C10</stp>
        <tr r="J312" s="1"/>
      </tp>
      <tp t="s">
        <v>S/A</v>
        <stp/>
        <stp>##V3_BDPV12</stp>
        <stp>912810EP Govt</stp>
        <stp>COUPON_FREQUENCY_DESCRIPTION</stp>
        <stp>[TREASURY.xlsx]Sheet1!R317C10</stp>
        <tr r="J317" s="1"/>
      </tp>
      <tp t="s">
        <v>S/A</v>
        <stp/>
        <stp>##V3_BDPV12</stp>
        <stp>912810EL Govt</stp>
        <stp>COUPON_FREQUENCY_DESCRIPTION</stp>
        <stp>[TREASURY.xlsx]Sheet1!R211C10</stp>
        <tr r="J211" s="1"/>
      </tp>
      <tp t="s">
        <v>S/A</v>
        <stp/>
        <stp>##V3_BDPV12</stp>
        <stp>912810FM Govt</stp>
        <stp>COUPON_FREQUENCY_DESCRIPTION</stp>
        <stp>[TREASURY.xlsx]Sheet1!R188C10</stp>
        <tr r="J188" s="1"/>
      </tp>
      <tp t="s">
        <v>S/A</v>
        <stp/>
        <stp>##V3_BDPV12</stp>
        <stp>912810DJ Govt</stp>
        <stp>COUPON_FREQUENCY_DESCRIPTION</stp>
        <stp>[TREASURY.xlsx]Sheet1!R399C10</stp>
        <tr r="J399" s="1"/>
      </tp>
      <tp t="s">
        <v>S/A</v>
        <stp/>
        <stp>##V3_BDPV12</stp>
        <stp>912810EQ Govt</stp>
        <stp>COUPON_FREQUENCY_DESCRIPTION</stp>
        <stp>[TREASURY.xlsx]Sheet1!R298C10</stp>
        <tr r="J298" s="1"/>
      </tp>
      <tp t="s">
        <v>S/A</v>
        <stp/>
        <stp>##V3_BDPV12</stp>
        <stp>912810CY Govt</stp>
        <stp>COUPON_FREQUENCY_DESCRIPTION</stp>
        <stp>[TREASURY.xlsx]Sheet1!R414C10</stp>
        <tr r="J414" s="1"/>
      </tp>
      <tp t="s">
        <v>S/A</v>
        <stp/>
        <stp>##V3_BDPV12</stp>
        <stp>912810CP Govt</stp>
        <stp>COUPON_FREQUENCY_DESCRIPTION</stp>
        <stp>[TREASURY.xlsx]Sheet1!R405C10</stp>
        <tr r="J405" s="1"/>
      </tp>
      <tp t="s">
        <v>S/A</v>
        <stp/>
        <stp>##V3_BDPV12</stp>
        <stp>912810EW Govt</stp>
        <stp>COUPON_FREQUENCY_DESCRIPTION</stp>
        <stp>[TREASURY.xlsx]Sheet1!R277C10</stp>
        <tr r="J277" s="1"/>
      </tp>
      <tp t="s">
        <v>S/A</v>
        <stp/>
        <stp>##V3_BDPV12</stp>
        <stp>912810FF Govt</stp>
        <stp>COUPON_FREQUENCY_DESCRIPTION</stp>
        <stp>[TREASURY.xlsx]Sheet1!R292C10</stp>
        <tr r="J292" s="1"/>
      </tp>
      <tp t="s">
        <v>S/A</v>
        <stp/>
        <stp>##V3_BDPV12</stp>
        <stp>912810FJ Govt</stp>
        <stp>COUPON_FREQUENCY_DESCRIPTION</stp>
        <stp>[TREASURY.xlsx]Sheet1!R267C10</stp>
        <tr r="J267" s="1"/>
      </tp>
      <tp t="s">
        <v>S/A</v>
        <stp/>
        <stp>##V3_BDPV12</stp>
        <stp>912810FG Govt</stp>
        <stp>COUPON_FREQUENCY_DESCRIPTION</stp>
        <stp>[TREASURY.xlsx]Sheet1!R223C10</stp>
        <tr r="J223" s="1"/>
      </tp>
      <tp t="s">
        <v>S/A</v>
        <stp/>
        <stp>##V3_BDPV12</stp>
        <stp>912810FE Govt</stp>
        <stp>COUPON_FREQUENCY_DESCRIPTION</stp>
        <stp>[TREASURY.xlsx]Sheet1!R253C10</stp>
        <tr r="J253" s="1"/>
      </tp>
      <tp t="s">
        <v>USD</v>
        <stp/>
        <stp>##V3_BDPV12</stp>
        <stp>912810SQ Govt</stp>
        <stp>CRNCY</stp>
        <stp>[TREASURY.xlsx]Sheet1!R92C7</stp>
        <tr r="G92" s="1"/>
      </tp>
      <tp t="s">
        <v>S/A</v>
        <stp/>
        <stp>##V3_BDPV12</stp>
        <stp>912810FA Govt</stp>
        <stp>COUPON_FREQUENCY_DESCRIPTION</stp>
        <stp>[TREASURY.xlsx]Sheet1!R314C10</stp>
        <tr r="J314" s="1"/>
      </tp>
      <tp t="s">
        <v>S/A</v>
        <stp/>
        <stp>##V3_BDPV12</stp>
        <stp>912810FB Govt</stp>
        <stp>COUPON_FREQUENCY_DESCRIPTION</stp>
        <stp>[TREASURY.xlsx]Sheet1!R320C10</stp>
        <tr r="J320" s="1"/>
      </tp>
      <tp t="s">
        <v>S/A</v>
        <stp/>
        <stp>##V3_BDPV12</stp>
        <stp>912810CX Govt</stp>
        <stp>COUPON_FREQUENCY_DESCRIPTION</stp>
        <stp>[TREASURY.xlsx]Sheet1!R661C10</stp>
        <tr r="J661" s="1"/>
      </tp>
      <tp t="s">
        <v>S/A</v>
        <stp/>
        <stp>##V3_BDPV12</stp>
        <stp>912810CS Govt</stp>
        <stp>COUPON_FREQUENCY_DESCRIPTION</stp>
        <stp>[TREASURY.xlsx]Sheet1!R660C10</stp>
        <tr r="J660" s="1"/>
      </tp>
      <tp t="s">
        <v>S/A</v>
        <stp/>
        <stp>##V3_BDPV12</stp>
        <stp>912810DM Govt</stp>
        <stp>COUPON_FREQUENCY_DESCRIPTION</stp>
        <stp>[TREASURY.xlsx]Sheet1!R697C10</stp>
        <tr r="J697" s="1"/>
      </tp>
      <tp t="s">
        <v>S/A</v>
        <stp/>
        <stp>##V3_BDPV12</stp>
        <stp>912810DP Govt</stp>
        <stp>COUPON_FREQUENCY_DESCRIPTION</stp>
        <stp>[TREASURY.xlsx]Sheet1!R698C10</stp>
        <tr r="J698" s="1"/>
      </tp>
      <tp t="s">
        <v>S/A</v>
        <stp/>
        <stp>##V3_BDPV12</stp>
        <stp>912810DW Govt</stp>
        <stp>COUPON_FREQUENCY_DESCRIPTION</stp>
        <stp>[TREASURY.xlsx]Sheet1!R609C10</stp>
        <tr r="J609" s="1"/>
      </tp>
      <tp t="s">
        <v>S/A</v>
        <stp/>
        <stp>##V3_BDPV12</stp>
        <stp>912810DZ Govt</stp>
        <stp>COUPON_FREQUENCY_DESCRIPTION</stp>
        <stp>[TREASURY.xlsx]Sheet1!R699C10</stp>
        <tr r="J699" s="1"/>
      </tp>
      <tp>
        <v>1.25</v>
        <stp/>
        <stp>##V3_BDPV12</stp>
        <stp>91282CCY Govt</stp>
        <stp>CPN</stp>
        <stp>[TREASURY.xlsx]Sheet1!R13C3</stp>
        <tr r="C13" s="1"/>
      </tp>
      <tp t="s">
        <v>S/A</v>
        <stp/>
        <stp>##V3_BDPV12</stp>
        <stp>912810EF Govt</stp>
        <stp>COUPON_FREQUENCY_DESCRIPTION</stp>
        <stp>[TREASURY.xlsx]Sheet1!R606C10</stp>
        <tr r="J606" s="1"/>
      </tp>
      <tp t="s">
        <v>S/A</v>
        <stp/>
        <stp>##V3_BDPV12</stp>
        <stp>912810ED Govt</stp>
        <stp>COUPON_FREQUENCY_DESCRIPTION</stp>
        <stp>[TREASURY.xlsx]Sheet1!R664C10</stp>
        <tr r="J664" s="1"/>
      </tp>
      <tp t="s">
        <v>S/A</v>
        <stp/>
        <stp>##V3_BDPV12</stp>
        <stp>912810EC Govt</stp>
        <stp>COUPON_FREQUENCY_DESCRIPTION</stp>
        <stp>[TREASURY.xlsx]Sheet1!R612C10</stp>
        <tr r="J612" s="1"/>
      </tp>
      <tp>
        <v>0.125</v>
        <stp/>
        <stp>##V3_BDPV12</stp>
        <stp>91282CBX Govt</stp>
        <stp>CPN</stp>
        <stp>[TREASURY.xlsx]Sheet1!R72C3</stp>
        <tr r="C72" s="1"/>
      </tp>
      <tp t="s">
        <v>S/A</v>
        <stp/>
        <stp>##V3_BDPV12</stp>
        <stp>912810EJ Govt</stp>
        <stp>COUPON_FREQUENCY_DESCRIPTION</stp>
        <stp>[TREASURY.xlsx]Sheet1!R521C10</stp>
        <tr r="J521" s="1"/>
      </tp>
      <tp t="s">
        <v>S/A</v>
        <stp/>
        <stp>##V3_BDPV12</stp>
        <stp>912810EE Govt</stp>
        <stp>COUPON_FREQUENCY_DESCRIPTION</stp>
        <stp>[TREASURY.xlsx]Sheet1!R503C10</stp>
        <tr r="J503" s="1"/>
      </tp>
      <tp t="s">
        <v>S/A</v>
        <stp/>
        <stp>##V3_BDPV12</stp>
        <stp>912810DX Govt</stp>
        <stp>COUPON_FREQUENCY_DESCRIPTION</stp>
        <stp>[TREASURY.xlsx]Sheet1!R461C10</stp>
        <tr r="J461" s="1"/>
      </tp>
      <tp t="s">
        <v>S/A</v>
        <stp/>
        <stp>##V3_BDPV12</stp>
        <stp>912810DS Govt</stp>
        <stp>COUPON_FREQUENCY_DESCRIPTION</stp>
        <stp>[TREASURY.xlsx]Sheet1!R454C10</stp>
        <tr r="J454" s="1"/>
      </tp>
      <tp t="s">
        <v>S/A</v>
        <stp/>
        <stp>##V3_BDPV12</stp>
        <stp>912810DU Govt</stp>
        <stp>COUPON_FREQUENCY_DESCRIPTION</stp>
        <stp>[TREASURY.xlsx]Sheet1!R432C10</stp>
        <tr r="J432" s="1"/>
      </tp>
      <tp t="s">
        <v>S/A</v>
        <stp/>
        <stp>##V3_BDPV12</stp>
        <stp>912810EH Govt</stp>
        <stp>COUPON_FREQUENCY_DESCRIPTION</stp>
        <stp>[TREASURY.xlsx]Sheet1!R400C10</stp>
        <tr r="J400" s="1"/>
      </tp>
      <tp t="s">
        <v>S/A</v>
        <stp/>
        <stp>##V3_BDPV12</stp>
        <stp>912810DA Govt</stp>
        <stp>COUPON_FREQUENCY_DESCRIPTION</stp>
        <stp>[TREASURY.xlsx]Sheet1!R529C10</stp>
        <tr r="J529" s="1"/>
      </tp>
      <tp t="s">
        <v>S/A</v>
        <stp/>
        <stp>##V3_BDPV12</stp>
        <stp>912810DV Govt</stp>
        <stp>COUPON_FREQUENCY_DESCRIPTION</stp>
        <stp>[TREASURY.xlsx]Sheet1!R527C10</stp>
        <tr r="J527" s="1"/>
      </tp>
      <tp t="s">
        <v>6/30/2021</v>
        <stp/>
        <stp>##V3_BDPV12</stp>
        <stp>91282CBD Govt</stp>
        <stp>FIRST_CPN_DT</stp>
        <stp>[TREASURY.xlsx]Sheet1!R50C9</stp>
        <tr r="I50" s="1"/>
      </tp>
      <tp t="s">
        <v>2/15/2020</v>
        <stp/>
        <stp>##V3_BDPV12</stp>
        <stp>912828YB Govt</stp>
        <stp>FIRST_CPN_DT</stp>
        <stp>[TREASURY.xlsx]Sheet1!R26C9</stp>
        <tr r="I26" s="1"/>
      </tp>
      <tp>
        <v>1.5040153988732312</v>
        <stp/>
        <stp>##V3_BDPV12</stp>
        <stp>91282CCB Govt</stp>
        <stp>YLD_YTM_BID</stp>
        <stp>[TREASURY.xlsx]Sheet1!R12C4</stp>
        <tr r="D12" s="1"/>
      </tp>
      <tp>
        <v>0.47998709917162996</v>
        <stp/>
        <stp>##V3_BDPV12</stp>
        <stp>91282CCL Govt</stp>
        <stp>YLD_YTM_BID</stp>
        <stp>[TREASURY.xlsx]Sheet1!R32C4</stp>
        <tr r="D32" s="1"/>
      </tp>
      <tp>
        <v>0.125</v>
        <stp/>
        <stp>##V3_BDPV12</stp>
        <stp>91282CBN Govt</stp>
        <stp>CPN</stp>
        <stp>[TREASURY.xlsx]Sheet1!R82C3</stp>
        <tr r="C82" s="1"/>
      </tp>
      <tp t="s">
        <v>S/A</v>
        <stp/>
        <stp>##V3_BDPV12</stp>
        <stp>912810QL Govt</stp>
        <stp>COUPON_FREQUENCY_DESCRIPTION</stp>
        <stp>[TREASURY.xlsx]Sheet1!R321C10</stp>
        <tr r="J321" s="1"/>
      </tp>
      <tp t="s">
        <v>S/A</v>
        <stp/>
        <stp>##V3_BDPV12</stp>
        <stp>912810SH Govt</stp>
        <stp>COUPON_FREQUENCY_DESCRIPTION</stp>
        <stp>[TREASURY.xlsx]Sheet1!R156C10</stp>
        <tr r="J156" s="1"/>
      </tp>
      <tp t="s">
        <v>S/A</v>
        <stp/>
        <stp>##V3_BDPV12</stp>
        <stp>912810SD Govt</stp>
        <stp>COUPON_FREQUENCY_DESCRIPTION</stp>
        <stp>[TREASURY.xlsx]Sheet1!R181C10</stp>
        <tr r="J181" s="1"/>
      </tp>
      <tp t="s">
        <v>S/A</v>
        <stp/>
        <stp>##V3_BDPV12</stp>
        <stp>912810QH Govt</stp>
        <stp>COUPON_FREQUENCY_DESCRIPTION</stp>
        <stp>[TREASURY.xlsx]Sheet1!R316C10</stp>
        <tr r="J316" s="1"/>
      </tp>
      <tp t="s">
        <v>S/A</v>
        <stp/>
        <stp>##V3_BDPV12</stp>
        <stp>912810SA Govt</stp>
        <stp>COUPON_FREQUENCY_DESCRIPTION</stp>
        <stp>[TREASURY.xlsx]Sheet1!R146C10</stp>
        <tr r="J146" s="1"/>
      </tp>
      <tp t="s">
        <v>S/A</v>
        <stp/>
        <stp>##V3_BDPV12</stp>
        <stp>912810QD Govt</stp>
        <stp>COUPON_FREQUENCY_DESCRIPTION</stp>
        <stp>[TREASURY.xlsx]Sheet1!R311C10</stp>
        <tr r="J311" s="1"/>
      </tp>
      <tp t="s">
        <v>S/A</v>
        <stp/>
        <stp>##V3_BDPV12</stp>
        <stp>912810QE Govt</stp>
        <stp>COUPON_FREQUENCY_DESCRIPTION</stp>
        <stp>[TREASURY.xlsx]Sheet1!R302C10</stp>
        <tr r="J302" s="1"/>
      </tp>
      <tp t="s">
        <v>S/A</v>
        <stp/>
        <stp>##V3_BDPV12</stp>
        <stp>912810QC Govt</stp>
        <stp>COUPON_FREQUENCY_DESCRIPTION</stp>
        <stp>[TREASURY.xlsx]Sheet1!R318C10</stp>
        <tr r="J318" s="1"/>
      </tp>
      <tp t="s">
        <v>S/A</v>
        <stp/>
        <stp>##V3_BDPV12</stp>
        <stp>912810SF Govt</stp>
        <stp>COUPON_FREQUENCY_DESCRIPTION</stp>
        <stp>[TREASURY.xlsx]Sheet1!R177C10</stp>
        <tr r="J177" s="1"/>
      </tp>
      <tp t="s">
        <v>S/A</v>
        <stp/>
        <stp>##V3_BDPV12</stp>
        <stp>912810SE Govt</stp>
        <stp>COUPON_FREQUENCY_DESCRIPTION</stp>
        <stp>[TREASURY.xlsx]Sheet1!R152C10</stp>
        <tr r="J152" s="1"/>
      </tp>
      <tp t="s">
        <v>S/A</v>
        <stp/>
        <stp>##V3_BDPV12</stp>
        <stp>912810PW Govt</stp>
        <stp>COUPON_FREQUENCY_DESCRIPTION</stp>
        <stp>[TREASURY.xlsx]Sheet1!R289C10</stp>
        <tr r="J289" s="1"/>
      </tp>
      <tp t="s">
        <v>S/A</v>
        <stp/>
        <stp>##V3_BDPV12</stp>
        <stp>912810QZ Govt</stp>
        <stp>COUPON_FREQUENCY_DESCRIPTION</stp>
        <stp>[TREASURY.xlsx]Sheet1!R310C10</stp>
        <tr r="J310" s="1"/>
      </tp>
      <tp t="s">
        <v>S/A</v>
        <stp/>
        <stp>##V3_BDPV12</stp>
        <stp>912810PT Govt</stp>
        <stp>COUPON_FREQUENCY_DESCRIPTION</stp>
        <stp>[TREASURY.xlsx]Sheet1!R226C10</stp>
        <tr r="J226" s="1"/>
      </tp>
      <tp t="s">
        <v>S/A</v>
        <stp/>
        <stp>##V3_BDPV12</stp>
        <stp>912810QS Govt</stp>
        <stp>COUPON_FREQUENCY_DESCRIPTION</stp>
        <stp>[TREASURY.xlsx]Sheet1!R303C10</stp>
        <tr r="J303" s="1"/>
      </tp>
      <tp t="s">
        <v>S/A</v>
        <stp/>
        <stp>##V3_BDPV12</stp>
        <stp>912810SR Govt</stp>
        <stp>COUPON_FREQUENCY_DESCRIPTION</stp>
        <stp>[TREASURY.xlsx]Sheet1!R100C10</stp>
        <tr r="J100" s="1"/>
      </tp>
      <tp t="s">
        <v>S/A</v>
        <stp/>
        <stp>##V3_BDPV12</stp>
        <stp>912810QQ Govt</stp>
        <stp>COUPON_FREQUENCY_DESCRIPTION</stp>
        <stp>[TREASURY.xlsx]Sheet1!R315C10</stp>
        <tr r="J315" s="1"/>
      </tp>
      <tp t="s">
        <v>S/A</v>
        <stp/>
        <stp>##V3_BDPV12</stp>
        <stp>912810PX Govt</stp>
        <stp>COUPON_FREQUENCY_DESCRIPTION</stp>
        <stp>[TREASURY.xlsx]Sheet1!R282C10</stp>
        <tr r="J282" s="1"/>
      </tp>
      <tp t="s">
        <v>S/A</v>
        <stp/>
        <stp>##V3_BDPV12</stp>
        <stp>912810RK Govt</stp>
        <stp>COUPON_FREQUENCY_DESCRIPTION</stp>
        <stp>[TREASURY.xlsx]Sheet1!R103C10</stp>
        <tr r="J103" s="1"/>
      </tp>
      <tp t="s">
        <v>S/A</v>
        <stp/>
        <stp>##V3_BDPV12</stp>
        <stp>912810RM Govt</stp>
        <stp>COUPON_FREQUENCY_DESCRIPTION</stp>
        <stp>[TREASURY.xlsx]Sheet1!R176C10</stp>
        <tr r="J176" s="1"/>
      </tp>
      <tp t="s">
        <v>S/A</v>
        <stp/>
        <stp>##V3_BDPV12</stp>
        <stp>912810QA Govt</stp>
        <stp>COUPON_FREQUENCY_DESCRIPTION</stp>
        <stp>[TREASURY.xlsx]Sheet1!R280C10</stp>
        <tr r="J280" s="1"/>
      </tp>
      <tp t="s">
        <v>S/A</v>
        <stp/>
        <stp>##V3_BDPV12</stp>
        <stp>912810QK Govt</stp>
        <stp>COUPON_FREQUENCY_DESCRIPTION</stp>
        <stp>[TREASURY.xlsx]Sheet1!R238C10</stp>
        <tr r="J238" s="1"/>
      </tp>
      <tp t="s">
        <v>S/A</v>
        <stp/>
        <stp>##V3_BDPV12</stp>
        <stp>912810QN Govt</stp>
        <stp>COUPON_FREQUENCY_DESCRIPTION</stp>
        <stp>[TREASURY.xlsx]Sheet1!R291C10</stp>
        <tr r="J291" s="1"/>
      </tp>
      <tp t="s">
        <v>S/A</v>
        <stp/>
        <stp>##V3_BDPV12</stp>
        <stp>912810QB Govt</stp>
        <stp>COUPON_FREQUENCY_DESCRIPTION</stp>
        <stp>[TREASURY.xlsx]Sheet1!R274C10</stp>
        <tr r="J274" s="1"/>
      </tp>
      <tp t="s">
        <v>S/A</v>
        <stp/>
        <stp>##V3_BDPV12</stp>
        <stp>912810RJ Govt</stp>
        <stp>COUPON_FREQUENCY_DESCRIPTION</stp>
        <stp>[TREASURY.xlsx]Sheet1!R180C10</stp>
        <tr r="J180" s="1"/>
      </tp>
      <tp t="s">
        <v>S/A</v>
        <stp/>
        <stp>##V3_BDPV12</stp>
        <stp>912810QX Govt</stp>
        <stp>COUPON_FREQUENCY_DESCRIPTION</stp>
        <stp>[TREASURY.xlsx]Sheet1!R275C10</stp>
        <tr r="J275" s="1"/>
      </tp>
      <tp t="s">
        <v>S/A</v>
        <stp/>
        <stp>##V3_BDPV12</stp>
        <stp>912810QW Govt</stp>
        <stp>COUPON_FREQUENCY_DESCRIPTION</stp>
        <stp>[TREASURY.xlsx]Sheet1!R286C10</stp>
        <tr r="J286" s="1"/>
      </tp>
      <tp t="s">
        <v>S/A</v>
        <stp/>
        <stp>##V3_BDPV12</stp>
        <stp>912810QY Govt</stp>
        <stp>COUPON_FREQUENCY_DESCRIPTION</stp>
        <stp>[TREASURY.xlsx]Sheet1!R270C10</stp>
        <tr r="J270" s="1"/>
      </tp>
      <tp t="s">
        <v>S/A</v>
        <stp/>
        <stp>##V3_BDPV12</stp>
        <stp>912810QU Govt</stp>
        <stp>COUPON_FREQUENCY_DESCRIPTION</stp>
        <stp>[TREASURY.xlsx]Sheet1!R287C10</stp>
        <tr r="J287" s="1"/>
      </tp>
      <tp t="s">
        <v>S/A</v>
        <stp/>
        <stp>##V3_BDPV12</stp>
        <stp>912810QT Govt</stp>
        <stp>COUPON_FREQUENCY_DESCRIPTION</stp>
        <stp>[TREASURY.xlsx]Sheet1!R237C10</stp>
        <tr r="J237" s="1"/>
      </tp>
      <tp t="s">
        <v>S/A</v>
        <stp/>
        <stp>##V3_BDPV12</stp>
        <stp>912810RQ Govt</stp>
        <stp>COUPON_FREQUENCY_DESCRIPTION</stp>
        <stp>[TREASURY.xlsx]Sheet1!R172C10</stp>
        <tr r="J172" s="1"/>
      </tp>
      <tp t="s">
        <v>S/A</v>
        <stp/>
        <stp>##V3_BDPV12</stp>
        <stp>912810RS Govt</stp>
        <stp>COUPON_FREQUENCY_DESCRIPTION</stp>
        <stp>[TREASURY.xlsx]Sheet1!R163C10</stp>
        <tr r="J163" s="1"/>
      </tp>
      <tp t="s">
        <v>S/A</v>
        <stp/>
        <stp>##V3_BDPV12</stp>
        <stp>912810RX Govt</stp>
        <stp>COUPON_FREQUENCY_DESCRIPTION</stp>
        <stp>[TREASURY.xlsx]Sheet1!R197C10</stp>
        <tr r="J197" s="1"/>
      </tp>
      <tp t="s">
        <v>S/A</v>
        <stp/>
        <stp>##V3_BDPV12</stp>
        <stp>912810RU Govt</stp>
        <stp>COUPON_FREQUENCY_DESCRIPTION</stp>
        <stp>[TREASURY.xlsx]Sheet1!R154C10</stp>
        <tr r="J154" s="1"/>
      </tp>
      <tp t="s">
        <v>S/A</v>
        <stp/>
        <stp>##V3_BDPV12</stp>
        <stp>912810RY Govt</stp>
        <stp>COUPON_FREQUENCY_DESCRIPTION</stp>
        <stp>[TREASURY.xlsx]Sheet1!R191C10</stp>
        <tr r="J191" s="1"/>
      </tp>
      <tp t="s">
        <v>S/A</v>
        <stp/>
        <stp>##V3_BDPV12</stp>
        <stp>912810RG Govt</stp>
        <stp>COUPON_FREQUENCY_DESCRIPTION</stp>
        <stp>[TREASURY.xlsx]Sheet1!R284C10</stp>
        <tr r="J284" s="1"/>
      </tp>
      <tp t="s">
        <v>S/A</v>
        <stp/>
        <stp>##V3_BDPV12</stp>
        <stp>912810RH Govt</stp>
        <stp>COUPON_FREQUENCY_DESCRIPTION</stp>
        <stp>[TREASURY.xlsx]Sheet1!R259C10</stp>
        <tr r="J259" s="1"/>
      </tp>
      <tp t="s">
        <v>S/A</v>
        <stp/>
        <stp>##V3_BDPV12</stp>
        <stp>912810RE Govt</stp>
        <stp>COUPON_FREQUENCY_DESCRIPTION</stp>
        <stp>[TREASURY.xlsx]Sheet1!R295C10</stp>
        <tr r="J295" s="1"/>
      </tp>
      <tp t="s">
        <v>S/A</v>
        <stp/>
        <stp>##V3_BDPV12</stp>
        <stp>912810RD Govt</stp>
        <stp>COUPON_FREQUENCY_DESCRIPTION</stp>
        <stp>[TREASURY.xlsx]Sheet1!R235C10</stp>
        <tr r="J235" s="1"/>
      </tp>
      <tp t="s">
        <v>S/A</v>
        <stp/>
        <stp>##V3_BDPV12</stp>
        <stp>912810RN Govt</stp>
        <stp>COUPON_FREQUENCY_DESCRIPTION</stp>
        <stp>[TREASURY.xlsx]Sheet1!R293C10</stp>
        <tr r="J293" s="1"/>
      </tp>
      <tp t="s">
        <v>S/A</v>
        <stp/>
        <stp>##V3_BDPV12</stp>
        <stp>912810RC Govt</stp>
        <stp>COUPON_FREQUENCY_DESCRIPTION</stp>
        <stp>[TREASURY.xlsx]Sheet1!R263C10</stp>
        <tr r="J263" s="1"/>
      </tp>
      <tp t="s">
        <v>S/A</v>
        <stp/>
        <stp>##V3_BDPV12</stp>
        <stp>912810RB Govt</stp>
        <stp>COUPON_FREQUENCY_DESCRIPTION</stp>
        <stp>[TREASURY.xlsx]Sheet1!R269C10</stp>
        <tr r="J269" s="1"/>
      </tp>
      <tp t="s">
        <v>S/A</v>
        <stp/>
        <stp>##V3_BDPV12</stp>
        <stp>912810RZ Govt</stp>
        <stp>COUPON_FREQUENCY_DESCRIPTION</stp>
        <stp>[TREASURY.xlsx]Sheet1!R273C10</stp>
        <tr r="J273" s="1"/>
      </tp>
      <tp t="s">
        <v>S/A</v>
        <stp/>
        <stp>##V3_BDPV12</stp>
        <stp>912810RP Govt</stp>
        <stp>COUPON_FREQUENCY_DESCRIPTION</stp>
        <stp>[TREASURY.xlsx]Sheet1!R278C10</stp>
        <tr r="J278" s="1"/>
      </tp>
      <tp>
        <v>0.125</v>
        <stp/>
        <stp>##V3_BDPV12</stp>
        <stp>91282CCK Govt</stp>
        <stp>CPN</stp>
        <stp>[TREASURY.xlsx]Sheet1!R33C3</stp>
        <tr r="C33" s="1"/>
      </tp>
      <tp>
        <v>0.94598860976288879</v>
        <stp/>
        <stp>##V3_BDPV12</stp>
        <stp>91282CCJ Govt</stp>
        <stp>YLD_YTM_BID</stp>
        <stp>[TREASURY.xlsx]Sheet1!R22C4</stp>
        <tr r="D22" s="1"/>
      </tp>
      <tp t="s">
        <v>S/A</v>
        <stp/>
        <stp>##V3_BDPV12</stp>
        <stp>912810SC Govt</stp>
        <stp>COUPON_FREQUENCY_DESCRIPTION</stp>
        <stp>[TREASURY.xlsx]Sheet1!R243C10</stp>
        <tr r="J243" s="1"/>
      </tp>
      <tp>
        <v>0.28041141757714949</v>
        <stp/>
        <stp>##V3_BDPV12</stp>
        <stp>91282CAK Govt</stp>
        <stp>YLD_YTM_BID</stp>
        <stp>[TREASURY.xlsx]Sheet1!R60C4</stp>
        <tr r="D60" s="1"/>
      </tp>
      <tp t="s">
        <v>#N/A Field Not Applicable</v>
        <stp/>
        <stp>##V3_BDPV12</stp>
        <stp>912828X7 Govt</stp>
        <stp>IDX_RATIO</stp>
        <stp>[TREASURY.xlsx]Sheet1!R300C20</stp>
        <tr r="T300" s="1"/>
      </tp>
      <tp t="s">
        <v>#N/A Field Not Applicable</v>
        <stp/>
        <stp>##V3_BDPV12</stp>
        <stp>912828X2 Govt</stp>
        <stp>IDX_RATIO</stp>
        <stp>[TREASURY.xlsx]Sheet1!R624C20</stp>
        <tr r="T624" s="1"/>
      </tp>
      <tp t="s">
        <v>#N/A Field Not Applicable</v>
        <stp/>
        <stp>##V3_BDPV12</stp>
        <stp>912828X4 Govt</stp>
        <stp>IDX_RATIO</stp>
        <stp>[TREASURY.xlsx]Sheet1!R224C20</stp>
        <tr r="T224" s="1"/>
      </tp>
      <tp t="s">
        <v>#N/A Field Not Applicable</v>
        <stp/>
        <stp>##V3_BDPV12</stp>
        <stp>912828X9 Govt</stp>
        <stp>IDX_RATIO</stp>
        <stp>[TREASURY.xlsx]Sheet1!R882C20</stp>
        <tr r="T882" s="1"/>
      </tp>
      <tp t="s">
        <v>UNITED STATES</v>
        <stp/>
        <stp>##V3_BDPV12</stp>
        <stp>9128276C Govt</stp>
        <stp>COUNTRY_FULL_NAME</stp>
        <stp>[TREASURY.xlsx]Sheet1!R1022C8</stp>
        <tr r="H1022" s="1"/>
      </tp>
      <tp t="s">
        <v>#N/A Field Not Applicable</v>
        <stp/>
        <stp>##V3_BDPV12</stp>
        <stp>912827X4 Govt</stp>
        <stp>IDX_RATIO</stp>
        <stp>[TREASURY.xlsx]Sheet1!R769C20</stp>
        <tr r="T769" s="1"/>
      </tp>
      <tp t="s">
        <v>UNITED STATES</v>
        <stp/>
        <stp>##V3_BDPV12</stp>
        <stp>9128277A Govt</stp>
        <stp>COUNTRY_FULL_NAME</stp>
        <stp>[TREASURY.xlsx]Sheet1!R1543C8</stp>
        <tr r="H1543" s="1"/>
      </tp>
      <tp t="s">
        <v>#N/A Field Not Applicable</v>
        <stp/>
        <stp>##V3_BDPV12</stp>
        <stp>912827X5 Govt</stp>
        <stp>IDX_RATIO</stp>
        <stp>[TREASURY.xlsx]Sheet1!R934C20</stp>
        <tr r="T934" s="1"/>
      </tp>
      <tp t="s">
        <v>UNITED STATES</v>
        <stp/>
        <stp>##V3_BDPV12</stp>
        <stp>9128273M Govt</stp>
        <stp>COUNTRY_FULL_NAME</stp>
        <stp>[TREASURY.xlsx]Sheet1!R1357C8</stp>
        <tr r="H1357" s="1"/>
      </tp>
      <tp t="s">
        <v>#N/A Field Not Applicable</v>
        <stp/>
        <stp>##V3_BDPV12</stp>
        <stp>912827X9 Govt</stp>
        <stp>IDX_RATIO</stp>
        <stp>[TREASURY.xlsx]Sheet1!R770C20</stp>
        <tr r="T770" s="1"/>
      </tp>
      <tp t="s">
        <v>T</v>
        <stp/>
        <stp>##V3_BDPV12</stp>
        <stp>9128284N Govt</stp>
        <stp>TICKER</stp>
        <stp>[TREASURY.xlsx]Sheet1!R71C2</stp>
        <tr r="B71" s="1"/>
      </tp>
      <tp t="s">
        <v>UNITED STATES</v>
        <stp/>
        <stp>##V3_BDPV12</stp>
        <stp>9128273H Govt</stp>
        <stp>COUNTRY_FULL_NAME</stp>
        <stp>[TREASURY.xlsx]Sheet1!R1527C8</stp>
        <tr r="H1527" s="1"/>
      </tp>
      <tp t="s">
        <v>UNITED STATES</v>
        <stp/>
        <stp>##V3_BDPV12</stp>
        <stp>9128274H Govt</stp>
        <stp>COUNTRY_FULL_NAME</stp>
        <stp>[TREASURY.xlsx]Sheet1!R1460C8</stp>
        <tr r="H1460" s="1"/>
      </tp>
      <tp t="s">
        <v>T</v>
        <stp/>
        <stp>##V3_BDPV12</stp>
        <stp>9128285M Govt</stp>
        <stp>TICKER</stp>
        <stp>[TREASURY.xlsx]Sheet1!R51C2</stp>
        <tr r="B51" s="1"/>
      </tp>
      <tp t="s">
        <v>UNITED STATES</v>
        <stp/>
        <stp>##V3_BDPV12</stp>
        <stp>9128276Y Govt</stp>
        <stp>COUNTRY_FULL_NAME</stp>
        <stp>[TREASURY.xlsx]Sheet1!R1542C8</stp>
        <tr r="H1542" s="1"/>
      </tp>
      <tp t="s">
        <v>T</v>
        <stp/>
        <stp>##V3_BDPV12</stp>
        <stp>912828ZF Govt</stp>
        <stp>TICKER</stp>
        <stp>[TREASURY.xlsx]Sheet1!R61C2</stp>
        <tr r="B61" s="1"/>
      </tp>
      <tp t="s">
        <v>T</v>
        <stp/>
        <stp>##V3_BDPV12</stp>
        <stp>912828ZQ Govt</stp>
        <stp>TICKER</stp>
        <stp>[TREASURY.xlsx]Sheet1!R31C2</stp>
        <tr r="B31" s="1"/>
      </tp>
      <tp t="s">
        <v>#N/A Field Not Applicable</v>
        <stp/>
        <stp>##V3_BDPV12</stp>
        <stp>912828XT Govt</stp>
        <stp>IDX_RATIO</stp>
        <stp>[TREASURY.xlsx]Sheet1!R155C20</stp>
        <tr r="T155" s="1"/>
      </tp>
      <tp t="s">
        <v>#N/A Field Not Applicable</v>
        <stp/>
        <stp>##V3_BDPV12</stp>
        <stp>912828XW Govt</stp>
        <stp>IDX_RATIO</stp>
        <stp>[TREASURY.xlsx]Sheet1!R217C20</stp>
        <tr r="T217" s="1"/>
      </tp>
      <tp t="s">
        <v>#N/A Field Not Applicable</v>
        <stp/>
        <stp>##V3_BDPV12</stp>
        <stp>912828XP Govt</stp>
        <stp>IDX_RATIO</stp>
        <stp>[TREASURY.xlsx]Sheet1!R588C20</stp>
        <tr r="T588" s="1"/>
      </tp>
      <tp t="s">
        <v>#N/A Field Not Applicable</v>
        <stp/>
        <stp>##V3_BDPV12</stp>
        <stp>912827XX Govt</stp>
        <stp>IDX_RATIO</stp>
        <stp>[TREASURY.xlsx]Sheet1!R939C20</stp>
        <tr r="T939" s="1"/>
      </tp>
      <tp t="s">
        <v>#N/A Field Not Applicable</v>
        <stp/>
        <stp>##V3_BDPV12</stp>
        <stp>912828XR Govt</stp>
        <stp>IDX_RATIO</stp>
        <stp>[TREASURY.xlsx]Sheet1!R203C20</stp>
        <tr r="T203" s="1"/>
      </tp>
      <tp t="s">
        <v>#N/A Field Not Applicable</v>
        <stp/>
        <stp>##V3_BDPV12</stp>
        <stp>912827XT Govt</stp>
        <stp>IDX_RATIO</stp>
        <stp>[TREASURY.xlsx]Sheet1!R774C20</stp>
        <tr r="T774" s="1"/>
      </tp>
      <tp t="s">
        <v>#N/A Field Not Applicable</v>
        <stp/>
        <stp>##V3_BDPV12</stp>
        <stp>912828XQ Govt</stp>
        <stp>IDX_RATIO</stp>
        <stp>[TREASURY.xlsx]Sheet1!R206C20</stp>
        <tr r="T206" s="1"/>
      </tp>
      <tp t="s">
        <v>#N/A Field Not Applicable</v>
        <stp/>
        <stp>##V3_BDPV12</stp>
        <stp>912828XU Govt</stp>
        <stp>IDX_RATIO</stp>
        <stp>[TREASURY.xlsx]Sheet1!R639C20</stp>
        <tr r="T639" s="1"/>
      </tp>
      <tp t="s">
        <v>#N/A Field Not Applicable</v>
        <stp/>
        <stp>##V3_BDPV12</stp>
        <stp>912828XY Govt</stp>
        <stp>IDX_RATIO</stp>
        <stp>[TREASURY.xlsx]Sheet1!R473C20</stp>
        <tr r="T473" s="1"/>
      </tp>
      <tp t="s">
        <v>T</v>
        <stp/>
        <stp>##V3_BDPV12</stp>
        <stp>912828P4 Govt</stp>
        <stp>TICKER</stp>
        <stp>[TREASURY.xlsx]Sheet1!R91C2</stp>
        <tr r="B91" s="1"/>
      </tp>
      <tp t="s">
        <v>#N/A Field Not Applicable</v>
        <stp/>
        <stp>##V3_BDPV12</stp>
        <stp>912828XV Govt</stp>
        <stp>IDX_RATIO</stp>
        <stp>[TREASURY.xlsx]Sheet1!R883C20</stp>
        <tr r="T883" s="1"/>
      </tp>
      <tp t="s">
        <v>#N/A Field Not Applicable</v>
        <stp/>
        <stp>##V3_BDPV12</stp>
        <stp>912827XP Govt</stp>
        <stp>IDX_RATIO</stp>
        <stp>[TREASURY.xlsx]Sheet1!R937C20</stp>
        <tr r="T937" s="1"/>
      </tp>
      <tp t="s">
        <v>#N/A Field Not Applicable</v>
        <stp/>
        <stp>##V3_BDPV12</stp>
        <stp>912828XZ Govt</stp>
        <stp>IDX_RATIO</stp>
        <stp>[TREASURY.xlsx]Sheet1!R279C20</stp>
        <tr r="T279" s="1"/>
      </tp>
      <tp t="s">
        <v>#N/A Field Not Applicable</v>
        <stp/>
        <stp>##V3_BDPV12</stp>
        <stp>912828XX Govt</stp>
        <stp>IDX_RATIO</stp>
        <stp>[TREASURY.xlsx]Sheet1!R249C20</stp>
        <tr r="T249" s="1"/>
      </tp>
      <tp t="s">
        <v>#N/A Field Not Applicable</v>
        <stp/>
        <stp>##V3_BDPV12</stp>
        <stp>912827XS Govt</stp>
        <stp>IDX_RATIO</stp>
        <stp>[TREASURY.xlsx]Sheet1!R938C20</stp>
        <tr r="T938" s="1"/>
      </tp>
      <tp t="s">
        <v>#N/A Field Not Applicable</v>
        <stp/>
        <stp>##V3_BDPV12</stp>
        <stp>912828XD Govt</stp>
        <stp>IDX_RATIO</stp>
        <stp>[TREASURY.xlsx]Sheet1!R189C20</stp>
        <tr r="T189" s="1"/>
      </tp>
      <tp t="s">
        <v>T</v>
        <stp/>
        <stp>##V3_BDPV12</stp>
        <stp>912828K7 Govt</stp>
        <stp>TICKER</stp>
        <stp>[TREASURY.xlsx]Sheet1!R81C2</stp>
        <tr r="B81" s="1"/>
      </tp>
      <tp t="s">
        <v>#N/A Field Not Applicable</v>
        <stp/>
        <stp>##V3_BDPV12</stp>
        <stp>912827XC Govt</stp>
        <stp>IDX_RATIO</stp>
        <stp>[TREASURY.xlsx]Sheet1!R771C20</stp>
        <tr r="T771" s="1"/>
      </tp>
      <tp t="s">
        <v>#N/A Field Not Applicable</v>
        <stp/>
        <stp>##V3_BDPV12</stp>
        <stp>912828XG Govt</stp>
        <stp>IDX_RATIO</stp>
        <stp>[TREASURY.xlsx]Sheet1!R196C20</stp>
        <tr r="T196" s="1"/>
      </tp>
      <tp t="s">
        <v>#N/A Field Not Applicable</v>
        <stp/>
        <stp>##V3_BDPV12</stp>
        <stp>912828XE Govt</stp>
        <stp>IDX_RATIO</stp>
        <stp>[TREASURY.xlsx]Sheet1!R448C20</stp>
        <tr r="T448" s="1"/>
      </tp>
      <tp t="s">
        <v>#N/A Field Not Applicable</v>
        <stp/>
        <stp>##V3_BDPV12</stp>
        <stp>912827XE Govt</stp>
        <stp>IDX_RATIO</stp>
        <stp>[TREASURY.xlsx]Sheet1!R570C20</stp>
        <tr r="T570" s="1"/>
      </tp>
      <tp t="s">
        <v>#N/A Field Not Applicable</v>
        <stp/>
        <stp>##V3_BDPV12</stp>
        <stp>912828XB Govt</stp>
        <stp>IDX_RATIO</stp>
        <stp>[TREASURY.xlsx]Sheet1!R122C20</stp>
        <tr r="T122" s="1"/>
      </tp>
      <tp t="s">
        <v>#N/A Field Not Applicable</v>
        <stp/>
        <stp>##V3_BDPV12</stp>
        <stp>912827XJ Govt</stp>
        <stp>IDX_RATIO</stp>
        <stp>[TREASURY.xlsx]Sheet1!R936C20</stp>
        <tr r="T936" s="1"/>
      </tp>
      <tp t="s">
        <v>#N/A Field Not Applicable</v>
        <stp/>
        <stp>##V3_BDPV12</stp>
        <stp>912828XA Govt</stp>
        <stp>IDX_RATIO</stp>
        <stp>[TREASURY.xlsx]Sheet1!R377C20</stp>
        <tr r="T377" s="1"/>
      </tp>
      <tp t="s">
        <v>#N/A Field Not Applicable</v>
        <stp/>
        <stp>##V3_BDPV12</stp>
        <stp>912828XK Govt</stp>
        <stp>IDX_RATIO</stp>
        <stp>[TREASURY.xlsx]Sheet1!R625C20</stp>
        <tr r="T625" s="1"/>
      </tp>
      <tp t="s">
        <v>#N/A Field Not Applicable</v>
        <stp/>
        <stp>##V3_BDPV12</stp>
        <stp>912827XD Govt</stp>
        <stp>IDX_RATIO</stp>
        <stp>[TREASURY.xlsx]Sheet1!R935C20</stp>
        <tr r="T935" s="1"/>
      </tp>
      <tp t="s">
        <v>#N/A Field Not Applicable</v>
        <stp/>
        <stp>##V3_BDPV12</stp>
        <stp>912828XH Govt</stp>
        <stp>IDX_RATIO</stp>
        <stp>[TREASURY.xlsx]Sheet1!R468C20</stp>
        <tr r="T468" s="1"/>
      </tp>
      <tp t="s">
        <v>#N/A Field Not Applicable</v>
        <stp/>
        <stp>##V3_BDPV12</stp>
        <stp>912827XK Govt</stp>
        <stp>IDX_RATIO</stp>
        <stp>[TREASURY.xlsx]Sheet1!R773C20</stp>
        <tr r="T773" s="1"/>
      </tp>
      <tp t="s">
        <v>#N/A Field Not Applicable</v>
        <stp/>
        <stp>##V3_BDPV12</stp>
        <stp>912827XH Govt</stp>
        <stp>IDX_RATIO</stp>
        <stp>[TREASURY.xlsx]Sheet1!R772C20</stp>
        <tr r="T772" s="1"/>
      </tp>
      <tp t="s">
        <v>T</v>
        <stp/>
        <stp>##V3_BDPV12</stp>
        <stp>912810FT Govt</stp>
        <stp>TICKER</stp>
        <stp>[TREASURY.xlsx]Sheet1!R79C2</stp>
        <tr r="B79" s="1"/>
      </tp>
      <tp t="s">
        <v>#N/A Field Not Applicable</v>
        <stp/>
        <stp>##V3_BDPV12</stp>
        <stp>912828XM Govt</stp>
        <stp>IDX_RATIO</stp>
        <stp>[TREASURY.xlsx]Sheet1!R536C20</stp>
        <tr r="T536" s="1"/>
      </tp>
      <tp t="s">
        <v>ACT/ACT</v>
        <stp/>
        <stp>##V3_BDPV12</stp>
        <stp>91282CBH Govt</stp>
        <stp>DAY_CNT_DES</stp>
        <stp>[TREASURY.xlsx]Sheet1!R59C17</stp>
        <tr r="Q59" s="1"/>
      </tp>
      <tp t="s">
        <v>ACT/ACT</v>
        <stp/>
        <stp>##V3_BDPV12</stp>
        <stp>91282CCH Govt</stp>
        <stp>DAY_CNT_DES</stp>
        <stp>[TREASURY.xlsx]Sheet1!R36C17</stp>
        <tr r="Q36" s="1"/>
      </tp>
      <tp t="s">
        <v>USD</v>
        <stp/>
        <stp>##V3_BDPV12</stp>
        <stp>91282CDA Govt</stp>
        <stp>CRNCY</stp>
        <stp>[TREASURY.xlsx]Sheet1!R11C7</stp>
        <tr r="G11" s="1"/>
      </tp>
      <tp t="s">
        <v>USD</v>
        <stp/>
        <stp>##V3_BDPV12</stp>
        <stp>91282CBC Govt</stp>
        <stp>CRNCY</stp>
        <stp>[TREASURY.xlsx]Sheet1!R41C7</stp>
        <tr r="G41" s="1"/>
      </tp>
      <tp>
        <v>4.5</v>
        <stp/>
        <stp>##V3_BDPV12</stp>
        <stp>912810FT Govt</stp>
        <stp>CPN</stp>
        <stp>[TREASURY.xlsx]Sheet1!R79C3</stp>
        <tr r="C79" s="1"/>
      </tp>
      <tp t="s">
        <v>3/15/2021</v>
        <stp/>
        <stp>##V3_BDPV12</stp>
        <stp>91282CAK Govt</stp>
        <stp>FIRST_CPN_DT</stp>
        <stp>[TREASURY.xlsx]Sheet1!R60C9</stp>
        <tr r="I60" s="1"/>
      </tp>
      <tp t="s">
        <v>11/15/2021</v>
        <stp/>
        <stp>##V3_BDPV12</stp>
        <stp>91282CCC Govt</stp>
        <stp>FIRST_CPN_DT</stp>
        <stp>[TREASURY.xlsx]Sheet1!R88C9</stp>
        <tr r="I88" s="1"/>
      </tp>
      <tp t="s">
        <v>1/31/2021</v>
        <stp/>
        <stp>##V3_BDPV12</stp>
        <stp>91282CAB Govt</stp>
        <stp>FIRST_CPN_DT</stp>
        <stp>[TREASURY.xlsx]Sheet1!R99C9</stp>
        <tr r="I99" s="1"/>
      </tp>
      <tp t="s">
        <v>S/A</v>
        <stp/>
        <stp>##V3_BDPV12</stp>
        <stp>9128276N Govt</stp>
        <stp>COUPON_FREQUENCY_DESCRIPTION</stp>
        <stp>[TREASURY.xlsx]Sheet1!R1024C10</stp>
        <tr r="J1024" s="1"/>
      </tp>
      <tp t="s">
        <v>#N/A Field Not Applicable</v>
        <stp/>
        <stp>##V3_BDPV12</stp>
        <stp>912827W2 Govt</stp>
        <stp>IDX_RATIO</stp>
        <stp>[TREASURY.xlsx]Sheet1!R767C20</stp>
        <tr r="T767" s="1"/>
      </tp>
      <tp t="s">
        <v>#N/A Field Not Applicable</v>
        <stp/>
        <stp>##V3_BDPV12</stp>
        <stp>912828W3 Govt</stp>
        <stp>IDX_RATIO</stp>
        <stp>[TREASURY.xlsx]Sheet1!R681C20</stp>
        <tr r="T681" s="1"/>
      </tp>
      <tp t="s">
        <v>#N/A Field Not Applicable</v>
        <stp/>
        <stp>##V3_BDPV12</stp>
        <stp>912828W2 Govt</stp>
        <stp>IDX_RATIO</stp>
        <stp>[TREASURY.xlsx]Sheet1!R679C20</stp>
        <tr r="T679" s="1"/>
      </tp>
      <tp t="s">
        <v>#N/A Field Not Applicable</v>
        <stp/>
        <stp>##V3_BDPV12</stp>
        <stp>912828W5 Govt</stp>
        <stp>IDX_RATIO</stp>
        <stp>[TREASURY.xlsx]Sheet1!R281C20</stp>
        <tr r="T281" s="1"/>
      </tp>
      <tp t="s">
        <v>S/A</v>
        <stp/>
        <stp>##V3_BDPV12</stp>
        <stp>9128276H Govt</stp>
        <stp>COUPON_FREQUENCY_DESCRIPTION</stp>
        <stp>[TREASURY.xlsx]Sheet1!R1537C10</stp>
        <tr r="J1537" s="1"/>
      </tp>
      <tp t="s">
        <v>UNITED STATES</v>
        <stp/>
        <stp>##V3_BDPV12</stp>
        <stp>9128272E Govt</stp>
        <stp>COUNTRY_FULL_NAME</stp>
        <stp>[TREASURY.xlsx]Sheet1!R1009C8</stp>
        <tr r="H1009" s="1"/>
      </tp>
      <tp t="s">
        <v>#N/A Field Not Applicable</v>
        <stp/>
        <stp>##V3_BDPV12</stp>
        <stp>912828W7 Govt</stp>
        <stp>IDX_RATIO</stp>
        <stp>[TREASURY.xlsx]Sheet1!R125C20</stp>
        <tr r="T125" s="1"/>
      </tp>
      <tp t="s">
        <v>#N/A Field Not Applicable</v>
        <stp/>
        <stp>##V3_BDPV12</stp>
        <stp>912828W4 Govt</stp>
        <stp>IDX_RATIO</stp>
        <stp>[TREASURY.xlsx]Sheet1!R296C20</stp>
        <tr r="T296" s="1"/>
      </tp>
      <tp t="s">
        <v>#N/A Field Not Applicable</v>
        <stp/>
        <stp>##V3_BDPV12</stp>
        <stp>912827W8 Govt</stp>
        <stp>IDX_RATIO</stp>
        <stp>[TREASURY.xlsx]Sheet1!R930C20</stp>
        <tr r="T930" s="1"/>
      </tp>
      <tp t="s">
        <v>S/A</v>
        <stp/>
        <stp>##V3_BDPV12</stp>
        <stp>9128276K Govt</stp>
        <stp>COUPON_FREQUENCY_DESCRIPTION</stp>
        <stp>[TREASURY.xlsx]Sheet1!R1023C10</stp>
        <tr r="J1023" s="1"/>
      </tp>
      <tp t="s">
        <v>UNITED STATES</v>
        <stp/>
        <stp>##V3_BDPV12</stp>
        <stp>9128272C Govt</stp>
        <stp>COUNTRY_FULL_NAME</stp>
        <stp>[TREASURY.xlsx]Sheet1!R1449C8</stp>
        <tr r="H1449" s="1"/>
      </tp>
      <tp t="s">
        <v>T 2 3/8 08/15/24</v>
        <stp/>
        <stp>##V3_BDPV12</stp>
        <stp>912828D5 Govt</stp>
        <stp>SECURITY_NAME</stp>
        <stp>[TREASURY.xlsx]Sheet1!R70C16</stp>
        <tr r="P70" s="1"/>
      </tp>
      <tp t="s">
        <v>S/A</v>
        <stp/>
        <stp>##V3_BDPV12</stp>
        <stp>9128276L Govt</stp>
        <stp>COUPON_FREQUENCY_DESCRIPTION</stp>
        <stp>[TREASURY.xlsx]Sheet1!R1538C10</stp>
        <tr r="J1538" s="1"/>
      </tp>
      <tp t="s">
        <v>#N/A Field Not Applicable</v>
        <stp/>
        <stp>##V3_BDPV12</stp>
        <stp>912828W6 Govt</stp>
        <stp>IDX_RATIO</stp>
        <stp>[TREASURY.xlsx]Sheet1!R480C20</stp>
        <tr r="T480" s="1"/>
      </tp>
      <tp t="s">
        <v>T 2 02/15/25</v>
        <stp/>
        <stp>##V3_BDPV12</stp>
        <stp>912828J2 Govt</stp>
        <stp>SECURITY_NAME</stp>
        <stp>[TREASURY.xlsx]Sheet1!R94C16</stp>
        <tr r="P94" s="1"/>
      </tp>
      <tp t="s">
        <v>#N/A Field Not Applicable</v>
        <stp/>
        <stp>##V3_BDPV12</stp>
        <stp>912827W4 Govt</stp>
        <stp>IDX_RATIO</stp>
        <stp>[TREASURY.xlsx]Sheet1!R929C20</stp>
        <tr r="T929" s="1"/>
      </tp>
      <tp t="s">
        <v>T 2 08/15/25</v>
        <stp/>
        <stp>##V3_BDPV12</stp>
        <stp>912828K7 Govt</stp>
        <stp>SECURITY_NAME</stp>
        <stp>[TREASURY.xlsx]Sheet1!R81C16</stp>
        <tr r="P81" s="1"/>
      </tp>
      <tp t="s">
        <v>S/A</v>
        <stp/>
        <stp>##V3_BDPV12</stp>
        <stp>9128276F Govt</stp>
        <stp>COUPON_FREQUENCY_DESCRIPTION</stp>
        <stp>[TREASURY.xlsx]Sheet1!R1466C10</stp>
        <tr r="J1466" s="1"/>
      </tp>
      <tp t="s">
        <v>S/A</v>
        <stp/>
        <stp>##V3_BDPV12</stp>
        <stp>9128276B Govt</stp>
        <stp>COUPON_FREQUENCY_DESCRIPTION</stp>
        <stp>[TREASURY.xlsx]Sheet1!R1021C10</stp>
        <tr r="J1021" s="1"/>
      </tp>
      <tp t="s">
        <v>UNITED STATES</v>
        <stp/>
        <stp>##V3_BDPV12</stp>
        <stp>9128273J Govt</stp>
        <stp>COUNTRY_FULL_NAME</stp>
        <stp>[TREASURY.xlsx]Sheet1!R1528C8</stp>
        <tr r="H1528" s="1"/>
      </tp>
      <tp t="s">
        <v>S/A</v>
        <stp/>
        <stp>##V3_BDPV12</stp>
        <stp>9128276C Govt</stp>
        <stp>COUPON_FREQUENCY_DESCRIPTION</stp>
        <stp>[TREASURY.xlsx]Sheet1!R1022C10</stp>
        <tr r="J1022" s="1"/>
      </tp>
      <tp t="s">
        <v>S/A</v>
        <stp/>
        <stp>##V3_BDPV12</stp>
        <stp>9128276D Govt</stp>
        <stp>COUPON_FREQUENCY_DESCRIPTION</stp>
        <stp>[TREASURY.xlsx]Sheet1!R1465C10</stp>
        <tr r="J1465" s="1"/>
      </tp>
      <tp t="s">
        <v>S/A</v>
        <stp/>
        <stp>##V3_BDPV12</stp>
        <stp>9128276E Govt</stp>
        <stp>COUPON_FREQUENCY_DESCRIPTION</stp>
        <stp>[TREASURY.xlsx]Sheet1!R1536C10</stp>
        <tr r="J1536" s="1"/>
      </tp>
      <tp t="s">
        <v>S/A</v>
        <stp/>
        <stp>##V3_BDPV12</stp>
        <stp>9128276A Govt</stp>
        <stp>COUPON_FREQUENCY_DESCRIPTION</stp>
        <stp>[TREASURY.xlsx]Sheet1!R1020C10</stp>
        <tr r="J1020" s="1"/>
      </tp>
      <tp t="s">
        <v>#N/A Field Not Applicable</v>
        <stp/>
        <stp>##V3_BDPV12</stp>
        <stp>912828W9 Govt</stp>
        <stp>IDX_RATIO</stp>
        <stp>[TREASURY.xlsx]Sheet1!R363C20</stp>
        <tr r="T363" s="1"/>
      </tp>
      <tp t="s">
        <v>#N/A Field Not Applicable</v>
        <stp/>
        <stp>##V3_BDPV12</stp>
        <stp>912828W8 Govt</stp>
        <stp>IDX_RATIO</stp>
        <stp>[TREASURY.xlsx]Sheet1!R221C20</stp>
        <tr r="T221" s="1"/>
      </tp>
      <tp t="s">
        <v>#N/A Field Not Applicable</v>
        <stp/>
        <stp>##V3_BDPV12</stp>
        <stp>912827W3 Govt</stp>
        <stp>IDX_RATIO</stp>
        <stp>[TREASURY.xlsx]Sheet1!R928C20</stp>
        <tr r="T928" s="1"/>
      </tp>
      <tp t="s">
        <v>S/A</v>
        <stp/>
        <stp>##V3_BDPV12</stp>
        <stp>9128276X Govt</stp>
        <stp>COUPON_FREQUENCY_DESCRIPTION</stp>
        <stp>[TREASURY.xlsx]Sheet1!R1469C10</stp>
        <tr r="J1469" s="1"/>
      </tp>
      <tp t="s">
        <v>S/A</v>
        <stp/>
        <stp>##V3_BDPV12</stp>
        <stp>9128276Y Govt</stp>
        <stp>COUPON_FREQUENCY_DESCRIPTION</stp>
        <stp>[TREASURY.xlsx]Sheet1!R1542C10</stp>
        <tr r="J1542" s="1"/>
      </tp>
      <tp t="s">
        <v>T 1 5/8 02/15/26</v>
        <stp/>
        <stp>##V3_BDPV12</stp>
        <stp>912828P4 Govt</stp>
        <stp>SECURITY_NAME</stp>
        <stp>[TREASURY.xlsx]Sheet1!R91C16</stp>
        <tr r="P91" s="1"/>
      </tp>
      <tp t="s">
        <v>S/A</v>
        <stp/>
        <stp>##V3_BDPV12</stp>
        <stp>9128276Z Govt</stp>
        <stp>COUPON_FREQUENCY_DESCRIPTION</stp>
        <stp>[TREASURY.xlsx]Sheet1!R1026C10</stp>
        <tr r="J1026" s="1"/>
      </tp>
      <tp t="s">
        <v>UNITED STATES</v>
        <stp/>
        <stp>##V3_BDPV12</stp>
        <stp>9128272P Govt</stp>
        <stp>COUNTRY_FULL_NAME</stp>
        <stp>[TREASURY.xlsx]Sheet1!R1519C8</stp>
        <tr r="H1519" s="1"/>
      </tp>
      <tp t="s">
        <v>T 2 11/15/26</v>
        <stp/>
        <stp>##V3_BDPV12</stp>
        <stp>912828U2 Govt</stp>
        <stp>SECURITY_NAME</stp>
        <stp>[TREASURY.xlsx]Sheet1!R84C16</stp>
        <tr r="P84" s="1"/>
      </tp>
      <tp t="s">
        <v>UNITED STATES</v>
        <stp/>
        <stp>##V3_BDPV12</stp>
        <stp>9128273Q Govt</stp>
        <stp>COUNTRY_FULL_NAME</stp>
        <stp>[TREASURY.xlsx]Sheet1!R1358C8</stp>
        <tr r="H1358" s="1"/>
      </tp>
      <tp t="s">
        <v>T 0 5/8 05/15/30</v>
        <stp/>
        <stp>##V3_BDPV12</stp>
        <stp>912828ZQ Govt</stp>
        <stp>SECURITY_NAME</stp>
        <stp>[TREASURY.xlsx]Sheet1!R31C16</stp>
        <tr r="P31" s="1"/>
      </tp>
      <tp t="s">
        <v>T 0 1/4 05/31/25</v>
        <stp/>
        <stp>##V3_BDPV12</stp>
        <stp>912828ZT Govt</stp>
        <stp>SECURITY_NAME</stp>
        <stp>[TREASURY.xlsx]Sheet1!R85C16</stp>
        <tr r="P85" s="1"/>
      </tp>
      <tp t="s">
        <v>T 1 1/8 02/28/25</v>
        <stp/>
        <stp>##V3_BDPV12</stp>
        <stp>912828ZC Govt</stp>
        <stp>SECURITY_NAME</stp>
        <stp>[TREASURY.xlsx]Sheet1!R74C16</stp>
        <tr r="P74" s="1"/>
      </tp>
      <tp t="s">
        <v>T 0 3/8 03/31/22</v>
        <stp/>
        <stp>##V3_BDPV12</stp>
        <stp>912828ZG Govt</stp>
        <stp>SECURITY_NAME</stp>
        <stp>[TREASURY.xlsx]Sheet1!R62C16</stp>
        <tr r="P62" s="1"/>
      </tp>
      <tp t="s">
        <v>T 0 1/2 03/31/25</v>
        <stp/>
        <stp>##V3_BDPV12</stp>
        <stp>912828ZF Govt</stp>
        <stp>SECURITY_NAME</stp>
        <stp>[TREASURY.xlsx]Sheet1!R61C16</stp>
        <tr r="P61" s="1"/>
      </tp>
      <tp t="s">
        <v>T 0 3/8 04/30/25</v>
        <stp/>
        <stp>##V3_BDPV12</stp>
        <stp>912828ZL Govt</stp>
        <stp>SECURITY_NAME</stp>
        <stp>[TREASURY.xlsx]Sheet1!R66C16</stp>
        <tr r="P66" s="1"/>
      </tp>
      <tp t="s">
        <v>S/A</v>
        <stp/>
        <stp>##V3_BDPV12</stp>
        <stp>9128276S Govt</stp>
        <stp>COUPON_FREQUENCY_DESCRIPTION</stp>
        <stp>[TREASURY.xlsx]Sheet1!R1540C10</stp>
        <tr r="J1540" s="1"/>
      </tp>
      <tp t="s">
        <v>T 1 3/8 01/31/25</v>
        <stp/>
        <stp>##V3_BDPV12</stp>
        <stp>912828Z5 Govt</stp>
        <stp>SECURITY_NAME</stp>
        <stp>[TREASURY.xlsx]Sheet1!R83C16</stp>
        <tr r="P83" s="1"/>
      </tp>
      <tp t="s">
        <v>T 1 1/2 02/15/30</v>
        <stp/>
        <stp>##V3_BDPV12</stp>
        <stp>912828Z9 Govt</stp>
        <stp>SECURITY_NAME</stp>
        <stp>[TREASURY.xlsx]Sheet1!R25C16</stp>
        <tr r="P25" s="1"/>
      </tp>
      <tp t="s">
        <v>S/A</v>
        <stp/>
        <stp>##V3_BDPV12</stp>
        <stp>9128276Q Govt</stp>
        <stp>COUPON_FREQUENCY_DESCRIPTION</stp>
        <stp>[TREASURY.xlsx]Sheet1!R1539C10</stp>
        <tr r="J1539" s="1"/>
      </tp>
      <tp t="s">
        <v>S/A</v>
        <stp/>
        <stp>##V3_BDPV12</stp>
        <stp>9128276T Govt</stp>
        <stp>COUPON_FREQUENCY_DESCRIPTION</stp>
        <stp>[TREASURY.xlsx]Sheet1!R1025C10</stp>
        <tr r="J1025" s="1"/>
      </tp>
      <tp t="s">
        <v>T 2 3/8 05/15/27</v>
        <stp/>
        <stp>##V3_BDPV12</stp>
        <stp>912828X8 Govt</stp>
        <stp>SECURITY_NAME</stp>
        <stp>[TREASURY.xlsx]Sheet1!R97C16</stp>
        <tr r="P97" s="1"/>
      </tp>
      <tp t="s">
        <v>T 1 3/4 11/15/29</v>
        <stp/>
        <stp>##V3_BDPV12</stp>
        <stp>912828YS Govt</stp>
        <stp>SECURITY_NAME</stp>
        <stp>[TREASURY.xlsx]Sheet1!R38C16</stp>
        <tr r="P38" s="1"/>
      </tp>
      <tp t="s">
        <v>T 1 5/8 10/31/26</v>
        <stp/>
        <stp>##V3_BDPV12</stp>
        <stp>912828YQ Govt</stp>
        <stp>SECURITY_NAME</stp>
        <stp>[TREASURY.xlsx]Sheet1!R87C16</stp>
        <tr r="P87" s="1"/>
      </tp>
      <tp t="s">
        <v>T 1 1/2 09/30/21</v>
        <stp/>
        <stp>##V3_BDPV12</stp>
        <stp>912828YJ Govt</stp>
        <stp>SECURITY_NAME</stp>
        <stp>[TREASURY.xlsx]Sheet1!R80C16</stp>
        <tr r="P80" s="1"/>
      </tp>
      <tp t="s">
        <v>T 1 5/8 09/30/26</v>
        <stp/>
        <stp>##V3_BDPV12</stp>
        <stp>912828YG Govt</stp>
        <stp>SECURITY_NAME</stp>
        <stp>[TREASURY.xlsx]Sheet1!R69C16</stp>
        <tr r="P69" s="1"/>
      </tp>
      <tp t="s">
        <v>T 1 1/2 09/15/22</v>
        <stp/>
        <stp>##V3_BDPV12</stp>
        <stp>912828YF Govt</stp>
        <stp>SECURITY_NAME</stp>
        <stp>[TREASURY.xlsx]Sheet1!R76C16</stp>
        <tr r="P76" s="1"/>
      </tp>
      <tp t="s">
        <v>T 1 5/8 08/15/29</v>
        <stp/>
        <stp>##V3_BDPV12</stp>
        <stp>912828YB Govt</stp>
        <stp>SECURITY_NAME</stp>
        <stp>[TREASURY.xlsx]Sheet1!R26C16</stp>
        <tr r="P26" s="1"/>
      </tp>
      <tp t="s">
        <v>S/A</v>
        <stp/>
        <stp>##V3_BDPV12</stp>
        <stp>9128276V Govt</stp>
        <stp>COUPON_FREQUENCY_DESCRIPTION</stp>
        <stp>[TREASURY.xlsx]Sheet1!R1468C10</stp>
        <tr r="J1468" s="1"/>
      </tp>
      <tp t="s">
        <v>S/A</v>
        <stp/>
        <stp>##V3_BDPV12</stp>
        <stp>9128276W Govt</stp>
        <stp>COUPON_FREQUENCY_DESCRIPTION</stp>
        <stp>[TREASURY.xlsx]Sheet1!R1541C10</stp>
        <tr r="J1541" s="1"/>
      </tp>
      <tp t="s">
        <v>S/A</v>
        <stp/>
        <stp>##V3_BDPV12</stp>
        <stp>9128276U Govt</stp>
        <stp>COUPON_FREQUENCY_DESCRIPTION</stp>
        <stp>[TREASURY.xlsx]Sheet1!R1467C10</stp>
        <tr r="J1467" s="1"/>
      </tp>
      <tp t="s">
        <v>#N/A Field Not Applicable</v>
        <stp/>
        <stp>##V3_BDPV12</stp>
        <stp>912828WW Govt</stp>
        <stp>IDX_RATIO</stp>
        <stp>[TREASURY.xlsx]Sheet1!R340C20</stp>
        <tr r="T340" s="1"/>
      </tp>
      <tp t="s">
        <v>#N/A Field Not Applicable</v>
        <stp/>
        <stp>##V3_BDPV12</stp>
        <stp>912828WP Govt</stp>
        <stp>IDX_RATIO</stp>
        <stp>[TREASURY.xlsx]Sheet1!R488C20</stp>
        <tr r="T488" s="1"/>
      </tp>
      <tp t="s">
        <v>#N/A Field Not Applicable</v>
        <stp/>
        <stp>##V3_BDPV12</stp>
        <stp>912828WS Govt</stp>
        <stp>IDX_RATIO</stp>
        <stp>[TREASURY.xlsx]Sheet1!R543C20</stp>
        <tr r="T543" s="1"/>
      </tp>
      <tp t="s">
        <v>#N/A Field Not Applicable</v>
        <stp/>
        <stp>##V3_BDPV12</stp>
        <stp>912828WR Govt</stp>
        <stp>IDX_RATIO</stp>
        <stp>[TREASURY.xlsx]Sheet1!R341C20</stp>
        <tr r="T341" s="1"/>
      </tp>
      <tp t="s">
        <v>#N/A Field Not Applicable</v>
        <stp/>
        <stp>##V3_BDPV12</stp>
        <stp>912828WX Govt</stp>
        <stp>IDX_RATIO</stp>
        <stp>[TREASURY.xlsx]Sheet1!R881C20</stp>
        <tr r="T881" s="1"/>
      </tp>
      <tp t="s">
        <v>T</v>
        <stp/>
        <stp>##V3_BDPV12</stp>
        <stp>912810RT Govt</stp>
        <stp>TICKER</stp>
        <stp>[TREASURY.xlsx]Sheet1!R96C2</stp>
        <tr r="B96" s="1"/>
      </tp>
      <tp t="s">
        <v>#N/A Field Not Applicable</v>
        <stp/>
        <stp>##V3_BDPV12</stp>
        <stp>912828WZ Govt</stp>
        <stp>IDX_RATIO</stp>
        <stp>[TREASURY.xlsx]Sheet1!R244C20</stp>
        <tr r="T244" s="1"/>
      </tp>
      <tp t="s">
        <v>#N/A Field Not Applicable</v>
        <stp/>
        <stp>##V3_BDPV12</stp>
        <stp>912827WR Govt</stp>
        <stp>IDX_RATIO</stp>
        <stp>[TREASURY.xlsx]Sheet1!R933C20</stp>
        <tr r="T933" s="1"/>
      </tp>
      <tp t="s">
        <v>#N/A Field Not Applicable</v>
        <stp/>
        <stp>##V3_BDPV12</stp>
        <stp>912828WY Govt</stp>
        <stp>IDX_RATIO</stp>
        <stp>[TREASURY.xlsx]Sheet1!R359C20</stp>
        <tr r="T359" s="1"/>
      </tp>
      <tp t="s">
        <v>USD</v>
        <stp/>
        <stp>##V3_BDPV12</stp>
        <stp>91282CAD Govt</stp>
        <stp>CRNCY</stp>
        <stp>[TREASURY.xlsx]Sheet1!R132C7</stp>
        <tr r="G132" s="1"/>
      </tp>
      <tp t="s">
        <v>USD</v>
        <stp/>
        <stp>##V3_BDPV12</stp>
        <stp>91282CAL Govt</stp>
        <stp>CRNCY</stp>
        <stp>[TREASURY.xlsx]Sheet1!R142C7</stp>
        <tr r="G142" s="1"/>
      </tp>
      <tp t="s">
        <v>T 2 1/4 08/15/27</v>
        <stp/>
        <stp>##V3_BDPV12</stp>
        <stp>9128282R Govt</stp>
        <stp>SECURITY_NAME</stp>
        <stp>[TREASURY.xlsx]Sheet1!R98C16</stp>
        <tr r="P98" s="1"/>
      </tp>
      <tp t="s">
        <v>USD</v>
        <stp/>
        <stp>##V3_BDPV12</stp>
        <stp>91282CAU Govt</stp>
        <stp>CRNCY</stp>
        <stp>[TREASURY.xlsx]Sheet1!R102C7</stp>
        <tr r="G102" s="1"/>
      </tp>
      <tp t="s">
        <v>T 1 1/2 08/15/26</v>
        <stp/>
        <stp>##V3_BDPV12</stp>
        <stp>9128282A Govt</stp>
        <stp>SECURITY_NAME</stp>
        <stp>[TREASURY.xlsx]Sheet1!R56C16</stp>
        <tr r="P56" s="1"/>
      </tp>
      <tp t="s">
        <v>T 2 3/4 02/15/28</v>
        <stp/>
        <stp>##V3_BDPV12</stp>
        <stp>9128283W Govt</stp>
        <stp>SECURITY_NAME</stp>
        <stp>[TREASURY.xlsx]Sheet1!R68C16</stp>
        <tr r="P68" s="1"/>
      </tp>
      <tp t="s">
        <v>T 2 1/4 11/15/27</v>
        <stp/>
        <stp>##V3_BDPV12</stp>
        <stp>9128283F Govt</stp>
        <stp>SECURITY_NAME</stp>
        <stp>[TREASURY.xlsx]Sheet1!R65C16</stp>
        <tr r="P65" s="1"/>
      </tp>
      <tp t="s">
        <v>#N/A Field Not Applicable</v>
        <stp/>
        <stp>##V3_BDPV12</stp>
        <stp>912827WC Govt</stp>
        <stp>IDX_RATIO</stp>
        <stp>[TREASURY.xlsx]Sheet1!R768C20</stp>
        <tr r="T768" s="1"/>
      </tp>
      <tp t="s">
        <v>#N/A Field Not Applicable</v>
        <stp/>
        <stp>##V3_BDPV12</stp>
        <stp>912828WG Govt</stp>
        <stp>IDX_RATIO</stp>
        <stp>[TREASURY.xlsx]Sheet1!R370C20</stp>
        <tr r="T370" s="1"/>
      </tp>
      <tp t="s">
        <v>#N/A Field Not Applicable</v>
        <stp/>
        <stp>##V3_BDPV12</stp>
        <stp>912828WE Govt</stp>
        <stp>IDX_RATIO</stp>
        <stp>[TREASURY.xlsx]Sheet1!R108C20</stp>
        <tr r="T108" s="1"/>
      </tp>
      <tp t="s">
        <v>#N/A Field Not Applicable</v>
        <stp/>
        <stp>##V3_BDPV12</stp>
        <stp>912828WB Govt</stp>
        <stp>IDX_RATIO</stp>
        <stp>[TREASURY.xlsx]Sheet1!R457C20</stp>
        <tr r="T457" s="1"/>
      </tp>
      <tp t="s">
        <v>T 2 3/8 05/15/29</v>
        <stp/>
        <stp>##V3_BDPV12</stp>
        <stp>9128286T Govt</stp>
        <stp>SECURITY_NAME</stp>
        <stp>[TREASURY.xlsx]Sheet1!R48C16</stp>
        <tr r="P48" s="1"/>
      </tp>
      <tp t="s">
        <v>T 2 5/8 02/15/29</v>
        <stp/>
        <stp>##V3_BDPV12</stp>
        <stp>9128286B Govt</stp>
        <stp>SECURITY_NAME</stp>
        <stp>[TREASURY.xlsx]Sheet1!R43C16</stp>
        <tr r="P43" s="1"/>
      </tp>
      <tp t="s">
        <v>#N/A Field Not Applicable</v>
        <stp/>
        <stp>##V3_BDPV12</stp>
        <stp>912828WF Govt</stp>
        <stp>IDX_RATIO</stp>
        <stp>[TREASURY.xlsx]Sheet1!R680C20</stp>
        <tr r="T680" s="1"/>
      </tp>
      <tp t="s">
        <v>T 2 7/8 08/15/28</v>
        <stp/>
        <stp>##V3_BDPV12</stp>
        <stp>9128284V Govt</stp>
        <stp>SECURITY_NAME</stp>
        <stp>[TREASURY.xlsx]Sheet1!R23C16</stp>
        <tr r="P23" s="1"/>
      </tp>
      <tp t="s">
        <v>T 2 7/8 05/15/28</v>
        <stp/>
        <stp>##V3_BDPV12</stp>
        <stp>9128284N Govt</stp>
        <stp>SECURITY_NAME</stp>
        <stp>[TREASURY.xlsx]Sheet1!R71C16</stp>
        <tr r="P71" s="1"/>
      </tp>
      <tp t="s">
        <v>#N/A Field Not Applicable</v>
        <stp/>
        <stp>##V3_BDPV12</stp>
        <stp>912827WE Govt</stp>
        <stp>IDX_RATIO</stp>
        <stp>[TREASURY.xlsx]Sheet1!R601C20</stp>
        <tr r="T601" s="1"/>
      </tp>
      <tp t="s">
        <v>T 2 7/8 09/30/23</v>
        <stp/>
        <stp>##V3_BDPV12</stp>
        <stp>9128285D Govt</stp>
        <stp>SECURITY_NAME</stp>
        <stp>[TREASURY.xlsx]Sheet1!R54C16</stp>
        <tr r="P54" s="1"/>
      </tp>
      <tp t="s">
        <v>T 3 1/8 11/15/28</v>
        <stp/>
        <stp>##V3_BDPV12</stp>
        <stp>9128285M Govt</stp>
        <stp>SECURITY_NAME</stp>
        <stp>[TREASURY.xlsx]Sheet1!R51C16</stp>
        <tr r="P51" s="1"/>
      </tp>
      <tp t="s">
        <v>#N/A Field Not Applicable</v>
        <stp/>
        <stp>##V3_BDPV12</stp>
        <stp>912827WK Govt</stp>
        <stp>IDX_RATIO</stp>
        <stp>[TREASURY.xlsx]Sheet1!R932C20</stp>
        <tr r="T932" s="1"/>
      </tp>
      <tp t="s">
        <v>#N/A Field Not Applicable</v>
        <stp/>
        <stp>##V3_BDPV12</stp>
        <stp>912828WD Govt</stp>
        <stp>IDX_RATIO</stp>
        <stp>[TREASURY.xlsx]Sheet1!R682C20</stp>
        <tr r="T682" s="1"/>
      </tp>
      <tp t="s">
        <v>#N/A Field Not Applicable</v>
        <stp/>
        <stp>##V3_BDPV12</stp>
        <stp>912828WN Govt</stp>
        <stp>IDX_RATIO</stp>
        <stp>[TREASURY.xlsx]Sheet1!R338C20</stp>
        <tr r="T338" s="1"/>
      </tp>
      <tp t="s">
        <v>#N/A Field Not Applicable</v>
        <stp/>
        <stp>##V3_BDPV12</stp>
        <stp>912828WM Govt</stp>
        <stp>IDX_RATIO</stp>
        <stp>[TREASURY.xlsx]Sheet1!R567C20</stp>
        <tr r="T567" s="1"/>
      </tp>
      <tp t="s">
        <v>#N/A Field Not Applicable</v>
        <stp/>
        <stp>##V3_BDPV12</stp>
        <stp>912827WB Govt</stp>
        <stp>IDX_RATIO</stp>
        <stp>[TREASURY.xlsx]Sheet1!R931C20</stp>
        <tr r="T931" s="1"/>
      </tp>
      <tp t="s">
        <v>#N/A Field Not Applicable</v>
        <stp/>
        <stp>##V3_BDPV12</stp>
        <stp>912828WJ Govt</stp>
        <stp>IDX_RATIO</stp>
        <stp>[TREASURY.xlsx]Sheet1!R182C20</stp>
        <tr r="T182" s="1"/>
      </tp>
      <tp>
        <v>0.61818064135620765</v>
        <stp/>
        <stp>##V3_BDPV12</stp>
        <stp>912828J2 Govt</stp>
        <stp>YLD_YTM_BID</stp>
        <stp>[TREASURY.xlsx]Sheet1!R94C4</stp>
        <tr r="D94" s="1"/>
      </tp>
      <tp t="s">
        <v>ACT/ACT</v>
        <stp/>
        <stp>##V3_BDPV12</stp>
        <stp>91282CBG Govt</stp>
        <stp>DAY_CNT_DES</stp>
        <stp>[TREASURY.xlsx]Sheet1!R57C17</stp>
        <tr r="Q57" s="1"/>
      </tp>
      <tp t="s">
        <v>ACT/ACT</v>
        <stp/>
        <stp>##V3_BDPV12</stp>
        <stp>91282CCG Govt</stp>
        <stp>DAY_CNT_DES</stp>
        <stp>[TREASURY.xlsx]Sheet1!R47C17</stp>
        <tr r="Q47" s="1"/>
      </tp>
      <tp t="s">
        <v>ACT/ACT</v>
        <stp/>
        <stp>##V3_BDPV12</stp>
        <stp>912828YG Govt</stp>
        <stp>DAY_CNT_DES</stp>
        <stp>[TREASURY.xlsx]Sheet1!R69C17</stp>
        <tr r="Q69" s="1"/>
      </tp>
      <tp t="s">
        <v>ACT/ACT</v>
        <stp/>
        <stp>##V3_BDPV12</stp>
        <stp>912828ZG Govt</stp>
        <stp>DAY_CNT_DES</stp>
        <stp>[TREASURY.xlsx]Sheet1!R62C17</stp>
        <tr r="Q62" s="1"/>
      </tp>
      <tp>
        <v>1.6462177604386556</v>
        <stp/>
        <stp>##V3_BDPV12</stp>
        <stp>912810FT Govt</stp>
        <stp>YLD_YTM_BID</stp>
        <stp>[TREASURY.xlsx]Sheet1!R79C4</stp>
        <tr r="D79" s="1"/>
      </tp>
      <tp t="s">
        <v>1/31/2022</v>
        <stp/>
        <stp>##V3_BDPV12</stp>
        <stp>91282CCN Govt</stp>
        <stp>FIRST_CPN_DT</stp>
        <stp>[TREASURY.xlsx]Sheet1!R24C9</stp>
        <tr r="I24" s="1"/>
      </tp>
      <tp t="s">
        <v>3/31/2020</v>
        <stp/>
        <stp>##V3_BDPV12</stp>
        <stp>912828YJ Govt</stp>
        <stp>FIRST_CPN_DT</stp>
        <stp>[TREASURY.xlsx]Sheet1!R80C9</stp>
        <tr r="I80" s="1"/>
      </tp>
      <tp t="s">
        <v>10/31/2020</v>
        <stp/>
        <stp>##V3_BDPV12</stp>
        <stp>912828ZL Govt</stp>
        <stp>FIRST_CPN_DT</stp>
        <stp>[TREASURY.xlsx]Sheet1!R66C9</stp>
        <tr r="I66" s="1"/>
      </tp>
      <tp t="s">
        <v>#N/A Field Not Applicable</v>
        <stp/>
        <stp>##V3_BDPV12</stp>
        <stp>912828V7 Govt</stp>
        <stp>IDX_RATIO</stp>
        <stp>[TREASURY.xlsx]Sheet1!R262C20</stp>
        <tr r="T262" s="1"/>
      </tp>
      <tp t="s">
        <v>UNITED STATES</v>
        <stp/>
        <stp>##V3_BDPV12</stp>
        <stp>9128272B Govt</stp>
        <stp>COUNTRY_FULL_NAME</stp>
        <stp>[TREASURY.xlsx]Sheet1!R1008C8</stp>
        <tr r="H1008" s="1"/>
      </tp>
      <tp t="s">
        <v>#N/A Field Not Applicable</v>
        <stp/>
        <stp>##V3_BDPV12</stp>
        <stp>912828V2 Govt</stp>
        <stp>IDX_RATIO</stp>
        <stp>[TREASURY.xlsx]Sheet1!R250C20</stp>
        <tr r="T250" s="1"/>
      </tp>
      <tp t="s">
        <v>#N/A Field Not Applicable</v>
        <stp/>
        <stp>##V3_BDPV12</stp>
        <stp>912827V9 Govt</stp>
        <stp>IDX_RATIO</stp>
        <stp>[TREASURY.xlsx]Sheet1!R923C20</stp>
        <tr r="T923" s="1"/>
      </tp>
      <tp t="s">
        <v>S/A</v>
        <stp/>
        <stp>##V3_BDPV12</stp>
        <stp>9128277H Govt</stp>
        <stp>COUPON_FREQUENCY_DESCRIPTION</stp>
        <stp>[TREASURY.xlsx]Sheet1!R1028C10</stp>
        <tr r="J1028" s="1"/>
      </tp>
      <tp t="s">
        <v>#N/A Field Not Applicable</v>
        <stp/>
        <stp>##V3_BDPV12</stp>
        <stp>912827V4 Govt</stp>
        <stp>IDX_RATIO</stp>
        <stp>[TREASURY.xlsx]Sheet1!R757C20</stp>
        <tr r="T757" s="1"/>
      </tp>
      <tp t="s">
        <v>#N/A Field Not Applicable</v>
        <stp/>
        <stp>##V3_BDPV12</stp>
        <stp>912828V5 Govt</stp>
        <stp>IDX_RATIO</stp>
        <stp>[TREASURY.xlsx]Sheet1!R655C20</stp>
        <tr r="T655" s="1"/>
      </tp>
      <tp t="s">
        <v>S/A</v>
        <stp/>
        <stp>##V3_BDPV12</stp>
        <stp>9128277M Govt</stp>
        <stp>COUPON_FREQUENCY_DESCRIPTION</stp>
        <stp>[TREASURY.xlsx]Sheet1!R1472C10</stp>
        <tr r="J1472" s="1"/>
      </tp>
      <tp t="s">
        <v>S/A</v>
        <stp/>
        <stp>##V3_BDPV12</stp>
        <stp>9128277L Govt</stp>
        <stp>COUPON_FREQUENCY_DESCRIPTION</stp>
        <stp>[TREASURY.xlsx]Sheet1!R1546C10</stp>
        <tr r="J1546" s="1"/>
      </tp>
      <tp t="s">
        <v>S/A</v>
        <stp/>
        <stp>##V3_BDPV12</stp>
        <stp>9128277C Govt</stp>
        <stp>COUPON_FREQUENCY_DESCRIPTION</stp>
        <stp>[TREASURY.xlsx]Sheet1!R1544C10</stp>
        <tr r="J1544" s="1"/>
      </tp>
      <tp t="s">
        <v>S/A</v>
        <stp/>
        <stp>##V3_BDPV12</stp>
        <stp>9128277F Govt</stp>
        <stp>COUPON_FREQUENCY_DESCRIPTION</stp>
        <stp>[TREASURY.xlsx]Sheet1!R1027C10</stp>
        <tr r="J1027" s="1"/>
      </tp>
      <tp t="s">
        <v>S/A</v>
        <stp/>
        <stp>##V3_BDPV12</stp>
        <stp>9128277A Govt</stp>
        <stp>COUPON_FREQUENCY_DESCRIPTION</stp>
        <stp>[TREASURY.xlsx]Sheet1!R1543C10</stp>
        <tr r="J1543" s="1"/>
      </tp>
      <tp t="s">
        <v>#N/A Field Not Applicable</v>
        <stp/>
        <stp>##V3_BDPV12</stp>
        <stp>912827V8 Govt</stp>
        <stp>IDX_RATIO</stp>
        <stp>[TREASURY.xlsx]Sheet1!R758C20</stp>
        <tr r="T758" s="1"/>
      </tp>
      <tp t="s">
        <v>UNITED STATES</v>
        <stp/>
        <stp>##V3_BDPV12</stp>
        <stp>9128273L Govt</stp>
        <stp>COUNTRY_FULL_NAME</stp>
        <stp>[TREASURY.xlsx]Sheet1!R1529C8</stp>
        <tr r="H1529" s="1"/>
      </tp>
      <tp t="s">
        <v>S/A</v>
        <stp/>
        <stp>##V3_BDPV12</stp>
        <stp>9128277G Govt</stp>
        <stp>COUPON_FREQUENCY_DESCRIPTION</stp>
        <stp>[TREASURY.xlsx]Sheet1!R1471C10</stp>
        <tr r="J1471" s="1"/>
      </tp>
      <tp t="s">
        <v>UNITED STATES</v>
        <stp/>
        <stp>##V3_BDPV12</stp>
        <stp>9128272K Govt</stp>
        <stp>COUNTRY_FULL_NAME</stp>
        <stp>[TREASURY.xlsx]Sheet1!R1518C8</stp>
        <tr r="H1518" s="1"/>
      </tp>
      <tp t="s">
        <v>#N/A Field Not Applicable</v>
        <stp/>
        <stp>##V3_BDPV12</stp>
        <stp>912828V9 Govt</stp>
        <stp>IDX_RATIO</stp>
        <stp>[TREASURY.xlsx]Sheet1!R127C20</stp>
        <tr r="T127" s="1"/>
      </tp>
      <tp t="s">
        <v>S/A</v>
        <stp/>
        <stp>##V3_BDPV12</stp>
        <stp>9128277D Govt</stp>
        <stp>COUPON_FREQUENCY_DESCRIPTION</stp>
        <stp>[TREASURY.xlsx]Sheet1!R1470C10</stp>
        <tr r="J1470" s="1"/>
      </tp>
      <tp t="s">
        <v>S/A</v>
        <stp/>
        <stp>##V3_BDPV12</stp>
        <stp>9128277E Govt</stp>
        <stp>COUPON_FREQUENCY_DESCRIPTION</stp>
        <stp>[TREASURY.xlsx]Sheet1!R1545C10</stp>
        <tr r="J1545" s="1"/>
      </tp>
      <tp t="s">
        <v>#N/A Field Not Applicable</v>
        <stp/>
        <stp>##V3_BDPV12</stp>
        <stp>912828V3 Govt</stp>
        <stp>IDX_RATIO</stp>
        <stp>[TREASURY.xlsx]Sheet1!R877C20</stp>
        <tr r="T877" s="1"/>
      </tp>
      <tp t="s">
        <v>#N/A Field Not Applicable</v>
        <stp/>
        <stp>##V3_BDPV12</stp>
        <stp>912828V8 Govt</stp>
        <stp>IDX_RATIO</stp>
        <stp>[TREASURY.xlsx]Sheet1!R307C20</stp>
        <tr r="T307" s="1"/>
      </tp>
      <tp t="s">
        <v>UNITED STATES</v>
        <stp/>
        <stp>##V3_BDPV12</stp>
        <stp>9128273R Govt</stp>
        <stp>COUNTRY_FULL_NAME</stp>
        <stp>[TREASURY.xlsx]Sheet1!R1359C8</stp>
        <tr r="H1359" s="1"/>
      </tp>
      <tp t="s">
        <v>UNITED STATES</v>
        <stp/>
        <stp>##V3_BDPV12</stp>
        <stp>9128283X Govt</stp>
        <stp>COUNTRY_FULL_NAME</stp>
        <stp>[TREASURY.xlsx]Sheet1!R1269C8</stp>
        <tr r="H1269" s="1"/>
      </tp>
      <tp t="s">
        <v>#N/A Field Not Applicable</v>
        <stp/>
        <stp>##V3_BDPV12</stp>
        <stp>912827VR Govt</stp>
        <stp>IDX_RATIO</stp>
        <stp>[TREASURY.xlsx]Sheet1!R764C20</stp>
        <tr r="T764" s="1"/>
      </tp>
      <tp t="s">
        <v>#N/A Field Not Applicable</v>
        <stp/>
        <stp>##V3_BDPV12</stp>
        <stp>912828VP Govt</stp>
        <stp>IDX_RATIO</stp>
        <stp>[TREASURY.xlsx]Sheet1!R479C20</stp>
        <tr r="T479" s="1"/>
      </tp>
      <tp t="s">
        <v>#N/A Field Not Applicable</v>
        <stp/>
        <stp>##V3_BDPV12</stp>
        <stp>912828VR Govt</stp>
        <stp>IDX_RATIO</stp>
        <stp>[TREASURY.xlsx]Sheet1!R566C20</stp>
        <tr r="T566" s="1"/>
      </tp>
      <tp t="s">
        <v>#N/A Field Not Applicable</v>
        <stp/>
        <stp>##V3_BDPV12</stp>
        <stp>912827VQ Govt</stp>
        <stp>IDX_RATIO</stp>
        <stp>[TREASURY.xlsx]Sheet1!R763C20</stp>
        <tr r="T763" s="1"/>
      </tp>
      <tp t="s">
        <v>#N/A Field Not Applicable</v>
        <stp/>
        <stp>##V3_BDPV12</stp>
        <stp>912827VX Govt</stp>
        <stp>IDX_RATIO</stp>
        <stp>[TREASURY.xlsx]Sheet1!R927C20</stp>
        <tr r="T927" s="1"/>
      </tp>
      <tp t="s">
        <v>#N/A Field Not Applicable</v>
        <stp/>
        <stp>##V3_BDPV12</stp>
        <stp>912827VT Govt</stp>
        <stp>IDX_RATIO</stp>
        <stp>[TREASURY.xlsx]Sheet1!R765C20</stp>
        <tr r="T765" s="1"/>
      </tp>
      <tp t="s">
        <v>#N/A Field Not Applicable</v>
        <stp/>
        <stp>##V3_BDPV12</stp>
        <stp>912828VS Govt</stp>
        <stp>IDX_RATIO</stp>
        <stp>[TREASURY.xlsx]Sheet1!R134C20</stp>
        <tr r="T134" s="1"/>
      </tp>
      <tp t="s">
        <v>T</v>
        <stp/>
        <stp>##V3_BDPV12</stp>
        <stp>912810SN Govt</stp>
        <stp>TICKER</stp>
        <stp>[TREASURY.xlsx]Sheet1!R27C2</stp>
        <tr r="B27" s="1"/>
      </tp>
      <tp t="s">
        <v>T</v>
        <stp/>
        <stp>##V3_BDPV12</stp>
        <stp>912810SS Govt</stp>
        <stp>TICKER</stp>
        <stp>[TREASURY.xlsx]Sheet1!R37C2</stp>
        <tr r="B37" s="1"/>
      </tp>
      <tp t="s">
        <v>#N/A Field Not Applicable</v>
        <stp/>
        <stp>##V3_BDPV12</stp>
        <stp>912828VZ Govt</stp>
        <stp>IDX_RATIO</stp>
        <stp>[TREASURY.xlsx]Sheet1!R695C20</stp>
        <tr r="T695" s="1"/>
      </tp>
      <tp t="s">
        <v>#N/A Field Not Applicable</v>
        <stp/>
        <stp>##V3_BDPV12</stp>
        <stp>912827VV Govt</stp>
        <stp>IDX_RATIO</stp>
        <stp>[TREASURY.xlsx]Sheet1!R926C20</stp>
        <tr r="T926" s="1"/>
      </tp>
      <tp t="s">
        <v>#N/A Field Not Applicable</v>
        <stp/>
        <stp>##V3_BDPV12</stp>
        <stp>912827VY Govt</stp>
        <stp>IDX_RATIO</stp>
        <stp>[TREASURY.xlsx]Sheet1!R766C20</stp>
        <tr r="T766" s="1"/>
      </tp>
      <tp t="s">
        <v>#N/A Field Not Applicable</v>
        <stp/>
        <stp>##V3_BDPV12</stp>
        <stp>912828VQ Govt</stp>
        <stp>IDX_RATIO</stp>
        <stp>[TREASURY.xlsx]Sheet1!R880C20</stp>
        <tr r="T880" s="1"/>
      </tp>
      <tp t="s">
        <v>USD</v>
        <stp/>
        <stp>##V3_BDPV12</stp>
        <stp>91282CAG Govt</stp>
        <stp>CRNCY</stp>
        <stp>[TREASURY.xlsx]Sheet1!R133C7</stp>
        <tr r="G133" s="1"/>
      </tp>
      <tp t="s">
        <v>#N/A Field Not Applicable</v>
        <stp/>
        <stp>##V3_BDPV12</stp>
        <stp>912827VC Govt</stp>
        <stp>IDX_RATIO</stp>
        <stp>[TREASURY.xlsx]Sheet1!R760C20</stp>
        <tr r="T760" s="1"/>
      </tp>
      <tp t="s">
        <v>#N/A Field Not Applicable</v>
        <stp/>
        <stp>##V3_BDPV12</stp>
        <stp>912828VL Govt</stp>
        <stp>IDX_RATIO</stp>
        <stp>[TREASURY.xlsx]Sheet1!R878C20</stp>
        <tr r="T878" s="1"/>
      </tp>
      <tp t="s">
        <v>#N/A Field Not Applicable</v>
        <stp/>
        <stp>##V3_BDPV12</stp>
        <stp>912827VN Govt</stp>
        <stp>IDX_RATIO</stp>
        <stp>[TREASURY.xlsx]Sheet1!R925C20</stp>
        <tr r="T925" s="1"/>
      </tp>
      <tp t="s">
        <v>#N/A Field Not Applicable</v>
        <stp/>
        <stp>##V3_BDPV12</stp>
        <stp>912828VA Govt</stp>
        <stp>IDX_RATIO</stp>
        <stp>[TREASURY.xlsx]Sheet1!R638C20</stp>
        <tr r="T638" s="1"/>
      </tp>
      <tp t="s">
        <v>USD</v>
        <stp/>
        <stp>##V3_BDPV12</stp>
        <stp>91282CBJ Govt</stp>
        <stp>CRNCY</stp>
        <stp>[TREASURY.xlsx]Sheet1!R123C7</stp>
        <tr r="G123" s="1"/>
      </tp>
      <tp t="s">
        <v>#N/A Field Not Applicable</v>
        <stp/>
        <stp>##V3_BDPV12</stp>
        <stp>912827VA Govt</stp>
        <stp>IDX_RATIO</stp>
        <stp>[TREASURY.xlsx]Sheet1!R759C20</stp>
        <tr r="T759" s="1"/>
      </tp>
      <tp t="s">
        <v>#N/A Field Not Applicable</v>
        <stp/>
        <stp>##V3_BDPV12</stp>
        <stp>912828VN Govt</stp>
        <stp>IDX_RATIO</stp>
        <stp>[TREASURY.xlsx]Sheet1!R879C20</stp>
        <tr r="T879" s="1"/>
      </tp>
      <tp t="s">
        <v>#N/A Field Not Applicable</v>
        <stp/>
        <stp>##V3_BDPV12</stp>
        <stp>912828VC Govt</stp>
        <stp>IDX_RATIO</stp>
        <stp>[TREASURY.xlsx]Sheet1!R577C20</stp>
        <tr r="T577" s="1"/>
      </tp>
      <tp t="s">
        <v>#N/A Field Not Applicable</v>
        <stp/>
        <stp>##V3_BDPV12</stp>
        <stp>912827VH Govt</stp>
        <stp>IDX_RATIO</stp>
        <stp>[TREASURY.xlsx]Sheet1!R924C20</stp>
        <tr r="T924" s="1"/>
      </tp>
      <tp t="s">
        <v>#N/A Field Not Applicable</v>
        <stp/>
        <stp>##V3_BDPV12</stp>
        <stp>912827VG Govt</stp>
        <stp>IDX_RATIO</stp>
        <stp>[TREASURY.xlsx]Sheet1!R761C20</stp>
        <tr r="T761" s="1"/>
      </tp>
      <tp t="s">
        <v>#N/A Field Not Applicable</v>
        <stp/>
        <stp>##V3_BDPV12</stp>
        <stp>912828VF Govt</stp>
        <stp>IDX_RATIO</stp>
        <stp>[TREASURY.xlsx]Sheet1!R694C20</stp>
        <tr r="T694" s="1"/>
      </tp>
      <tp t="s">
        <v>#N/A Field Not Applicable</v>
        <stp/>
        <stp>##V3_BDPV12</stp>
        <stp>912828VB Govt</stp>
        <stp>IDX_RATIO</stp>
        <stp>[TREASURY.xlsx]Sheet1!R168C20</stp>
        <tr r="T168" s="1"/>
      </tp>
      <tp t="s">
        <v>#N/A Field Not Applicable</v>
        <stp/>
        <stp>##V3_BDPV12</stp>
        <stp>912828VE Govt</stp>
        <stp>IDX_RATIO</stp>
        <stp>[TREASURY.xlsx]Sheet1!R673C20</stp>
        <tr r="T673" s="1"/>
      </tp>
      <tp t="s">
        <v>#N/A Field Not Applicable</v>
        <stp/>
        <stp>##V3_BDPV12</stp>
        <stp>912827VE Govt</stp>
        <stp>IDX_RATIO</stp>
        <stp>[TREASURY.xlsx]Sheet1!R626C20</stp>
        <tr r="T626" s="1"/>
      </tp>
      <tp t="s">
        <v>#N/A Field Not Applicable</v>
        <stp/>
        <stp>##V3_BDPV12</stp>
        <stp>912828VG Govt</stp>
        <stp>IDX_RATIO</stp>
        <stp>[TREASURY.xlsx]Sheet1!R587C20</stp>
        <tr r="T587" s="1"/>
      </tp>
      <tp t="s">
        <v>#N/A Field Not Applicable</v>
        <stp/>
        <stp>##V3_BDPV12</stp>
        <stp>912827VK Govt</stp>
        <stp>IDX_RATIO</stp>
        <stp>[TREASURY.xlsx]Sheet1!R762C20</stp>
        <tr r="T762" s="1"/>
      </tp>
      <tp t="s">
        <v>#N/A Field Not Applicable</v>
        <stp/>
        <stp>##V3_BDPV12</stp>
        <stp>912828VJ Govt</stp>
        <stp>IDX_RATIO</stp>
        <stp>[TREASURY.xlsx]Sheet1!R447C20</stp>
        <tr r="T447" s="1"/>
      </tp>
      <tp t="s">
        <v>#N/A Field Not Applicable</v>
        <stp/>
        <stp>##V3_BDPV12</stp>
        <stp>912828VH Govt</stp>
        <stp>IDX_RATIO</stp>
        <stp>[TREASURY.xlsx]Sheet1!R632C20</stp>
        <tr r="T632" s="1"/>
      </tp>
      <tp>
        <v>2</v>
        <stp/>
        <stp>##V3_BDPV12</stp>
        <stp>912828J2 Govt</stp>
        <stp>CPN</stp>
        <stp>[TREASURY.xlsx]Sheet1!R94C3</stp>
        <tr r="C94" s="1"/>
      </tp>
      <tp t="s">
        <v>ACT/ACT</v>
        <stp/>
        <stp>##V3_BDPV12</stp>
        <stp>91282CCF Govt</stp>
        <stp>DAY_CNT_DES</stp>
        <stp>[TREASURY.xlsx]Sheet1!R34C17</stp>
        <tr r="Q34" s="1"/>
      </tp>
      <tp t="s">
        <v>ACT/ACT</v>
        <stp/>
        <stp>##V3_BDPV12</stp>
        <stp>912828ZF Govt</stp>
        <stp>DAY_CNT_DES</stp>
        <stp>[TREASURY.xlsx]Sheet1!R61C17</stp>
        <tr r="Q61" s="1"/>
      </tp>
      <tp t="s">
        <v>ACT/ACT</v>
        <stp/>
        <stp>##V3_BDPV12</stp>
        <stp>9128283F Govt</stp>
        <stp>DAY_CNT_DES</stp>
        <stp>[TREASURY.xlsx]Sheet1!R65C17</stp>
        <tr r="Q65" s="1"/>
      </tp>
      <tp t="s">
        <v>ACT/ACT</v>
        <stp/>
        <stp>##V3_BDPV12</stp>
        <stp>912828YF Govt</stp>
        <stp>DAY_CNT_DES</stp>
        <stp>[TREASURY.xlsx]Sheet1!R76C17</stp>
        <tr r="Q76" s="1"/>
      </tp>
      <tp t="s">
        <v>2/15/2020</v>
        <stp/>
        <stp>##V3_BDPV12</stp>
        <stp>912810SJ Govt</stp>
        <stp>FIRST_CPN_DT</stp>
        <stp>[TREASURY.xlsx]Sheet1!R73C9</stp>
        <tr r="I73" s="1"/>
      </tp>
      <tp t="s">
        <v>11/15/2020</v>
        <stp/>
        <stp>##V3_BDPV12</stp>
        <stp>912810SN Govt</stp>
        <stp>FIRST_CPN_DT</stp>
        <stp>[TREASURY.xlsx]Sheet1!R27C9</stp>
        <tr r="I27" s="1"/>
      </tp>
      <tp t="s">
        <v>6/15/2021</v>
        <stp/>
        <stp>##V3_BDPV12</stp>
        <stp>91282CBA Govt</stp>
        <stp>FIRST_CPN_DT</stp>
        <stp>[TREASURY.xlsx]Sheet1!R78C9</stp>
        <tr r="I78" s="1"/>
      </tp>
      <tp t="s">
        <v>#N/A Field Not Applicable</v>
        <stp/>
        <stp>##V3_BDPV12</stp>
        <stp>912828U6 Govt</stp>
        <stp>IDX_RATIO</stp>
        <stp>[TREASURY.xlsx]Sheet1!R232C20</stp>
        <tr r="T232" s="1"/>
      </tp>
      <tp t="s">
        <v>S/A</v>
        <stp/>
        <stp>##V3_BDPV12</stp>
        <stp>9128274H Govt</stp>
        <stp>COUPON_FREQUENCY_DESCRIPTION</stp>
        <stp>[TREASURY.xlsx]Sheet1!R1460C10</stp>
        <tr r="J1460" s="1"/>
      </tp>
      <tp t="s">
        <v>#N/A Field Not Applicable</v>
        <stp/>
        <stp>##V3_BDPV12</stp>
        <stp>912828U5 Govt</stp>
        <stp>IDX_RATIO</stp>
        <stp>[TREASURY.xlsx]Sheet1!R246C20</stp>
        <tr r="T246" s="1"/>
      </tp>
      <tp t="s">
        <v>#N/A Field Not Applicable</v>
        <stp/>
        <stp>##V3_BDPV12</stp>
        <stp>912828U3 Govt</stp>
        <stp>IDX_RATIO</stp>
        <stp>[TREASURY.xlsx]Sheet1!R491C20</stp>
        <tr r="T491" s="1"/>
      </tp>
      <tp t="s">
        <v>S/A</v>
        <stp/>
        <stp>##V3_BDPV12</stp>
        <stp>9128274N Govt</stp>
        <stp>COUPON_FREQUENCY_DESCRIPTION</stp>
        <stp>[TREASURY.xlsx]Sheet1!R1462C10</stp>
        <tr r="J1462" s="1"/>
      </tp>
      <tp t="s">
        <v>#N/A Field Not Applicable</v>
        <stp/>
        <stp>##V3_BDPV12</stp>
        <stp>912827U6 Govt</stp>
        <stp>IDX_RATIO</stp>
        <stp>[TREASURY.xlsx]Sheet1!R751C20</stp>
        <tr r="T751" s="1"/>
      </tp>
      <tp t="s">
        <v>S/A</v>
        <stp/>
        <stp>##V3_BDPV12</stp>
        <stp>9128274K Govt</stp>
        <stp>COUPON_FREQUENCY_DESCRIPTION</stp>
        <stp>[TREASURY.xlsx]Sheet1!R1366C10</stp>
        <tr r="J1366" s="1"/>
      </tp>
      <tp t="s">
        <v>#N/A Field Not Applicable</v>
        <stp/>
        <stp>##V3_BDPV12</stp>
        <stp>912828U7 Govt</stp>
        <stp>IDX_RATIO</stp>
        <stp>[TREASURY.xlsx]Sheet1!R484C20</stp>
        <tr r="T484" s="1"/>
      </tp>
      <tp t="s">
        <v>S/A</v>
        <stp/>
        <stp>##V3_BDPV12</stp>
        <stp>9128274M Govt</stp>
        <stp>COUPON_FREQUENCY_DESCRIPTION</stp>
        <stp>[TREASURY.xlsx]Sheet1!R1461C10</stp>
        <tr r="J1461" s="1"/>
      </tp>
      <tp t="s">
        <v>S/A</v>
        <stp/>
        <stp>##V3_BDPV12</stp>
        <stp>9128274J Govt</stp>
        <stp>COUPON_FREQUENCY_DESCRIPTION</stp>
        <stp>[TREASURY.xlsx]Sheet1!R1365C10</stp>
        <tr r="J1365" s="1"/>
      </tp>
      <tp t="s">
        <v>S/A</v>
        <stp/>
        <stp>##V3_BDPV12</stp>
        <stp>9128274E Govt</stp>
        <stp>COUPON_FREQUENCY_DESCRIPTION</stp>
        <stp>[TREASURY.xlsx]Sheet1!R1363C10</stp>
        <tr r="J1363" s="1"/>
      </tp>
      <tp t="s">
        <v>S/A</v>
        <stp/>
        <stp>##V3_BDPV12</stp>
        <stp>9128274C Govt</stp>
        <stp>COUPON_FREQUENCY_DESCRIPTION</stp>
        <stp>[TREASURY.xlsx]Sheet1!R1458C10</stp>
        <tr r="J1458" s="1"/>
      </tp>
      <tp t="s">
        <v>#N/A Field Not Applicable</v>
        <stp/>
        <stp>##V3_BDPV12</stp>
        <stp>912828U4 Govt</stp>
        <stp>IDX_RATIO</stp>
        <stp>[TREASURY.xlsx]Sheet1!R876C20</stp>
        <tr r="T876" s="1"/>
      </tp>
      <tp t="s">
        <v>S/A</v>
        <stp/>
        <stp>##V3_BDPV12</stp>
        <stp>9128274G Govt</stp>
        <stp>COUPON_FREQUENCY_DESCRIPTION</stp>
        <stp>[TREASURY.xlsx]Sheet1!R1364C10</stp>
        <tr r="J1364" s="1"/>
      </tp>
      <tp t="s">
        <v>#N/A Field Not Applicable</v>
        <stp/>
        <stp>##V3_BDPV12</stp>
        <stp>912828U9 Govt</stp>
        <stp>IDX_RATIO</stp>
        <stp>[TREASURY.xlsx]Sheet1!R678C20</stp>
        <tr r="T678" s="1"/>
      </tp>
      <tp t="s">
        <v>S/A</v>
        <stp/>
        <stp>##V3_BDPV12</stp>
        <stp>9128274A Govt</stp>
        <stp>COUPON_FREQUENCY_DESCRIPTION</stp>
        <stp>[TREASURY.xlsx]Sheet1!R1457C10</stp>
        <tr r="J1457" s="1"/>
      </tp>
      <tp t="s">
        <v>#N/A Field Not Applicable</v>
        <stp/>
        <stp>##V3_BDPV12</stp>
        <stp>912827U9 Govt</stp>
        <stp>IDX_RATIO</stp>
        <stp>[TREASURY.xlsx]Sheet1!R752C20</stp>
        <tr r="T752" s="1"/>
      </tp>
      <tp t="s">
        <v>S/A</v>
        <stp/>
        <stp>##V3_BDPV12</stp>
        <stp>9128284B Govt</stp>
        <stp>COUPON_FREQUENCY_DESCRIPTION</stp>
        <stp>[TREASURY.xlsx]Sheet1!R1106C10</stp>
        <tr r="J1106" s="1"/>
      </tp>
      <tp t="s">
        <v>S/A</v>
        <stp/>
        <stp>##V3_BDPV12</stp>
        <stp>9128274D Govt</stp>
        <stp>COUPON_FREQUENCY_DESCRIPTION</stp>
        <stp>[TREASURY.xlsx]Sheet1!R1459C10</stp>
        <tr r="J1459" s="1"/>
      </tp>
      <tp t="s">
        <v>S/A</v>
        <stp/>
        <stp>##V3_BDPV12</stp>
        <stp>9128274B Govt</stp>
        <stp>COUPON_FREQUENCY_DESCRIPTION</stp>
        <stp>[TREASURY.xlsx]Sheet1!R1362C10</stp>
        <tr r="J1362" s="1"/>
      </tp>
      <tp t="s">
        <v>#N/A Field Not Applicable</v>
        <stp/>
        <stp>##V3_BDPV12</stp>
        <stp>912828U8 Govt</stp>
        <stp>IDX_RATIO</stp>
        <stp>[TREASURY.xlsx]Sheet1!R213C20</stp>
        <tr r="T213" s="1"/>
      </tp>
      <tp t="s">
        <v>#N/A Field Not Applicable</v>
        <stp/>
        <stp>##V3_BDPV12</stp>
        <stp>912827U3 Govt</stp>
        <stp>IDX_RATIO</stp>
        <stp>[TREASURY.xlsx]Sheet1!R921C20</stp>
        <tr r="T921" s="1"/>
      </tp>
      <tp t="s">
        <v>#N/A Field Not Applicable</v>
        <stp/>
        <stp>##V3_BDPV12</stp>
        <stp>912827U2 Govt</stp>
        <stp>IDX_RATIO</stp>
        <stp>[TREASURY.xlsx]Sheet1!R835C20</stp>
        <tr r="T835" s="1"/>
      </tp>
      <tp t="s">
        <v>S/A</v>
        <stp/>
        <stp>##V3_BDPV12</stp>
        <stp>9128274Z Govt</stp>
        <stp>COUPON_FREQUENCY_DESCRIPTION</stp>
        <stp>[TREASURY.xlsx]Sheet1!R1534C10</stp>
        <tr r="J1534" s="1"/>
      </tp>
      <tp t="s">
        <v>S/A</v>
        <stp/>
        <stp>##V3_BDPV12</stp>
        <stp>9128274X Govt</stp>
        <stp>COUPON_FREQUENCY_DESCRIPTION</stp>
        <stp>[TREASURY.xlsx]Sheet1!R1368C10</stp>
        <tr r="J1368" s="1"/>
      </tp>
      <tp t="s">
        <v>S/A</v>
        <stp/>
        <stp>##V3_BDPV12</stp>
        <stp>9128274R Govt</stp>
        <stp>COUPON_FREQUENCY_DESCRIPTION</stp>
        <stp>[TREASURY.xlsx]Sheet1!R1532C10</stp>
        <tr r="J1532" s="1"/>
      </tp>
      <tp t="s">
        <v>S/A</v>
        <stp/>
        <stp>##V3_BDPV12</stp>
        <stp>9128274U Govt</stp>
        <stp>COUPON_FREQUENCY_DESCRIPTION</stp>
        <stp>[TREASURY.xlsx]Sheet1!R1012C10</stp>
        <tr r="J1012" s="1"/>
      </tp>
      <tp t="s">
        <v>S/A</v>
        <stp/>
        <stp>##V3_BDPV12</stp>
        <stp>9128274Q Govt</stp>
        <stp>COUPON_FREQUENCY_DESCRIPTION</stp>
        <stp>[TREASURY.xlsx]Sheet1!R1367C10</stp>
        <tr r="J1367" s="1"/>
      </tp>
      <tp t="s">
        <v>S/A</v>
        <stp/>
        <stp>##V3_BDPV12</stp>
        <stp>9128274V Govt</stp>
        <stp>COUPON_FREQUENCY_DESCRIPTION</stp>
        <stp>[TREASURY.xlsx]Sheet1!R1533C10</stp>
        <tr r="J1533" s="1"/>
      </tp>
      <tp t="s">
        <v>#N/A Field Not Applicable</v>
        <stp/>
        <stp>##V3_BDPV12</stp>
        <stp>912828UQ Govt</stp>
        <stp>IDX_RATIO</stp>
        <stp>[TREASURY.xlsx]Sheet1!R421C20</stp>
        <tr r="T421" s="1"/>
      </tp>
      <tp t="s">
        <v>#N/A Field Not Applicable</v>
        <stp/>
        <stp>##V3_BDPV12</stp>
        <stp>912828UT Govt</stp>
        <stp>IDX_RATIO</stp>
        <stp>[TREASURY.xlsx]Sheet1!R552C20</stp>
        <tr r="T552" s="1"/>
      </tp>
      <tp t="s">
        <v>#N/A Field Not Applicable</v>
        <stp/>
        <stp>##V3_BDPV12</stp>
        <stp>912828UV Govt</stp>
        <stp>IDX_RATIO</stp>
        <stp>[TREASURY.xlsx]Sheet1!R693C20</stp>
        <tr r="T693" s="1"/>
      </tp>
      <tp t="s">
        <v>#N/A Field Not Applicable</v>
        <stp/>
        <stp>##V3_BDPV12</stp>
        <stp>912827UT Govt</stp>
        <stp>IDX_RATIO</stp>
        <stp>[TREASURY.xlsx]Sheet1!R756C20</stp>
        <tr r="T756" s="1"/>
      </tp>
      <tp t="s">
        <v>#N/A Field Not Applicable</v>
        <stp/>
        <stp>##V3_BDPV12</stp>
        <stp>912827UW Govt</stp>
        <stp>IDX_RATIO</stp>
        <stp>[TREASURY.xlsx]Sheet1!R460C20</stp>
        <tr r="T460" s="1"/>
      </tp>
      <tp t="s">
        <v>T</v>
        <stp/>
        <stp>##V3_BDPV12</stp>
        <stp>912810SW Govt</stp>
        <stp>TICKER</stp>
        <stp>[TREASURY.xlsx]Sheet1!R44C2</stp>
        <tr r="B44" s="1"/>
      </tp>
      <tp t="s">
        <v>#N/A Field Not Applicable</v>
        <stp/>
        <stp>##V3_BDPV12</stp>
        <stp>912827UV Govt</stp>
        <stp>IDX_RATIO</stp>
        <stp>[TREASURY.xlsx]Sheet1!R922C20</stp>
        <tr r="T922" s="1"/>
      </tp>
      <tp t="s">
        <v>#N/A Field Not Applicable</v>
        <stp/>
        <stp>##V3_BDPV12</stp>
        <stp>912828UZ Govt</stp>
        <stp>IDX_RATIO</stp>
        <stp>[TREASURY.xlsx]Sheet1!R445C20</stp>
        <tr r="T445" s="1"/>
      </tp>
      <tp t="s">
        <v>USD</v>
        <stp/>
        <stp>##V3_BDPV12</stp>
        <stp>91282CAC Govt</stp>
        <stp>CRNCY</stp>
        <stp>[TREASURY.xlsx]Sheet1!R120C7</stp>
        <tr r="G120" s="1"/>
      </tp>
      <tp t="s">
        <v>#N/A Field Not Applicable</v>
        <stp/>
        <stp>##V3_BDPV12</stp>
        <stp>912827UB Govt</stp>
        <stp>IDX_RATIO</stp>
        <stp>[TREASURY.xlsx]Sheet1!R753C20</stp>
        <tr r="T753" s="1"/>
      </tp>
      <tp t="s">
        <v>#N/A Field Not Applicable</v>
        <stp/>
        <stp>##V3_BDPV12</stp>
        <stp>912827UC Govt</stp>
        <stp>IDX_RATIO</stp>
        <stp>[TREASURY.xlsx]Sheet1!R754C20</stp>
        <tr r="T754" s="1"/>
      </tp>
      <tp t="s">
        <v>#N/A Field Not Applicable</v>
        <stp/>
        <stp>##V3_BDPV12</stp>
        <stp>912828UB Govt</stp>
        <stp>IDX_RATIO</stp>
        <stp>[TREASURY.xlsx]Sheet1!R540C20</stp>
        <tr r="T540" s="1"/>
      </tp>
      <tp t="s">
        <v>#N/A Field Not Applicable</v>
        <stp/>
        <stp>##V3_BDPV12</stp>
        <stp>912828UE Govt</stp>
        <stp>IDX_RATIO</stp>
        <stp>[TREASURY.xlsx]Sheet1!R446C20</stp>
        <tr r="T446" s="1"/>
      </tp>
      <tp t="s">
        <v>#N/A Field Not Applicable</v>
        <stp/>
        <stp>##V3_BDPV12</stp>
        <stp>912828UD Govt</stp>
        <stp>IDX_RATIO</stp>
        <stp>[TREASURY.xlsx]Sheet1!R586C20</stp>
        <tr r="T586" s="1"/>
      </tp>
      <tp t="s">
        <v>#N/A Field Not Applicable</v>
        <stp/>
        <stp>##V3_BDPV12</stp>
        <stp>912828UF Govt</stp>
        <stp>IDX_RATIO</stp>
        <stp>[TREASURY.xlsx]Sheet1!R671C20</stp>
        <tr r="T671" s="1"/>
      </tp>
      <tp t="s">
        <v>#N/A Field Not Applicable</v>
        <stp/>
        <stp>##V3_BDPV12</stp>
        <stp>912828UJ Govt</stp>
        <stp>IDX_RATIO</stp>
        <stp>[TREASURY.xlsx]Sheet1!R999C20</stp>
        <tr r="T999" s="1"/>
      </tp>
      <tp t="s">
        <v>#N/A Field Not Applicable</v>
        <stp/>
        <stp>##V3_BDPV12</stp>
        <stp>912828UA Govt</stp>
        <stp>IDX_RATIO</stp>
        <stp>[TREASURY.xlsx]Sheet1!R387C20</stp>
        <tr r="T387" s="1"/>
      </tp>
      <tp t="s">
        <v>#N/A Field Not Applicable</v>
        <stp/>
        <stp>##V3_BDPV12</stp>
        <stp>912827UJ Govt</stp>
        <stp>IDX_RATIO</stp>
        <stp>[TREASURY.xlsx]Sheet1!R755C20</stp>
        <tr r="T755" s="1"/>
      </tp>
      <tp t="s">
        <v>#N/A Field Not Applicable</v>
        <stp/>
        <stp>##V3_BDPV12</stp>
        <stp>912828UN Govt</stp>
        <stp>IDX_RATIO</stp>
        <stp>[TREASURY.xlsx]Sheet1!R147C20</stp>
        <tr r="T147" s="1"/>
      </tp>
      <tp t="s">
        <v>#N/A Field Not Applicable</v>
        <stp/>
        <stp>##V3_BDPV12</stp>
        <stp>912828UM Govt</stp>
        <stp>IDX_RATIO</stp>
        <stp>[TREASURY.xlsx]Sheet1!R472C20</stp>
        <tr r="T472" s="1"/>
      </tp>
      <tp t="s">
        <v>#N/A Field Not Applicable</v>
        <stp/>
        <stp>##V3_BDPV12</stp>
        <stp>912827UA Govt</stp>
        <stp>IDX_RATIO</stp>
        <stp>[TREASURY.xlsx]Sheet1!R836C20</stp>
        <tr r="T836" s="1"/>
      </tp>
      <tp t="s">
        <v>ACT/ACT</v>
        <stp/>
        <stp>##V3_BDPV12</stp>
        <stp>91282CCE Govt</stp>
        <stp>DAY_CNT_DES</stp>
        <stp>[TREASURY.xlsx]Sheet1!R77C17</stp>
        <tr r="Q77" s="1"/>
      </tp>
      <tp t="s">
        <v>ACT/ACT</v>
        <stp/>
        <stp>##V3_BDPV12</stp>
        <stp>91282CAE Govt</stp>
        <stp>DAY_CNT_DES</stp>
        <stp>[TREASURY.xlsx]Sheet1!R18C17</stp>
        <tr r="Q18" s="1"/>
      </tp>
      <tp t="s">
        <v>3/31/2021</v>
        <stp/>
        <stp>##V3_BDPV12</stp>
        <stp>91282CAN Govt</stp>
        <stp>FIRST_CPN_DT</stp>
        <stp>[TREASURY.xlsx]Sheet1!R46C9</stp>
        <tr r="I46" s="1"/>
      </tp>
      <tp t="s">
        <v>8/15/2021</v>
        <stp/>
        <stp>##V3_BDPV12</stp>
        <stp>91282CBL Govt</stp>
        <stp>FIRST_CPN_DT</stp>
        <stp>[TREASURY.xlsx]Sheet1!R14C9</stp>
        <tr r="I14" s="1"/>
      </tp>
      <tp t="s">
        <v>12/31/2021</v>
        <stp/>
        <stp>##V3_BDPV12</stp>
        <stp>91282CCK Govt</stp>
        <stp>FIRST_CPN_DT</stp>
        <stp>[TREASURY.xlsx]Sheet1!R33C9</stp>
        <tr r="I33" s="1"/>
      </tp>
      <tp t="s">
        <v>12/31/2021</v>
        <stp/>
        <stp>##V3_BDPV12</stp>
        <stp>91282CCJ Govt</stp>
        <stp>FIRST_CPN_DT</stp>
        <stp>[TREASURY.xlsx]Sheet1!R22C9</stp>
        <tr r="I22" s="1"/>
      </tp>
      <tp t="s">
        <v>#N/A Field Not Applicable</v>
        <stp/>
        <stp>##V3_BDPV12</stp>
        <stp>912828T6 Govt</stp>
        <stp>IDX_RATIO</stp>
        <stp>[TREASURY.xlsx]Sheet1!R105C20</stp>
        <tr r="T105" s="1"/>
      </tp>
      <tp t="s">
        <v>S/A</v>
        <stp/>
        <stp>##V3_BDPV12</stp>
        <stp>9128275M Govt</stp>
        <stp>COUPON_FREQUENCY_DESCRIPTION</stp>
        <stp>[TREASURY.xlsx]Sheet1!R1015C10</stp>
        <tr r="J1015" s="1"/>
      </tp>
      <tp t="s">
        <v>S/A</v>
        <stp/>
        <stp>##V3_BDPV12</stp>
        <stp>9128275J Govt</stp>
        <stp>COUPON_FREQUENCY_DESCRIPTION</stp>
        <stp>[TREASURY.xlsx]Sheet1!R1014C10</stp>
        <tr r="J1014" s="1"/>
      </tp>
      <tp t="s">
        <v>S/A</v>
        <stp/>
        <stp>##V3_BDPV12</stp>
        <stp>9128275H Govt</stp>
        <stp>COUPON_FREQUENCY_DESCRIPTION</stp>
        <stp>[TREASURY.xlsx]Sheet1!R1370C10</stp>
        <tr r="J1370" s="1"/>
      </tp>
      <tp t="s">
        <v>S/A</v>
        <stp/>
        <stp>##V3_BDPV12</stp>
        <stp>9128275L Govt</stp>
        <stp>COUPON_FREQUENCY_DESCRIPTION</stp>
        <stp>[TREASURY.xlsx]Sheet1!R1464C10</stp>
        <tr r="J1464" s="1"/>
      </tp>
      <tp t="s">
        <v>#N/A Field Not Applicable</v>
        <stp/>
        <stp>##V3_BDPV12</stp>
        <stp>912828T5 Govt</stp>
        <stp>IDX_RATIO</stp>
        <stp>[TREASURY.xlsx]Sheet1!R631C20</stp>
        <tr r="T631" s="1"/>
      </tp>
      <tp t="s">
        <v>#N/A Field Not Applicable</v>
        <stp/>
        <stp>##V3_BDPV12</stp>
        <stp>912828T2 Govt</stp>
        <stp>IDX_RATIO</stp>
        <stp>[TREASURY.xlsx]Sheet1!R192C20</stp>
        <tr r="T192" s="1"/>
      </tp>
      <tp t="s">
        <v>#N/A Field Not Applicable</v>
        <stp/>
        <stp>##V3_BDPV12</stp>
        <stp>912828T3 Govt</stp>
        <stp>IDX_RATIO</stp>
        <stp>[TREASURY.xlsx]Sheet1!R124C20</stp>
        <tr r="T124" s="1"/>
      </tp>
      <tp t="s">
        <v>S/A</v>
        <stp/>
        <stp>##V3_BDPV12</stp>
        <stp>9128275C Govt</stp>
        <stp>COUPON_FREQUENCY_DESCRIPTION</stp>
        <stp>[TREASURY.xlsx]Sheet1!R1535C10</stp>
        <tr r="J1535" s="1"/>
      </tp>
      <tp t="s">
        <v>#N/A Field Not Applicable</v>
        <stp/>
        <stp>##V3_BDPV12</stp>
        <stp>912828T4 Govt</stp>
        <stp>IDX_RATIO</stp>
        <stp>[TREASURY.xlsx]Sheet1!R871C20</stp>
        <tr r="T871" s="1"/>
      </tp>
      <tp t="s">
        <v>#N/A Field Not Applicable</v>
        <stp/>
        <stp>##V3_BDPV12</stp>
        <stp>912827T5 Govt</stp>
        <stp>IDX_RATIO</stp>
        <stp>[TREASURY.xlsx]Sheet1!R919C20</stp>
        <tr r="T919" s="1"/>
      </tp>
      <tp t="s">
        <v>S/A</v>
        <stp/>
        <stp>##V3_BDPV12</stp>
        <stp>9128275G Govt</stp>
        <stp>COUPON_FREQUENCY_DESCRIPTION</stp>
        <stp>[TREASURY.xlsx]Sheet1!R1369C10</stp>
        <tr r="J1369" s="1"/>
      </tp>
      <tp t="s">
        <v>S/A</v>
        <stp/>
        <stp>##V3_BDPV12</stp>
        <stp>9128275D Govt</stp>
        <stp>COUPON_FREQUENCY_DESCRIPTION</stp>
        <stp>[TREASURY.xlsx]Sheet1!R1013C10</stp>
        <tr r="J1013" s="1"/>
      </tp>
      <tp t="s">
        <v>S/A</v>
        <stp/>
        <stp>##V3_BDPV12</stp>
        <stp>9128275A Govt</stp>
        <stp>COUPON_FREQUENCY_DESCRIPTION</stp>
        <stp>[TREASURY.xlsx]Sheet1!R1463C10</stp>
        <tr r="J1463" s="1"/>
      </tp>
      <tp t="s">
        <v>#N/A Field Not Applicable</v>
        <stp/>
        <stp>##V3_BDPV12</stp>
        <stp>912828T9 Govt</stp>
        <stp>IDX_RATIO</stp>
        <stp>[TREASURY.xlsx]Sheet1!R215C20</stp>
        <tr r="T215" s="1"/>
      </tp>
      <tp t="s">
        <v>#N/A Field Not Applicable</v>
        <stp/>
        <stp>##V3_BDPV12</stp>
        <stp>912827T2 Govt</stp>
        <stp>IDX_RATIO</stp>
        <stp>[TREASURY.xlsx]Sheet1!R833C20</stp>
        <tr r="T833" s="1"/>
      </tp>
      <tp t="s">
        <v>S/A</v>
        <stp/>
        <stp>##V3_BDPV12</stp>
        <stp>9128275R Govt</stp>
        <stp>COUPON_FREQUENCY_DESCRIPTION</stp>
        <stp>[TREASURY.xlsx]Sheet1!R1018C10</stp>
        <tr r="J1018" s="1"/>
      </tp>
      <tp t="s">
        <v>S/A</v>
        <stp/>
        <stp>##V3_BDPV12</stp>
        <stp>9128275S Govt</stp>
        <stp>COUPON_FREQUENCY_DESCRIPTION</stp>
        <stp>[TREASURY.xlsx]Sheet1!R1019C10</stp>
        <tr r="J1019" s="1"/>
      </tp>
      <tp t="s">
        <v>S/A</v>
        <stp/>
        <stp>##V3_BDPV12</stp>
        <stp>9128275P Govt</stp>
        <stp>COUPON_FREQUENCY_DESCRIPTION</stp>
        <stp>[TREASURY.xlsx]Sheet1!R1016C10</stp>
        <tr r="J1016" s="1"/>
      </tp>
      <tp t="s">
        <v>S/A</v>
        <stp/>
        <stp>##V3_BDPV12</stp>
        <stp>9128275Q Govt</stp>
        <stp>COUPON_FREQUENCY_DESCRIPTION</stp>
        <stp>[TREASURY.xlsx]Sheet1!R1017C10</stp>
        <tr r="J1017" s="1"/>
      </tp>
      <tp t="s">
        <v>#N/A Field Not Applicable</v>
        <stp/>
        <stp>##V3_BDPV12</stp>
        <stp>912827TS Govt</stp>
        <stp>IDX_RATIO</stp>
        <stp>[TREASURY.xlsx]Sheet1!R750C20</stp>
        <tr r="T750" s="1"/>
      </tp>
      <tp t="s">
        <v>#N/A Field Not Applicable</v>
        <stp/>
        <stp>##V3_BDPV12</stp>
        <stp>912828TW Govt</stp>
        <stp>IDX_RATIO</stp>
        <stp>[TREASURY.xlsx]Sheet1!R361C20</stp>
        <tr r="T361" s="1"/>
      </tp>
      <tp t="s">
        <v>#N/A Field Not Applicable</v>
        <stp/>
        <stp>##V3_BDPV12</stp>
        <stp>912828TS Govt</stp>
        <stp>IDX_RATIO</stp>
        <stp>[TREASURY.xlsx]Sheet1!R490C20</stp>
        <tr r="T490" s="1"/>
      </tp>
      <tp t="s">
        <v>#N/A Field Not Applicable</v>
        <stp/>
        <stp>##V3_BDPV12</stp>
        <stp>912828TR Govt</stp>
        <stp>IDX_RATIO</stp>
        <stp>[TREASURY.xlsx]Sheet1!R402C20</stp>
        <tr r="T402" s="1"/>
      </tp>
      <tp t="s">
        <v>#N/A Field Not Applicable</v>
        <stp/>
        <stp>##V3_BDPV12</stp>
        <stp>912828TU Govt</stp>
        <stp>IDX_RATIO</stp>
        <stp>[TREASURY.xlsx]Sheet1!R539C20</stp>
        <tr r="T539" s="1"/>
      </tp>
      <tp t="s">
        <v>#N/A Field Not Applicable</v>
        <stp/>
        <stp>##V3_BDPV12</stp>
        <stp>912827TZ Govt</stp>
        <stp>IDX_RATIO</stp>
        <stp>[TREASURY.xlsx]Sheet1!R920C20</stp>
        <tr r="T920" s="1"/>
      </tp>
      <tp t="s">
        <v>#N/A Field Not Applicable</v>
        <stp/>
        <stp>##V3_BDPV12</stp>
        <stp>912828TZ Govt</stp>
        <stp>IDX_RATIO</stp>
        <stp>[TREASURY.xlsx]Sheet1!R875C20</stp>
        <tr r="T875" s="1"/>
      </tp>
      <tp t="s">
        <v>#N/A Field Not Applicable</v>
        <stp/>
        <stp>##V3_BDPV12</stp>
        <stp>912828TV Govt</stp>
        <stp>IDX_RATIO</stp>
        <stp>[TREASURY.xlsx]Sheet1!R498C20</stp>
        <tr r="T498" s="1"/>
      </tp>
      <tp t="s">
        <v>T</v>
        <stp/>
        <stp>##V3_BDPV12</stp>
        <stp>912810SK Govt</stp>
        <stp>TICKER</stp>
        <stp>[TREASURY.xlsx]Sheet1!R95C2</stp>
        <tr r="B95" s="1"/>
      </tp>
      <tp t="s">
        <v>T</v>
        <stp/>
        <stp>##V3_BDPV12</stp>
        <stp>912810SU Govt</stp>
        <stp>TICKER</stp>
        <stp>[TREASURY.xlsx]Sheet1!R15C2</stp>
        <tr r="B15" s="1"/>
      </tp>
      <tp t="s">
        <v>T</v>
        <stp/>
        <stp>##V3_BDPV12</stp>
        <stp>912810SP Govt</stp>
        <stp>TICKER</stp>
        <stp>[TREASURY.xlsx]Sheet1!R35C2</stp>
        <tr r="B35" s="1"/>
      </tp>
      <tp t="s">
        <v>#N/A Field Not Applicable</v>
        <stp/>
        <stp>##V3_BDPV12</stp>
        <stp>912828TX Govt</stp>
        <stp>IDX_RATIO</stp>
        <stp>[TREASURY.xlsx]Sheet1!R467C20</stp>
        <tr r="T467" s="1"/>
      </tp>
      <tp t="s">
        <v>#N/A Field Not Applicable</v>
        <stp/>
        <stp>##V3_BDPV12</stp>
        <stp>912828TQ Govt</stp>
        <stp>IDX_RATIO</stp>
        <stp>[TREASURY.xlsx]Sheet1!R874C20</stp>
        <tr r="T874" s="1"/>
      </tp>
      <tp t="s">
        <v>#N/A Field Not Applicable</v>
        <stp/>
        <stp>##V3_BDPV12</stp>
        <stp>912828TP Govt</stp>
        <stp>IDX_RATIO</stp>
        <stp>[TREASURY.xlsx]Sheet1!R998C20</stp>
        <tr r="T998" s="1"/>
      </tp>
      <tp t="s">
        <v>#N/A Field Not Applicable</v>
        <stp/>
        <stp>##V3_BDPV12</stp>
        <stp>912828TY Govt</stp>
        <stp>IDX_RATIO</stp>
        <stp>[TREASURY.xlsx]Sheet1!R118C20</stp>
        <tr r="T118" s="1"/>
      </tp>
      <tp t="s">
        <v>USD</v>
        <stp/>
        <stp>##V3_BDPV12</stp>
        <stp>91282CAP Govt</stp>
        <stp>CRNCY</stp>
        <stp>[TREASURY.xlsx]Sheet1!R151C7</stp>
        <tr r="G151" s="1"/>
      </tp>
      <tp t="s">
        <v>#N/A Field Not Applicable</v>
        <stp/>
        <stp>##V3_BDPV12</stp>
        <stp>912828TM Govt</stp>
        <stp>IDX_RATIO</stp>
        <stp>[TREASURY.xlsx]Sheet1!R873C20</stp>
        <tr r="T873" s="1"/>
      </tp>
      <tp t="s">
        <v>#N/A Field Not Applicable</v>
        <stp/>
        <stp>##V3_BDPV12</stp>
        <stp>912828TA Govt</stp>
        <stp>IDX_RATIO</stp>
        <stp>[TREASURY.xlsx]Sheet1!R520C20</stp>
        <tr r="T520" s="1"/>
      </tp>
      <tp t="s">
        <v>#N/A Field Not Applicable</v>
        <stp/>
        <stp>##V3_BDPV12</stp>
        <stp>912828TB Govt</stp>
        <stp>IDX_RATIO</stp>
        <stp>[TREASURY.xlsx]Sheet1!R637C20</stp>
        <tr r="T637" s="1"/>
      </tp>
      <tp t="s">
        <v>#N/A Field Not Applicable</v>
        <stp/>
        <stp>##V3_BDPV12</stp>
        <stp>912828TG Govt</stp>
        <stp>IDX_RATIO</stp>
        <stp>[TREASURY.xlsx]Sheet1!R654C20</stp>
        <tr r="T654" s="1"/>
      </tp>
      <tp t="s">
        <v>#N/A Field Not Applicable</v>
        <stp/>
        <stp>##V3_BDPV12</stp>
        <stp>912828TC Govt</stp>
        <stp>IDX_RATIO</stp>
        <stp>[TREASURY.xlsx]Sheet1!R385C20</stp>
        <tr r="T385" s="1"/>
      </tp>
      <tp t="s">
        <v>#N/A Field Not Applicable</v>
        <stp/>
        <stp>##V3_BDPV12</stp>
        <stp>912828TH Govt</stp>
        <stp>IDX_RATIO</stp>
        <stp>[TREASURY.xlsx]Sheet1!R585C20</stp>
        <tr r="T585" s="1"/>
      </tp>
      <tp t="s">
        <v>#N/A Field Not Applicable</v>
        <stp/>
        <stp>##V3_BDPV12</stp>
        <stp>912828TD Govt</stp>
        <stp>IDX_RATIO</stp>
        <stp>[TREASURY.xlsx]Sheet1!R872C20</stp>
        <tr r="T872" s="1"/>
      </tp>
      <tp t="s">
        <v>#N/A Field Not Applicable</v>
        <stp/>
        <stp>##V3_BDPV12</stp>
        <stp>912828TF Govt</stp>
        <stp>IDX_RATIO</stp>
        <stp>[TREASURY.xlsx]Sheet1!R997C20</stp>
        <tr r="T997" s="1"/>
      </tp>
      <tp t="s">
        <v>#N/A Field Not Applicable</v>
        <stp/>
        <stp>##V3_BDPV12</stp>
        <stp>912828TK Govt</stp>
        <stp>IDX_RATIO</stp>
        <stp>[TREASURY.xlsx]Sheet1!R565C20</stp>
        <tr r="T565" s="1"/>
      </tp>
      <tp t="s">
        <v>#N/A Field Not Applicable</v>
        <stp/>
        <stp>##V3_BDPV12</stp>
        <stp>912827TA Govt</stp>
        <stp>IDX_RATIO</stp>
        <stp>[TREASURY.xlsx]Sheet1!R834C20</stp>
        <tr r="T834" s="1"/>
      </tp>
      <tp t="s">
        <v>#N/A Field Not Applicable</v>
        <stp/>
        <stp>##V3_BDPV12</stp>
        <stp>912828TL Govt</stp>
        <stp>IDX_RATIO</stp>
        <stp>[TREASURY.xlsx]Sheet1!R409C20</stp>
        <tr r="T409" s="1"/>
      </tp>
      <tp t="s">
        <v>#N/A Field Not Applicable</v>
        <stp/>
        <stp>##V3_BDPV12</stp>
        <stp>912828TJ Govt</stp>
        <stp>IDX_RATIO</stp>
        <stp>[TREASURY.xlsx]Sheet1!R194C20</stp>
        <tr r="T194" s="1"/>
      </tp>
      <tp t="s">
        <v>ACT/ACT</v>
        <stp/>
        <stp>##V3_BDPV12</stp>
        <stp>91282CBD Govt</stp>
        <stp>DAY_CNT_DES</stp>
        <stp>[TREASURY.xlsx]Sheet1!R50C17</stp>
        <tr r="Q50" s="1"/>
      </tp>
      <tp t="s">
        <v>ACT/ACT</v>
        <stp/>
        <stp>##V3_BDPV12</stp>
        <stp>91282CCD Govt</stp>
        <stp>DAY_CNT_DES</stp>
        <stp>[TREASURY.xlsx]Sheet1!R58C17</stp>
        <tr r="Q58" s="1"/>
      </tp>
      <tp t="s">
        <v>ACT/ACT</v>
        <stp/>
        <stp>##V3_BDPV12</stp>
        <stp>9128285D Govt</stp>
        <stp>DAY_CNT_DES</stp>
        <stp>[TREASURY.xlsx]Sheet1!R54C17</stp>
        <tr r="Q54" s="1"/>
      </tp>
      <tp>
        <v>0.75</v>
        <stp/>
        <stp>##V3_BDPV12</stp>
        <stp>91282CBW Govt</stp>
        <stp>CPN</stp>
        <stp>[TREASURY.xlsx]Sheet1!R29C3</stp>
        <tr r="C29" s="1"/>
      </tp>
      <tp>
        <v>0.375</v>
        <stp/>
        <stp>##V3_BDPV12</stp>
        <stp>91282CBV Govt</stp>
        <stp>CPN</stp>
        <stp>[TREASURY.xlsx]Sheet1!R89C3</stp>
        <tr r="C89" s="1"/>
      </tp>
      <tp>
        <v>0.95758660006002472</v>
        <stp/>
        <stp>##V3_BDPV12</stp>
        <stp>91282CCP Govt</stp>
        <stp>YLD_YTM_BID</stp>
        <stp>[TREASURY.xlsx]Sheet1!R19C4</stp>
        <tr r="D19" s="1"/>
      </tp>
      <tp t="s">
        <v>USD</v>
        <stp/>
        <stp>##V3_BDPV12</stp>
        <stp>912810FT Govt</stp>
        <stp>CRNCY</stp>
        <stp>[TREASURY.xlsx]Sheet1!R79C7</stp>
        <tr r="G79" s="1"/>
      </tp>
      <tp>
        <v>0.125</v>
        <stp/>
        <stp>##V3_BDPV12</stp>
        <stp>91282CCD Govt</stp>
        <stp>CPN</stp>
        <stp>[TREASURY.xlsx]Sheet1!R58C3</stp>
        <tr r="C58" s="1"/>
      </tp>
      <tp t="s">
        <v>3/31/2021</v>
        <stp/>
        <stp>##V3_BDPV12</stp>
        <stp>91282CAM Govt</stp>
        <stp>FIRST_CPN_DT</stp>
        <stp>[TREASURY.xlsx]Sheet1!R42C9</stp>
        <tr r="I42" s="1"/>
      </tp>
      <tp t="s">
        <v>11/15/2018</v>
        <stp/>
        <stp>##V3_BDPV12</stp>
        <stp>9128284N Govt</stp>
        <stp>FIRST_CPN_DT</stp>
        <stp>[TREASURY.xlsx]Sheet1!R71C9</stp>
        <tr r="I71" s="1"/>
      </tp>
      <tp>
        <v>0.33630016115282729</v>
        <stp/>
        <stp>##V3_BDPV12</stp>
        <stp>91282CBA Govt</stp>
        <stp>YLD_YTM_BID</stp>
        <stp>[TREASURY.xlsx]Sheet1!R78C4</stp>
        <tr r="D78" s="1"/>
      </tp>
      <tp>
        <v>0.25</v>
        <stp/>
        <stp>##V3_BDPV12</stp>
        <stp>91282CCC Govt</stp>
        <stp>CPN</stp>
        <stp>[TREASURY.xlsx]Sheet1!R88C3</stp>
        <tr r="C88" s="1"/>
      </tp>
      <tp>
        <v>0.375</v>
        <stp/>
        <stp>##V3_BDPV12</stp>
        <stp>91282CBH Govt</stp>
        <stp>CPN</stp>
        <stp>[TREASURY.xlsx]Sheet1!R59C3</stp>
        <tr r="C59" s="1"/>
      </tp>
      <tp t="s">
        <v>S/A</v>
        <stp/>
        <stp>##V3_BDPV12</stp>
        <stp>9128272J Govt</stp>
        <stp>COUPON_FREQUENCY_DESCRIPTION</stp>
        <stp>[TREASURY.xlsx]Sheet1!R1451C10</stp>
        <tr r="J1451" s="1"/>
      </tp>
      <tp t="s">
        <v>S/A</v>
        <stp/>
        <stp>##V3_BDPV12</stp>
        <stp>9128272K Govt</stp>
        <stp>COUPON_FREQUENCY_DESCRIPTION</stp>
        <stp>[TREASURY.xlsx]Sheet1!R1518C10</stp>
        <tr r="J1518" s="1"/>
      </tp>
      <tp t="s">
        <v>#N/A Field Not Applicable</v>
        <stp/>
        <stp>##V3_BDPV12</stp>
        <stp>912828S7 Govt</stp>
        <stp>IDX_RATIO</stp>
        <stp>[TREASURY.xlsx]Sheet1!R346C20</stp>
        <tr r="T346" s="1"/>
      </tp>
      <tp t="s">
        <v>S/A</v>
        <stp/>
        <stp>##V3_BDPV12</stp>
        <stp>9128272H Govt</stp>
        <stp>COUPON_FREQUENCY_DESCRIPTION</stp>
        <stp>[TREASURY.xlsx]Sheet1!R1450C10</stp>
        <tr r="J1450" s="1"/>
      </tp>
      <tp t="s">
        <v>S/A</v>
        <stp/>
        <stp>##V3_BDPV12</stp>
        <stp>9128272N Govt</stp>
        <stp>COUPON_FREQUENCY_DESCRIPTION</stp>
        <stp>[TREASURY.xlsx]Sheet1!R1352C10</stp>
        <tr r="J1352" s="1"/>
      </tp>
      <tp t="s">
        <v>#N/A Field Not Applicable</v>
        <stp/>
        <stp>##V3_BDPV12</stp>
        <stp>912828S2 Govt</stp>
        <stp>IDX_RATIO</stp>
        <stp>[TREASURY.xlsx]Sheet1!R391C20</stp>
        <tr r="T391" s="1"/>
      </tp>
      <tp t="s">
        <v>#N/A Field Not Applicable</v>
        <stp/>
        <stp>##V3_BDPV12</stp>
        <stp>912828S3 Govt</stp>
        <stp>IDX_RATIO</stp>
        <stp>[TREASURY.xlsx]Sheet1!R305C20</stp>
        <tr r="T305" s="1"/>
      </tp>
      <tp t="s">
        <v>#N/A Field Not Applicable</v>
        <stp/>
        <stp>##V3_BDPV12</stp>
        <stp>912828S4 Govt</stp>
        <stp>IDX_RATIO</stp>
        <stp>[TREASURY.xlsx]Sheet1!R487C20</stp>
        <tr r="T487" s="1"/>
      </tp>
      <tp t="s">
        <v>#N/A Field Not Applicable</v>
        <stp/>
        <stp>##V3_BDPV12</stp>
        <stp>912828S6 Govt</stp>
        <stp>IDX_RATIO</stp>
        <stp>[TREASURY.xlsx]Sheet1!R692C20</stp>
        <tr r="T692" s="1"/>
      </tp>
      <tp t="s">
        <v>S/A</v>
        <stp/>
        <stp>##V3_BDPV12</stp>
        <stp>9128272L Govt</stp>
        <stp>COUPON_FREQUENCY_DESCRIPTION</stp>
        <stp>[TREASURY.xlsx]Sheet1!R1452C10</stp>
        <tr r="J1452" s="1"/>
      </tp>
      <tp t="s">
        <v>#N/A Field Not Applicable</v>
        <stp/>
        <stp>##V3_BDPV12</stp>
        <stp>912827S4 Govt</stp>
        <stp>IDX_RATIO</stp>
        <stp>[TREASURY.xlsx]Sheet1!R745C20</stp>
        <tr r="T745" s="1"/>
      </tp>
      <tp t="s">
        <v>S/A</v>
        <stp/>
        <stp>##V3_BDPV12</stp>
        <stp>9128282G Govt</stp>
        <stp>COUPON_FREQUENCY_DESCRIPTION</stp>
        <stp>[TREASURY.xlsx]Sheet1!R1105C10</stp>
        <tr r="J1105" s="1"/>
      </tp>
      <tp t="s">
        <v>#N/A Field Not Applicable</v>
        <stp/>
        <stp>##V3_BDPV12</stp>
        <stp>912827S5 Govt</stp>
        <stp>IDX_RATIO</stp>
        <stp>[TREASURY.xlsx]Sheet1!R831C20</stp>
        <tr r="T831" s="1"/>
      </tp>
      <tp t="s">
        <v>S/A</v>
        <stp/>
        <stp>##V3_BDPV12</stp>
        <stp>9128272D Govt</stp>
        <stp>COUPON_FREQUENCY_DESCRIPTION</stp>
        <stp>[TREASURY.xlsx]Sheet1!R1350C10</stp>
        <tr r="J1350" s="1"/>
      </tp>
      <tp t="s">
        <v>S/A</v>
        <stp/>
        <stp>##V3_BDPV12</stp>
        <stp>9128272C Govt</stp>
        <stp>COUPON_FREQUENCY_DESCRIPTION</stp>
        <stp>[TREASURY.xlsx]Sheet1!R1449C10</stp>
        <tr r="J1449" s="1"/>
      </tp>
      <tp t="s">
        <v>S/A</v>
        <stp/>
        <stp>##V3_BDPV12</stp>
        <stp>9128272F Govt</stp>
        <stp>COUPON_FREQUENCY_DESCRIPTION</stp>
        <stp>[TREASURY.xlsx]Sheet1!R1351C10</stp>
        <tr r="J1351" s="1"/>
      </tp>
      <tp t="s">
        <v>S/A</v>
        <stp/>
        <stp>##V3_BDPV12</stp>
        <stp>9128272E Govt</stp>
        <stp>COUPON_FREQUENCY_DESCRIPTION</stp>
        <stp>[TREASURY.xlsx]Sheet1!R1009C10</stp>
        <tr r="J1009" s="1"/>
      </tp>
      <tp t="s">
        <v>#N/A Field Not Applicable</v>
        <stp/>
        <stp>##V3_BDPV12</stp>
        <stp>912827S9 Govt</stp>
        <stp>IDX_RATIO</stp>
        <stp>[TREASURY.xlsx]Sheet1!R746C20</stp>
        <tr r="T746" s="1"/>
      </tp>
      <tp t="s">
        <v>S/A</v>
        <stp/>
        <stp>##V3_BDPV12</stp>
        <stp>9128272G Govt</stp>
        <stp>COUPON_FREQUENCY_DESCRIPTION</stp>
        <stp>[TREASURY.xlsx]Sheet1!R1517C10</stp>
        <tr r="J1517" s="1"/>
      </tp>
      <tp t="s">
        <v>S/A</v>
        <stp/>
        <stp>##V3_BDPV12</stp>
        <stp>9128272B Govt</stp>
        <stp>COUPON_FREQUENCY_DESCRIPTION</stp>
        <stp>[TREASURY.xlsx]Sheet1!R1008C10</stp>
        <tr r="J1008" s="1"/>
      </tp>
      <tp t="s">
        <v>UNITED STATES</v>
        <stp/>
        <stp>##V3_BDPV12</stp>
        <stp>9128277H Govt</stp>
        <stp>COUNTRY_FULL_NAME</stp>
        <stp>[TREASURY.xlsx]Sheet1!R1028C8</stp>
        <tr r="H1028" s="1"/>
      </tp>
      <tp t="s">
        <v>#N/A Field Not Applicable</v>
        <stp/>
        <stp>##V3_BDPV12</stp>
        <stp>912828S9 Govt</stp>
        <stp>IDX_RATIO</stp>
        <stp>[TREASURY.xlsx]Sheet1!R301C20</stp>
        <tr r="T301" s="1"/>
      </tp>
      <tp t="s">
        <v>S/A</v>
        <stp/>
        <stp>##V3_BDPV12</stp>
        <stp>9128272Y Govt</stp>
        <stp>COUPON_FREQUENCY_DESCRIPTION</stp>
        <stp>[TREASURY.xlsx]Sheet1!R1525C10</stp>
        <tr r="J1525" s="1"/>
      </tp>
      <tp t="s">
        <v>S/A</v>
        <stp/>
        <stp>##V3_BDPV12</stp>
        <stp>9128282Z Govt</stp>
        <stp>COUPON_FREQUENCY_DESCRIPTION</stp>
        <stp>[TREASURY.xlsx]Sheet1!R1615C10</stp>
        <tr r="J1615" s="1"/>
      </tp>
      <tp t="s">
        <v>S/A</v>
        <stp/>
        <stp>##V3_BDPV12</stp>
        <stp>9128272X Govt</stp>
        <stp>COUPON_FREQUENCY_DESCRIPTION</stp>
        <stp>[TREASURY.xlsx]Sheet1!R1524C10</stp>
        <tr r="J1524" s="1"/>
      </tp>
      <tp t="s">
        <v>UNITED STATES</v>
        <stp/>
        <stp>##V3_BDPV12</stp>
        <stp>9128276Q Govt</stp>
        <stp>COUNTRY_FULL_NAME</stp>
        <stp>[TREASURY.xlsx]Sheet1!R1539C8</stp>
        <tr r="H1539" s="1"/>
      </tp>
      <tp t="s">
        <v>S/A</v>
        <stp/>
        <stp>##V3_BDPV12</stp>
        <stp>9128272R Govt</stp>
        <stp>COUPON_FREQUENCY_DESCRIPTION</stp>
        <stp>[TREASURY.xlsx]Sheet1!R1453C10</stp>
        <tr r="J1453" s="1"/>
      </tp>
      <tp t="s">
        <v>S/A</v>
        <stp/>
        <stp>##V3_BDPV12</stp>
        <stp>9128272S Govt</stp>
        <stp>COUPON_FREQUENCY_DESCRIPTION</stp>
        <stp>[TREASURY.xlsx]Sheet1!R1520C10</stp>
        <tr r="J1520" s="1"/>
      </tp>
      <tp t="s">
        <v>S/A</v>
        <stp/>
        <stp>##V3_BDPV12</stp>
        <stp>9128272P Govt</stp>
        <stp>COUPON_FREQUENCY_DESCRIPTION</stp>
        <stp>[TREASURY.xlsx]Sheet1!R1519C10</stp>
        <tr r="J1519" s="1"/>
      </tp>
      <tp t="s">
        <v>S/A</v>
        <stp/>
        <stp>##V3_BDPV12</stp>
        <stp>9128272W Govt</stp>
        <stp>COUPON_FREQUENCY_DESCRIPTION</stp>
        <stp>[TREASURY.xlsx]Sheet1!R1523C10</stp>
        <tr r="J1523" s="1"/>
      </tp>
      <tp t="s">
        <v>S/A</v>
        <stp/>
        <stp>##V3_BDPV12</stp>
        <stp>9128272V Govt</stp>
        <stp>COUPON_FREQUENCY_DESCRIPTION</stp>
        <stp>[TREASURY.xlsx]Sheet1!R1522C10</stp>
        <tr r="J1522" s="1"/>
      </tp>
      <tp t="s">
        <v>UNITED STATES</v>
        <stp/>
        <stp>##V3_BDPV12</stp>
        <stp>9128276X Govt</stp>
        <stp>COUNTRY_FULL_NAME</stp>
        <stp>[TREASURY.xlsx]Sheet1!R1469C8</stp>
        <tr r="H1469" s="1"/>
      </tp>
      <tp t="s">
        <v>S/A</v>
        <stp/>
        <stp>##V3_BDPV12</stp>
        <stp>9128272U Govt</stp>
        <stp>COUPON_FREQUENCY_DESCRIPTION</stp>
        <stp>[TREASURY.xlsx]Sheet1!R1454C10</stp>
        <tr r="J1454" s="1"/>
      </tp>
      <tp t="s">
        <v>S/A</v>
        <stp/>
        <stp>##V3_BDPV12</stp>
        <stp>9128272T Govt</stp>
        <stp>COUPON_FREQUENCY_DESCRIPTION</stp>
        <stp>[TREASURY.xlsx]Sheet1!R1521C10</stp>
        <tr r="J1521" s="1"/>
      </tp>
      <tp t="s">
        <v>#N/A Field Not Applicable</v>
        <stp/>
        <stp>##V3_BDPV12</stp>
        <stp>912828SV Govt</stp>
        <stp>IDX_RATIO</stp>
        <stp>[TREASURY.xlsx]Sheet1!R164C20</stp>
        <tr r="T164" s="1"/>
      </tp>
      <tp t="s">
        <v>#N/A Field Not Applicable</v>
        <stp/>
        <stp>##V3_BDPV12</stp>
        <stp>912828SW Govt</stp>
        <stp>IDX_RATIO</stp>
        <stp>[TREASURY.xlsx]Sheet1!R653C20</stp>
        <tr r="T653" s="1"/>
      </tp>
      <tp t="s">
        <v>#N/A Field Not Applicable</v>
        <stp/>
        <stp>##V3_BDPV12</stp>
        <stp>912828SU Govt</stp>
        <stp>IDX_RATIO</stp>
        <stp>[TREASURY.xlsx]Sheet1!R404C20</stp>
        <tr r="T404" s="1"/>
      </tp>
      <tp t="s">
        <v>#N/A Field Not Applicable</v>
        <stp/>
        <stp>##V3_BDPV12</stp>
        <stp>912828SX Govt</stp>
        <stp>IDX_RATIO</stp>
        <stp>[TREASURY.xlsx]Sheet1!R870C20</stp>
        <tr r="T870" s="1"/>
      </tp>
      <tp t="s">
        <v>#N/A Field Not Applicable</v>
        <stp/>
        <stp>##V3_BDPV12</stp>
        <stp>912828ST Govt</stp>
        <stp>IDX_RATIO</stp>
        <stp>[TREASURY.xlsx]Sheet1!R497C20</stp>
        <tr r="T497" s="1"/>
      </tp>
      <tp t="s">
        <v>#N/A Field Not Applicable</v>
        <stp/>
        <stp>##V3_BDPV12</stp>
        <stp>912810SR Govt</stp>
        <stp>IDX_RATIO</stp>
        <stp>[TREASURY.xlsx]Sheet1!R100C20</stp>
        <tr r="T100" s="1"/>
      </tp>
      <tp t="s">
        <v>#N/A Field Not Applicable</v>
        <stp/>
        <stp>##V3_BDPV12</stp>
        <stp>912827SU Govt</stp>
        <stp>IDX_RATIO</stp>
        <stp>[TREASURY.xlsx]Sheet1!R832C20</stp>
        <tr r="T832" s="1"/>
      </tp>
      <tp t="s">
        <v>T</v>
        <stp/>
        <stp>##V3_BDPV12</stp>
        <stp>912810SQ Govt</stp>
        <stp>TICKER</stp>
        <stp>[TREASURY.xlsx]Sheet1!R92C2</stp>
        <tr r="B92" s="1"/>
      </tp>
      <tp t="s">
        <v>#N/A Field Not Applicable</v>
        <stp/>
        <stp>##V3_BDPV12</stp>
        <stp>912827SX Govt</stp>
        <stp>IDX_RATIO</stp>
        <stp>[TREASURY.xlsx]Sheet1!R749C20</stp>
        <tr r="T749" s="1"/>
      </tp>
      <tp t="s">
        <v>#N/A Field Not Applicable</v>
        <stp/>
        <stp>##V3_BDPV12</stp>
        <stp>912828SZ Govt</stp>
        <stp>IDX_RATIO</stp>
        <stp>[TREASURY.xlsx]Sheet1!R551C20</stp>
        <tr r="T551" s="1"/>
      </tp>
      <tp t="s">
        <v>#N/A Field Not Applicable</v>
        <stp/>
        <stp>##V3_BDPV12</stp>
        <stp>912827SV Govt</stp>
        <stp>IDX_RATIO</stp>
        <stp>[TREASURY.xlsx]Sheet1!R918C20</stp>
        <tr r="T918" s="1"/>
      </tp>
      <tp t="s">
        <v>#N/A Field Not Applicable</v>
        <stp/>
        <stp>##V3_BDPV12</stp>
        <stp>912828SP Govt</stp>
        <stp>IDX_RATIO</stp>
        <stp>[TREASURY.xlsx]Sheet1!R995C20</stp>
        <tr r="T995" s="1"/>
      </tp>
      <tp t="s">
        <v>#N/A Field Not Applicable</v>
        <stp/>
        <stp>##V3_BDPV12</stp>
        <stp>912828SS Govt</stp>
        <stp>IDX_RATIO</stp>
        <stp>[TREASURY.xlsx]Sheet1!R996C20</stp>
        <tr r="T996" s="1"/>
      </tp>
      <tp t="s">
        <v>#N/A Field Not Applicable</v>
        <stp/>
        <stp>##V3_BDPV12</stp>
        <stp>912827SL Govt</stp>
        <stp>IDX_RATIO</stp>
        <stp>[TREASURY.xlsx]Sheet1!R917C20</stp>
        <tr r="T917" s="1"/>
      </tp>
      <tp t="s">
        <v>#N/A Field Not Applicable</v>
        <stp/>
        <stp>##V3_BDPV12</stp>
        <stp>912810SD Govt</stp>
        <stp>IDX_RATIO</stp>
        <stp>[TREASURY.xlsx]Sheet1!R181C20</stp>
        <tr r="T181" s="1"/>
      </tp>
      <tp t="s">
        <v>#N/A Field Not Applicable</v>
        <stp/>
        <stp>##V3_BDPV12</stp>
        <stp>912827SC Govt</stp>
        <stp>IDX_RATIO</stp>
        <stp>[TREASURY.xlsx]Sheet1!R747C20</stp>
        <tr r="T747" s="1"/>
      </tp>
      <tp t="s">
        <v>#N/A Field Not Applicable</v>
        <stp/>
        <stp>##V3_BDPV12</stp>
        <stp>912810SE Govt</stp>
        <stp>IDX_RATIO</stp>
        <stp>[TREASURY.xlsx]Sheet1!R152C20</stp>
        <tr r="T152" s="1"/>
      </tp>
      <tp t="s">
        <v>#N/A Field Not Applicable</v>
        <stp/>
        <stp>##V3_BDPV12</stp>
        <stp>912810SF Govt</stp>
        <stp>IDX_RATIO</stp>
        <stp>[TREASURY.xlsx]Sheet1!R177C20</stp>
        <tr r="T177" s="1"/>
      </tp>
      <tp t="s">
        <v>#N/A Field Not Applicable</v>
        <stp/>
        <stp>##V3_BDPV12</stp>
        <stp>912828SB Govt</stp>
        <stp>IDX_RATIO</stp>
        <stp>[TREASURY.xlsx]Sheet1!R564C20</stp>
        <tr r="T564" s="1"/>
      </tp>
      <tp t="s">
        <v>#N/A Field Not Applicable</v>
        <stp/>
        <stp>##V3_BDPV12</stp>
        <stp>912828SF Govt</stp>
        <stp>IDX_RATIO</stp>
        <stp>[TREASURY.xlsx]Sheet1!R138C20</stp>
        <tr r="T138" s="1"/>
      </tp>
      <tp t="s">
        <v>USD</v>
        <stp/>
        <stp>##V3_BDPV12</stp>
        <stp>91282CBZ Govt</stp>
        <stp>CRNCY</stp>
        <stp>[TREASURY.xlsx]Sheet1!R126C7</stp>
        <tr r="G126" s="1"/>
      </tp>
      <tp t="s">
        <v>#N/A Field Not Applicable</v>
        <stp/>
        <stp>##V3_BDPV12</stp>
        <stp>912810SC Govt</stp>
        <stp>IDX_RATIO</stp>
        <stp>[TREASURY.xlsx]Sheet1!R243C20</stp>
        <tr r="T243" s="1"/>
      </tp>
      <tp t="s">
        <v>#N/A Field Not Applicable</v>
        <stp/>
        <stp>##V3_BDPV12</stp>
        <stp>912810SA Govt</stp>
        <stp>IDX_RATIO</stp>
        <stp>[TREASURY.xlsx]Sheet1!R146C20</stp>
        <tr r="T146" s="1"/>
      </tp>
      <tp t="s">
        <v>#N/A Field Not Applicable</v>
        <stp/>
        <stp>##V3_BDPV12</stp>
        <stp>912828SE Govt</stp>
        <stp>IDX_RATIO</stp>
        <stp>[TREASURY.xlsx]Sheet1!R618C20</stp>
        <tr r="T618" s="1"/>
      </tp>
      <tp t="s">
        <v>#N/A Field Not Applicable</v>
        <stp/>
        <stp>##V3_BDPV12</stp>
        <stp>912828SG Govt</stp>
        <stp>IDX_RATIO</stp>
        <stp>[TREASURY.xlsx]Sheet1!R496C20</stp>
        <tr r="T496" s="1"/>
      </tp>
      <tp t="s">
        <v>#N/A Field Not Applicable</v>
        <stp/>
        <stp>##V3_BDPV12</stp>
        <stp>912828SD Govt</stp>
        <stp>IDX_RATIO</stp>
        <stp>[TREASURY.xlsx]Sheet1!R623C20</stp>
        <tr r="T623" s="1"/>
      </tp>
      <tp t="s">
        <v>#N/A Field Not Applicable</v>
        <stp/>
        <stp>##V3_BDPV12</stp>
        <stp>912827SD Govt</stp>
        <stp>IDX_RATIO</stp>
        <stp>[TREASURY.xlsx]Sheet1!R916C20</stp>
        <tr r="T916" s="1"/>
      </tp>
      <tp t="s">
        <v>#N/A Field Not Applicable</v>
        <stp/>
        <stp>##V3_BDPV12</stp>
        <stp>912828SJ Govt</stp>
        <stp>IDX_RATIO</stp>
        <stp>[TREASURY.xlsx]Sheet1!R489C20</stp>
        <tr r="T489" s="1"/>
      </tp>
      <tp t="s">
        <v>#N/A Field Not Applicable</v>
        <stp/>
        <stp>##V3_BDPV12</stp>
        <stp>912810SH Govt</stp>
        <stp>IDX_RATIO</stp>
        <stp>[TREASURY.xlsx]Sheet1!R156C20</stp>
        <tr r="T156" s="1"/>
      </tp>
      <tp t="s">
        <v>#N/A Field Not Applicable</v>
        <stp/>
        <stp>##V3_BDPV12</stp>
        <stp>912828SL Govt</stp>
        <stp>IDX_RATIO</stp>
        <stp>[TREASURY.xlsx]Sheet1!R511C20</stp>
        <tr r="T511" s="1"/>
      </tp>
      <tp t="s">
        <v>#N/A Field Not Applicable</v>
        <stp/>
        <stp>##V3_BDPV12</stp>
        <stp>912828SN Govt</stp>
        <stp>IDX_RATIO</stp>
        <stp>[TREASURY.xlsx]Sheet1!R670C20</stp>
        <tr r="T670" s="1"/>
      </tp>
      <tp t="s">
        <v>#N/A Field Not Applicable</v>
        <stp/>
        <stp>##V3_BDPV12</stp>
        <stp>912828SM Govt</stp>
        <stp>IDX_RATIO</stp>
        <stp>[TREASURY.xlsx]Sheet1!R516C20</stp>
        <tr r="T516" s="1"/>
      </tp>
      <tp t="s">
        <v>#N/A Field Not Applicable</v>
        <stp/>
        <stp>##V3_BDPV12</stp>
        <stp>912828SH Govt</stp>
        <stp>IDX_RATIO</stp>
        <stp>[TREASURY.xlsx]Sheet1!R360C20</stp>
        <tr r="T360" s="1"/>
      </tp>
      <tp t="s">
        <v>#N/A Field Not Applicable</v>
        <stp/>
        <stp>##V3_BDPV12</stp>
        <stp>912827SM Govt</stp>
        <stp>IDX_RATIO</stp>
        <stp>[TREASURY.xlsx]Sheet1!R748C20</stp>
        <tr r="T748" s="1"/>
      </tp>
      <tp>
        <v>0.74874341654364451</v>
        <stp/>
        <stp>##V3_BDPV12</stp>
        <stp>912828K7 Govt</stp>
        <stp>YLD_YTM_BID</stp>
        <stp>[TREASURY.xlsx]Sheet1!R81C4</stp>
        <tr r="D81" s="1"/>
      </tp>
      <tp t="s">
        <v>ACT/ACT</v>
        <stp/>
        <stp>##V3_BDPV12</stp>
        <stp>91282CBC Govt</stp>
        <stp>DAY_CNT_DES</stp>
        <stp>[TREASURY.xlsx]Sheet1!R41C17</stp>
        <tr r="Q41" s="1"/>
      </tp>
      <tp t="s">
        <v>ACT/ACT</v>
        <stp/>
        <stp>##V3_BDPV12</stp>
        <stp>91282CCC Govt</stp>
        <stp>DAY_CNT_DES</stp>
        <stp>[TREASURY.xlsx]Sheet1!R88C17</stp>
        <tr r="Q88" s="1"/>
      </tp>
      <tp t="s">
        <v>ACT/ACT</v>
        <stp/>
        <stp>##V3_BDPV12</stp>
        <stp>912828ZC Govt</stp>
        <stp>DAY_CNT_DES</stp>
        <stp>[TREASURY.xlsx]Sheet1!R74C17</stp>
        <tr r="Q74" s="1"/>
      </tp>
      <tp>
        <v>0.41859485275874236</v>
        <stp/>
        <stp>##V3_BDPV12</stp>
        <stp>91282CBV Govt</stp>
        <stp>YLD_YTM_BID</stp>
        <stp>[TREASURY.xlsx]Sheet1!R89C4</stp>
        <tr r="D89" s="1"/>
      </tp>
      <tp>
        <v>0.9109789565257318</v>
        <stp/>
        <stp>##V3_BDPV12</stp>
        <stp>91282CBW Govt</stp>
        <stp>YLD_YTM_BID</stp>
        <stp>[TREASURY.xlsx]Sheet1!R29C4</stp>
        <tr r="D29" s="1"/>
      </tp>
      <tp>
        <v>0.625</v>
        <stp/>
        <stp>##V3_BDPV12</stp>
        <stp>91282CCP Govt</stp>
        <stp>CPN</stp>
        <stp>[TREASURY.xlsx]Sheet1!R19C3</stp>
        <tr r="C19" s="1"/>
      </tp>
      <tp t="s">
        <v>USD</v>
        <stp/>
        <stp>##V3_BDPV12</stp>
        <stp>912810RV Govt</stp>
        <stp>CRNCY</stp>
        <stp>[TREASURY.xlsx]Sheet1!R28C7</stp>
        <tr r="G28" s="1"/>
      </tp>
      <tp>
        <v>0.22465109782289808</v>
        <stp/>
        <stp>##V3_BDPV12</stp>
        <stp>91282CCD Govt</stp>
        <stp>YLD_YTM_BID</stp>
        <stp>[TREASURY.xlsx]Sheet1!R58C4</stp>
        <tr r="D58" s="1"/>
      </tp>
      <tp t="s">
        <v>5/15/2020</v>
        <stp/>
        <stp>##V3_BDPV12</stp>
        <stp>912810SK Govt</stp>
        <stp>FIRST_CPN_DT</stp>
        <stp>[TREASURY.xlsx]Sheet1!R95C9</stp>
        <tr r="I95" s="1"/>
      </tp>
      <tp t="s">
        <v>12/31/2021</v>
        <stp/>
        <stp>##V3_BDPV12</stp>
        <stp>91282CCH Govt</stp>
        <stp>FIRST_CPN_DT</stp>
        <stp>[TREASURY.xlsx]Sheet1!R36C9</stp>
        <tr r="I36" s="1"/>
      </tp>
      <tp t="s">
        <v>1/15/2022</v>
        <stp/>
        <stp>##V3_BDPV12</stp>
        <stp>91282CCL Govt</stp>
        <stp>FIRST_CPN_DT</stp>
        <stp>[TREASURY.xlsx]Sheet1!R32C9</stp>
        <tr r="I32" s="1"/>
      </tp>
      <tp t="s">
        <v>3/31/2020</v>
        <stp/>
        <stp>##V3_BDPV12</stp>
        <stp>912828YG Govt</stp>
        <stp>FIRST_CPN_DT</stp>
        <stp>[TREASURY.xlsx]Sheet1!R69C9</stp>
        <tr r="I69" s="1"/>
      </tp>
      <tp>
        <v>0.125</v>
        <stp/>
        <stp>##V3_BDPV12</stp>
        <stp>91282CBA Govt</stp>
        <stp>CPN</stp>
        <stp>[TREASURY.xlsx]Sheet1!R78C3</stp>
        <tr r="C78" s="1"/>
      </tp>
      <tp>
        <v>0.43995506769118115</v>
        <stp/>
        <stp>##V3_BDPV12</stp>
        <stp>91282CCC Govt</stp>
        <stp>YLD_YTM_BID</stp>
        <stp>[TREASURY.xlsx]Sheet1!R88C4</stp>
        <tr r="D88" s="1"/>
      </tp>
      <tp>
        <v>0.8700935856052131</v>
        <stp/>
        <stp>##V3_BDPV12</stp>
        <stp>91282CBH Govt</stp>
        <stp>YLD_YTM_BID</stp>
        <stp>[TREASURY.xlsx]Sheet1!R59C4</stp>
        <tr r="D59" s="1"/>
      </tp>
      <tp t="s">
        <v>S/A</v>
        <stp/>
        <stp>##V3_BDPV12</stp>
        <stp>9128273M Govt</stp>
        <stp>COUPON_FREQUENCY_DESCRIPTION</stp>
        <stp>[TREASURY.xlsx]Sheet1!R1357C10</stp>
        <tr r="J1357" s="1"/>
      </tp>
      <tp t="s">
        <v>#N/A Field Not Applicable</v>
        <stp/>
        <stp>##V3_BDPV12</stp>
        <stp>912827R2 Govt</stp>
        <stp>IDX_RATIO</stp>
        <stp>[TREASURY.xlsx]Sheet1!R743C20</stp>
        <tr r="T743" s="1"/>
      </tp>
      <tp t="s">
        <v>S/A</v>
        <stp/>
        <stp>##V3_BDPV12</stp>
        <stp>9128273J Govt</stp>
        <stp>COUPON_FREQUENCY_DESCRIPTION</stp>
        <stp>[TREASURY.xlsx]Sheet1!R1528C10</stp>
        <tr r="J1528" s="1"/>
      </tp>
      <tp t="s">
        <v>#N/A Field Not Applicable</v>
        <stp/>
        <stp>##V3_BDPV12</stp>
        <stp>912828R6 Govt</stp>
        <stp>IDX_RATIO</stp>
        <stp>[TREASURY.xlsx]Sheet1!R266C20</stp>
        <tr r="T266" s="1"/>
      </tp>
      <tp t="s">
        <v>#N/A Field Not Applicable</v>
        <stp/>
        <stp>##V3_BDPV12</stp>
        <stp>912828R7 Govt</stp>
        <stp>IDX_RATIO</stp>
        <stp>[TREASURY.xlsx]Sheet1!R383C20</stp>
        <tr r="T383" s="1"/>
      </tp>
      <tp t="s">
        <v>S/A</v>
        <stp/>
        <stp>##V3_BDPV12</stp>
        <stp>9128273H Govt</stp>
        <stp>COUPON_FREQUENCY_DESCRIPTION</stp>
        <stp>[TREASURY.xlsx]Sheet1!R1527C10</stp>
        <tr r="J1527" s="1"/>
      </tp>
      <tp t="s">
        <v>#N/A Field Not Applicable</v>
        <stp/>
        <stp>##V3_BDPV12</stp>
        <stp>912827R8 Govt</stp>
        <stp>IDX_RATIO</stp>
        <stp>[TREASURY.xlsx]Sheet1!R909C20</stp>
        <tr r="T909" s="1"/>
      </tp>
      <tp t="s">
        <v>#N/A Field Not Applicable</v>
        <stp/>
        <stp>##V3_BDPV12</stp>
        <stp>912828R2 Govt</stp>
        <stp>IDX_RATIO</stp>
        <stp>[TREASURY.xlsx]Sheet1!R245C20</stp>
        <tr r="T245" s="1"/>
      </tp>
      <tp t="s">
        <v>S/A</v>
        <stp/>
        <stp>##V3_BDPV12</stp>
        <stp>9128273K Govt</stp>
        <stp>COUPON_FREQUENCY_DESCRIPTION</stp>
        <stp>[TREASURY.xlsx]Sheet1!R1356C10</stp>
        <tr r="J1356" s="1"/>
      </tp>
      <tp t="s">
        <v>S/A</v>
        <stp/>
        <stp>##V3_BDPV12</stp>
        <stp>9128273L Govt</stp>
        <stp>COUPON_FREQUENCY_DESCRIPTION</stp>
        <stp>[TREASURY.xlsx]Sheet1!R1529C10</stp>
        <tr r="J1529" s="1"/>
      </tp>
      <tp t="s">
        <v>#N/A Field Not Applicable</v>
        <stp/>
        <stp>##V3_BDPV12</stp>
        <stp>912828R3 Govt</stp>
        <stp>IDX_RATIO</stp>
        <stp>[TREASURY.xlsx]Sheet1!R130C20</stp>
        <tr r="T130" s="1"/>
      </tp>
      <tp t="s">
        <v>#N/A Field Not Applicable</v>
        <stp/>
        <stp>##V3_BDPV12</stp>
        <stp>912828R9 Govt</stp>
        <stp>IDX_RATIO</stp>
        <stp>[TREASURY.xlsx]Sheet1!R437C20</stp>
        <tr r="T437" s="1"/>
      </tp>
      <tp t="s">
        <v>S/A</v>
        <stp/>
        <stp>##V3_BDPV12</stp>
        <stp>9128273D Govt</stp>
        <stp>COUPON_FREQUENCY_DESCRIPTION</stp>
        <stp>[TREASURY.xlsx]Sheet1!R1354C10</stp>
        <tr r="J1354" s="1"/>
      </tp>
      <tp t="s">
        <v>S/A</v>
        <stp/>
        <stp>##V3_BDPV12</stp>
        <stp>9128273G Govt</stp>
        <stp>COUPON_FREQUENCY_DESCRIPTION</stp>
        <stp>[TREASURY.xlsx]Sheet1!R1011C10</stp>
        <tr r="J1011" s="1"/>
      </tp>
      <tp t="s">
        <v>UNITED STATES</v>
        <stp/>
        <stp>##V3_BDPV12</stp>
        <stp>9128276L Govt</stp>
        <stp>COUNTRY_FULL_NAME</stp>
        <stp>[TREASURY.xlsx]Sheet1!R1538C8</stp>
        <tr r="H1538" s="1"/>
      </tp>
      <tp t="s">
        <v>S/A</v>
        <stp/>
        <stp>##V3_BDPV12</stp>
        <stp>9128273F Govt</stp>
        <stp>COUPON_FREQUENCY_DESCRIPTION</stp>
        <stp>[TREASURY.xlsx]Sheet1!R1355C10</stp>
        <tr r="J1355" s="1"/>
      </tp>
      <tp t="s">
        <v>#N/A Field Not Applicable</v>
        <stp/>
        <stp>##V3_BDPV12</stp>
        <stp>912828R8 Govt</stp>
        <stp>IDX_RATIO</stp>
        <stp>[TREASURY.xlsx]Sheet1!R689C20</stp>
        <tr r="T689" s="1"/>
      </tp>
      <tp t="s">
        <v>S/A</v>
        <stp/>
        <stp>##V3_BDPV12</stp>
        <stp>9128273C Govt</stp>
        <stp>COUPON_FREQUENCY_DESCRIPTION</stp>
        <stp>[TREASURY.xlsx]Sheet1!R1010C10</stp>
        <tr r="J1010" s="1"/>
      </tp>
      <tp t="s">
        <v>S/A</v>
        <stp/>
        <stp>##V3_BDPV12</stp>
        <stp>9128273E Govt</stp>
        <stp>COUPON_FREQUENCY_DESCRIPTION</stp>
        <stp>[TREASURY.xlsx]Sheet1!R1526C10</stp>
        <tr r="J1526" s="1"/>
      </tp>
      <tp t="s">
        <v>S/A</v>
        <stp/>
        <stp>##V3_BDPV12</stp>
        <stp>9128273B Govt</stp>
        <stp>COUPON_FREQUENCY_DESCRIPTION</stp>
        <stp>[TREASURY.xlsx]Sheet1!R1353C10</stp>
        <tr r="J1353" s="1"/>
      </tp>
      <tp t="s">
        <v>UNITED STATES</v>
        <stp/>
        <stp>##V3_BDPV12</stp>
        <stp>9128276V Govt</stp>
        <stp>COUNTRY_FULL_NAME</stp>
        <stp>[TREASURY.xlsx]Sheet1!R1468C8</stp>
        <tr r="H1468" s="1"/>
      </tp>
      <tp t="s">
        <v>S/A</v>
        <stp/>
        <stp>##V3_BDPV12</stp>
        <stp>9128283X Govt</stp>
        <stp>COUPON_FREQUENCY_DESCRIPTION</stp>
        <stp>[TREASURY.xlsx]Sheet1!R1269C10</stp>
        <tr r="J1269" s="1"/>
      </tp>
      <tp t="s">
        <v>S/A</v>
        <stp/>
        <stp>##V3_BDPV12</stp>
        <stp>9128273Z Govt</stp>
        <stp>COUPON_FREQUENCY_DESCRIPTION</stp>
        <stp>[TREASURY.xlsx]Sheet1!R1361C10</stp>
        <tr r="J1361" s="1"/>
      </tp>
      <tp t="s">
        <v>S/A</v>
        <stp/>
        <stp>##V3_BDPV12</stp>
        <stp>9128273S Govt</stp>
        <stp>COUPON_FREQUENCY_DESCRIPTION</stp>
        <stp>[TREASURY.xlsx]Sheet1!R1531C10</stp>
        <tr r="J1531" s="1"/>
      </tp>
      <tp t="s">
        <v>S/A</v>
        <stp/>
        <stp>##V3_BDPV12</stp>
        <stp>9128273V Govt</stp>
        <stp>COUPON_FREQUENCY_DESCRIPTION</stp>
        <stp>[TREASURY.xlsx]Sheet1!R1360C10</stp>
        <tr r="J1360" s="1"/>
      </tp>
      <tp t="s">
        <v>S/A</v>
        <stp/>
        <stp>##V3_BDPV12</stp>
        <stp>9128273P Govt</stp>
        <stp>COUPON_FREQUENCY_DESCRIPTION</stp>
        <stp>[TREASURY.xlsx]Sheet1!R1530C10</stp>
        <tr r="J1530" s="1"/>
      </tp>
      <tp t="s">
        <v>S/A</v>
        <stp/>
        <stp>##V3_BDPV12</stp>
        <stp>9128273Q Govt</stp>
        <stp>COUPON_FREQUENCY_DESCRIPTION</stp>
        <stp>[TREASURY.xlsx]Sheet1!R1358C10</stp>
        <tr r="J1358" s="1"/>
      </tp>
      <tp t="s">
        <v>S/A</v>
        <stp/>
        <stp>##V3_BDPV12</stp>
        <stp>9128273W Govt</stp>
        <stp>COUPON_FREQUENCY_DESCRIPTION</stp>
        <stp>[TREASURY.xlsx]Sheet1!R1456C10</stp>
        <tr r="J1456" s="1"/>
      </tp>
      <tp t="s">
        <v>S/A</v>
        <stp/>
        <stp>##V3_BDPV12</stp>
        <stp>9128273U Govt</stp>
        <stp>COUPON_FREQUENCY_DESCRIPTION</stp>
        <stp>[TREASURY.xlsx]Sheet1!R1455C10</stp>
        <tr r="J1455" s="1"/>
      </tp>
      <tp t="s">
        <v>S/A</v>
        <stp/>
        <stp>##V3_BDPV12</stp>
        <stp>9128273R Govt</stp>
        <stp>COUPON_FREQUENCY_DESCRIPTION</stp>
        <stp>[TREASURY.xlsx]Sheet1!R1359C10</stp>
        <tr r="J1359" s="1"/>
      </tp>
      <tp t="s">
        <v>#N/A Field Not Applicable</v>
        <stp/>
        <stp>##V3_BDPV12</stp>
        <stp>912828RP Govt</stp>
        <stp>IDX_RATIO</stp>
        <stp>[TREASURY.xlsx]Sheet1!R549C20</stp>
        <tr r="T549" s="1"/>
      </tp>
      <tp t="s">
        <v>#N/A Field Not Applicable</v>
        <stp/>
        <stp>##V3_BDPV12</stp>
        <stp>912810RU Govt</stp>
        <stp>IDX_RATIO</stp>
        <stp>[TREASURY.xlsx]Sheet1!R154C20</stp>
        <tr r="T154" s="1"/>
      </tp>
      <tp t="s">
        <v>#N/A Field Not Applicable</v>
        <stp/>
        <stp>##V3_BDPV12</stp>
        <stp>912828RS Govt</stp>
        <stp>IDX_RATIO</stp>
        <stp>[TREASURY.xlsx]Sheet1!R444C20</stp>
        <tr r="T444" s="1"/>
      </tp>
      <tp t="s">
        <v>#N/A Field Not Applicable</v>
        <stp/>
        <stp>##V3_BDPV12</stp>
        <stp>912827RX Govt</stp>
        <stp>IDX_RATIO</stp>
        <stp>[TREASURY.xlsx]Sheet1!R915C20</stp>
        <tr r="T915" s="1"/>
      </tp>
      <tp t="s">
        <v>#N/A Field Not Applicable</v>
        <stp/>
        <stp>##V3_BDPV12</stp>
        <stp>912810RQ Govt</stp>
        <stp>IDX_RATIO</stp>
        <stp>[TREASURY.xlsx]Sheet1!R172C20</stp>
        <tr r="T172" s="1"/>
      </tp>
      <tp t="s">
        <v>#N/A Field Not Applicable</v>
        <stp/>
        <stp>##V3_BDPV12</stp>
        <stp>912828RT Govt</stp>
        <stp>IDX_RATIO</stp>
        <stp>[TREASURY.xlsx]Sheet1!R420C20</stp>
        <tr r="T420" s="1"/>
      </tp>
      <tp t="s">
        <v>#N/A Field Not Applicable</v>
        <stp/>
        <stp>##V3_BDPV12</stp>
        <stp>912828RV Govt</stp>
        <stp>IDX_RATIO</stp>
        <stp>[TREASURY.xlsx]Sheet1!R687C20</stp>
        <tr r="T687" s="1"/>
      </tp>
      <tp t="s">
        <v>#N/A Field Not Applicable</v>
        <stp/>
        <stp>##V3_BDPV12</stp>
        <stp>912828RR Govt</stp>
        <stp>IDX_RATIO</stp>
        <stp>[TREASURY.xlsx]Sheet1!R119C20</stp>
        <tr r="T119" s="1"/>
      </tp>
      <tp t="s">
        <v>#N/A Field Not Applicable</v>
        <stp/>
        <stp>##V3_BDPV12</stp>
        <stp>912810RP Govt</stp>
        <stp>IDX_RATIO</stp>
        <stp>[TREASURY.xlsx]Sheet1!R278C20</stp>
        <tr r="T278" s="1"/>
      </tp>
      <tp t="s">
        <v>#N/A Field Not Applicable</v>
        <stp/>
        <stp>##V3_BDPV12</stp>
        <stp>912810RS Govt</stp>
        <stp>IDX_RATIO</stp>
        <stp>[TREASURY.xlsx]Sheet1!R163C20</stp>
        <tr r="T163" s="1"/>
      </tp>
      <tp t="s">
        <v>T</v>
        <stp/>
        <stp>##V3_BDPV12</stp>
        <stp>912810SJ Govt</stp>
        <stp>TICKER</stp>
        <stp>[TREASURY.xlsx]Sheet1!R73C2</stp>
        <tr r="B73" s="1"/>
      </tp>
      <tp t="s">
        <v>#N/A Field Not Applicable</v>
        <stp/>
        <stp>##V3_BDPV12</stp>
        <stp>912827RU Govt</stp>
        <stp>IDX_RATIO</stp>
        <stp>[TREASURY.xlsx]Sheet1!R914C20</stp>
        <tr r="T914" s="1"/>
      </tp>
      <tp t="s">
        <v>T</v>
        <stp/>
        <stp>##V3_BDPV12</stp>
        <stp>912810PU Govt</stp>
        <stp>TICKER</stp>
        <stp>[TREASURY.xlsx]Sheet1!R63C2</stp>
        <tr r="B63" s="1"/>
      </tp>
      <tp t="s">
        <v>#N/A Field Not Applicable</v>
        <stp/>
        <stp>##V3_BDPV12</stp>
        <stp>912827RW Govt</stp>
        <stp>IDX_RATIO</stp>
        <stp>[TREASURY.xlsx]Sheet1!R830C20</stp>
        <tr r="T830" s="1"/>
      </tp>
      <tp t="s">
        <v>#N/A Field Not Applicable</v>
        <stp/>
        <stp>##V3_BDPV12</stp>
        <stp>912827RP Govt</stp>
        <stp>IDX_RATIO</stp>
        <stp>[TREASURY.xlsx]Sheet1!R912C20</stp>
        <tr r="T912" s="1"/>
      </tp>
      <tp t="s">
        <v>#N/A Field Not Applicable</v>
        <stp/>
        <stp>##V3_BDPV12</stp>
        <stp>912810RX Govt</stp>
        <stp>IDX_RATIO</stp>
        <stp>[TREASURY.xlsx]Sheet1!R197C20</stp>
        <tr r="T197" s="1"/>
      </tp>
      <tp t="s">
        <v>#N/A Field Not Applicable</v>
        <stp/>
        <stp>##V3_BDPV12</stp>
        <stp>912810RZ Govt</stp>
        <stp>IDX_RATIO</stp>
        <stp>[TREASURY.xlsx]Sheet1!R273C20</stp>
        <tr r="T273" s="1"/>
      </tp>
      <tp t="s">
        <v>#N/A Field Not Applicable</v>
        <stp/>
        <stp>##V3_BDPV12</stp>
        <stp>912828RQ Govt</stp>
        <stp>IDX_RATIO</stp>
        <stp>[TREASURY.xlsx]Sheet1!R994C20</stp>
        <tr r="T994" s="1"/>
      </tp>
      <tp t="s">
        <v>#N/A Field Not Applicable</v>
        <stp/>
        <stp>##V3_BDPV12</stp>
        <stp>912810RY Govt</stp>
        <stp>IDX_RATIO</stp>
        <stp>[TREASURY.xlsx]Sheet1!R191C20</stp>
        <tr r="T191" s="1"/>
      </tp>
      <tp t="s">
        <v>#N/A Field Not Applicable</v>
        <stp/>
        <stp>##V3_BDPV12</stp>
        <stp>912828RX Govt</stp>
        <stp>IDX_RATIO</stp>
        <stp>[TREASURY.xlsx]Sheet1!R374C20</stp>
        <tr r="T374" s="1"/>
      </tp>
      <tp t="s">
        <v>#N/A Field Not Applicable</v>
        <stp/>
        <stp>##V3_BDPV12</stp>
        <stp>912827RS Govt</stp>
        <stp>IDX_RATIO</stp>
        <stp>[TREASURY.xlsx]Sheet1!R913C20</stp>
        <tr r="T913" s="1"/>
      </tp>
      <tp t="s">
        <v>#N/A Field Not Applicable</v>
        <stp/>
        <stp>##V3_BDPV12</stp>
        <stp>912827RR Govt</stp>
        <stp>IDX_RATIO</stp>
        <stp>[TREASURY.xlsx]Sheet1!R829C20</stp>
        <tr r="T829" s="1"/>
      </tp>
      <tp t="s">
        <v>USD</v>
        <stp/>
        <stp>##V3_BDPV12</stp>
        <stp>91282CAH Govt</stp>
        <stp>CRNCY</stp>
        <stp>[TREASURY.xlsx]Sheet1!R167C7</stp>
        <tr r="G167" s="1"/>
      </tp>
      <tp t="s">
        <v>#N/A Field Not Applicable</v>
        <stp/>
        <stp>##V3_BDPV12</stp>
        <stp>912827RB Govt</stp>
        <stp>IDX_RATIO</stp>
        <stp>[TREASURY.xlsx]Sheet1!R744C20</stp>
        <tr r="T744" s="1"/>
      </tp>
      <tp t="s">
        <v>#N/A Field Not Applicable</v>
        <stp/>
        <stp>##V3_BDPV12</stp>
        <stp>912810RG Govt</stp>
        <stp>IDX_RATIO</stp>
        <stp>[TREASURY.xlsx]Sheet1!R284C20</stp>
        <tr r="T284" s="1"/>
      </tp>
      <tp t="s">
        <v>#N/A Field Not Applicable</v>
        <stp/>
        <stp>##V3_BDPV12</stp>
        <stp>912828RA Govt</stp>
        <stp>IDX_RATIO</stp>
        <stp>[TREASURY.xlsx]Sheet1!R677C20</stp>
        <tr r="T677" s="1"/>
      </tp>
      <tp t="s">
        <v>#N/A Field Not Applicable</v>
        <stp/>
        <stp>##V3_BDPV12</stp>
        <stp>912810RE Govt</stp>
        <stp>IDX_RATIO</stp>
        <stp>[TREASURY.xlsx]Sheet1!R295C20</stp>
        <tr r="T295" s="1"/>
      </tp>
      <tp t="s">
        <v>USD</v>
        <stp/>
        <stp>##V3_BDPV12</stp>
        <stp>91282CBM Govt</stp>
        <stp>CRNCY</stp>
        <stp>[TREASURY.xlsx]Sheet1!R107C7</stp>
        <tr r="G107" s="1"/>
      </tp>
      <tp t="s">
        <v>#N/A Field Not Applicable</v>
        <stp/>
        <stp>##V3_BDPV12</stp>
        <stp>912828RB Govt</stp>
        <stp>IDX_RATIO</stp>
        <stp>[TREASURY.xlsx]Sheet1!R459C20</stp>
        <tr r="T459" s="1"/>
      </tp>
      <tp t="s">
        <v>#N/A Field Not Applicable</v>
        <stp/>
        <stp>##V3_BDPV12</stp>
        <stp>912810RD Govt</stp>
        <stp>IDX_RATIO</stp>
        <stp>[TREASURY.xlsx]Sheet1!R235C20</stp>
        <tr r="T235" s="1"/>
      </tp>
      <tp t="s">
        <v>#N/A Field Not Applicable</v>
        <stp/>
        <stp>##V3_BDPV12</stp>
        <stp>912810RC Govt</stp>
        <stp>IDX_RATIO</stp>
        <stp>[TREASURY.xlsx]Sheet1!R263C20</stp>
        <tr r="T263" s="1"/>
      </tp>
      <tp t="s">
        <v>#N/A Field Not Applicable</v>
        <stp/>
        <stp>##V3_BDPV12</stp>
        <stp>912810RB Govt</stp>
        <stp>IDX_RATIO</stp>
        <stp>[TREASURY.xlsx]Sheet1!R269C20</stp>
        <tr r="T269" s="1"/>
      </tp>
      <tp t="s">
        <v>#N/A Field Not Applicable</v>
        <stp/>
        <stp>##V3_BDPV12</stp>
        <stp>912828RC Govt</stp>
        <stp>IDX_RATIO</stp>
        <stp>[TREASURY.xlsx]Sheet1!R333C20</stp>
        <tr r="T333" s="1"/>
      </tp>
      <tp t="s">
        <v>#N/A Field Not Applicable</v>
        <stp/>
        <stp>##V3_BDPV12</stp>
        <stp>912828RJ Govt</stp>
        <stp>IDX_RATIO</stp>
        <stp>[TREASURY.xlsx]Sheet1!R993C20</stp>
        <tr r="T993" s="1"/>
      </tp>
      <tp t="s">
        <v>#N/A Field Not Applicable</v>
        <stp/>
        <stp>##V3_BDPV12</stp>
        <stp>912827RK Govt</stp>
        <stp>IDX_RATIO</stp>
        <stp>[TREASURY.xlsx]Sheet1!R911C20</stp>
        <tr r="T911" s="1"/>
      </tp>
      <tp t="s">
        <v>#N/A Field Not Applicable</v>
        <stp/>
        <stp>##V3_BDPV12</stp>
        <stp>912828RE Govt</stp>
        <stp>IDX_RATIO</stp>
        <stp>[TREASURY.xlsx]Sheet1!R868C20</stp>
        <tr r="T868" s="1"/>
      </tp>
      <tp t="s">
        <v>#N/A Field Not Applicable</v>
        <stp/>
        <stp>##V3_BDPV12</stp>
        <stp>912827RD Govt</stp>
        <stp>IDX_RATIO</stp>
        <stp>[TREASURY.xlsx]Sheet1!R910C20</stp>
        <tr r="T910" s="1"/>
      </tp>
      <tp t="s">
        <v>#N/A Field Not Applicable</v>
        <stp/>
        <stp>##V3_BDPV12</stp>
        <stp>912810RM Govt</stp>
        <stp>IDX_RATIO</stp>
        <stp>[TREASURY.xlsx]Sheet1!R176C20</stp>
        <tr r="T176" s="1"/>
      </tp>
      <tp t="s">
        <v>#N/A Field Not Applicable</v>
        <stp/>
        <stp>##V3_BDPV12</stp>
        <stp>912828RH Govt</stp>
        <stp>IDX_RATIO</stp>
        <stp>[TREASURY.xlsx]Sheet1!R456C20</stp>
        <tr r="T456" s="1"/>
      </tp>
      <tp t="s">
        <v>#N/A Field Not Applicable</v>
        <stp/>
        <stp>##V3_BDPV12</stp>
        <stp>912810RN Govt</stp>
        <stp>IDX_RATIO</stp>
        <stp>[TREASURY.xlsx]Sheet1!R293C20</stp>
        <tr r="T293" s="1"/>
      </tp>
      <tp t="s">
        <v>#N/A Field Not Applicable</v>
        <stp/>
        <stp>##V3_BDPV12</stp>
        <stp>912828RG Govt</stp>
        <stp>IDX_RATIO</stp>
        <stp>[TREASURY.xlsx]Sheet1!R869C20</stp>
        <tr r="T869" s="1"/>
      </tp>
      <tp t="s">
        <v>#N/A Field Not Applicable</v>
        <stp/>
        <stp>##V3_BDPV12</stp>
        <stp>912828RF Govt</stp>
        <stp>IDX_RATIO</stp>
        <stp>[TREASURY.xlsx]Sheet1!R828C20</stp>
        <tr r="T828" s="1"/>
      </tp>
      <tp t="s">
        <v>T</v>
        <stp/>
        <stp>##V3_BDPV12</stp>
        <stp>912810FP Govt</stp>
        <stp>TICKER</stp>
        <stp>[TREASURY.xlsx]Sheet1!R93C2</stp>
        <tr r="B93" s="1"/>
      </tp>
      <tp t="s">
        <v>#N/A Field Not Applicable</v>
        <stp/>
        <stp>##V3_BDPV12</stp>
        <stp>912828RM Govt</stp>
        <stp>IDX_RATIO</stp>
        <stp>[TREASURY.xlsx]Sheet1!R563C20</stp>
        <tr r="T563" s="1"/>
      </tp>
      <tp t="s">
        <v>#N/A Field Not Applicable</v>
        <stp/>
        <stp>##V3_BDPV12</stp>
        <stp>912810RJ Govt</stp>
        <stp>IDX_RATIO</stp>
        <stp>[TREASURY.xlsx]Sheet1!R180C20</stp>
        <tr r="T180" s="1"/>
      </tp>
      <tp t="s">
        <v>#N/A Field Not Applicable</v>
        <stp/>
        <stp>##V3_BDPV12</stp>
        <stp>912810RH Govt</stp>
        <stp>IDX_RATIO</stp>
        <stp>[TREASURY.xlsx]Sheet1!R259C20</stp>
        <tr r="T259" s="1"/>
      </tp>
      <tp t="s">
        <v>#N/A Field Not Applicable</v>
        <stp/>
        <stp>##V3_BDPV12</stp>
        <stp>912810RK Govt</stp>
        <stp>IDX_RATIO</stp>
        <stp>[TREASURY.xlsx]Sheet1!R103C20</stp>
        <tr r="T103" s="1"/>
      </tp>
      <tp>
        <v>2</v>
        <stp/>
        <stp>##V3_BDPV12</stp>
        <stp>912828K7 Govt</stp>
        <stp>CPN</stp>
        <stp>[TREASURY.xlsx]Sheet1!R81C3</stp>
        <tr r="C81" s="1"/>
      </tp>
      <tp t="s">
        <v>ACT/ACT</v>
        <stp/>
        <stp>##V3_BDPV12</stp>
        <stp>91282CCB Govt</stp>
        <stp>DAY_CNT_DES</stp>
        <stp>[TREASURY.xlsx]Sheet1!R12C17</stp>
        <tr r="Q12" s="1"/>
      </tp>
      <tp t="s">
        <v>ACT/ACT</v>
        <stp/>
        <stp>##V3_BDPV12</stp>
        <stp>91282CAB Govt</stp>
        <stp>DAY_CNT_DES</stp>
        <stp>[TREASURY.xlsx]Sheet1!R99C17</stp>
        <tr r="Q99" s="1"/>
      </tp>
      <tp t="s">
        <v>ACT/ACT</v>
        <stp/>
        <stp>##V3_BDPV12</stp>
        <stp>9128286B Govt</stp>
        <stp>DAY_CNT_DES</stp>
        <stp>[TREASURY.xlsx]Sheet1!R43C17</stp>
        <tr r="Q43" s="1"/>
      </tp>
      <tp t="s">
        <v>ACT/ACT</v>
        <stp/>
        <stp>##V3_BDPV12</stp>
        <stp>912828YB Govt</stp>
        <stp>DAY_CNT_DES</stp>
        <stp>[TREASURY.xlsx]Sheet1!R26C17</stp>
        <tr r="Q26" s="1"/>
      </tp>
      <tp>
        <v>0.81144262316830573</v>
        <stp/>
        <stp>##V3_BDPV12</stp>
        <stp>91282CAT Govt</stp>
        <stp>YLD_YTM_BID</stp>
        <stp>[TREASURY.xlsx]Sheet1!R39C4</stp>
        <tr r="D39" s="1"/>
      </tp>
      <tp t="s">
        <v>USD</v>
        <stp/>
        <stp>##V3_BDPV12</stp>
        <stp>912828YS Govt</stp>
        <stp>CRNCY</stp>
        <stp>[TREASURY.xlsx]Sheet1!R38C7</stp>
        <tr r="G38" s="1"/>
      </tp>
      <tp t="s">
        <v>USD</v>
        <stp/>
        <stp>##V3_BDPV12</stp>
        <stp>9128286T Govt</stp>
        <stp>CRNCY</stp>
        <stp>[TREASURY.xlsx]Sheet1!R48C7</stp>
        <tr r="G48" s="1"/>
      </tp>
      <tp t="s">
        <v>USD</v>
        <stp/>
        <stp>##V3_BDPV12</stp>
        <stp>9128283W Govt</stp>
        <stp>CRNCY</stp>
        <stp>[TREASURY.xlsx]Sheet1!R68C7</stp>
        <tr r="G68" s="1"/>
      </tp>
      <tp t="s">
        <v>USD</v>
        <stp/>
        <stp>##V3_BDPV12</stp>
        <stp>9128282R Govt</stp>
        <stp>CRNCY</stp>
        <stp>[TREASURY.xlsx]Sheet1!R98C7</stp>
        <tr r="G98" s="1"/>
      </tp>
      <tp>
        <v>0.625</v>
        <stp/>
        <stp>##V3_BDPV12</stp>
        <stp>91282CAE Govt</stp>
        <stp>CPN</stp>
        <stp>[TREASURY.xlsx]Sheet1!R18C3</stp>
        <tr r="C18" s="1"/>
      </tp>
      <tp t="s">
        <v>2/15/2021</v>
        <stp/>
        <stp>##V3_BDPV12</stp>
        <stp>91282CAE Govt</stp>
        <stp>FIRST_CPN_DT</stp>
        <stp>[TREASURY.xlsx]Sheet1!R18C9</stp>
        <tr r="I18" s="1"/>
      </tp>
      <tp>
        <v>0.74696195728597625</v>
        <stp/>
        <stp>##V3_BDPV12</stp>
        <stp>91282CAB Govt</stp>
        <stp>YLD_YTM_BID</stp>
        <stp>[TREASURY.xlsx]Sheet1!R99C4</stp>
        <tr r="D99" s="1"/>
      </tp>
      <tp>
        <v>0.77147959721170756</v>
        <stp/>
        <stp>##V3_BDPV12</stp>
        <stp>91282CAJ Govt</stp>
        <stp>YLD_YTM_BID</stp>
        <stp>[TREASURY.xlsx]Sheet1!R49C4</stp>
        <tr r="D49" s="1"/>
      </tp>
      <tp t="s">
        <v>#N/A Field Not Applicable</v>
        <stp/>
        <stp>##V3_BDPV12</stp>
        <stp>912828Q7 Govt</stp>
        <stp>IDX_RATIO</stp>
        <stp>[TREASURY.xlsx]Sheet1!R378C20</stp>
        <tr r="T378" s="1"/>
      </tp>
      <tp t="s">
        <v>#N/A Field Not Applicable</v>
        <stp/>
        <stp>##V3_BDPV12</stp>
        <stp>912828Q3 Govt</stp>
        <stp>IDX_RATIO</stp>
        <stp>[TREASURY.xlsx]Sheet1!R413C20</stp>
        <tr r="T413" s="1"/>
      </tp>
      <tp t="s">
        <v>UNITED STATES</v>
        <stp/>
        <stp>##V3_BDPV12</stp>
        <stp>9128274D Govt</stp>
        <stp>COUNTRY_FULL_NAME</stp>
        <stp>[TREASURY.xlsx]Sheet1!R1459C8</stp>
        <tr r="H1459" s="1"/>
      </tp>
      <tp t="s">
        <v>#N/A Field Not Applicable</v>
        <stp/>
        <stp>##V3_BDPV12</stp>
        <stp>912828Q4 Govt</stp>
        <stp>IDX_RATIO</stp>
        <stp>[TREASURY.xlsx]Sheet1!R423C20</stp>
        <tr r="T423" s="1"/>
      </tp>
      <tp t="s">
        <v>#N/A Field Not Applicable</v>
        <stp/>
        <stp>##V3_BDPV12</stp>
        <stp>912828Q2 Govt</stp>
        <stp>IDX_RATIO</stp>
        <stp>[TREASURY.xlsx]Sheet1!R187C20</stp>
        <tr r="T187" s="1"/>
      </tp>
      <tp t="s">
        <v>T</v>
        <stp/>
        <stp>##V3_BDPV12</stp>
        <stp>9128282R Govt</stp>
        <stp>TICKER</stp>
        <stp>[TREASURY.xlsx]Sheet1!R98C2</stp>
        <tr r="B98" s="1"/>
      </tp>
      <tp t="s">
        <v>#N/A Field Not Applicable</v>
        <stp/>
        <stp>##V3_BDPV12</stp>
        <stp>912828Q9 Govt</stp>
        <stp>IDX_RATIO</stp>
        <stp>[TREASURY.xlsx]Sheet1!R425C20</stp>
        <tr r="T425" s="1"/>
      </tp>
      <tp t="s">
        <v>T</v>
        <stp/>
        <stp>##V3_BDPV12</stp>
        <stp>9128283W Govt</stp>
        <stp>TICKER</stp>
        <stp>[TREASURY.xlsx]Sheet1!R68C2</stp>
        <tr r="B68" s="1"/>
      </tp>
      <tp t="s">
        <v>#N/A Field Not Applicable</v>
        <stp/>
        <stp>##V3_BDPV12</stp>
        <stp>912827Q5 Govt</stp>
        <stp>IDX_RATIO</stp>
        <stp>[TREASURY.xlsx]Sheet1!R905C20</stp>
        <tr r="T905" s="1"/>
      </tp>
      <tp t="s">
        <v>T</v>
        <stp/>
        <stp>##V3_BDPV12</stp>
        <stp>9128286T Govt</stp>
        <stp>TICKER</stp>
        <stp>[TREASURY.xlsx]Sheet1!R48C2</stp>
        <tr r="B48" s="1"/>
      </tp>
      <tp t="s">
        <v>UNITED STATES</v>
        <stp/>
        <stp>##V3_BDPV12</stp>
        <stp>9128275R Govt</stp>
        <stp>COUNTRY_FULL_NAME</stp>
        <stp>[TREASURY.xlsx]Sheet1!R1018C8</stp>
        <tr r="H1018" s="1"/>
      </tp>
      <tp t="s">
        <v>#N/A Field Not Applicable</v>
        <stp/>
        <stp>##V3_BDPV12</stp>
        <stp>912828QP Govt</stp>
        <stp>IDX_RATIO</stp>
        <stp>[TREASURY.xlsx]Sheet1!R550C20</stp>
        <tr r="T550" s="1"/>
      </tp>
      <tp t="s">
        <v>#N/A Field Not Applicable</v>
        <stp/>
        <stp>##V3_BDPV12</stp>
        <stp>912810QW Govt</stp>
        <stp>IDX_RATIO</stp>
        <stp>[TREASURY.xlsx]Sheet1!R286C20</stp>
        <tr r="T286" s="1"/>
      </tp>
      <tp t="s">
        <v>#N/A Field Not Applicable</v>
        <stp/>
        <stp>##V3_BDPV12</stp>
        <stp>912827QP Govt</stp>
        <stp>IDX_RATIO</stp>
        <stp>[TREASURY.xlsx]Sheet1!R742C20</stp>
        <tr r="T742" s="1"/>
      </tp>
      <tp t="s">
        <v>#N/A Field Not Applicable</v>
        <stp/>
        <stp>##V3_BDPV12</stp>
        <stp>912810QU Govt</stp>
        <stp>IDX_RATIO</stp>
        <stp>[TREASURY.xlsx]Sheet1!R287C20</stp>
        <tr r="T287" s="1"/>
      </tp>
      <tp t="s">
        <v>T</v>
        <stp/>
        <stp>##V3_BDPV12</stp>
        <stp>912828YS Govt</stp>
        <stp>TICKER</stp>
        <stp>[TREASURY.xlsx]Sheet1!R38C2</stp>
        <tr r="B38" s="1"/>
      </tp>
      <tp t="s">
        <v>#N/A Field Not Applicable</v>
        <stp/>
        <stp>##V3_BDPV12</stp>
        <stp>912810QT Govt</stp>
        <stp>IDX_RATIO</stp>
        <stp>[TREASURY.xlsx]Sheet1!R237C20</stp>
        <tr r="T237" s="1"/>
      </tp>
      <tp t="s">
        <v>#N/A Field Not Applicable</v>
        <stp/>
        <stp>##V3_BDPV12</stp>
        <stp>912828QW Govt</stp>
        <stp>IDX_RATIO</stp>
        <stp>[TREASURY.xlsx]Sheet1!R646C20</stp>
        <tr r="T646" s="1"/>
      </tp>
      <tp t="s">
        <v>#N/A Field Not Applicable</v>
        <stp/>
        <stp>##V3_BDPV12</stp>
        <stp>912828QY Govt</stp>
        <stp>IDX_RATIO</stp>
        <stp>[TREASURY.xlsx]Sheet1!R827C20</stp>
        <tr r="T827" s="1"/>
      </tp>
      <tp t="s">
        <v>#N/A Field Not Applicable</v>
        <stp/>
        <stp>##V3_BDPV12</stp>
        <stp>912810QS Govt</stp>
        <stp>IDX_RATIO</stp>
        <stp>[TREASURY.xlsx]Sheet1!R303C20</stp>
        <tr r="T303" s="1"/>
      </tp>
      <tp t="s">
        <v>#N/A Field Not Applicable</v>
        <stp/>
        <stp>##V3_BDPV12</stp>
        <stp>912810QQ Govt</stp>
        <stp>IDX_RATIO</stp>
        <stp>[TREASURY.xlsx]Sheet1!R315C20</stp>
        <tr r="T315" s="1"/>
      </tp>
      <tp t="s">
        <v>#N/A Field Not Applicable</v>
        <stp/>
        <stp>##V3_BDPV12</stp>
        <stp>912828QX Govt</stp>
        <stp>IDX_RATIO</stp>
        <stp>[TREASURY.xlsx]Sheet1!R519C20</stp>
        <tr r="T519" s="1"/>
      </tp>
      <tp t="s">
        <v>#N/A Field Not Applicable</v>
        <stp/>
        <stp>##V3_BDPV12</stp>
        <stp>912828QU Govt</stp>
        <stp>IDX_RATIO</stp>
        <stp>[TREASURY.xlsx]Sheet1!R826C20</stp>
        <tr r="T826" s="1"/>
      </tp>
      <tp t="s">
        <v>T</v>
        <stp/>
        <stp>##V3_BDPV12</stp>
        <stp>912810SL Govt</stp>
        <stp>TICKER</stp>
        <stp>[TREASURY.xlsx]Sheet1!R40C2</stp>
        <tr r="B40" s="1"/>
      </tp>
      <tp t="s">
        <v>T</v>
        <stp/>
        <stp>##V3_BDPV12</stp>
        <stp>912810ST Govt</stp>
        <stp>TICKER</stp>
        <stp>[TREASURY.xlsx]Sheet1!R90C2</stp>
        <tr r="B90" s="1"/>
      </tp>
      <tp t="s">
        <v>#N/A Field Not Applicable</v>
        <stp/>
        <stp>##V3_BDPV12</stp>
        <stp>912828QT Govt</stp>
        <stp>IDX_RATIO</stp>
        <stp>[TREASURY.xlsx]Sheet1!R867C20</stp>
        <tr r="T867" s="1"/>
      </tp>
      <tp t="s">
        <v>#N/A Field Not Applicable</v>
        <stp/>
        <stp>##V3_BDPV12</stp>
        <stp>912828QZ Govt</stp>
        <stp>IDX_RATIO</stp>
        <stp>[TREASURY.xlsx]Sheet1!R449C20</stp>
        <tr r="T449" s="1"/>
      </tp>
      <tp t="s">
        <v>#N/A Field Not Applicable</v>
        <stp/>
        <stp>##V3_BDPV12</stp>
        <stp>912810QZ Govt</stp>
        <stp>IDX_RATIO</stp>
        <stp>[TREASURY.xlsx]Sheet1!R310C20</stp>
        <tr r="T310" s="1"/>
      </tp>
      <tp t="s">
        <v>#N/A Field Not Applicable</v>
        <stp/>
        <stp>##V3_BDPV12</stp>
        <stp>912828QQ Govt</stp>
        <stp>IDX_RATIO</stp>
        <stp>[TREASURY.xlsx]Sheet1!R991C20</stp>
        <tr r="T991" s="1"/>
      </tp>
      <tp t="s">
        <v>T</v>
        <stp/>
        <stp>##V3_BDPV12</stp>
        <stp>912810TA Govt</stp>
        <stp>TICKER</stp>
        <stp>[TREASURY.xlsx]Sheet1!R10C2</stp>
        <tr r="B10" s="1"/>
      </tp>
      <tp t="s">
        <v>#N/A Field Not Applicable</v>
        <stp/>
        <stp>##V3_BDPV12</stp>
        <stp>912810QY Govt</stp>
        <stp>IDX_RATIO</stp>
        <stp>[TREASURY.xlsx]Sheet1!R270C20</stp>
        <tr r="T270" s="1"/>
      </tp>
      <tp t="s">
        <v>#N/A Field Not Applicable</v>
        <stp/>
        <stp>##V3_BDPV12</stp>
        <stp>912827QR Govt</stp>
        <stp>IDX_RATIO</stp>
        <stp>[TREASURY.xlsx]Sheet1!R908C20</stp>
        <tr r="T908" s="1"/>
      </tp>
      <tp t="s">
        <v>#N/A Field Not Applicable</v>
        <stp/>
        <stp>##V3_BDPV12</stp>
        <stp>912810QX Govt</stp>
        <stp>IDX_RATIO</stp>
        <stp>[TREASURY.xlsx]Sheet1!R275C20</stp>
        <tr r="T275" s="1"/>
      </tp>
      <tp t="s">
        <v>#N/A Field Not Applicable</v>
        <stp/>
        <stp>##V3_BDPV12</stp>
        <stp>912828QR Govt</stp>
        <stp>IDX_RATIO</stp>
        <stp>[TREASURY.xlsx]Sheet1!R866C20</stp>
        <tr r="T866" s="1"/>
      </tp>
      <tp t="s">
        <v>#N/A Field Not Applicable</v>
        <stp/>
        <stp>##V3_BDPV12</stp>
        <stp>912828QS Govt</stp>
        <stp>IDX_RATIO</stp>
        <stp>[TREASURY.xlsx]Sheet1!R992C20</stp>
        <tr r="T992" s="1"/>
      </tp>
      <tp t="s">
        <v>USD</v>
        <stp/>
        <stp>##V3_BDPV12</stp>
        <stp>91282CAY Govt</stp>
        <stp>CRNCY</stp>
        <stp>[TREASURY.xlsx]Sheet1!R144C7</stp>
        <tr r="G144" s="1"/>
      </tp>
      <tp t="s">
        <v>#N/A Field Not Applicable</v>
        <stp/>
        <stp>##V3_BDPV12</stp>
        <stp>912828QA Govt</stp>
        <stp>IDX_RATIO</stp>
        <stp>[TREASURY.xlsx]Sheet1!R509C20</stp>
        <tr r="T509" s="1"/>
      </tp>
      <tp t="s">
        <v>#N/A Field Not Applicable</v>
        <stp/>
        <stp>##V3_BDPV12</stp>
        <stp>912810QD Govt</stp>
        <stp>IDX_RATIO</stp>
        <stp>[TREASURY.xlsx]Sheet1!R311C20</stp>
        <tr r="T311" s="1"/>
      </tp>
      <tp t="s">
        <v>USD</v>
        <stp/>
        <stp>##V3_BDPV12</stp>
        <stp>91282CBB Govt</stp>
        <stp>CRNCY</stp>
        <stp>[TREASURY.xlsx]Sheet1!R114C7</stp>
        <tr r="G114" s="1"/>
      </tp>
      <tp t="s">
        <v>#N/A Field Not Applicable</v>
        <stp/>
        <stp>##V3_BDPV12</stp>
        <stp>912810QE Govt</stp>
        <stp>IDX_RATIO</stp>
        <stp>[TREASURY.xlsx]Sheet1!R302C20</stp>
        <tr r="T302" s="1"/>
      </tp>
      <tp t="s">
        <v>#N/A Field Not Applicable</v>
        <stp/>
        <stp>##V3_BDPV12</stp>
        <stp>912810QB Govt</stp>
        <stp>IDX_RATIO</stp>
        <stp>[TREASURY.xlsx]Sheet1!R274C20</stp>
        <tr r="T274" s="1"/>
      </tp>
      <tp t="s">
        <v>#N/A Field Not Applicable</v>
        <stp/>
        <stp>##V3_BDPV12</stp>
        <stp>912810QC Govt</stp>
        <stp>IDX_RATIO</stp>
        <stp>[TREASURY.xlsx]Sheet1!R318C20</stp>
        <tr r="T318" s="1"/>
      </tp>
      <tp t="s">
        <v>#N/A Field Not Applicable</v>
        <stp/>
        <stp>##V3_BDPV12</stp>
        <stp>912828QF Govt</stp>
        <stp>IDX_RATIO</stp>
        <stp>[TREASURY.xlsx]Sheet1!R576C20</stp>
        <tr r="T576" s="1"/>
      </tp>
      <tp t="s">
        <v>#N/A Field Not Applicable</v>
        <stp/>
        <stp>##V3_BDPV12</stp>
        <stp>912827QJ Govt</stp>
        <stp>IDX_RATIO</stp>
        <stp>[TREASURY.xlsx]Sheet1!R907C20</stp>
        <tr r="T907" s="1"/>
      </tp>
      <tp t="s">
        <v>#N/A Field Not Applicable</v>
        <stp/>
        <stp>##V3_BDPV12</stp>
        <stp>912810QA Govt</stp>
        <stp>IDX_RATIO</stp>
        <stp>[TREASURY.xlsx]Sheet1!R280C20</stp>
        <tr r="T280" s="1"/>
      </tp>
      <tp t="s">
        <v>#N/A Field Not Applicable</v>
        <stp/>
        <stp>##V3_BDPV12</stp>
        <stp>912827QE Govt</stp>
        <stp>IDX_RATIO</stp>
        <stp>[TREASURY.xlsx]Sheet1!R740C20</stp>
        <tr r="T740" s="1"/>
      </tp>
      <tp t="s">
        <v>#N/A Field Not Applicable</v>
        <stp/>
        <stp>##V3_BDPV12</stp>
        <stp>912828QN Govt</stp>
        <stp>IDX_RATIO</stp>
        <stp>[TREASURY.xlsx]Sheet1!R334C20</stp>
        <tr r="T334" s="1"/>
      </tp>
      <tp t="s">
        <v>#N/A Field Not Applicable</v>
        <stp/>
        <stp>##V3_BDPV12</stp>
        <stp>912828QH Govt</stp>
        <stp>IDX_RATIO</stp>
        <stp>[TREASURY.xlsx]Sheet1!R595C20</stp>
        <tr r="T595" s="1"/>
      </tp>
      <tp t="s">
        <v>#N/A Field Not Applicable</v>
        <stp/>
        <stp>##V3_BDPV12</stp>
        <stp>912828QE Govt</stp>
        <stp>IDX_RATIO</stp>
        <stp>[TREASURY.xlsx]Sheet1!R989C20</stp>
        <tr r="T989" s="1"/>
      </tp>
      <tp t="s">
        <v>#N/A Field Not Applicable</v>
        <stp/>
        <stp>##V3_BDPV12</stp>
        <stp>912810QN Govt</stp>
        <stp>IDX_RATIO</stp>
        <stp>[TREASURY.xlsx]Sheet1!R291C20</stp>
        <tr r="T291" s="1"/>
      </tp>
      <tp t="s">
        <v>#N/A Field Not Applicable</v>
        <stp/>
        <stp>##V3_BDPV12</stp>
        <stp>912810QL Govt</stp>
        <stp>IDX_RATIO</stp>
        <stp>[TREASURY.xlsx]Sheet1!R321C20</stp>
        <tr r="T321" s="1"/>
      </tp>
      <tp t="s">
        <v>#N/A Field Not Applicable</v>
        <stp/>
        <stp>##V3_BDPV12</stp>
        <stp>912827QG Govt</stp>
        <stp>IDX_RATIO</stp>
        <stp>[TREASURY.xlsx]Sheet1!R906C20</stp>
        <tr r="T906" s="1"/>
      </tp>
      <tp t="s">
        <v>#N/A Field Not Applicable</v>
        <stp/>
        <stp>##V3_BDPV12</stp>
        <stp>912828QJ Govt</stp>
        <stp>IDX_RATIO</stp>
        <stp>[TREASURY.xlsx]Sheet1!R407C20</stp>
        <tr r="T407" s="1"/>
      </tp>
      <tp t="s">
        <v>#N/A Field Not Applicable</v>
        <stp/>
        <stp>##V3_BDPV12</stp>
        <stp>912828QG Govt</stp>
        <stp>IDX_RATIO</stp>
        <stp>[TREASURY.xlsx]Sheet1!R990C20</stp>
        <tr r="T990" s="1"/>
      </tp>
      <tp t="s">
        <v>#N/A Field Not Applicable</v>
        <stp/>
        <stp>##V3_BDPV12</stp>
        <stp>912810QK Govt</stp>
        <stp>IDX_RATIO</stp>
        <stp>[TREASURY.xlsx]Sheet1!R238C20</stp>
        <tr r="T238" s="1"/>
      </tp>
      <tp t="s">
        <v>#N/A Field Not Applicable</v>
        <stp/>
        <stp>##V3_BDPV12</stp>
        <stp>912828QL Govt</stp>
        <stp>IDX_RATIO</stp>
        <stp>[TREASURY.xlsx]Sheet1!R401C20</stp>
        <tr r="T401" s="1"/>
      </tp>
      <tp t="s">
        <v>#N/A Field Not Applicable</v>
        <stp/>
        <stp>##V3_BDPV12</stp>
        <stp>912827QL Govt</stp>
        <stp>IDX_RATIO</stp>
        <stp>[TREASURY.xlsx]Sheet1!R741C20</stp>
        <tr r="T741" s="1"/>
      </tp>
      <tp t="s">
        <v>#N/A Field Not Applicable</v>
        <stp/>
        <stp>##V3_BDPV12</stp>
        <stp>912810QH Govt</stp>
        <stp>IDX_RATIO</stp>
        <stp>[TREASURY.xlsx]Sheet1!R316C20</stp>
        <tr r="T316" s="1"/>
      </tp>
      <tp t="s">
        <v>#N/A Field Not Applicable</v>
        <stp/>
        <stp>##V3_BDPV12</stp>
        <stp>912828QB Govt</stp>
        <stp>IDX_RATIO</stp>
        <stp>[TREASURY.xlsx]Sheet1!R988C20</stp>
        <tr r="T988" s="1"/>
      </tp>
      <tp t="s">
        <v>ACT/ACT</v>
        <stp/>
        <stp>##V3_BDPV12</stp>
        <stp>912810TA Govt</stp>
        <stp>DAY_CNT_DES</stp>
        <stp>[TREASURY.xlsx]Sheet1!R10C17</stp>
        <tr r="Q10" s="1"/>
      </tp>
      <tp t="s">
        <v>ACT/ACT</v>
        <stp/>
        <stp>##V3_BDPV12</stp>
        <stp>91282CBA Govt</stp>
        <stp>DAY_CNT_DES</stp>
        <stp>[TREASURY.xlsx]Sheet1!R78C17</stp>
        <tr r="Q78" s="1"/>
      </tp>
      <tp t="s">
        <v>ACT/ACT</v>
        <stp/>
        <stp>##V3_BDPV12</stp>
        <stp>91282CDA Govt</stp>
        <stp>DAY_CNT_DES</stp>
        <stp>[TREASURY.xlsx]Sheet1!R11C17</stp>
        <tr r="Q11" s="1"/>
      </tp>
      <tp t="s">
        <v>ACT/ACT</v>
        <stp/>
        <stp>##V3_BDPV12</stp>
        <stp>9128282A Govt</stp>
        <stp>DAY_CNT_DES</stp>
        <stp>[TREASURY.xlsx]Sheet1!R56C17</stp>
        <tr r="Q56" s="1"/>
      </tp>
      <tp t="s">
        <v>USD</v>
        <stp/>
        <stp>##V3_BDPV12</stp>
        <stp>91282CAE Govt</stp>
        <stp>CRNCY</stp>
        <stp>[TREASURY.xlsx]Sheet1!R18C7</stp>
        <tr r="G18" s="1"/>
      </tp>
      <tp t="s">
        <v>USD</v>
        <stp/>
        <stp>##V3_BDPV12</stp>
        <stp>91282CCD Govt</stp>
        <stp>CRNCY</stp>
        <stp>[TREASURY.xlsx]Sheet1!R58C7</stp>
        <tr r="G58" s="1"/>
      </tp>
      <tp t="s">
        <v>USD</v>
        <stp/>
        <stp>##V3_BDPV12</stp>
        <stp>91282CCC Govt</stp>
        <stp>CRNCY</stp>
        <stp>[TREASURY.xlsx]Sheet1!R88C7</stp>
        <tr r="G88" s="1"/>
      </tp>
      <tp t="s">
        <v>USD</v>
        <stp/>
        <stp>##V3_BDPV12</stp>
        <stp>91282CBA Govt</stp>
        <stp>CRNCY</stp>
        <stp>[TREASURY.xlsx]Sheet1!R78C7</stp>
        <tr r="G78" s="1"/>
      </tp>
      <tp t="s">
        <v>S/A</v>
        <stp/>
        <stp>##V3_BDPV12</stp>
        <stp>912828FK Govt</stp>
        <stp>COUPON_FREQUENCY_DESCRIPTION</stp>
        <stp>[TREASURY.xlsx]Sheet1!R844C10</stp>
        <tr r="J844" s="1"/>
      </tp>
      <tp t="s">
        <v>S/A</v>
        <stp/>
        <stp>##V3_BDPV12</stp>
        <stp>912828KE Govt</stp>
        <stp>COUPON_FREQUENCY_DESCRIPTION</stp>
        <stp>[TREASURY.xlsx]Sheet1!R582C10</stp>
        <tr r="J582" s="1"/>
      </tp>
      <tp t="s">
        <v>S/A</v>
        <stp/>
        <stp>##V3_BDPV12</stp>
        <stp>912828FH Govt</stp>
        <stp>COUPON_FREQUENCY_DESCRIPTION</stp>
        <stp>[TREASURY.xlsx]Sheet1!R843C10</stp>
        <tr r="J843" s="1"/>
      </tp>
      <tp t="s">
        <v>S/A</v>
        <stp/>
        <stp>##V3_BDPV12</stp>
        <stp>912828KJ Govt</stp>
        <stp>COUPON_FREQUENCY_DESCRIPTION</stp>
        <stp>[TREASURY.xlsx]Sheet1!R561C10</stp>
        <tr r="J561" s="1"/>
      </tp>
      <tp t="s">
        <v>S/A</v>
        <stp/>
        <stp>##V3_BDPV12</stp>
        <stp>912828JG Govt</stp>
        <stp>COUPON_FREQUENCY_DESCRIPTION</stp>
        <stp>[TREASURY.xlsx]Sheet1!R417C10</stp>
        <tr r="J417" s="1"/>
      </tp>
      <tp t="s">
        <v>S/A</v>
        <stp/>
        <stp>##V3_BDPV12</stp>
        <stp>912828GG Govt</stp>
        <stp>COUPON_FREQUENCY_DESCRIPTION</stp>
        <stp>[TREASURY.xlsx]Sheet1!R967C10</stp>
        <tr r="J967" s="1"/>
      </tp>
      <tp t="s">
        <v>S/A</v>
        <stp/>
        <stp>##V3_BDPV12</stp>
        <stp>912828JZ Govt</stp>
        <stp>COUPON_FREQUENCY_DESCRIPTION</stp>
        <stp>[TREASURY.xlsx]Sheet1!R478C10</stp>
        <tr r="J478" s="1"/>
      </tp>
      <tp t="s">
        <v>S/A</v>
        <stp/>
        <stp>##V3_BDPV12</stp>
        <stp>912828KQ Govt</stp>
        <stp>COUPON_FREQUENCY_DESCRIPTION</stp>
        <stp>[TREASURY.xlsx]Sheet1!R583C10</stp>
        <tr r="J583" s="1"/>
      </tp>
      <tp t="s">
        <v>S/A</v>
        <stp/>
        <stp>##V3_BDPV12</stp>
        <stp>912828MP Govt</stp>
        <stp>COUPON_FREQUENCY_DESCRIPTION</stp>
        <stp>[TREASURY.xlsx]Sheet1!R386C10</stp>
        <tr r="J386" s="1"/>
      </tp>
      <tp t="s">
        <v>S/A</v>
        <stp/>
        <stp>##V3_BDPV12</stp>
        <stp>912828FW Govt</stp>
        <stp>COUPON_FREQUENCY_DESCRIPTION</stp>
        <stp>[TREASURY.xlsx]Sheet1!R846C10</stp>
        <tr r="J846" s="1"/>
      </tp>
      <tp t="s">
        <v>S/A</v>
        <stp/>
        <stp>##V3_BDPV12</stp>
        <stp>912828HV Govt</stp>
        <stp>COUPON_FREQUENCY_DESCRIPTION</stp>
        <stp>[TREASURY.xlsx]Sheet1!R651C10</stp>
        <tr r="J651" s="1"/>
      </tp>
      <tp t="s">
        <v>S/A</v>
        <stp/>
        <stp>##V3_BDPV12</stp>
        <stp>912828JT Govt</stp>
        <stp>COUPON_FREQUENCY_DESCRIPTION</stp>
        <stp>[TREASURY.xlsx]Sheet1!R471C10</stp>
        <tr r="J471" s="1"/>
      </tp>
      <tp t="s">
        <v>S/A</v>
        <stp/>
        <stp>##V3_BDPV12</stp>
        <stp>912828FS Govt</stp>
        <stp>COUPON_FREQUENCY_DESCRIPTION</stp>
        <stp>[TREASURY.xlsx]Sheet1!R800C10</stp>
        <tr r="J800" s="1"/>
      </tp>
      <tp t="s">
        <v>S/A</v>
        <stp/>
        <stp>##V3_BDPV12</stp>
        <stp>912828FV Govt</stp>
        <stp>COUPON_FREQUENCY_DESCRIPTION</stp>
        <stp>[TREASURY.xlsx]Sheet1!R845C10</stp>
        <tr r="J845" s="1"/>
      </tp>
      <tp t="s">
        <v>S/A</v>
        <stp/>
        <stp>##V3_BDPV12</stp>
        <stp>912828J8 Govt</stp>
        <stp>COUPON_FREQUENCY_DESCRIPTION</stp>
        <stp>[TREASURY.xlsx]Sheet1!R451C10</stp>
        <tr r="J451" s="1"/>
      </tp>
      <tp t="s">
        <v>S/A</v>
        <stp/>
        <stp>##V3_BDPV12</stp>
        <stp>912828H7 Govt</stp>
        <stp>COUPON_FREQUENCY_DESCRIPTION</stp>
        <stp>[TREASURY.xlsx]Sheet1!R605C10</stp>
        <tr r="J605" s="1"/>
      </tp>
      <tp t="s">
        <v>S/A</v>
        <stp/>
        <stp>##V3_BDPV12</stp>
        <stp>912828J5 Govt</stp>
        <stp>COUPON_FREQUENCY_DESCRIPTION</stp>
        <stp>[TREASURY.xlsx]Sheet1!R403C10</stp>
        <tr r="J403" s="1"/>
      </tp>
      <tp t="s">
        <v>S/A</v>
        <stp/>
        <stp>##V3_BDPV12</stp>
        <stp>912828K5 Govt</stp>
        <stp>COUPON_FREQUENCY_DESCRIPTION</stp>
        <stp>[TREASURY.xlsx]Sheet1!R518C10</stp>
        <tr r="J518" s="1"/>
      </tp>
      <tp t="s">
        <v>S/A</v>
        <stp/>
        <stp>##V3_BDPV12</stp>
        <stp>912828G6 Govt</stp>
        <stp>COUPON_FREQUENCY_DESCRIPTION</stp>
        <stp>[TREASURY.xlsx]Sheet1!R966C10</stp>
        <tr r="J966" s="1"/>
      </tp>
      <tp t="s">
        <v>S/A</v>
        <stp/>
        <stp>##V3_BDPV12</stp>
        <stp>912828JH Govt</stp>
        <stp>COUPON_FREQUENCY_DESCRIPTION</stp>
        <stp>[TREASURY.xlsx]Sheet1!R542C10</stp>
        <tr r="J542" s="1"/>
      </tp>
      <tp t="s">
        <v>S/A</v>
        <stp/>
        <stp>##V3_BDPV12</stp>
        <stp>912828JB Govt</stp>
        <stp>COUPON_FREQUENCY_DESCRIPTION</stp>
        <stp>[TREASURY.xlsx]Sheet1!R598C10</stp>
        <tr r="J598" s="1"/>
      </tp>
      <tp t="s">
        <v>S/A</v>
        <stp/>
        <stp>##V3_BDPV12</stp>
        <stp>912828GJ Govt</stp>
        <stp>COUPON_FREQUENCY_DESCRIPTION</stp>
        <stp>[TREASURY.xlsx]Sheet1!R802C10</stp>
        <tr r="J802" s="1"/>
      </tp>
      <tp t="s">
        <v>S/A</v>
        <stp/>
        <stp>##V3_BDPV12</stp>
        <stp>912828GL Govt</stp>
        <stp>COUPON_FREQUENCY_DESCRIPTION</stp>
        <stp>[TREASURY.xlsx]Sheet1!R847C10</stp>
        <tr r="J847" s="1"/>
      </tp>
      <tp t="s">
        <v>S/A</v>
        <stp/>
        <stp>##V3_BDPV12</stp>
        <stp>912828JF Govt</stp>
        <stp>COUPON_FREQUENCY_DESCRIPTION</stp>
        <stp>[TREASURY.xlsx]Sheet1!R537C10</stp>
        <tr r="J537" s="1"/>
      </tp>
      <tp t="s">
        <v>S/A</v>
        <stp/>
        <stp>##V3_BDPV12</stp>
        <stp>912828GA Govt</stp>
        <stp>COUPON_FREQUENCY_DESCRIPTION</stp>
        <stp>[TREASURY.xlsx]Sheet1!R801C10</stp>
        <tr r="J801" s="1"/>
      </tp>
      <tp t="s">
        <v>S/A</v>
        <stp/>
        <stp>##V3_BDPV12</stp>
        <stp>912828LY Govt</stp>
        <stp>COUPON_FREQUENCY_DESCRIPTION</stp>
        <stp>[TREASURY.xlsx]Sheet1!R353C10</stp>
        <tr r="J353" s="1"/>
      </tp>
      <tp t="s">
        <v>S/A</v>
        <stp/>
        <stp>##V3_BDPV12</stp>
        <stp>912828GV Govt</stp>
        <stp>COUPON_FREQUENCY_DESCRIPTION</stp>
        <stp>[TREASURY.xlsx]Sheet1!R805C10</stp>
        <tr r="J805" s="1"/>
      </tp>
      <tp t="s">
        <v>S/A</v>
        <stp/>
        <stp>##V3_BDPV12</stp>
        <stp>912828GT Govt</stp>
        <stp>COUPON_FREQUENCY_DESCRIPTION</stp>
        <stp>[TREASURY.xlsx]Sheet1!R804C10</stp>
        <tr r="J804" s="1"/>
      </tp>
      <tp t="s">
        <v>S/A</v>
        <stp/>
        <stp>##V3_BDPV12</stp>
        <stp>912828KS Govt</stp>
        <stp>COUPON_FREQUENCY_DESCRIPTION</stp>
        <stp>[TREASURY.xlsx]Sheet1!R418C10</stp>
        <tr r="J418" s="1"/>
      </tp>
      <tp t="s">
        <v>S/A</v>
        <stp/>
        <stp>##V3_BDPV12</stp>
        <stp>912828GU Govt</stp>
        <stp>COUPON_FREQUENCY_DESCRIPTION</stp>
        <stp>[TREASURY.xlsx]Sheet1!R848C10</stp>
        <tr r="J848" s="1"/>
      </tp>
      <tp t="s">
        <v>S/A</v>
        <stp/>
        <stp>##V3_BDPV12</stp>
        <stp>912828GP Govt</stp>
        <stp>COUPON_FREQUENCY_DESCRIPTION</stp>
        <stp>[TREASURY.xlsx]Sheet1!R803C10</stp>
        <tr r="J803" s="1"/>
      </tp>
      <tp t="s">
        <v>S/A</v>
        <stp/>
        <stp>##V3_BDPV12</stp>
        <stp>912828L9 Govt</stp>
        <stp>COUPON_FREQUENCY_DESCRIPTION</stp>
        <stp>[TREASURY.xlsx]Sheet1!R358C10</stp>
        <tr r="J358" s="1"/>
      </tp>
      <tp t="s">
        <v>S/A</v>
        <stp/>
        <stp>##V3_BDPV12</stp>
        <stp>912828N3 Govt</stp>
        <stp>COUPON_FREQUENCY_DESCRIPTION</stp>
        <stp>[TREASURY.xlsx]Sheet1!R129C10</stp>
        <tr r="J129" s="1"/>
      </tp>
      <tp t="s">
        <v>S/A</v>
        <stp/>
        <stp>##V3_BDPV12</stp>
        <stp>912828L3 Govt</stp>
        <stp>COUPON_FREQUENCY_DESCRIPTION</stp>
        <stp>[TREASURY.xlsx]Sheet1!R327C10</stp>
        <tr r="J327" s="1"/>
      </tp>
      <tp t="s">
        <v>S/A</v>
        <stp/>
        <stp>##V3_BDPV12</stp>
        <stp>912828M4 Govt</stp>
        <stp>COUPON_FREQUENCY_DESCRIPTION</stp>
        <stp>[TREASURY.xlsx]Sheet1!R254C10</stp>
        <tr r="J254" s="1"/>
      </tp>
      <tp>
        <v>0.25</v>
        <stp/>
        <stp>##V3_BDPV12</stp>
        <stp>91282CAT Govt</stp>
        <stp>CPN</stp>
        <stp>[TREASURY.xlsx]Sheet1!R39C3</stp>
        <tr r="C39" s="1"/>
      </tp>
      <tp t="s">
        <v>S/A</v>
        <stp/>
        <stp>##V3_BDPV12</stp>
        <stp>912828HH Govt</stp>
        <stp>COUPON_FREQUENCY_DESCRIPTION</stp>
        <stp>[TREASURY.xlsx]Sheet1!R470C10</stp>
        <tr r="J470" s="1"/>
      </tp>
      <tp t="s">
        <v>S/A</v>
        <stp/>
        <stp>##V3_BDPV12</stp>
        <stp>912828HL Govt</stp>
        <stp>COUPON_FREQUENCY_DESCRIPTION</stp>
        <stp>[TREASURY.xlsx]Sheet1!R424C10</stp>
        <tr r="J424" s="1"/>
      </tp>
      <tp t="s">
        <v>S/A</v>
        <stp/>
        <stp>##V3_BDPV12</stp>
        <stp>912828JJ Govt</stp>
        <stp>COUPON_FREQUENCY_DESCRIPTION</stp>
        <stp>[TREASURY.xlsx]Sheet1!R690C10</stp>
        <tr r="J690" s="1"/>
      </tp>
      <tp t="s">
        <v>S/A</v>
        <stp/>
        <stp>##V3_BDPV12</stp>
        <stp>912828ED Govt</stp>
        <stp>COUPON_FREQUENCY_DESCRIPTION</stp>
        <stp>[TREASURY.xlsx]Sheet1!R964C10</stp>
        <tr r="J964" s="1"/>
      </tp>
      <tp t="s">
        <v>S/A</v>
        <stp/>
        <stp>##V3_BDPV12</stp>
        <stp>912828DF Govt</stp>
        <stp>COUPON_FREQUENCY_DESCRIPTION</stp>
        <stp>[TREASURY.xlsx]Sheet1!R840C10</stp>
        <tr r="J840" s="1"/>
      </tp>
      <tp t="s">
        <v>S/A</v>
        <stp/>
        <stp>##V3_BDPV12</stp>
        <stp>912828HY Govt</stp>
        <stp>COUPON_FREQUENCY_DESCRIPTION</stp>
        <stp>[TREASURY.xlsx]Sheet1!R450C10</stp>
        <tr r="J450" s="1"/>
      </tp>
      <tp t="s">
        <v>S/A</v>
        <stp/>
        <stp>##V3_BDPV12</stp>
        <stp>912828EP Govt</stp>
        <stp>COUPON_FREQUENCY_DESCRIPTION</stp>
        <stp>[TREASURY.xlsx]Sheet1!R965C10</stp>
        <tr r="J965" s="1"/>
      </tp>
      <tp t="s">
        <v>S/A</v>
        <stp/>
        <stp>##V3_BDPV12</stp>
        <stp>912828HR Govt</stp>
        <stp>COUPON_FREQUENCY_DESCRIPTION</stp>
        <stp>[TREASURY.xlsx]Sheet1!R476C10</stp>
        <tr r="J476" s="1"/>
      </tp>
      <tp t="s">
        <v>USD</v>
        <stp/>
        <stp>##V3_BDPV12</stp>
        <stp>912828YG Govt</stp>
        <stp>CRNCY</stp>
        <stp>[TREASURY.xlsx]Sheet1!R69C7</stp>
        <tr r="G69" s="1"/>
      </tp>
      <tp t="s">
        <v>S/A</v>
        <stp/>
        <stp>##V3_BDPV12</stp>
        <stp>912828JW Govt</stp>
        <stp>COUPON_FREQUENCY_DESCRIPTION</stp>
        <stp>[TREASURY.xlsx]Sheet1!R643C10</stp>
        <tr r="J643" s="1"/>
      </tp>
      <tp t="s">
        <v>S/A</v>
        <stp/>
        <stp>##V3_BDPV12</stp>
        <stp>912828JY Govt</stp>
        <stp>COUPON_FREQUENCY_DESCRIPTION</stp>
        <stp>[TREASURY.xlsx]Sheet1!R691C10</stp>
        <tr r="J691" s="1"/>
      </tp>
      <tp t="s">
        <v>S/A</v>
        <stp/>
        <stp>##V3_BDPV12</stp>
        <stp>912828J6 Govt</stp>
        <stp>COUPON_FREQUENCY_DESCRIPTION</stp>
        <stp>[TREASURY.xlsx]Sheet1!R686C10</stp>
        <tr r="J686" s="1"/>
      </tp>
      <tp t="s">
        <v>S/A</v>
        <stp/>
        <stp>##V3_BDPV12</stp>
        <stp>912828M8 Govt</stp>
        <stp>COUPON_FREQUENCY_DESCRIPTION</stp>
        <stp>[TREASURY.xlsx]Sheet1!R150C10</stp>
        <tr r="J150" s="1"/>
      </tp>
      <tp t="s">
        <v>S/A</v>
        <stp/>
        <stp>##V3_BDPV12</stp>
        <stp>912828D9 Govt</stp>
        <stp>COUPON_FREQUENCY_DESCRIPTION</stp>
        <stp>[TREASURY.xlsx]Sheet1!R839C10</stp>
        <tr r="J839" s="1"/>
      </tp>
      <tp t="s">
        <v>S/A</v>
        <stp/>
        <stp>##V3_BDPV12</stp>
        <stp>912828H5 Govt</stp>
        <stp>COUPON_FREQUENCY_DESCRIPTION</stp>
        <stp>[TREASURY.xlsx]Sheet1!R419C10</stp>
        <tr r="J419" s="1"/>
      </tp>
      <tp t="s">
        <v>S/A</v>
        <stp/>
        <stp>##V3_BDPV12</stp>
        <stp>912828M5 Govt</stp>
        <stp>COUPON_FREQUENCY_DESCRIPTION</stp>
        <stp>[TREASURY.xlsx]Sheet1!R116C10</stp>
        <tr r="J116" s="1"/>
      </tp>
      <tp t="s">
        <v>S/A</v>
        <stp/>
        <stp>##V3_BDPV12</stp>
        <stp>912828NB Govt</stp>
        <stp>COUPON_FREQUENCY_DESCRIPTION</stp>
        <stp>[TREASURY.xlsx]Sheet1!R388C10</stp>
        <tr r="J388" s="1"/>
      </tp>
      <tp t="s">
        <v>S/A</v>
        <stp/>
        <stp>##V3_BDPV12</stp>
        <stp>912828HM Govt</stp>
        <stp>COUPON_FREQUENCY_DESCRIPTION</stp>
        <stp>[TREASURY.xlsx]Sheet1!R573C10</stp>
        <tr r="J573" s="1"/>
      </tp>
      <tp t="s">
        <v>S/A</v>
        <stp/>
        <stp>##V3_BDPV12</stp>
        <stp>912828DL Govt</stp>
        <stp>COUPON_FREQUENCY_DESCRIPTION</stp>
        <stp>[TREASURY.xlsx]Sheet1!R962C10</stp>
        <tr r="J962" s="1"/>
      </tp>
      <tp t="s">
        <v>S/A</v>
        <stp/>
        <stp>##V3_BDPV12</stp>
        <stp>912828HK Govt</stp>
        <stp>COUPON_FREQUENCY_DESCRIPTION</stp>
        <stp>[TREASURY.xlsx]Sheet1!R525C10</stp>
        <tr r="J525" s="1"/>
      </tp>
      <tp t="s">
        <v>S/A</v>
        <stp/>
        <stp>##V3_BDPV12</stp>
        <stp>912828DN Govt</stp>
        <stp>COUPON_FREQUENCY_DESCRIPTION</stp>
        <stp>[TREASURY.xlsx]Sheet1!R963C10</stp>
        <tr r="J963" s="1"/>
      </tp>
      <tp t="s">
        <v>S/A</v>
        <stp/>
        <stp>##V3_BDPV12</stp>
        <stp>912828NV Govt</stp>
        <stp>COUPON_FREQUENCY_DESCRIPTION</stp>
        <stp>[TREASURY.xlsx]Sheet1!R382C10</stp>
        <tr r="J382" s="1"/>
      </tp>
      <tp t="s">
        <v>S/A</v>
        <stp/>
        <stp>##V3_BDPV12</stp>
        <stp>912828KY Govt</stp>
        <stp>COUPON_FREQUENCY_DESCRIPTION</stp>
        <stp>[TREASURY.xlsx]Sheet1!R644C10</stp>
        <tr r="J644" s="1"/>
      </tp>
      <tp t="s">
        <v>S/A</v>
        <stp/>
        <stp>##V3_BDPV12</stp>
        <stp>912828KV Govt</stp>
        <stp>COUPON_FREQUENCY_DESCRIPTION</stp>
        <stp>[TREASURY.xlsx]Sheet1!R616C10</stp>
        <tr r="J616" s="1"/>
      </tp>
      <tp t="s">
        <v>S/A</v>
        <stp/>
        <stp>##V3_BDPV12</stp>
        <stp>912828KW Govt</stp>
        <stp>COUPON_FREQUENCY_DESCRIPTION</stp>
        <stp>[TREASURY.xlsx]Sheet1!R617C10</stp>
        <tr r="J617" s="1"/>
      </tp>
      <tp t="s">
        <v>S/A</v>
        <stp/>
        <stp>##V3_BDPV12</stp>
        <stp>912828KR Govt</stp>
        <stp>COUPON_FREQUENCY_DESCRIPTION</stp>
        <stp>[TREASURY.xlsx]Sheet1!R676C10</stp>
        <tr r="J676" s="1"/>
      </tp>
      <tp t="s">
        <v>S/A</v>
        <stp/>
        <stp>##V3_BDPV12</stp>
        <stp>912828EW Govt</stp>
        <stp>COUPON_FREQUENCY_DESCRIPTION</stp>
        <stp>[TREASURY.xlsx]Sheet1!R842C10</stp>
        <tr r="J842" s="1"/>
      </tp>
      <tp t="s">
        <v>S/A</v>
        <stp/>
        <stp>##V3_BDPV12</stp>
        <stp>912828EV Govt</stp>
        <stp>COUPON_FREQUENCY_DESCRIPTION</stp>
        <stp>[TREASURY.xlsx]Sheet1!R841C10</stp>
        <tr r="J841" s="1"/>
      </tp>
      <tp t="s">
        <v>S/A</v>
        <stp/>
        <stp>##V3_BDPV12</stp>
        <stp>912828NT Govt</stp>
        <stp>COUPON_FREQUENCY_DESCRIPTION</stp>
        <stp>[TREASURY.xlsx]Sheet1!R351C10</stp>
        <tr r="J351" s="1"/>
      </tp>
      <tp t="s">
        <v>S/A</v>
        <stp/>
        <stp>##V3_BDPV12</stp>
        <stp>912828N8 Govt</stp>
        <stp>COUPON_FREQUENCY_DESCRIPTION</stp>
        <stp>[TREASURY.xlsx]Sheet1!R343C10</stp>
        <tr r="J343" s="1"/>
      </tp>
      <tp t="s">
        <v>S/A</v>
        <stp/>
        <stp>##V3_BDPV12</stp>
        <stp>912828H2 Govt</stp>
        <stp>COUPON_FREQUENCY_DESCRIPTION</stp>
        <stp>[TREASURY.xlsx]Sheet1!R581C10</stp>
        <tr r="J581" s="1"/>
      </tp>
      <tp t="s">
        <v>S/A</v>
        <stp/>
        <stp>##V3_BDPV12</stp>
        <stp>912828L2 Govt</stp>
        <stp>COUPON_FREQUENCY_DESCRIPTION</stp>
        <stp>[TREASURY.xlsx]Sheet1!R173C10</stp>
        <tr r="J173" s="1"/>
      </tp>
      <tp t="s">
        <v>S/A</v>
        <stp/>
        <stp>##V3_BDPV12</stp>
        <stp>912828L5 Govt</stp>
        <stp>COUPON_FREQUENCY_DESCRIPTION</stp>
        <stp>[TREASURY.xlsx]Sheet1!R161C10</stp>
        <tr r="J161" s="1"/>
      </tp>
      <tp t="s">
        <v>S/A</v>
        <stp/>
        <stp>##V3_BDPV12</stp>
        <stp>912828D4 Govt</stp>
        <stp>COUPON_FREQUENCY_DESCRIPTION</stp>
        <stp>[TREASURY.xlsx]Sheet1!R961C10</stp>
        <tr r="J961" s="1"/>
      </tp>
      <tp t="s">
        <v>S/A</v>
        <stp/>
        <stp>##V3_BDPV12</stp>
        <stp>912828LW Govt</stp>
        <stp>COUPON_FREQUENCY_DESCRIPTION</stp>
        <stp>[TREASURY.xlsx]Sheet1!R629C10</stp>
        <tr r="J629" s="1"/>
      </tp>
      <tp t="s">
        <v>S/A</v>
        <stp/>
        <stp>##V3_BDPV12</stp>
        <stp>912828H8 Govt</stp>
        <stp>COUPON_FREQUENCY_DESCRIPTION</stp>
        <stp>[TREASURY.xlsx]Sheet1!R247C10</stp>
        <tr r="J247" s="1"/>
      </tp>
      <tp t="s">
        <v>S/A</v>
        <stp/>
        <stp>##V3_BDPV12</stp>
        <stp>912828N2 Govt</stp>
        <stp>COUPON_FREQUENCY_DESCRIPTION</stp>
        <stp>[TREASURY.xlsx]Sheet1!R440C10</stp>
        <tr r="J440" s="1"/>
      </tp>
      <tp t="s">
        <v>S/A</v>
        <stp/>
        <stp>##V3_BDPV12</stp>
        <stp>912828L4 Govt</stp>
        <stp>COUPON_FREQUENCY_DESCRIPTION</stp>
        <stp>[TREASURY.xlsx]Sheet1!R669C10</stp>
        <tr r="J669" s="1"/>
      </tp>
      <tp t="s">
        <v>S/A</v>
        <stp/>
        <stp>##V3_BDPV12</stp>
        <stp>912828N4 Govt</stp>
        <stp>COUPON_FREQUENCY_DESCRIPTION</stp>
        <stp>[TREASURY.xlsx]Sheet1!R463C10</stp>
        <tr r="J463" s="1"/>
      </tp>
      <tp t="s">
        <v>S/A</v>
        <stp/>
        <stp>##V3_BDPV12</stp>
        <stp>912828BN Govt</stp>
        <stp>COUPON_FREQUENCY_DESCRIPTION</stp>
        <stp>[TREASURY.xlsx]Sheet1!R960C10</stp>
        <tr r="J960" s="1"/>
      </tp>
      <tp t="s">
        <v>S/A</v>
        <stp/>
        <stp>##V3_BDPV12</stp>
        <stp>912828NG Govt</stp>
        <stp>COUPON_FREQUENCY_DESCRIPTION</stp>
        <stp>[TREASURY.xlsx]Sheet1!R562C10</stp>
        <tr r="J562" s="1"/>
      </tp>
      <tp t="s">
        <v>S/A</v>
        <stp/>
        <stp>##V3_BDPV12</stp>
        <stp>912828HZ Govt</stp>
        <stp>COUPON_FREQUENCY_DESCRIPTION</stp>
        <stp>[TREASURY.xlsx]Sheet1!R356C10</stp>
        <tr r="J356" s="1"/>
      </tp>
      <tp t="s">
        <v>S/A</v>
        <stp/>
        <stp>##V3_BDPV12</stp>
        <stp>912828NU Govt</stp>
        <stp>COUPON_FREQUENCY_DESCRIPTION</stp>
        <stp>[TREASURY.xlsx]Sheet1!R547C10</stp>
        <tr r="J547" s="1"/>
      </tp>
      <tp t="s">
        <v>S/A</v>
        <stp/>
        <stp>##V3_BDPV12</stp>
        <stp>912828C3 Govt</stp>
        <stp>COUPON_FREQUENCY_DESCRIPTION</stp>
        <stp>[TREASURY.xlsx]Sheet1!R838C10</stp>
        <tr r="J838" s="1"/>
      </tp>
      <tp t="s">
        <v>S/A</v>
        <stp/>
        <stp>##V3_BDPV12</stp>
        <stp>912828AK Govt</stp>
        <stp>COUPON_FREQUENCY_DESCRIPTION</stp>
        <stp>[TREASURY.xlsx]Sheet1!R959C10</stp>
        <tr r="J959" s="1"/>
      </tp>
      <tp t="s">
        <v>S/A</v>
        <stp/>
        <stp>##V3_BDPV12</stp>
        <stp>912828KB Govt</stp>
        <stp>COUPON_FREQUENCY_DESCRIPTION</stp>
        <stp>[TREASURY.xlsx]Sheet1!R398C10</stp>
        <tr r="J398" s="1"/>
      </tp>
      <tp t="s">
        <v>S/A</v>
        <stp/>
        <stp>##V3_BDPV12</stp>
        <stp>912828NH Govt</stp>
        <stp>COUPON_FREQUENCY_DESCRIPTION</stp>
        <stp>[TREASURY.xlsx]Sheet1!R622C10</stp>
        <tr r="J622" s="1"/>
      </tp>
      <tp t="s">
        <v>S/A</v>
        <stp/>
        <stp>##V3_BDPV12</stp>
        <stp>912828MK Govt</stp>
        <stp>COUPON_FREQUENCY_DESCRIPTION</stp>
        <stp>[TREASURY.xlsx]Sheet1!R538C10</stp>
        <tr r="J538" s="1"/>
      </tp>
      <tp t="s">
        <v>S/A</v>
        <stp/>
        <stp>##V3_BDPV12</stp>
        <stp>912828AB Govt</stp>
        <stp>COUPON_FREQUENCY_DESCRIPTION</stp>
        <stp>[TREASURY.xlsx]Sheet1!R958C10</stp>
        <tr r="J958" s="1"/>
      </tp>
      <tp t="s">
        <v>S/A</v>
        <stp/>
        <stp>##V3_BDPV12</stp>
        <stp>912828LJ Govt</stp>
        <stp>COUPON_FREQUENCY_DESCRIPTION</stp>
        <stp>[TREASURY.xlsx]Sheet1!R485C10</stp>
        <tr r="J485" s="1"/>
      </tp>
      <tp t="s">
        <v>S/A</v>
        <stp/>
        <stp>##V3_BDPV12</stp>
        <stp>912828KD Govt</stp>
        <stp>COUPON_FREQUENCY_DESCRIPTION</stp>
        <stp>[TREASURY.xlsx]Sheet1!R364C10</stp>
        <tr r="J364" s="1"/>
      </tp>
      <tp t="s">
        <v>S/A</v>
        <stp/>
        <stp>##V3_BDPV12</stp>
        <stp>912828ME Govt</stp>
        <stp>COUPON_FREQUENCY_DESCRIPTION</stp>
        <stp>[TREASURY.xlsx]Sheet1!R574C10</stp>
        <tr r="J574" s="1"/>
      </tp>
      <tp t="s">
        <v>S/A</v>
        <stp/>
        <stp>##V3_BDPV12</stp>
        <stp>912828ND Govt</stp>
        <stp>COUPON_FREQUENCY_DESCRIPTION</stp>
        <stp>[TREASURY.xlsx]Sheet1!R645C10</stp>
        <tr r="J645" s="1"/>
      </tp>
      <tp t="s">
        <v>S/A</v>
        <stp/>
        <stp>##V3_BDPV12</stp>
        <stp>912828MW Govt</stp>
        <stp>COUPON_FREQUENCY_DESCRIPTION</stp>
        <stp>[TREASURY.xlsx]Sheet1!R599C10</stp>
        <tr r="J599" s="1"/>
      </tp>
      <tp t="s">
        <v>S/A</v>
        <stp/>
        <stp>##V3_BDPV12</stp>
        <stp>912828LQ Govt</stp>
        <stp>COUPON_FREQUENCY_DESCRIPTION</stp>
        <stp>[TREASURY.xlsx]Sheet1!R486C10</stp>
        <tr r="J486" s="1"/>
      </tp>
      <tp t="s">
        <v>S/A</v>
        <stp/>
        <stp>##V3_BDPV12</stp>
        <stp>912828K8 Govt</stp>
        <stp>COUPON_FREQUENCY_DESCRIPTION</stp>
        <stp>[TREASURY.xlsx]Sheet1!R369C10</stp>
        <tr r="J369" s="1"/>
      </tp>
      <tp t="s">
        <v>S/A</v>
        <stp/>
        <stp>##V3_BDPV12</stp>
        <stp>912828J7 Govt</stp>
        <stp>COUPON_FREQUENCY_DESCRIPTION</stp>
        <stp>[TREASURY.xlsx]Sheet1!R204C10</stp>
        <tr r="J204" s="1"/>
      </tp>
      <tp t="s">
        <v>S/A</v>
        <stp/>
        <stp>##V3_BDPV12</stp>
        <stp>912828L6 Govt</stp>
        <stp>COUPON_FREQUENCY_DESCRIPTION</stp>
        <stp>[TREASURY.xlsx]Sheet1!R430C10</stp>
        <tr r="J430" s="1"/>
      </tp>
      <tp t="s">
        <v>S/A</v>
        <stp/>
        <stp>##V3_BDPV12</stp>
        <stp>912828N5 Govt</stp>
        <stp>COUPON_FREQUENCY_DESCRIPTION</stp>
        <stp>[TREASURY.xlsx]Sheet1!R600C10</stp>
        <tr r="J600" s="1"/>
      </tp>
      <tp t="s">
        <v>S/A</v>
        <stp/>
        <stp>##V3_BDPV12</stp>
        <stp>912828N6 Govt</stp>
        <stp>COUPON_FREQUENCY_DESCRIPTION</stp>
        <stp>[TREASURY.xlsx]Sheet1!R621C10</stp>
        <tr r="J621" s="1"/>
      </tp>
      <tp t="s">
        <v>S/A</v>
        <stp/>
        <stp>##V3_BDPV12</stp>
        <stp>912828M9 Govt</stp>
        <stp>COUPON_FREQUENCY_DESCRIPTION</stp>
        <stp>[TREASURY.xlsx]Sheet1!R592C10</stp>
        <tr r="J592" s="1"/>
      </tp>
      <tp t="s">
        <v>S/A</v>
        <stp/>
        <stp>##V3_BDPV12</stp>
        <stp>912828LK Govt</stp>
        <stp>COUPON_FREQUENCY_DESCRIPTION</stp>
        <stp>[TREASURY.xlsx]Sheet1!R546C10</stp>
        <tr r="J546" s="1"/>
      </tp>
      <tp t="s">
        <v>S/A</v>
        <stp/>
        <stp>##V3_BDPV12</stp>
        <stp>912828LF Govt</stp>
        <stp>COUPON_FREQUENCY_DESCRIPTION</stp>
        <stp>[TREASURY.xlsx]Sheet1!R584C10</stp>
        <tr r="J584" s="1"/>
      </tp>
      <tp t="s">
        <v>S/A</v>
        <stp/>
        <stp>##V3_BDPV12</stp>
        <stp>912828LB Govt</stp>
        <stp>COUPON_FREQUENCY_DESCRIPTION</stp>
        <stp>[TREASURY.xlsx]Sheet1!R558C10</stp>
        <tr r="J558" s="1"/>
      </tp>
      <tp t="s">
        <v>S/A</v>
        <stp/>
        <stp>##V3_BDPV12</stp>
        <stp>912828AG Govt</stp>
        <stp>COUPON_FREQUENCY_DESCRIPTION</stp>
        <stp>[TREASURY.xlsx]Sheet1!R837C10</stp>
        <tr r="J837" s="1"/>
      </tp>
      <tp t="s">
        <v>S/A</v>
        <stp/>
        <stp>##V3_BDPV12</stp>
        <stp>912828MU Govt</stp>
        <stp>COUPON_FREQUENCY_DESCRIPTION</stp>
        <stp>[TREASURY.xlsx]Sheet1!R494C10</stp>
        <tr r="J494" s="1"/>
      </tp>
      <tp t="s">
        <v>S/A</v>
        <stp/>
        <stp>##V3_BDPV12</stp>
        <stp>912828JR Govt</stp>
        <stp>COUPON_FREQUENCY_DESCRIPTION</stp>
        <stp>[TREASURY.xlsx]Sheet1!R396C10</stp>
        <tr r="J396" s="1"/>
      </tp>
      <tp t="s">
        <v>S/A</v>
        <stp/>
        <stp>##V3_BDPV12</stp>
        <stp>912828LX Govt</stp>
        <stp>COUPON_FREQUENCY_DESCRIPTION</stp>
        <stp>[TREASURY.xlsx]Sheet1!R535C10</stp>
        <tr r="J535" s="1"/>
      </tp>
      <tp t="s">
        <v>S/A</v>
        <stp/>
        <stp>##V3_BDPV12</stp>
        <stp>912828LZ Govt</stp>
        <stp>COUPON_FREQUENCY_DESCRIPTION</stp>
        <stp>[TREASURY.xlsx]Sheet1!R515C10</stp>
        <tr r="J515" s="1"/>
      </tp>
      <tp t="s">
        <v>S/A</v>
        <stp/>
        <stp>##V3_BDPV12</stp>
        <stp>912828MQ Govt</stp>
        <stp>COUPON_FREQUENCY_DESCRIPTION</stp>
        <stp>[TREASURY.xlsx]Sheet1!R483C10</stp>
        <tr r="J483" s="1"/>
      </tp>
      <tp t="s">
        <v>S/A</v>
        <stp/>
        <stp>##V3_BDPV12</stp>
        <stp>912828J4 Govt</stp>
        <stp>COUPON_FREQUENCY_DESCRIPTION</stp>
        <stp>[TREASURY.xlsx]Sheet1!R308C10</stp>
        <tr r="J308" s="1"/>
      </tp>
      <tp t="s">
        <v>S/A</v>
        <stp/>
        <stp>##V3_BDPV12</stp>
        <stp>912828M7 Govt</stp>
        <stp>COUPON_FREQUENCY_DESCRIPTION</stp>
        <stp>[TREASURY.xlsx]Sheet1!R443C10</stp>
        <tr r="J443" s="1"/>
      </tp>
      <tp t="s">
        <v>S/A</v>
        <stp/>
        <stp>##V3_BDPV12</stp>
        <stp>912828CH Govt</stp>
        <stp>COUPON_FREQUENCY_DESCRIPTION</stp>
        <stp>[TREASURY.xlsx]Sheet1!R559C10</stp>
        <tr r="J559" s="1"/>
      </tp>
      <tp t="s">
        <v>S/A</v>
        <stp/>
        <stp>##V3_BDPV12</stp>
        <stp>912828BH Govt</stp>
        <stp>COUPON_FREQUENCY_DESCRIPTION</stp>
        <stp>[TREASURY.xlsx]Sheet1!R452C10</stp>
        <tr r="J452" s="1"/>
      </tp>
      <tp t="s">
        <v>S/A</v>
        <stp/>
        <stp>##V3_BDPV12</stp>
        <stp>912828NL Govt</stp>
        <stp>COUPON_FREQUENCY_DESCRIPTION</stp>
        <stp>[TREASURY.xlsx]Sheet1!R863C10</stp>
        <tr r="J863" s="1"/>
      </tp>
      <tp t="s">
        <v>S/A</v>
        <stp/>
        <stp>##V3_BDPV12</stp>
        <stp>912828BB Govt</stp>
        <stp>COUPON_FREQUENCY_DESCRIPTION</stp>
        <stp>[TREASURY.xlsx]Sheet1!R482C10</stp>
        <tr r="J482" s="1"/>
      </tp>
      <tp t="s">
        <v>S/A</v>
        <stp/>
        <stp>##V3_BDPV12</stp>
        <stp>912828CL Govt</stp>
        <stp>COUPON_FREQUENCY_DESCRIPTION</stp>
        <stp>[TREASURY.xlsx]Sheet1!R557C10</stp>
        <tr r="J557" s="1"/>
      </tp>
      <tp t="s">
        <v>S/A</v>
        <stp/>
        <stp>##V3_BDPV12</stp>
        <stp>912828NN Govt</stp>
        <stp>COUPON_FREQUENCY_DESCRIPTION</stp>
        <stp>[TREASURY.xlsx]Sheet1!R864C10</stp>
        <tr r="J864" s="1"/>
      </tp>
      <tp t="s">
        <v>S/A</v>
        <stp/>
        <stp>##V3_BDPV12</stp>
        <stp>912828BM Govt</stp>
        <stp>COUPON_FREQUENCY_DESCRIPTION</stp>
        <stp>[TREASURY.xlsx]Sheet1!R453C10</stp>
        <tr r="J453" s="1"/>
      </tp>
      <tp t="s">
        <v>S/A</v>
        <stp/>
        <stp>##V3_BDPV12</stp>
        <stp>912828BG Govt</stp>
        <stp>COUPON_FREQUENCY_DESCRIPTION</stp>
        <stp>[TREASURY.xlsx]Sheet1!R427C10</stp>
        <tr r="J427" s="1"/>
      </tp>
      <tp t="s">
        <v>S/A</v>
        <stp/>
        <stp>##V3_BDPV12</stp>
        <stp>912828NC Govt</stp>
        <stp>COUPON_FREQUENCY_DESCRIPTION</stp>
        <stp>[TREASURY.xlsx]Sheet1!R862C10</stp>
        <tr r="J862" s="1"/>
      </tp>
      <tp t="s">
        <v>S/A</v>
        <stp/>
        <stp>##V3_BDPV12</stp>
        <stp>912828BA Govt</stp>
        <stp>COUPON_FREQUENCY_DESCRIPTION</stp>
        <stp>[TREASURY.xlsx]Sheet1!R408C10</stp>
        <tr r="J408" s="1"/>
      </tp>
      <tp t="s">
        <v>S/A</v>
        <stp/>
        <stp>##V3_BDPV12</stp>
        <stp>912828BV Govt</stp>
        <stp>COUPON_FREQUENCY_DESCRIPTION</stp>
        <stp>[TREASURY.xlsx]Sheet1!R495C10</stp>
        <tr r="J495" s="1"/>
      </tp>
      <tp t="s">
        <v>S/A</v>
        <stp/>
        <stp>##V3_BDPV12</stp>
        <stp>912828AS Govt</stp>
        <stp>COUPON_FREQUENCY_DESCRIPTION</stp>
        <stp>[TREASURY.xlsx]Sheet1!R785C10</stp>
        <tr r="J785" s="1"/>
      </tp>
      <tp t="s">
        <v>S/A</v>
        <stp/>
        <stp>##V3_BDPV12</stp>
        <stp>912828BZ Govt</stp>
        <stp>COUPON_FREQUENCY_DESCRIPTION</stp>
        <stp>[TREASURY.xlsx]Sheet1!R436C10</stp>
        <tr r="J436" s="1"/>
      </tp>
      <tp t="s">
        <v>S/A</v>
        <stp/>
        <stp>##V3_BDPV12</stp>
        <stp>912828CV Govt</stp>
        <stp>COUPON_FREQUENCY_DESCRIPTION</stp>
        <stp>[TREASURY.xlsx]Sheet1!R508C10</stp>
        <tr r="J508" s="1"/>
      </tp>
      <tp t="s">
        <v>S/A</v>
        <stp/>
        <stp>##V3_BDPV12</stp>
        <stp>912828NP Govt</stp>
        <stp>COUPON_FREQUENCY_DESCRIPTION</stp>
        <stp>[TREASURY.xlsx]Sheet1!R865C10</stp>
        <tr r="J865" s="1"/>
      </tp>
      <tp t="s">
        <v>S/A</v>
        <stp/>
        <stp>##V3_BDPV12</stp>
        <stp>912828CT Govt</stp>
        <stp>COUPON_FREQUENCY_DESCRIPTION</stp>
        <stp>[TREASURY.xlsx]Sheet1!R514C10</stp>
        <tr r="J514" s="1"/>
      </tp>
      <tp t="s">
        <v>S/A</v>
        <stp/>
        <stp>##V3_BDPV12</stp>
        <stp>912828CR Govt</stp>
        <stp>COUPON_FREQUENCY_DESCRIPTION</stp>
        <stp>[TREASURY.xlsx]Sheet1!R510C10</stp>
        <tr r="J510" s="1"/>
      </tp>
      <tp t="s">
        <v>S/A</v>
        <stp/>
        <stp>##V3_BDPV12</stp>
        <stp>912828BQ Govt</stp>
        <stp>COUPON_FREQUENCY_DESCRIPTION</stp>
        <stp>[TREASURY.xlsx]Sheet1!R435C10</stp>
        <tr r="J435" s="1"/>
      </tp>
      <tp t="s">
        <v>S/A</v>
        <stp/>
        <stp>##V3_BDPV12</stp>
        <stp>912828EX Govt</stp>
        <stp>COUPON_FREQUENCY_DESCRIPTION</stp>
        <stp>[TREASURY.xlsx]Sheet1!R397C10</stp>
        <tr r="J397" s="1"/>
      </tp>
      <tp t="s">
        <v>S/A</v>
        <stp/>
        <stp>##V3_BDPV12</stp>
        <stp>912828B4 Govt</stp>
        <stp>COUPON_FREQUENCY_DESCRIPTION</stp>
        <stp>[TREASURY.xlsx]Sheet1!R458C10</stp>
        <tr r="J458" s="1"/>
      </tp>
      <tp t="s">
        <v>S/A</v>
        <stp/>
        <stp>##V3_BDPV12</stp>
        <stp>912828G3 Govt</stp>
        <stp>COUPON_FREQUENCY_DESCRIPTION</stp>
        <stp>[TREASURY.xlsx]Sheet1!R137C10</stp>
        <tr r="J137" s="1"/>
      </tp>
      <tp t="s">
        <v>S/A</v>
        <stp/>
        <stp>##V3_BDPV12</stp>
        <stp>912828BL Govt</stp>
        <stp>COUPON_FREQUENCY_DESCRIPTION</stp>
        <stp>[TREASURY.xlsx]Sheet1!R513C10</stp>
        <tr r="J513" s="1"/>
      </tp>
      <tp t="s">
        <v>S/A</v>
        <stp/>
        <stp>##V3_BDPV12</stp>
        <stp>912828NK Govt</stp>
        <stp>COUPON_FREQUENCY_DESCRIPTION</stp>
        <stp>[TREASURY.xlsx]Sheet1!R978C10</stp>
        <tr r="J978" s="1"/>
      </tp>
      <tp t="s">
        <v>S/A</v>
        <stp/>
        <stp>##V3_BDPV12</stp>
        <stp>912828AN Govt</stp>
        <stp>COUPON_FREQUENCY_DESCRIPTION</stp>
        <stp>[TREASURY.xlsx]Sheet1!R657C10</stp>
        <tr r="J657" s="1"/>
      </tp>
      <tp t="s">
        <v>S/A</v>
        <stp/>
        <stp>##V3_BDPV12</stp>
        <stp>912828AL Govt</stp>
        <stp>COUPON_FREQUENCY_DESCRIPTION</stp>
        <stp>[TREASURY.xlsx]Sheet1!R666C10</stp>
        <tr r="J666" s="1"/>
      </tp>
      <tp t="s">
        <v>S/A</v>
        <stp/>
        <stp>##V3_BDPV12</stp>
        <stp>912828DC Govt</stp>
        <stp>COUPON_FREQUENCY_DESCRIPTION</stp>
        <stp>[TREASURY.xlsx]Sheet1!R352C10</stp>
        <tr r="J352" s="1"/>
      </tp>
      <tp t="s">
        <v>S/A</v>
        <stp/>
        <stp>##V3_BDPV12</stp>
        <stp>912828CM Govt</stp>
        <stp>COUPON_FREQUENCY_DESCRIPTION</stp>
        <stp>[TREASURY.xlsx]Sheet1!R493C10</stp>
        <tr r="J493" s="1"/>
      </tp>
      <tp t="s">
        <v>S/A</v>
        <stp/>
        <stp>##V3_BDPV12</stp>
        <stp>912828NE Govt</stp>
        <stp>COUPON_FREQUENCY_DESCRIPTION</stp>
        <stp>[TREASURY.xlsx]Sheet1!R977C10</stp>
        <tr r="J977" s="1"/>
      </tp>
      <tp t="s">
        <v>S/A</v>
        <stp/>
        <stp>##V3_BDPV12</stp>
        <stp>912828CF Govt</stp>
        <stp>COUPON_FREQUENCY_DESCRIPTION</stp>
        <stp>[TREASURY.xlsx]Sheet1!R465C10</stp>
        <tr r="J465" s="1"/>
      </tp>
      <tp t="s">
        <v>S/A</v>
        <stp/>
        <stp>##V3_BDPV12</stp>
        <stp>912828CY Govt</stp>
        <stp>COUPON_FREQUENCY_DESCRIPTION</stp>
        <stp>[TREASURY.xlsx]Sheet1!R477C10</stp>
        <tr r="J477" s="1"/>
      </tp>
      <tp t="s">
        <v>S/A</v>
        <stp/>
        <stp>##V3_BDPV12</stp>
        <stp>912828BX Govt</stp>
        <stp>COUPON_FREQUENCY_DESCRIPTION</stp>
        <stp>[TREASURY.xlsx]Sheet1!R556C10</stp>
        <tr r="J556" s="1"/>
      </tp>
      <tp t="s">
        <v>S/A</v>
        <stp/>
        <stp>##V3_BDPV12</stp>
        <stp>912828BY Govt</stp>
        <stp>COUPON_FREQUENCY_DESCRIPTION</stp>
        <stp>[TREASURY.xlsx]Sheet1!R506C10</stp>
        <tr r="J506" s="1"/>
      </tp>
      <tp t="s">
        <v>S/A</v>
        <stp/>
        <stp>##V3_BDPV12</stp>
        <stp>912828AR Govt</stp>
        <stp>COUPON_FREQUENCY_DESCRIPTION</stp>
        <stp>[TREASURY.xlsx]Sheet1!R658C10</stp>
        <tr r="J658" s="1"/>
      </tp>
      <tp t="s">
        <v>S/A</v>
        <stp/>
        <stp>##V3_BDPV12</stp>
        <stp>912828AT Govt</stp>
        <stp>COUPON_FREQUENCY_DESCRIPTION</stp>
        <stp>[TREASURY.xlsx]Sheet1!R635C10</stp>
        <tr r="J635" s="1"/>
      </tp>
      <tp t="s">
        <v>S/A</v>
        <stp/>
        <stp>##V3_BDPV12</stp>
        <stp>912828BU Govt</stp>
        <stp>COUPON_FREQUENCY_DESCRIPTION</stp>
        <stp>[TREASURY.xlsx]Sheet1!R533C10</stp>
        <tr r="J533" s="1"/>
      </tp>
      <tp t="s">
        <v>S/A</v>
        <stp/>
        <stp>##V3_BDPV12</stp>
        <stp>912828AV Govt</stp>
        <stp>COUPON_FREQUENCY_DESCRIPTION</stp>
        <stp>[TREASURY.xlsx]Sheet1!R602C10</stp>
        <tr r="J602" s="1"/>
      </tp>
      <tp t="s">
        <v>S/A</v>
        <stp/>
        <stp>##V3_BDPV12</stp>
        <stp>912828BR Govt</stp>
        <stp>COUPON_FREQUENCY_DESCRIPTION</stp>
        <stp>[TREASURY.xlsx]Sheet1!R541C10</stp>
        <tr r="J541" s="1"/>
      </tp>
      <tp t="s">
        <v>S/A</v>
        <stp/>
        <stp>##V3_BDPV12</stp>
        <stp>912828CS Govt</stp>
        <stp>COUPON_FREQUENCY_DESCRIPTION</stp>
        <stp>[TREASURY.xlsx]Sheet1!R462C10</stp>
        <tr r="J462" s="1"/>
      </tp>
      <tp t="s">
        <v>S/A</v>
        <stp/>
        <stp>##V3_BDPV12</stp>
        <stp>912828NS Govt</stp>
        <stp>COUPON_FREQUENCY_DESCRIPTION</stp>
        <stp>[TREASURY.xlsx]Sheet1!R979C10</stp>
        <tr r="J979" s="1"/>
      </tp>
      <tp t="s">
        <v>S/A</v>
        <stp/>
        <stp>##V3_BDPV12</stp>
        <stp>912828AW Govt</stp>
        <stp>COUPON_FREQUENCY_DESCRIPTION</stp>
        <stp>[TREASURY.xlsx]Sheet1!R667C10</stp>
        <tr r="J667" s="1"/>
      </tp>
      <tp t="s">
        <v>S/A</v>
        <stp/>
        <stp>##V3_BDPV12</stp>
        <stp>912828NX Govt</stp>
        <stp>COUPON_FREQUENCY_DESCRIPTION</stp>
        <stp>[TREASURY.xlsx]Sheet1!R980C10</stp>
        <tr r="J980" s="1"/>
      </tp>
      <tp t="s">
        <v>S/A</v>
        <stp/>
        <stp>##V3_BDPV12</stp>
        <stp>912828B8 Govt</stp>
        <stp>COUPON_FREQUENCY_DESCRIPTION</stp>
        <stp>[TREASURY.xlsx]Sheet1!R571C10</stp>
        <tr r="J571" s="1"/>
      </tp>
      <tp t="s">
        <v>S/A</v>
        <stp/>
        <stp>##V3_BDPV12</stp>
        <stp>912828C4 Govt</stp>
        <stp>COUPON_FREQUENCY_DESCRIPTION</stp>
        <stp>[TREASURY.xlsx]Sheet1!R492C10</stp>
        <tr r="J492" s="1"/>
      </tp>
      <tp t="s">
        <v>S/A</v>
        <stp/>
        <stp>##V3_BDPV12</stp>
        <stp>912828A9 Govt</stp>
        <stp>COUPON_FREQUENCY_DESCRIPTION</stp>
        <stp>[TREASURY.xlsx]Sheet1!R640C10</stp>
        <tr r="J640" s="1"/>
      </tp>
      <tp t="s">
        <v>S/A</v>
        <stp/>
        <stp>##V3_BDPV12</stp>
        <stp>912828C7 Govt</stp>
        <stp>COUPON_FREQUENCY_DESCRIPTION</stp>
        <stp>[TREASURY.xlsx]Sheet1!R416C10</stp>
        <tr r="J416" s="1"/>
      </tp>
      <tp t="s">
        <v>S/A</v>
        <stp/>
        <stp>##V3_BDPV12</stp>
        <stp>912828D7 Govt</stp>
        <stp>COUPON_FREQUENCY_DESCRIPTION</stp>
        <stp>[TREASURY.xlsx]Sheet1!R332C10</stp>
        <tr r="J332" s="1"/>
      </tp>
      <tp t="s">
        <v>S/A</v>
        <stp/>
        <stp>##V3_BDPV12</stp>
        <stp>912828A3 Govt</stp>
        <stp>COUPON_FREQUENCY_DESCRIPTION</stp>
        <stp>[TREASURY.xlsx]Sheet1!R627C10</stp>
        <tr r="J627" s="1"/>
      </tp>
      <tp t="s">
        <v>S/A</v>
        <stp/>
        <stp>##V3_BDPV12</stp>
        <stp>912828F9 Govt</stp>
        <stp>COUPON_FREQUENCY_DESCRIPTION</stp>
        <stp>[TREASURY.xlsx]Sheet1!R199C10</stp>
        <tr r="J199" s="1"/>
      </tp>
      <tp t="s">
        <v>S/A</v>
        <stp/>
        <stp>##V3_BDPV12</stp>
        <stp>912828CG Govt</stp>
        <stp>COUPON_FREQUENCY_DESCRIPTION</stp>
        <stp>[TREASURY.xlsx]Sheet1!R789C10</stp>
        <tr r="J789" s="1"/>
      </tp>
      <tp t="s">
        <v>S/A</v>
        <stp/>
        <stp>##V3_BDPV12</stp>
        <stp>912828MH Govt</stp>
        <stp>COUPON_FREQUENCY_DESCRIPTION</stp>
        <stp>[TREASURY.xlsx]Sheet1!R976C10</stp>
        <tr r="J976" s="1"/>
      </tp>
      <tp t="s">
        <v>S/A</v>
        <stp/>
        <stp>##V3_BDPV12</stp>
        <stp>912828BJ Govt</stp>
        <stp>COUPON_FREQUENCY_DESCRIPTION</stp>
        <stp>[TREASURY.xlsx]Sheet1!R642C10</stp>
        <tr r="J642" s="1"/>
      </tp>
      <tp t="s">
        <v>S/A</v>
        <stp/>
        <stp>##V3_BDPV12</stp>
        <stp>912828GM Govt</stp>
        <stp>COUPON_FREQUENCY_DESCRIPTION</stp>
        <stp>[TREASURY.xlsx]Sheet1!R379C10</stp>
        <tr r="J379" s="1"/>
      </tp>
      <tp t="s">
        <v>S/A</v>
        <stp/>
        <stp>##V3_BDPV12</stp>
        <stp>912828AJ Govt</stp>
        <stp>COUPON_FREQUENCY_DESCRIPTION</stp>
        <stp>[TREASURY.xlsx]Sheet1!R531C10</stp>
        <tr r="J531" s="1"/>
      </tp>
      <tp t="s">
        <v>S/A</v>
        <stp/>
        <stp>##V3_BDPV12</stp>
        <stp>912828BC Govt</stp>
        <stp>COUPON_FREQUENCY_DESCRIPTION</stp>
        <stp>[TREASURY.xlsx]Sheet1!R641C10</stp>
        <tr r="J641" s="1"/>
      </tp>
      <tp t="s">
        <v>S/A</v>
        <stp/>
        <stp>##V3_BDPV12</stp>
        <stp>912828LG Govt</stp>
        <stp>COUPON_FREQUENCY_DESCRIPTION</stp>
        <stp>[TREASURY.xlsx]Sheet1!R815C10</stp>
        <tr r="J815" s="1"/>
      </tp>
      <tp t="s">
        <v>S/A</v>
        <stp/>
        <stp>##V3_BDPV12</stp>
        <stp>912828AE Govt</stp>
        <stp>COUPON_FREQUENCY_DESCRIPTION</stp>
        <stp>[TREASURY.xlsx]Sheet1!R530C10</stp>
        <tr r="J530" s="1"/>
      </tp>
      <tp t="s">
        <v>S/A</v>
        <stp/>
        <stp>##V3_BDPV12</stp>
        <stp>912828LD Govt</stp>
        <stp>COUPON_FREQUENCY_DESCRIPTION</stp>
        <stp>[TREASURY.xlsx]Sheet1!R814C10</stp>
        <tr r="J814" s="1"/>
      </tp>
      <tp t="s">
        <v>S/A</v>
        <stp/>
        <stp>##V3_BDPV12</stp>
        <stp>912828CK Govt</stp>
        <stp>COUPON_FREQUENCY_DESCRIPTION</stp>
        <stp>[TREASURY.xlsx]Sheet1!R790C10</stp>
        <tr r="J790" s="1"/>
      </tp>
      <tp t="s">
        <v>S/A</v>
        <stp/>
        <stp>##V3_BDPV12</stp>
        <stp>912828AY Govt</stp>
        <stp>COUPON_FREQUENCY_DESCRIPTION</stp>
        <stp>[TREASURY.xlsx]Sheet1!R507C10</stp>
        <tr r="J507" s="1"/>
      </tp>
      <tp t="s">
        <v>S/A</v>
        <stp/>
        <stp>##V3_BDPV12</stp>
        <stp>912828AX Govt</stp>
        <stp>COUPON_FREQUENCY_DESCRIPTION</stp>
        <stp>[TREASURY.xlsx]Sheet1!R502C10</stp>
        <tr r="J502" s="1"/>
      </tp>
      <tp t="s">
        <v>S/A</v>
        <stp/>
        <stp>##V3_BDPV12</stp>
        <stp>912828LS Govt</stp>
        <stp>COUPON_FREQUENCY_DESCRIPTION</stp>
        <stp>[TREASURY.xlsx]Sheet1!R858C10</stp>
        <tr r="J858" s="1"/>
      </tp>
      <tp t="s">
        <v>S/A</v>
        <stp/>
        <stp>##V3_BDPV12</stp>
        <stp>912828BP Govt</stp>
        <stp>COUPON_FREQUENCY_DESCRIPTION</stp>
        <stp>[TREASURY.xlsx]Sheet1!R648C10</stp>
        <tr r="J648" s="1"/>
      </tp>
      <tp t="s">
        <v>S/A</v>
        <stp/>
        <stp>##V3_BDPV12</stp>
        <stp>912828LU Govt</stp>
        <stp>COUPON_FREQUENCY_DESCRIPTION</stp>
        <stp>[TREASURY.xlsx]Sheet1!R818C10</stp>
        <tr r="J818" s="1"/>
      </tp>
      <tp t="s">
        <v>S/A</v>
        <stp/>
        <stp>##V3_BDPV12</stp>
        <stp>912828LR Govt</stp>
        <stp>COUPON_FREQUENCY_DESCRIPTION</stp>
        <stp>[TREASURY.xlsx]Sheet1!R817C10</stp>
        <tr r="J817" s="1"/>
      </tp>
      <tp t="s">
        <v>S/A</v>
        <stp/>
        <stp>##V3_BDPV12</stp>
        <stp>912828BS Govt</stp>
        <stp>COUPON_FREQUENCY_DESCRIPTION</stp>
        <stp>[TREASURY.xlsx]Sheet1!R628C10</stp>
        <tr r="J628" s="1"/>
      </tp>
      <tp t="s">
        <v>S/A</v>
        <stp/>
        <stp>##V3_BDPV12</stp>
        <stp>912828LP Govt</stp>
        <stp>COUPON_FREQUENCY_DESCRIPTION</stp>
        <stp>[TREASURY.xlsx]Sheet1!R816C10</stp>
        <tr r="J816" s="1"/>
      </tp>
      <tp t="s">
        <v>S/A</v>
        <stp/>
        <stp>##V3_BDPV12</stp>
        <stp>912828AQ Govt</stp>
        <stp>COUPON_FREQUENCY_DESCRIPTION</stp>
        <stp>[TREASURY.xlsx]Sheet1!R512C10</stp>
        <tr r="J512" s="1"/>
      </tp>
      <tp t="s">
        <v>S/A</v>
        <stp/>
        <stp>##V3_BDPV12</stp>
        <stp>912828A6 Govt</stp>
        <stp>COUPON_FREQUENCY_DESCRIPTION</stp>
        <stp>[TREASURY.xlsx]Sheet1!R580C10</stp>
        <tr r="J580" s="1"/>
      </tp>
      <tp t="s">
        <v>S/A</v>
        <stp/>
        <stp>##V3_BDPV12</stp>
        <stp>912828F2 Govt</stp>
        <stp>COUPON_FREQUENCY_DESCRIPTION</stp>
        <stp>[TREASURY.xlsx]Sheet1!R207C10</stp>
        <tr r="J207" s="1"/>
      </tp>
      <tp t="s">
        <v>S/A</v>
        <stp/>
        <stp>##V3_BDPV12</stp>
        <stp>912828B5 Govt</stp>
        <stp>COUPON_FREQUENCY_DESCRIPTION</stp>
        <stp>[TREASURY.xlsx]Sheet1!R647C10</stp>
        <tr r="J647" s="1"/>
      </tp>
      <tp t="s">
        <v>S/A</v>
        <stp/>
        <stp>##V3_BDPV12</stp>
        <stp>912828A4 Govt</stp>
        <stp>COUPON_FREQUENCY_DESCRIPTION</stp>
        <stp>[TREASURY.xlsx]Sheet1!R555C10</stp>
        <tr r="J555" s="1"/>
      </tp>
      <tp t="s">
        <v>S/A</v>
        <stp/>
        <stp>##V3_BDPV12</stp>
        <stp>912828C8 Govt</stp>
        <stp>COUPON_FREQUENCY_DESCRIPTION</stp>
        <stp>[TREASURY.xlsx]Sheet1!R788C10</stp>
        <tr r="J788" s="1"/>
      </tp>
      <tp t="s">
        <v>S/A</v>
        <stp/>
        <stp>##V3_BDPV12</stp>
        <stp>912828MM Govt</stp>
        <stp>COUPON_FREQUENCY_DESCRIPTION</stp>
        <stp>[TREASURY.xlsx]Sheet1!R821C10</stp>
        <tr r="J821" s="1"/>
      </tp>
      <tp t="s">
        <v>S/A</v>
        <stp/>
        <stp>##V3_BDPV12</stp>
        <stp>912828MN Govt</stp>
        <stp>COUPON_FREQUENCY_DESCRIPTION</stp>
        <stp>[TREASURY.xlsx]Sheet1!R822C10</stp>
        <tr r="J822" s="1"/>
      </tp>
      <tp t="s">
        <v>S/A</v>
        <stp/>
        <stp>##V3_BDPV12</stp>
        <stp>912828MJ Govt</stp>
        <stp>COUPON_FREQUENCY_DESCRIPTION</stp>
        <stp>[TREASURY.xlsx]Sheet1!R820C10</stp>
        <tr r="J820" s="1"/>
      </tp>
      <tp t="s">
        <v>S/A</v>
        <stp/>
        <stp>##V3_BDPV12</stp>
        <stp>912828CN Govt</stp>
        <stp>COUPON_FREQUENCY_DESCRIPTION</stp>
        <stp>[TREASURY.xlsx]Sheet1!R696C10</stp>
        <tr r="J696" s="1"/>
      </tp>
      <tp t="s">
        <v>S/A</v>
        <stp/>
        <stp>##V3_BDPV12</stp>
        <stp>912828AD Govt</stp>
        <stp>COUPON_FREQUENCY_DESCRIPTION</stp>
        <stp>[TREASURY.xlsx]Sheet1!R412C10</stp>
        <tr r="J412" s="1"/>
      </tp>
      <tp t="s">
        <v>S/A</v>
        <stp/>
        <stp>##V3_BDPV12</stp>
        <stp>912828MB Govt</stp>
        <stp>COUPON_FREQUENCY_DESCRIPTION</stp>
        <stp>[TREASURY.xlsx]Sheet1!R819C10</stp>
        <tr r="J819" s="1"/>
      </tp>
      <tp t="s">
        <v>S/A</v>
        <stp/>
        <stp>##V3_BDPV12</stp>
        <stp>912828AA Govt</stp>
        <stp>COUPON_FREQUENCY_DESCRIPTION</stp>
        <stp>[TREASURY.xlsx]Sheet1!R426C10</stp>
        <tr r="J426" s="1"/>
      </tp>
      <tp t="s">
        <v>S/A</v>
        <stp/>
        <stp>##V3_BDPV12</stp>
        <stp>912828BK Govt</stp>
        <stp>COUPON_FREQUENCY_DESCRIPTION</stp>
        <stp>[TREASURY.xlsx]Sheet1!R786C10</stp>
        <tr r="J786" s="1"/>
      </tp>
      <tp t="s">
        <v>S/A</v>
        <stp/>
        <stp>##V3_BDPV12</stp>
        <stp>912828MD Govt</stp>
        <stp>COUPON_FREQUENCY_DESCRIPTION</stp>
        <stp>[TREASURY.xlsx]Sheet1!R859C10</stp>
        <tr r="J859" s="1"/>
      </tp>
      <tp t="s">
        <v>S/A</v>
        <stp/>
        <stp>##V3_BDPV12</stp>
        <stp>912828MG Govt</stp>
        <stp>COUPON_FREQUENCY_DESCRIPTION</stp>
        <stp>[TREASURY.xlsx]Sheet1!R860C10</stp>
        <tr r="J860" s="1"/>
      </tp>
      <tp t="s">
        <v>S/A</v>
        <stp/>
        <stp>##V3_BDPV12</stp>
        <stp>912828CX Govt</stp>
        <stp>COUPON_FREQUENCY_DESCRIPTION</stp>
        <stp>[TREASURY.xlsx]Sheet1!R659C10</stp>
        <tr r="J659" s="1"/>
      </tp>
      <tp t="s">
        <v>S/A</v>
        <stp/>
        <stp>##V3_BDPV12</stp>
        <stp>912828BT Govt</stp>
        <stp>COUPON_FREQUENCY_DESCRIPTION</stp>
        <stp>[TREASURY.xlsx]Sheet1!R787C10</stp>
        <tr r="J787" s="1"/>
      </tp>
      <tp t="s">
        <v>S/A</v>
        <stp/>
        <stp>##V3_BDPV12</stp>
        <stp>912828AZ Govt</stp>
        <stp>COUPON_FREQUENCY_DESCRIPTION</stp>
        <stp>[TREASURY.xlsx]Sheet1!R415C10</stp>
        <tr r="J415" s="1"/>
      </tp>
      <tp t="s">
        <v>S/A</v>
        <stp/>
        <stp>##V3_BDPV12</stp>
        <stp>912828MX Govt</stp>
        <stp>COUPON_FREQUENCY_DESCRIPTION</stp>
        <stp>[TREASURY.xlsx]Sheet1!R825C10</stp>
        <tr r="J825" s="1"/>
      </tp>
      <tp t="s">
        <v>S/A</v>
        <stp/>
        <stp>##V3_BDPV12</stp>
        <stp>912828CW Govt</stp>
        <stp>COUPON_FREQUENCY_DESCRIPTION</stp>
        <stp>[TREASURY.xlsx]Sheet1!R603C10</stp>
        <tr r="J603" s="1"/>
      </tp>
      <tp t="s">
        <v>S/A</v>
        <stp/>
        <stp>##V3_BDPV12</stp>
        <stp>912828CU Govt</stp>
        <stp>COUPON_FREQUENCY_DESCRIPTION</stp>
        <stp>[TREASURY.xlsx]Sheet1!R636C10</stp>
        <tr r="J636" s="1"/>
      </tp>
      <tp t="s">
        <v>S/A</v>
        <stp/>
        <stp>##V3_BDPV12</stp>
        <stp>912828MS Govt</stp>
        <stp>COUPON_FREQUENCY_DESCRIPTION</stp>
        <stp>[TREASURY.xlsx]Sheet1!R861C10</stp>
        <tr r="J861" s="1"/>
      </tp>
      <tp t="s">
        <v>S/A</v>
        <stp/>
        <stp>##V3_BDPV12</stp>
        <stp>912828MV Govt</stp>
        <stp>COUPON_FREQUENCY_DESCRIPTION</stp>
        <stp>[TREASURY.xlsx]Sheet1!R824C10</stp>
        <tr r="J824" s="1"/>
      </tp>
      <tp t="s">
        <v>S/A</v>
        <stp/>
        <stp>##V3_BDPV12</stp>
        <stp>912828LT Govt</stp>
        <stp>COUPON_FREQUENCY_DESCRIPTION</stp>
        <stp>[TREASURY.xlsx]Sheet1!R975C10</stp>
        <tr r="J975" s="1"/>
      </tp>
      <tp t="s">
        <v>S/A</v>
        <stp/>
        <stp>##V3_BDPV12</stp>
        <stp>912828AU Govt</stp>
        <stp>COUPON_FREQUENCY_DESCRIPTION</stp>
        <stp>[TREASURY.xlsx]Sheet1!R474C10</stp>
        <tr r="J474" s="1"/>
      </tp>
      <tp t="s">
        <v>S/A</v>
        <stp/>
        <stp>##V3_BDPV12</stp>
        <stp>912828FY Govt</stp>
        <stp>COUPON_FREQUENCY_DESCRIPTION</stp>
        <stp>[TREASURY.xlsx]Sheet1!R394C10</stp>
        <tr r="J394" s="1"/>
      </tp>
      <tp t="s">
        <v>S/A</v>
        <stp/>
        <stp>##V3_BDPV12</stp>
        <stp>912828MR Govt</stp>
        <stp>COUPON_FREQUENCY_DESCRIPTION</stp>
        <stp>[TREASURY.xlsx]Sheet1!R823C10</stp>
        <tr r="J823" s="1"/>
      </tp>
      <tp t="s">
        <v>S/A</v>
        <stp/>
        <stp>##V3_BDPV12</stp>
        <stp>912828A7 Govt</stp>
        <stp>COUPON_FREQUENCY_DESCRIPTION</stp>
        <stp>[TREASURY.xlsx]Sheet1!R481C10</stp>
        <tr r="J481" s="1"/>
      </tp>
      <tp t="s">
        <v>S/A</v>
        <stp/>
        <stp>##V3_BDPV12</stp>
        <stp>912828A8 Govt</stp>
        <stp>COUPON_FREQUENCY_DESCRIPTION</stp>
        <stp>[TREASURY.xlsx]Sheet1!R434C10</stp>
        <tr r="J434" s="1"/>
      </tp>
      <tp t="s">
        <v>S/A</v>
        <stp/>
        <stp>##V3_BDPV12</stp>
        <stp>912828C2 Govt</stp>
        <stp>COUPON_FREQUENCY_DESCRIPTION</stp>
        <stp>[TREASURY.xlsx]Sheet1!R688C10</stp>
        <tr r="J688" s="1"/>
      </tp>
      <tp t="s">
        <v>S/A</v>
        <stp/>
        <stp>##V3_BDPV12</stp>
        <stp>912828G8 Govt</stp>
        <stp>COUPON_FREQUENCY_DESCRIPTION</stp>
        <stp>[TREASURY.xlsx]Sheet1!R209C10</stp>
        <tr r="J209" s="1"/>
      </tp>
      <tp t="s">
        <v>S/A</v>
        <stp/>
        <stp>##V3_BDPV12</stp>
        <stp>912828G5 Govt</stp>
        <stp>COUPON_FREQUENCY_DESCRIPTION</stp>
        <stp>[TREASURY.xlsx]Sheet1!R230C10</stp>
        <tr r="J230" s="1"/>
      </tp>
      <tp t="s">
        <v>S/A</v>
        <stp/>
        <stp>##V3_BDPV12</stp>
        <stp>912828JK Govt</stp>
        <stp>COUPON_FREQUENCY_DESCRIPTION</stp>
        <stp>[TREASURY.xlsx]Sheet1!R854C10</stp>
        <tr r="J854" s="1"/>
      </tp>
      <tp t="s">
        <v>S/A</v>
        <stp/>
        <stp>##V3_BDPV12</stp>
        <stp>912828EE Govt</stp>
        <stp>COUPON_FREQUENCY_DESCRIPTION</stp>
        <stp>[TREASURY.xlsx]Sheet1!R795C10</stp>
        <tr r="J795" s="1"/>
      </tp>
      <tp t="s">
        <v>S/A</v>
        <stp/>
        <stp>##V3_BDPV12</stp>
        <stp>912828JM Govt</stp>
        <stp>COUPON_FREQUENCY_DESCRIPTION</stp>
        <stp>[TREASURY.xlsx]Sheet1!R810C10</stp>
        <tr r="J810" s="1"/>
      </tp>
      <tp t="s">
        <v>S/A</v>
        <stp/>
        <stp>##V3_BDPV12</stp>
        <stp>912828EC Govt</stp>
        <stp>COUPON_FREQUENCY_DESCRIPTION</stp>
        <stp>[TREASURY.xlsx]Sheet1!R794C10</stp>
        <tr r="J794" s="1"/>
      </tp>
      <tp t="s">
        <v>S/A</v>
        <stp/>
        <stp>##V3_BDPV12</stp>
        <stp>912828JC Govt</stp>
        <stp>COUPON_FREQUENCY_DESCRIPTION</stp>
        <stp>[TREASURY.xlsx]Sheet1!R853C10</stp>
        <tr r="J853" s="1"/>
      </tp>
      <tp t="s">
        <v>S/A</v>
        <stp/>
        <stp>##V3_BDPV12</stp>
        <stp>912828EL Govt</stp>
        <stp>COUPON_FREQUENCY_DESCRIPTION</stp>
        <stp>[TREASURY.xlsx]Sheet1!R797C10</stp>
        <tr r="J797" s="1"/>
      </tp>
      <tp t="s">
        <v>S/A</v>
        <stp/>
        <stp>##V3_BDPV12</stp>
        <stp>912828EK Govt</stp>
        <stp>COUPON_FREQUENCY_DESCRIPTION</stp>
        <stp>[TREASURY.xlsx]Sheet1!R796C10</stp>
        <tr r="J796" s="1"/>
      </tp>
      <tp t="s">
        <v>S/A</v>
        <stp/>
        <stp>##V3_BDPV12</stp>
        <stp>912828FF Govt</stp>
        <stp>COUPON_FREQUENCY_DESCRIPTION</stp>
        <stp>[TREASURY.xlsx]Sheet1!R475C10</stp>
        <tr r="J475" s="1"/>
      </tp>
      <tp t="s">
        <v>S/A</v>
        <stp/>
        <stp>##V3_BDPV12</stp>
        <stp>912828KZ Govt</stp>
        <stp>COUPON_FREQUENCY_DESCRIPTION</stp>
        <stp>[TREASURY.xlsx]Sheet1!R974C10</stp>
        <tr r="J974" s="1"/>
      </tp>
      <tp t="s">
        <v>S/A</v>
        <stp/>
        <stp>##V3_BDPV12</stp>
        <stp>912828DV Govt</stp>
        <stp>COUPON_FREQUENCY_DESCRIPTION</stp>
        <stp>[TREASURY.xlsx]Sheet1!R620C10</stp>
        <tr r="J620" s="1"/>
      </tp>
      <tp t="s">
        <v>S/A</v>
        <stp/>
        <stp>##V3_BDPV12</stp>
        <stp>912828KT Govt</stp>
        <stp>COUPON_FREQUENCY_DESCRIPTION</stp>
        <stp>[TREASURY.xlsx]Sheet1!R973C10</stp>
        <tr r="J973" s="1"/>
      </tp>
      <tp t="s">
        <v>S/A</v>
        <stp/>
        <stp>##V3_BDPV12</stp>
        <stp>912828GR Govt</stp>
        <stp>COUPON_FREQUENCY_DESCRIPTION</stp>
        <stp>[TREASURY.xlsx]Sheet1!R504C10</stp>
        <tr r="J504" s="1"/>
      </tp>
      <tp t="s">
        <v>S/A</v>
        <stp/>
        <stp>##V3_BDPV12</stp>
        <stp>912828JU Govt</stp>
        <stp>COUPON_FREQUENCY_DESCRIPTION</stp>
        <stp>[TREASURY.xlsx]Sheet1!R855C10</stp>
        <tr r="J855" s="1"/>
      </tp>
      <tp t="s">
        <v>S/A</v>
        <stp/>
        <stp>##V3_BDPV12</stp>
        <stp>912828JQ Govt</stp>
        <stp>COUPON_FREQUENCY_DESCRIPTION</stp>
        <stp>[TREASURY.xlsx]Sheet1!R811C10</stp>
        <tr r="J811" s="1"/>
      </tp>
      <tp t="s">
        <v>S/A</v>
        <stp/>
        <stp>##V3_BDPV12</stp>
        <stp>912828J9 Govt</stp>
        <stp>COUPON_FREQUENCY_DESCRIPTION</stp>
        <stp>[TREASURY.xlsx]Sheet1!R852C10</stp>
        <tr r="J852" s="1"/>
      </tp>
      <tp t="s">
        <v>S/A</v>
        <stp/>
        <stp>##V3_BDPV12</stp>
        <stp>912828D6 Govt</stp>
        <stp>COUPON_FREQUENCY_DESCRIPTION</stp>
        <stp>[TREASURY.xlsx]Sheet1!R613C10</stp>
        <tr r="J613" s="1"/>
      </tp>
      <tp t="s">
        <v>S/A</v>
        <stp/>
        <stp>##V3_BDPV12</stp>
        <stp>912828F6 Govt</stp>
        <stp>COUPON_FREQUENCY_DESCRIPTION</stp>
        <stp>[TREASURY.xlsx]Sheet1!R411C10</stp>
        <tr r="J411" s="1"/>
      </tp>
      <tp t="s">
        <v>S/A</v>
        <stp/>
        <stp>##V3_BDPV12</stp>
        <stp>912828D2 Govt</stp>
        <stp>COUPON_FREQUENCY_DESCRIPTION</stp>
        <stp>[TREASURY.xlsx]Sheet1!R619C10</stp>
        <tr r="J619" s="1"/>
      </tp>
      <tp t="s">
        <v>S/A</v>
        <stp/>
        <stp>##V3_BDPV12</stp>
        <stp>912828F3 Govt</stp>
        <stp>COUPON_FREQUENCY_DESCRIPTION</stp>
        <stp>[TREASURY.xlsx]Sheet1!R406C10</stp>
        <tr r="J406" s="1"/>
      </tp>
      <tp t="s">
        <v>S/A</v>
        <stp/>
        <stp>##V3_BDPV12</stp>
        <stp>912828G7 Govt</stp>
        <stp>COUPON_FREQUENCY_DESCRIPTION</stp>
        <stp>[TREASURY.xlsx]Sheet1!R560C10</stp>
        <tr r="J560" s="1"/>
      </tp>
      <tp t="s">
        <v>S/A</v>
        <stp/>
        <stp>##V3_BDPV12</stp>
        <stp>912828FM Govt</stp>
        <stp>COUPON_FREQUENCY_DESCRIPTION</stp>
        <stp>[TREASURY.xlsx]Sheet1!R532C10</stp>
        <tr r="J532" s="1"/>
      </tp>
      <tp t="s">
        <v>S/A</v>
        <stp/>
        <stp>##V3_BDPV12</stp>
        <stp>912828DD Govt</stp>
        <stp>COUPON_FREQUENCY_DESCRIPTION</stp>
        <stp>[TREASURY.xlsx]Sheet1!R791C10</stp>
        <tr r="J791" s="1"/>
      </tp>
      <tp t="s">
        <v>S/A</v>
        <stp/>
        <stp>##V3_BDPV12</stp>
        <stp>912828EN Govt</stp>
        <stp>COUPON_FREQUENCY_DESCRIPTION</stp>
        <stp>[TREASURY.xlsx]Sheet1!R649C10</stp>
        <tr r="J649" s="1"/>
      </tp>
      <tp t="s">
        <v>S/A</v>
        <stp/>
        <stp>##V3_BDPV12</stp>
        <stp>912828KL Govt</stp>
        <stp>COUPON_FREQUENCY_DESCRIPTION</stp>
        <stp>[TREASURY.xlsx]Sheet1!R857C10</stp>
        <tr r="J857" s="1"/>
      </tp>
      <tp t="s">
        <v>S/A</v>
        <stp/>
        <stp>##V3_BDPV12</stp>
        <stp>912828KF Govt</stp>
        <stp>COUPON_FREQUENCY_DESCRIPTION</stp>
        <stp>[TREASURY.xlsx]Sheet1!R812C10</stp>
        <tr r="J812" s="1"/>
      </tp>
      <tp t="s">
        <v>S/A</v>
        <stp/>
        <stp>##V3_BDPV12</stp>
        <stp>912828KA Govt</stp>
        <stp>COUPON_FREQUENCY_DESCRIPTION</stp>
        <stp>[TREASURY.xlsx]Sheet1!R856C10</stp>
        <tr r="J856" s="1"/>
      </tp>
      <tp t="s">
        <v>S/A</v>
        <stp/>
        <stp>##V3_BDPV12</stp>
        <stp>912828JD Govt</stp>
        <stp>COUPON_FREQUENCY_DESCRIPTION</stp>
        <stp>[TREASURY.xlsx]Sheet1!R971C10</stp>
        <tr r="J971" s="1"/>
      </tp>
      <tp t="s">
        <v>S/A</v>
        <stp/>
        <stp>##V3_BDPV12</stp>
        <stp>912828DW Govt</stp>
        <stp>COUPON_FREQUENCY_DESCRIPTION</stp>
        <stp>[TREASURY.xlsx]Sheet1!R793C10</stp>
        <tr r="J793" s="1"/>
      </tp>
      <tp t="s">
        <v>S/A</v>
        <stp/>
        <stp>##V3_BDPV12</stp>
        <stp>912828FT Govt</stp>
        <stp>COUPON_FREQUENCY_DESCRIPTION</stp>
        <stp>[TREASURY.xlsx]Sheet1!R597C10</stp>
        <tr r="J597" s="1"/>
      </tp>
      <tp t="s">
        <v>S/A</v>
        <stp/>
        <stp>##V3_BDPV12</stp>
        <stp>912828DR Govt</stp>
        <stp>COUPON_FREQUENCY_DESCRIPTION</stp>
        <stp>[TREASURY.xlsx]Sheet1!R792C10</stp>
        <tr r="J792" s="1"/>
      </tp>
      <tp t="s">
        <v>S/A</v>
        <stp/>
        <stp>##V3_BDPV12</stp>
        <stp>912828KU Govt</stp>
        <stp>COUPON_FREQUENCY_DESCRIPTION</stp>
        <stp>[TREASURY.xlsx]Sheet1!R813C10</stp>
        <tr r="J813" s="1"/>
      </tp>
      <tp t="s">
        <v>S/A</v>
        <stp/>
        <stp>##V3_BDPV12</stp>
        <stp>912828ER Govt</stp>
        <stp>COUPON_FREQUENCY_DESCRIPTION</stp>
        <stp>[TREASURY.xlsx]Sheet1!R604C10</stp>
        <tr r="J604" s="1"/>
      </tp>
      <tp t="s">
        <v>S/A</v>
        <stp/>
        <stp>##V3_BDPV12</stp>
        <stp>912828FQ Govt</stp>
        <stp>COUPON_FREQUENCY_DESCRIPTION</stp>
        <stp>[TREASURY.xlsx]Sheet1!R534C10</stp>
        <tr r="J534" s="1"/>
      </tp>
      <tp t="s">
        <v>S/A</v>
        <stp/>
        <stp>##V3_BDPV12</stp>
        <stp>912828JV Govt</stp>
        <stp>COUPON_FREQUENCY_DESCRIPTION</stp>
        <stp>[TREASURY.xlsx]Sheet1!R972C10</stp>
        <tr r="J972" s="1"/>
      </tp>
      <tp t="s">
        <v>S/A</v>
        <stp/>
        <stp>##V3_BDPV12</stp>
        <stp>912828G9 Govt</stp>
        <stp>COUPON_FREQUENCY_DESCRIPTION</stp>
        <stp>[TREASURY.xlsx]Sheet1!R422C10</stp>
        <tr r="J422" s="1"/>
      </tp>
      <tp t="s">
        <v>S/A</v>
        <stp/>
        <stp>##V3_BDPV12</stp>
        <stp>912828B6 Govt</stp>
        <stp>COUPON_FREQUENCY_DESCRIPTION</stp>
        <stp>[TREASURY.xlsx]Sheet1!R110C10</stp>
        <tr r="J110" s="1"/>
      </tp>
      <tp t="s">
        <v>S/A</v>
        <stp/>
        <stp>##V3_BDPV12</stp>
        <stp>912828EG Govt</stp>
        <stp>COUPON_FREQUENCY_DESCRIPTION</stp>
        <stp>[TREASURY.xlsx]Sheet1!R596C10</stp>
        <tr r="J596" s="1"/>
      </tp>
      <tp t="s">
        <v>S/A</v>
        <stp/>
        <stp>##V3_BDPV12</stp>
        <stp>912828CD Govt</stp>
        <stp>COUPON_FREQUENCY_DESCRIPTION</stp>
        <stp>[TREASURY.xlsx]Sheet1!R384C10</stp>
        <tr r="J384" s="1"/>
      </tp>
      <tp t="s">
        <v>S/A</v>
        <stp/>
        <stp>##V3_BDPV12</stp>
        <stp>912828HJ Govt</stp>
        <stp>COUPON_FREQUENCY_DESCRIPTION</stp>
        <stp>[TREASURY.xlsx]Sheet1!R807C10</stp>
        <tr r="J807" s="1"/>
      </tp>
      <tp t="s">
        <v>S/A</v>
        <stp/>
        <stp>##V3_BDPV12</stp>
        <stp>912828HG Govt</stp>
        <stp>COUPON_FREQUENCY_DESCRIPTION</stp>
        <stp>[TREASURY.xlsx]Sheet1!R806C10</stp>
        <tr r="J806" s="1"/>
      </tp>
      <tp t="s">
        <v>S/A</v>
        <stp/>
        <stp>##V3_BDPV12</stp>
        <stp>912828HB Govt</stp>
        <stp>COUPON_FREQUENCY_DESCRIPTION</stp>
        <stp>[TREASURY.xlsx]Sheet1!R849C10</stp>
        <tr r="J849" s="1"/>
      </tp>
      <tp t="s">
        <v>S/A</v>
        <stp/>
        <stp>##V3_BDPV12</stp>
        <stp>912828CJ Govt</stp>
        <stp>COUPON_FREQUENCY_DESCRIPTION</stp>
        <stp>[TREASURY.xlsx]Sheet1!R393C10</stp>
        <tr r="J393" s="1"/>
      </tp>
      <tp t="s">
        <v>S/A</v>
        <stp/>
        <stp>##V3_BDPV12</stp>
        <stp>912828CA Govt</stp>
        <stp>COUPON_FREQUENCY_DESCRIPTION</stp>
        <stp>[TREASURY.xlsx]Sheet1!R337C10</stp>
        <tr r="J337" s="1"/>
      </tp>
      <tp t="s">
        <v>S/A</v>
        <stp/>
        <stp>##V3_BDPV12</stp>
        <stp>912828CC Govt</stp>
        <stp>COUPON_FREQUENCY_DESCRIPTION</stp>
        <stp>[TREASURY.xlsx]Sheet1!R325C10</stp>
        <tr r="J325" s="1"/>
      </tp>
      <tp t="s">
        <v>S/A</v>
        <stp/>
        <stp>##V3_BDPV12</stp>
        <stp>912828CB Govt</stp>
        <stp>COUPON_FREQUENCY_DESCRIPTION</stp>
        <stp>[TREASURY.xlsx]Sheet1!R331C10</stp>
        <tr r="J331" s="1"/>
      </tp>
      <tp t="s">
        <v>S/A</v>
        <stp/>
        <stp>##V3_BDPV12</stp>
        <stp>912828FD Govt</stp>
        <stp>COUPON_FREQUENCY_DESCRIPTION</stp>
        <stp>[TREASURY.xlsx]Sheet1!R650C10</stp>
        <tr r="J650" s="1"/>
      </tp>
      <tp t="s">
        <v>S/A</v>
        <stp/>
        <stp>##V3_BDPV12</stp>
        <stp>912828HE Govt</stp>
        <stp>COUPON_FREQUENCY_DESCRIPTION</stp>
        <stp>[TREASURY.xlsx]Sheet1!R850C10</stp>
        <tr r="J850" s="1"/>
      </tp>
      <tp t="s">
        <v>S/A</v>
        <stp/>
        <stp>##V3_BDPV12</stp>
        <stp>912828EZ Govt</stp>
        <stp>COUPON_FREQUENCY_DESCRIPTION</stp>
        <stp>[TREASURY.xlsx]Sheet1!R572C10</stp>
        <tr r="J572" s="1"/>
      </tp>
      <tp t="s">
        <v>S/A</v>
        <stp/>
        <stp>##V3_BDPV12</stp>
        <stp>912828HX Govt</stp>
        <stp>COUPON_FREQUENCY_DESCRIPTION</stp>
        <stp>[TREASURY.xlsx]Sheet1!R809C10</stp>
        <tr r="J809" s="1"/>
      </tp>
      <tp t="s">
        <v>S/A</v>
        <stp/>
        <stp>##V3_BDPV12</stp>
        <stp>912828HU Govt</stp>
        <stp>COUPON_FREQUENCY_DESCRIPTION</stp>
        <stp>[TREASURY.xlsx]Sheet1!R808C10</stp>
        <tr r="J808" s="1"/>
      </tp>
      <tp t="s">
        <v>S/A</v>
        <stp/>
        <stp>##V3_BDPV12</stp>
        <stp>912828FU Govt</stp>
        <stp>COUPON_FREQUENCY_DESCRIPTION</stp>
        <stp>[TREASURY.xlsx]Sheet1!R614C10</stp>
        <tr r="J614" s="1"/>
      </tp>
      <tp t="s">
        <v>S/A</v>
        <stp/>
        <stp>##V3_BDPV12</stp>
        <stp>912828EQ Govt</stp>
        <stp>COUPON_FREQUENCY_DESCRIPTION</stp>
        <stp>[TREASURY.xlsx]Sheet1!R524C10</stp>
        <tr r="J524" s="1"/>
      </tp>
      <tp t="s">
        <v>S/A</v>
        <stp/>
        <stp>##V3_BDPV12</stp>
        <stp>912828HT Govt</stp>
        <stp>COUPON_FREQUENCY_DESCRIPTION</stp>
        <stp>[TREASURY.xlsx]Sheet1!R851C10</stp>
        <tr r="J851" s="1"/>
      </tp>
      <tp t="s">
        <v>S/A</v>
        <stp/>
        <stp>##V3_BDPV12</stp>
        <stp>912828C6 Govt</stp>
        <stp>COUPON_FREQUENCY_DESCRIPTION</stp>
        <stp>[TREASURY.xlsx]Sheet1!R349C10</stp>
        <tr r="J349" s="1"/>
      </tp>
      <tp t="s">
        <v>S/A</v>
        <stp/>
        <stp>##V3_BDPV12</stp>
        <stp>912828C5 Govt</stp>
        <stp>COUPON_FREQUENCY_DESCRIPTION</stp>
        <stp>[TREASURY.xlsx]Sheet1!R342C10</stp>
        <tr r="J342" s="1"/>
      </tp>
      <tp t="s">
        <v>S/A</v>
        <stp/>
        <stp>##V3_BDPV12</stp>
        <stp>912828DB Govt</stp>
        <stp>COUPON_FREQUENCY_DESCRIPTION</stp>
        <stp>[TREASURY.xlsx]Sheet1!R591C10</stp>
        <tr r="J591" s="1"/>
      </tp>
      <tp t="s">
        <v>S/A</v>
        <stp/>
        <stp>##V3_BDPV12</stp>
        <stp>912828FC Govt</stp>
        <stp>COUPON_FREQUENCY_DESCRIPTION</stp>
        <stp>[TREASURY.xlsx]Sheet1!R798C10</stp>
        <tr r="J798" s="1"/>
      </tp>
      <tp t="s">
        <v>S/A</v>
        <stp/>
        <stp>##V3_BDPV12</stp>
        <stp>912828FJ Govt</stp>
        <stp>COUPON_FREQUENCY_DESCRIPTION</stp>
        <stp>[TREASURY.xlsx]Sheet1!R799C10</stp>
        <tr r="J799" s="1"/>
      </tp>
      <tp t="s">
        <v>S/A</v>
        <stp/>
        <stp>##V3_BDPV12</stp>
        <stp>912828HD Govt</stp>
        <stp>COUPON_FREQUENCY_DESCRIPTION</stp>
        <stp>[TREASURY.xlsx]Sheet1!R969C10</stp>
        <tr r="J969" s="1"/>
      </tp>
      <tp t="s">
        <v>S/A</v>
        <stp/>
        <stp>##V3_BDPV12</stp>
        <stp>912828HF Govt</stp>
        <stp>COUPON_FREQUENCY_DESCRIPTION</stp>
        <stp>[TREASURY.xlsx]Sheet1!R970C10</stp>
        <tr r="J970" s="1"/>
      </tp>
      <tp t="s">
        <v>S/A</v>
        <stp/>
        <stp>##V3_BDPV12</stp>
        <stp>912828GQ Govt</stp>
        <stp>COUPON_FREQUENCY_DESCRIPTION</stp>
        <stp>[TREASURY.xlsx]Sheet1!R672C10</stp>
        <tr r="J672" s="1"/>
      </tp>
      <tp t="s">
        <v>S/A</v>
        <stp/>
        <stp>##V3_BDPV12</stp>
        <stp>912828EU Govt</stp>
        <stp>COUPON_FREQUENCY_DESCRIPTION</stp>
        <stp>[TREASURY.xlsx]Sheet1!R466C10</stp>
        <tr r="J466" s="1"/>
      </tp>
      <tp t="s">
        <v>S/A</v>
        <stp/>
        <stp>##V3_BDPV12</stp>
        <stp>912828GS Govt</stp>
        <stp>COUPON_FREQUENCY_DESCRIPTION</stp>
        <stp>[TREASURY.xlsx]Sheet1!R615C10</stp>
        <tr r="J615" s="1"/>
      </tp>
      <tp t="s">
        <v>S/A</v>
        <stp/>
        <stp>##V3_BDPV12</stp>
        <stp>912828DP Govt</stp>
        <stp>COUPON_FREQUENCY_DESCRIPTION</stp>
        <stp>[TREASURY.xlsx]Sheet1!R517C10</stp>
        <tr r="J517" s="1"/>
      </tp>
      <tp t="s">
        <v>S/A</v>
        <stp/>
        <stp>##V3_BDPV12</stp>
        <stp>912828B9 Govt</stp>
        <stp>COUPON_FREQUENCY_DESCRIPTION</stp>
        <stp>[TREASURY.xlsx]Sheet1!R371C10</stp>
        <tr r="J371" s="1"/>
      </tp>
      <tp t="s">
        <v>S/A</v>
        <stp/>
        <stp>##V3_BDPV12</stp>
        <stp>912828D8 Govt</stp>
        <stp>COUPON_FREQUENCY_DESCRIPTION</stp>
        <stp>[TREASURY.xlsx]Sheet1!R545C10</stp>
        <tr r="J545" s="1"/>
      </tp>
      <tp t="s">
        <v>S/A</v>
        <stp/>
        <stp>##V3_BDPV12</stp>
        <stp>912828H3 Govt</stp>
        <stp>COUPON_FREQUENCY_DESCRIPTION</stp>
        <stp>[TREASURY.xlsx]Sheet1!R968C10</stp>
        <tr r="J968" s="1"/>
      </tp>
      <tp t="s">
        <v>S/A</v>
        <stp/>
        <stp>##V3_BDPV12</stp>
        <stp>912828VL Govt</stp>
        <stp>COUPON_FREQUENCY_DESCRIPTION</stp>
        <stp>[TREASURY.xlsx]Sheet1!R878C10</stp>
        <tr r="J878" s="1"/>
      </tp>
      <tp t="s">
        <v>S/A</v>
        <stp/>
        <stp>##V3_BDPV12</stp>
        <stp>912828VN Govt</stp>
        <stp>COUPON_FREQUENCY_DESCRIPTION</stp>
        <stp>[TREASURY.xlsx]Sheet1!R879C10</stp>
        <tr r="J879" s="1"/>
      </tp>
      <tp t="s">
        <v>S/A</v>
        <stp/>
        <stp>##V3_BDPV12</stp>
        <stp>912828XK Govt</stp>
        <stp>COUPON_FREQUENCY_DESCRIPTION</stp>
        <stp>[TREASURY.xlsx]Sheet1!R625C10</stp>
        <tr r="J625" s="1"/>
      </tp>
      <tp t="s">
        <v>S/A</v>
        <stp/>
        <stp>##V3_BDPV12</stp>
        <stp>912828VQ Govt</stp>
        <stp>COUPON_FREQUENCY_DESCRIPTION</stp>
        <stp>[TREASURY.xlsx]Sheet1!R880C10</stp>
        <tr r="J880" s="1"/>
      </tp>
      <tp t="s">
        <v>S/A</v>
        <stp/>
        <stp>##V3_BDPV12</stp>
        <stp>912828XU Govt</stp>
        <stp>COUPON_FREQUENCY_DESCRIPTION</stp>
        <stp>[TREASURY.xlsx]Sheet1!R639C10</stp>
        <tr r="J639" s="1"/>
      </tp>
      <tp t="s">
        <v>S/A</v>
        <stp/>
        <stp>##V3_BDPV12</stp>
        <stp>912828V3 Govt</stp>
        <stp>COUPON_FREQUENCY_DESCRIPTION</stp>
        <stp>[TREASURY.xlsx]Sheet1!R877C10</stp>
        <tr r="J877" s="1"/>
      </tp>
      <tp t="s">
        <v>S/A</v>
        <stp/>
        <stp>##V3_BDPV12</stp>
        <stp>912828X2 Govt</stp>
        <stp>COUPON_FREQUENCY_DESCRIPTION</stp>
        <stp>[TREASURY.xlsx]Sheet1!R624C10</stp>
        <tr r="J624" s="1"/>
      </tp>
      <tp t="s">
        <v>S/A</v>
        <stp/>
        <stp>##V3_BDPV12</stp>
        <stp>912828WX Govt</stp>
        <stp>COUPON_FREQUENCY_DESCRIPTION</stp>
        <stp>[TREASURY.xlsx]Sheet1!R881C10</stp>
        <tr r="J881" s="1"/>
      </tp>
      <tp t="s">
        <v>8/15/2020</v>
        <stp/>
        <stp>##V3_BDPV12</stp>
        <stp>912810SL Govt</stp>
        <stp>FIRST_CPN_DT</stp>
        <stp>[TREASURY.xlsx]Sheet1!R40C9</stp>
        <tr r="I40" s="1"/>
      </tp>
      <tp>
        <v>1.4706434327976878</v>
        <stp/>
        <stp>##V3_BDPV12</stp>
        <stp>91282CAE Govt</stp>
        <stp>YLD_YTM_BID</stp>
        <stp>[TREASURY.xlsx]Sheet1!R18C4</stp>
        <tr r="D18" s="1"/>
      </tp>
      <tp t="s">
        <v>11/30/2021</v>
        <stp/>
        <stp>##V3_BDPV12</stp>
        <stp>91282CCD Govt</stp>
        <stp>FIRST_CPN_DT</stp>
        <stp>[TREASURY.xlsx]Sheet1!R58C9</stp>
        <tr r="I58" s="1"/>
      </tp>
      <tp t="s">
        <v>8/31/2021</v>
        <stp/>
        <stp>##V3_BDPV12</stp>
        <stp>91282CBN Govt</stp>
        <stp>FIRST_CPN_DT</stp>
        <stp>[TREASURY.xlsx]Sheet1!R82C9</stp>
        <tr r="I82" s="1"/>
      </tp>
      <tp t="s">
        <v>S/A</v>
        <stp/>
        <stp>##V3_BDPV12</stp>
        <stp>912828XH Govt</stp>
        <stp>COUPON_FREQUENCY_DESCRIPTION</stp>
        <stp>[TREASURY.xlsx]Sheet1!R468C10</stp>
        <tr r="J468" s="1"/>
      </tp>
      <tp t="s">
        <v>S/A</v>
        <stp/>
        <stp>##V3_BDPV12</stp>
        <stp>912828TM Govt</stp>
        <stp>COUPON_FREQUENCY_DESCRIPTION</stp>
        <stp>[TREASURY.xlsx]Sheet1!R873C10</stp>
        <tr r="J873" s="1"/>
      </tp>
      <tp t="s">
        <v>S/A</v>
        <stp/>
        <stp>##V3_BDPV12</stp>
        <stp>912828UJ Govt</stp>
        <stp>COUPON_FREQUENCY_DESCRIPTION</stp>
        <stp>[TREASURY.xlsx]Sheet1!R999C10</stp>
        <tr r="J999" s="1"/>
      </tp>
      <tp t="s">
        <v>S/A</v>
        <stp/>
        <stp>##V3_BDPV12</stp>
        <stp>912828TD Govt</stp>
        <stp>COUPON_FREQUENCY_DESCRIPTION</stp>
        <stp>[TREASURY.xlsx]Sheet1!R872C10</stp>
        <tr r="J872" s="1"/>
      </tp>
      <tp t="s">
        <v>S/A</v>
        <stp/>
        <stp>##V3_BDPV12</stp>
        <stp>912828XE Govt</stp>
        <stp>COUPON_FREQUENCY_DESCRIPTION</stp>
        <stp>[TREASURY.xlsx]Sheet1!R448C10</stp>
        <tr r="J448" s="1"/>
      </tp>
      <tp t="s">
        <v>S/A</v>
        <stp/>
        <stp>##V3_BDPV12</stp>
        <stp>912828XY Govt</stp>
        <stp>COUPON_FREQUENCY_DESCRIPTION</stp>
        <stp>[TREASURY.xlsx]Sheet1!R473C10</stp>
        <tr r="J473" s="1"/>
      </tp>
      <tp t="s">
        <v>S/A</v>
        <stp/>
        <stp>##V3_BDPV12</stp>
        <stp>912828TZ Govt</stp>
        <stp>COUPON_FREQUENCY_DESCRIPTION</stp>
        <stp>[TREASURY.xlsx]Sheet1!R875C10</stp>
        <tr r="J875" s="1"/>
      </tp>
      <tp t="s">
        <v>S/A</v>
        <stp/>
        <stp>##V3_BDPV12</stp>
        <stp>912828TQ Govt</stp>
        <stp>COUPON_FREQUENCY_DESCRIPTION</stp>
        <stp>[TREASURY.xlsx]Sheet1!R874C10</stp>
        <tr r="J874" s="1"/>
      </tp>
      <tp t="s">
        <v>S/A</v>
        <stp/>
        <stp>##V3_BDPV12</stp>
        <stp>912828Y4 Govt</stp>
        <stp>COUPON_FREQUENCY_DESCRIPTION</stp>
        <stp>[TREASURY.xlsx]Sheet1!R589C10</stp>
        <tr r="J589" s="1"/>
      </tp>
      <tp t="s">
        <v>S/A</v>
        <stp/>
        <stp>##V3_BDPV12</stp>
        <stp>912828T4 Govt</stp>
        <stp>COUPON_FREQUENCY_DESCRIPTION</stp>
        <stp>[TREASURY.xlsx]Sheet1!R871C10</stp>
        <tr r="J871" s="1"/>
      </tp>
      <tp t="s">
        <v>5/15/2019</v>
        <stp/>
        <stp>##V3_BDPV12</stp>
        <stp>9128285M Govt</stp>
        <stp>FIRST_CPN_DT</stp>
        <stp>[TREASURY.xlsx]Sheet1!R51C9</stp>
        <tr r="I51" s="1"/>
      </tp>
      <tp t="s">
        <v>S/A</v>
        <stp/>
        <stp>##V3_BDPV12</stp>
        <stp>912828TF Govt</stp>
        <stp>COUPON_FREQUENCY_DESCRIPTION</stp>
        <stp>[TREASURY.xlsx]Sheet1!R997C10</stp>
        <tr r="J997" s="1"/>
      </tp>
      <tp t="s">
        <v>S/A</v>
        <stp/>
        <stp>##V3_BDPV12</stp>
        <stp>912828XM Govt</stp>
        <stp>COUPON_FREQUENCY_DESCRIPTION</stp>
        <stp>[TREASURY.xlsx]Sheet1!R536C10</stp>
        <tr r="J536" s="1"/>
      </tp>
      <tp t="s">
        <v>S/A</v>
        <stp/>
        <stp>##V3_BDPV12</stp>
        <stp>912828TP Govt</stp>
        <stp>COUPON_FREQUENCY_DESCRIPTION</stp>
        <stp>[TREASURY.xlsx]Sheet1!R998C10</stp>
        <tr r="J998" s="1"/>
      </tp>
      <tp t="s">
        <v>S/A</v>
        <stp/>
        <stp>##V3_BDPV12</stp>
        <stp>912828XP Govt</stp>
        <stp>COUPON_FREQUENCY_DESCRIPTION</stp>
        <stp>[TREASURY.xlsx]Sheet1!R588C10</stp>
        <tr r="J588" s="1"/>
      </tp>
      <tp t="s">
        <v>S/A</v>
        <stp/>
        <stp>##V3_BDPV12</stp>
        <stp>912828U4 Govt</stp>
        <stp>COUPON_FREQUENCY_DESCRIPTION</stp>
        <stp>[TREASURY.xlsx]Sheet1!R876C10</stp>
        <tr r="J876" s="1"/>
      </tp>
      <tp t="s">
        <v>S/A</v>
        <stp/>
        <stp>##V3_BDPV12</stp>
        <stp>912828RF Govt</stp>
        <stp>COUPON_FREQUENCY_DESCRIPTION</stp>
        <stp>[TREASURY.xlsx]Sheet1!R828C10</stp>
        <tr r="J828" s="1"/>
      </tp>
      <tp t="s">
        <v>S/A</v>
        <stp/>
        <stp>##V3_BDPV12</stp>
        <stp>912828RE Govt</stp>
        <stp>COUPON_FREQUENCY_DESCRIPTION</stp>
        <stp>[TREASURY.xlsx]Sheet1!R868C10</stp>
        <tr r="J868" s="1"/>
      </tp>
      <tp t="s">
        <v>S/A</v>
        <stp/>
        <stp>##V3_BDPV12</stp>
        <stp>912828RG Govt</stp>
        <stp>COUPON_FREQUENCY_DESCRIPTION</stp>
        <stp>[TREASURY.xlsx]Sheet1!R869C10</stp>
        <tr r="J869" s="1"/>
      </tp>
      <tp t="s">
        <v>S/A</v>
        <stp/>
        <stp>##V3_BDPV12</stp>
        <stp>912828YC Govt</stp>
        <stp>COUPON_FREQUENCY_DESCRIPTION</stp>
        <stp>[TREASURY.xlsx]Sheet1!R335C10</stp>
        <tr r="J335" s="1"/>
      </tp>
      <tp t="s">
        <v>S/A</v>
        <stp/>
        <stp>##V3_BDPV12</stp>
        <stp>912828XZ Govt</stp>
        <stp>COUPON_FREQUENCY_DESCRIPTION</stp>
        <stp>[TREASURY.xlsx]Sheet1!R279C10</stp>
        <tr r="J279" s="1"/>
      </tp>
      <tp t="s">
        <v>S/A</v>
        <stp/>
        <stp>##V3_BDPV12</stp>
        <stp>912828XX Govt</stp>
        <stp>COUPON_FREQUENCY_DESCRIPTION</stp>
        <stp>[TREASURY.xlsx]Sheet1!R249C10</stp>
        <tr r="J249" s="1"/>
      </tp>
      <tp t="s">
        <v>S/A</v>
        <stp/>
        <stp>##V3_BDPV12</stp>
        <stp>912828SS Govt</stp>
        <stp>COUPON_FREQUENCY_DESCRIPTION</stp>
        <stp>[TREASURY.xlsx]Sheet1!R996C10</stp>
        <tr r="J996" s="1"/>
      </tp>
      <tp t="s">
        <v>S/A</v>
        <stp/>
        <stp>##V3_BDPV12</stp>
        <stp>912828SP Govt</stp>
        <stp>COUPON_FREQUENCY_DESCRIPTION</stp>
        <stp>[TREASURY.xlsx]Sheet1!R995C10</stp>
        <tr r="J995" s="1"/>
      </tp>
      <tp t="s">
        <v>S/A</v>
        <stp/>
        <stp>##V3_BDPV12</stp>
        <stp>912828XW Govt</stp>
        <stp>COUPON_FREQUENCY_DESCRIPTION</stp>
        <stp>[TREASURY.xlsx]Sheet1!R217C10</stp>
        <tr r="J217" s="1"/>
      </tp>
      <tp t="s">
        <v>S/A</v>
        <stp/>
        <stp>##V3_BDPV12</stp>
        <stp>912828XR Govt</stp>
        <stp>COUPON_FREQUENCY_DESCRIPTION</stp>
        <stp>[TREASURY.xlsx]Sheet1!R203C10</stp>
        <tr r="J203" s="1"/>
      </tp>
      <tp t="s">
        <v>S/A</v>
        <stp/>
        <stp>##V3_BDPV12</stp>
        <stp>912828XQ Govt</stp>
        <stp>COUPON_FREQUENCY_DESCRIPTION</stp>
        <stp>[TREASURY.xlsx]Sheet1!R206C10</stp>
        <tr r="J206" s="1"/>
      </tp>
      <tp t="s">
        <v>S/A</v>
        <stp/>
        <stp>##V3_BDPV12</stp>
        <stp>912828X4 Govt</stp>
        <stp>COUPON_FREQUENCY_DESCRIPTION</stp>
        <stp>[TREASURY.xlsx]Sheet1!R224C10</stp>
        <tr r="J224" s="1"/>
      </tp>
      <tp t="s">
        <v>S/A</v>
        <stp/>
        <stp>##V3_BDPV12</stp>
        <stp>912828Y2 Govt</stp>
        <stp>COUPON_FREQUENCY_DESCRIPTION</stp>
        <stp>[TREASURY.xlsx]Sheet1!R336C10</stp>
        <tr r="J336" s="1"/>
      </tp>
      <tp t="s">
        <v>S/A</v>
        <stp/>
        <stp>##V3_BDPV12</stp>
        <stp>912828ZN Govt</stp>
        <stp>COUPON_FREQUENCY_DESCRIPTION</stp>
        <stp>[TREASURY.xlsx]Sheet1!R117C10</stp>
        <tr r="J117" s="1"/>
      </tp>
      <tp t="s">
        <v>S/A</v>
        <stp/>
        <stp>##V3_BDPV12</stp>
        <stp>912828ZH Govt</stp>
        <stp>COUPON_FREQUENCY_DESCRIPTION</stp>
        <stp>[TREASURY.xlsx]Sheet1!R165C10</stp>
        <tr r="J165" s="1"/>
      </tp>
      <tp t="s">
        <v>S/A</v>
        <stp/>
        <stp>##V3_BDPV12</stp>
        <stp>912828ZM Govt</stp>
        <stp>COUPON_FREQUENCY_DESCRIPTION</stp>
        <stp>[TREASURY.xlsx]Sheet1!R175C10</stp>
        <tr r="J175" s="1"/>
      </tp>
      <tp t="s">
        <v>S/A</v>
        <stp/>
        <stp>##V3_BDPV12</stp>
        <stp>912828ZA Govt</stp>
        <stp>COUPON_FREQUENCY_DESCRIPTION</stp>
        <stp>[TREASURY.xlsx]Sheet1!R190C10</stp>
        <tr r="J190" s="1"/>
      </tp>
      <tp t="s">
        <v>S/A</v>
        <stp/>
        <stp>##V3_BDPV12</stp>
        <stp>912828ZB Govt</stp>
        <stp>COUPON_FREQUENCY_DESCRIPTION</stp>
        <stp>[TREASURY.xlsx]Sheet1!R148C10</stp>
        <tr r="J148" s="1"/>
      </tp>
      <tp t="s">
        <v>S/A</v>
        <stp/>
        <stp>##V3_BDPV12</stp>
        <stp>912828XA Govt</stp>
        <stp>COUPON_FREQUENCY_DESCRIPTION</stp>
        <stp>[TREASURY.xlsx]Sheet1!R377C10</stp>
        <tr r="J377" s="1"/>
      </tp>
      <tp t="s">
        <v>S/A</v>
        <stp/>
        <stp>##V3_BDPV12</stp>
        <stp>912828ZD Govt</stp>
        <stp>COUPON_FREQUENCY_DESCRIPTION</stp>
        <stp>[TREASURY.xlsx]Sheet1!R121C10</stp>
        <tr r="J121" s="1"/>
      </tp>
      <tp t="s">
        <v>S/A</v>
        <stp/>
        <stp>##V3_BDPV12</stp>
        <stp>912828ZE Govt</stp>
        <stp>COUPON_FREQUENCY_DESCRIPTION</stp>
        <stp>[TREASURY.xlsx]Sheet1!R112C10</stp>
        <tr r="J112" s="1"/>
      </tp>
      <tp t="s">
        <v>S/A</v>
        <stp/>
        <stp>##V3_BDPV12</stp>
        <stp>912828RJ Govt</stp>
        <stp>COUPON_FREQUENCY_DESCRIPTION</stp>
        <stp>[TREASURY.xlsx]Sheet1!R993C10</stp>
        <tr r="J993" s="1"/>
      </tp>
      <tp t="s">
        <v>S/A</v>
        <stp/>
        <stp>##V3_BDPV12</stp>
        <stp>912828SX Govt</stp>
        <stp>COUPON_FREQUENCY_DESCRIPTION</stp>
        <stp>[TREASURY.xlsx]Sheet1!R870C10</stp>
        <tr r="J870" s="1"/>
      </tp>
      <tp t="s">
        <v>S/A</v>
        <stp/>
        <stp>##V3_BDPV12</stp>
        <stp>912828ZX Govt</stp>
        <stp>COUPON_FREQUENCY_DESCRIPTION</stp>
        <stp>[TREASURY.xlsx]Sheet1!R111C10</stp>
        <tr r="J111" s="1"/>
      </tp>
      <tp t="s">
        <v>S/A</v>
        <stp/>
        <stp>##V3_BDPV12</stp>
        <stp>912828RQ Govt</stp>
        <stp>COUPON_FREQUENCY_DESCRIPTION</stp>
        <stp>[TREASURY.xlsx]Sheet1!R994C10</stp>
        <tr r="J994" s="1"/>
      </tp>
      <tp t="s">
        <v>S/A</v>
        <stp/>
        <stp>##V3_BDPV12</stp>
        <stp>912828ZW Govt</stp>
        <stp>COUPON_FREQUENCY_DESCRIPTION</stp>
        <stp>[TREASURY.xlsx]Sheet1!R101C10</stp>
        <tr r="J101" s="1"/>
      </tp>
      <tp t="s">
        <v>S/A</v>
        <stp/>
        <stp>##V3_BDPV12</stp>
        <stp>912828ZP Govt</stp>
        <stp>COUPON_FREQUENCY_DESCRIPTION</stp>
        <stp>[TREASURY.xlsx]Sheet1!R153C10</stp>
        <tr r="J153" s="1"/>
      </tp>
      <tp t="s">
        <v>S/A</v>
        <stp/>
        <stp>##V3_BDPV12</stp>
        <stp>912828ZS Govt</stp>
        <stp>COUPON_FREQUENCY_DESCRIPTION</stp>
        <stp>[TREASURY.xlsx]Sheet1!R171C10</stp>
        <tr r="J171" s="1"/>
      </tp>
      <tp t="s">
        <v>S/A</v>
        <stp/>
        <stp>##V3_BDPV12</stp>
        <stp>912828ZV Govt</stp>
        <stp>COUPON_FREQUENCY_DESCRIPTION</stp>
        <stp>[TREASURY.xlsx]Sheet1!R159C10</stp>
        <tr r="J159" s="1"/>
      </tp>
      <tp t="s">
        <v>S/A</v>
        <stp/>
        <stp>##V3_BDPV12</stp>
        <stp>912828ZU Govt</stp>
        <stp>COUPON_FREQUENCY_DESCRIPTION</stp>
        <stp>[TREASURY.xlsx]Sheet1!R162C10</stp>
        <tr r="J162" s="1"/>
      </tp>
      <tp t="s">
        <v>S/A</v>
        <stp/>
        <stp>##V3_BDPV12</stp>
        <stp>912828ZR Govt</stp>
        <stp>COUPON_FREQUENCY_DESCRIPTION</stp>
        <stp>[TREASURY.xlsx]Sheet1!R136C10</stp>
        <tr r="J136" s="1"/>
      </tp>
      <tp t="s">
        <v>S/A</v>
        <stp/>
        <stp>##V3_BDPV12</stp>
        <stp>912828ZY Govt</stp>
        <stp>COUPON_FREQUENCY_DESCRIPTION</stp>
        <stp>[TREASURY.xlsx]Sheet1!R184C10</stp>
        <tr r="J184" s="1"/>
      </tp>
      <tp t="s">
        <v>S/A</v>
        <stp/>
        <stp>##V3_BDPV12</stp>
        <stp>912828Y6 Govt</stp>
        <stp>COUPON_FREQUENCY_DESCRIPTION</stp>
        <stp>[TREASURY.xlsx]Sheet1!R297C10</stp>
        <tr r="J297" s="1"/>
      </tp>
      <tp t="s">
        <v>S/A</v>
        <stp/>
        <stp>##V3_BDPV12</stp>
        <stp>912828Y8 Govt</stp>
        <stp>COUPON_FREQUENCY_DESCRIPTION</stp>
        <stp>[TREASURY.xlsx]Sheet1!R208C10</stp>
        <tr r="J208" s="1"/>
      </tp>
      <tp t="s">
        <v>S/A</v>
        <stp/>
        <stp>##V3_BDPV12</stp>
        <stp>912828X7 Govt</stp>
        <stp>COUPON_FREQUENCY_DESCRIPTION</stp>
        <stp>[TREASURY.xlsx]Sheet1!R300C10</stp>
        <tr r="J300" s="1"/>
      </tp>
      <tp t="s">
        <v>S/A</v>
        <stp/>
        <stp>##V3_BDPV12</stp>
        <stp>912828Y7 Govt</stp>
        <stp>COUPON_FREQUENCY_DESCRIPTION</stp>
        <stp>[TREASURY.xlsx]Sheet1!R255C10</stp>
        <tr r="J255" s="1"/>
      </tp>
      <tp t="s">
        <v>S/A</v>
        <stp/>
        <stp>##V3_BDPV12</stp>
        <stp>912828Z7 Govt</stp>
        <stp>COUPON_FREQUENCY_DESCRIPTION</stp>
        <stp>[TREASURY.xlsx]Sheet1!R169C10</stp>
        <tr r="J169" s="1"/>
      </tp>
      <tp t="s">
        <v>S/A</v>
        <stp/>
        <stp>##V3_BDPV12</stp>
        <stp>912828QG Govt</stp>
        <stp>COUPON_FREQUENCY_DESCRIPTION</stp>
        <stp>[TREASURY.xlsx]Sheet1!R990C10</stp>
        <tr r="J990" s="1"/>
      </tp>
      <tp t="s">
        <v>S/A</v>
        <stp/>
        <stp>##V3_BDPV12</stp>
        <stp>912828QE Govt</stp>
        <stp>COUPON_FREQUENCY_DESCRIPTION</stp>
        <stp>[TREASURY.xlsx]Sheet1!R989C10</stp>
        <tr r="J989" s="1"/>
      </tp>
      <tp t="s">
        <v>S/A</v>
        <stp/>
        <stp>##V3_BDPV12</stp>
        <stp>912828YM Govt</stp>
        <stp>COUPON_FREQUENCY_DESCRIPTION</stp>
        <stp>[TREASURY.xlsx]Sheet1!R113C10</stp>
        <tr r="J113" s="1"/>
      </tp>
      <tp t="s">
        <v>S/A</v>
        <stp/>
        <stp>##V3_BDPV12</stp>
        <stp>912828YH Govt</stp>
        <stp>COUPON_FREQUENCY_DESCRIPTION</stp>
        <stp>[TREASURY.xlsx]Sheet1!R135C10</stp>
        <tr r="J135" s="1"/>
      </tp>
      <tp t="s">
        <v>S/A</v>
        <stp/>
        <stp>##V3_BDPV12</stp>
        <stp>912828QB Govt</stp>
        <stp>COUPON_FREQUENCY_DESCRIPTION</stp>
        <stp>[TREASURY.xlsx]Sheet1!R988C10</stp>
        <tr r="J988" s="1"/>
      </tp>
      <tp t="s">
        <v>S/A</v>
        <stp/>
        <stp>##V3_BDPV12</stp>
        <stp>912828YA Govt</stp>
        <stp>COUPON_FREQUENCY_DESCRIPTION</stp>
        <stp>[TREASURY.xlsx]Sheet1!R183C10</stp>
        <tr r="J183" s="1"/>
      </tp>
      <tp t="s">
        <v>S/A</v>
        <stp/>
        <stp>##V3_BDPV12</stp>
        <stp>912828YK Govt</stp>
        <stp>COUPON_FREQUENCY_DESCRIPTION</stp>
        <stp>[TREASURY.xlsx]Sheet1!R131C10</stp>
        <tr r="J131" s="1"/>
      </tp>
      <tp t="s">
        <v>S/A</v>
        <stp/>
        <stp>##V3_BDPV12</stp>
        <stp>912828YD Govt</stp>
        <stp>COUPON_FREQUENCY_DESCRIPTION</stp>
        <stp>[TREASURY.xlsx]Sheet1!R178C10</stp>
        <tr r="J178" s="1"/>
      </tp>
      <tp t="s">
        <v>S/A</v>
        <stp/>
        <stp>##V3_BDPV12</stp>
        <stp>912828YE Govt</stp>
        <stp>COUPON_FREQUENCY_DESCRIPTION</stp>
        <stp>[TREASURY.xlsx]Sheet1!R143C10</stp>
        <tr r="J143" s="1"/>
      </tp>
      <tp t="s">
        <v>S/A</v>
        <stp/>
        <stp>##V3_BDPV12</stp>
        <stp>912828YT Govt</stp>
        <stp>COUPON_FREQUENCY_DESCRIPTION</stp>
        <stp>[TREASURY.xlsx]Sheet1!R198C10</stp>
        <tr r="J198" s="1"/>
      </tp>
      <tp t="s">
        <v>S/A</v>
        <stp/>
        <stp>##V3_BDPV12</stp>
        <stp>912828YZ Govt</stp>
        <stp>COUPON_FREQUENCY_DESCRIPTION</stp>
        <stp>[TREASURY.xlsx]Sheet1!R170C10</stp>
        <tr r="J170" s="1"/>
      </tp>
      <tp t="s">
        <v>S/A</v>
        <stp/>
        <stp>##V3_BDPV12</stp>
        <stp>912828YY Govt</stp>
        <stp>COUPON_FREQUENCY_DESCRIPTION</stp>
        <stp>[TREASURY.xlsx]Sheet1!R158C10</stp>
        <tr r="J158" s="1"/>
      </tp>
      <tp t="s">
        <v>S/A</v>
        <stp/>
        <stp>##V3_BDPV12</stp>
        <stp>912828QS Govt</stp>
        <stp>COUPON_FREQUENCY_DESCRIPTION</stp>
        <stp>[TREASURY.xlsx]Sheet1!R992C10</stp>
        <tr r="J992" s="1"/>
      </tp>
      <tp t="s">
        <v>S/A</v>
        <stp/>
        <stp>##V3_BDPV12</stp>
        <stp>912828YX Govt</stp>
        <stp>COUPON_FREQUENCY_DESCRIPTION</stp>
        <stp>[TREASURY.xlsx]Sheet1!R104C10</stp>
        <tr r="J104" s="1"/>
      </tp>
      <tp t="s">
        <v>S/A</v>
        <stp/>
        <stp>##V3_BDPV12</stp>
        <stp>912828QQ Govt</stp>
        <stp>COUPON_FREQUENCY_DESCRIPTION</stp>
        <stp>[TREASURY.xlsx]Sheet1!R991C10</stp>
        <tr r="J991" s="1"/>
      </tp>
      <tp t="s">
        <v>S/A</v>
        <stp/>
        <stp>##V3_BDPV12</stp>
        <stp>912828YV Govt</stp>
        <stp>COUPON_FREQUENCY_DESCRIPTION</stp>
        <stp>[TREASURY.xlsx]Sheet1!R139C10</stp>
        <tr r="J139" s="1"/>
      </tp>
      <tp t="s">
        <v>S/A</v>
        <stp/>
        <stp>##V3_BDPV12</stp>
        <stp>912828YP Govt</stp>
        <stp>COUPON_FREQUENCY_DESCRIPTION</stp>
        <stp>[TREASURY.xlsx]Sheet1!R149C10</stp>
        <tr r="J149" s="1"/>
      </tp>
      <tp t="s">
        <v>S/A</v>
        <stp/>
        <stp>##V3_BDPV12</stp>
        <stp>912828YW Govt</stp>
        <stp>COUPON_FREQUENCY_DESCRIPTION</stp>
        <stp>[TREASURY.xlsx]Sheet1!R141C10</stp>
        <tr r="J141" s="1"/>
      </tp>
      <tp t="s">
        <v>S/A</v>
        <stp/>
        <stp>##V3_BDPV12</stp>
        <stp>912828YU Govt</stp>
        <stp>COUPON_FREQUENCY_DESCRIPTION</stp>
        <stp>[TREASURY.xlsx]Sheet1!R174C10</stp>
        <tr r="J174" s="1"/>
      </tp>
      <tp t="s">
        <v>S/A</v>
        <stp/>
        <stp>##V3_BDPV12</stp>
        <stp>912828Y9 Govt</stp>
        <stp>COUPON_FREQUENCY_DESCRIPTION</stp>
        <stp>[TREASURY.xlsx]Sheet1!R157C10</stp>
        <tr r="J157" s="1"/>
      </tp>
      <tp t="s">
        <v>S/A</v>
        <stp/>
        <stp>##V3_BDPV12</stp>
        <stp>912828Z8 Govt</stp>
        <stp>COUPON_FREQUENCY_DESCRIPTION</stp>
        <stp>[TREASURY.xlsx]Sheet1!R236C10</stp>
        <tr r="J236" s="1"/>
      </tp>
      <tp t="s">
        <v>S/A</v>
        <stp/>
        <stp>##V3_BDPV12</stp>
        <stp>912828Z6 Govt</stp>
        <stp>COUPON_FREQUENCY_DESCRIPTION</stp>
        <stp>[TREASURY.xlsx]Sheet1!R234C10</stp>
        <tr r="J234" s="1"/>
      </tp>
      <tp t="s">
        <v>S/A</v>
        <stp/>
        <stp>##V3_BDPV12</stp>
        <stp>912828Z2 Govt</stp>
        <stp>COUPON_FREQUENCY_DESCRIPTION</stp>
        <stp>[TREASURY.xlsx]Sheet1!R210C10</stp>
        <tr r="J210" s="1"/>
      </tp>
      <tp t="s">
        <v>S/A</v>
        <stp/>
        <stp>##V3_BDPV12</stp>
        <stp>912828XG Govt</stp>
        <stp>COUPON_FREQUENCY_DESCRIPTION</stp>
        <stp>[TREASURY.xlsx]Sheet1!R196C10</stp>
        <tr r="J196" s="1"/>
      </tp>
      <tp t="s">
        <v>S/A</v>
        <stp/>
        <stp>##V3_BDPV12</stp>
        <stp>912828XD Govt</stp>
        <stp>COUPON_FREQUENCY_DESCRIPTION</stp>
        <stp>[TREASURY.xlsx]Sheet1!R189C10</stp>
        <tr r="J189" s="1"/>
      </tp>
      <tp t="s">
        <v>S/A</v>
        <stp/>
        <stp>##V3_BDPV12</stp>
        <stp>912828PN Govt</stp>
        <stp>COUPON_FREQUENCY_DESCRIPTION</stp>
        <stp>[TREASURY.xlsx]Sheet1!R984C10</stp>
        <tr r="J984" s="1"/>
      </tp>
      <tp t="s">
        <v>S/A</v>
        <stp/>
        <stp>##V3_BDPV12</stp>
        <stp>912828PL Govt</stp>
        <stp>COUPON_FREQUENCY_DESCRIPTION</stp>
        <stp>[TREASURY.xlsx]Sheet1!R983C10</stp>
        <tr r="J983" s="1"/>
      </tp>
      <tp t="s">
        <v>S/A</v>
        <stp/>
        <stp>##V3_BDPV12</stp>
        <stp>912828PK Govt</stp>
        <stp>COUPON_FREQUENCY_DESCRIPTION</stp>
        <stp>[TREASURY.xlsx]Sheet1!R982C10</stp>
        <tr r="J982" s="1"/>
      </tp>
      <tp t="s">
        <v>S/A</v>
        <stp/>
        <stp>##V3_BDPV12</stp>
        <stp>912828XB Govt</stp>
        <stp>COUPON_FREQUENCY_DESCRIPTION</stp>
        <stp>[TREASURY.xlsx]Sheet1!R122C10</stp>
        <tr r="J122" s="1"/>
      </tp>
      <tp t="s">
        <v>S/A</v>
        <stp/>
        <stp>##V3_BDPV12</stp>
        <stp>912828PW Govt</stp>
        <stp>COUPON_FREQUENCY_DESCRIPTION</stp>
        <stp>[TREASURY.xlsx]Sheet1!R987C10</stp>
        <tr r="J987" s="1"/>
      </tp>
      <tp t="s">
        <v>S/A</v>
        <stp/>
        <stp>##V3_BDPV12</stp>
        <stp>912828QY Govt</stp>
        <stp>COUPON_FREQUENCY_DESCRIPTION</stp>
        <stp>[TREASURY.xlsx]Sheet1!R827C10</stp>
        <tr r="J827" s="1"/>
      </tp>
      <tp t="s">
        <v>S/A</v>
        <stp/>
        <stp>##V3_BDPV12</stp>
        <stp>912828PS Govt</stp>
        <stp>COUPON_FREQUENCY_DESCRIPTION</stp>
        <stp>[TREASURY.xlsx]Sheet1!R986C10</stp>
        <tr r="J986" s="1"/>
      </tp>
      <tp t="s">
        <v>S/A</v>
        <stp/>
        <stp>##V3_BDPV12</stp>
        <stp>912828PQ Govt</stp>
        <stp>COUPON_FREQUENCY_DESCRIPTION</stp>
        <stp>[TREASURY.xlsx]Sheet1!R985C10</stp>
        <tr r="J985" s="1"/>
      </tp>
      <tp t="s">
        <v>S/A</v>
        <stp/>
        <stp>##V3_BDPV12</stp>
        <stp>912828QU Govt</stp>
        <stp>COUPON_FREQUENCY_DESCRIPTION</stp>
        <stp>[TREASURY.xlsx]Sheet1!R826C10</stp>
        <tr r="J826" s="1"/>
      </tp>
      <tp t="s">
        <v>S/A</v>
        <stp/>
        <stp>##V3_BDPV12</stp>
        <stp>912828QR Govt</stp>
        <stp>COUPON_FREQUENCY_DESCRIPTION</stp>
        <stp>[TREASURY.xlsx]Sheet1!R866C10</stp>
        <tr r="J866" s="1"/>
      </tp>
      <tp t="s">
        <v>S/A</v>
        <stp/>
        <stp>##V3_BDPV12</stp>
        <stp>912828QT Govt</stp>
        <stp>COUPON_FREQUENCY_DESCRIPTION</stp>
        <stp>[TREASURY.xlsx]Sheet1!R867C10</stp>
        <tr r="J867" s="1"/>
      </tp>
      <tp t="s">
        <v>S/A</v>
        <stp/>
        <stp>##V3_BDPV12</stp>
        <stp>912828XT Govt</stp>
        <stp>COUPON_FREQUENCY_DESCRIPTION</stp>
        <stp>[TREASURY.xlsx]Sheet1!R155C10</stp>
        <tr r="J155" s="1"/>
      </tp>
      <tp t="s">
        <v>S/A</v>
        <stp/>
        <stp>##V3_BDPV12</stp>
        <stp>912828P2 Govt</stp>
        <stp>COUPON_FREQUENCY_DESCRIPTION</stp>
        <stp>[TREASURY.xlsx]Sheet1!R981C10</stp>
        <tr r="J981" s="1"/>
      </tp>
      <tp>
        <v>0.25</v>
        <stp/>
        <stp>##V3_BDPV12</stp>
        <stp>91282CAB Govt</stp>
        <stp>CPN</stp>
        <stp>[TREASURY.xlsx]Sheet1!R99C3</stp>
        <tr r="C99" s="1"/>
      </tp>
      <tp t="s">
        <v>S/A</v>
        <stp/>
        <stp>##V3_BDPV12</stp>
        <stp>912828RH Govt</stp>
        <stp>COUPON_FREQUENCY_DESCRIPTION</stp>
        <stp>[TREASURY.xlsx]Sheet1!R456C10</stp>
        <tr r="J456" s="1"/>
      </tp>
      <tp t="s">
        <v>S/A</v>
        <stp/>
        <stp>##V3_BDPV12</stp>
        <stp>912828SL Govt</stp>
        <stp>COUPON_FREQUENCY_DESCRIPTION</stp>
        <stp>[TREASURY.xlsx]Sheet1!R511C10</stp>
        <tr r="J511" s="1"/>
      </tp>
      <tp t="s">
        <v>S/A</v>
        <stp/>
        <stp>##V3_BDPV12</stp>
        <stp>912828SM Govt</stp>
        <stp>COUPON_FREQUENCY_DESCRIPTION</stp>
        <stp>[TREASURY.xlsx]Sheet1!R516C10</stp>
        <tr r="J516" s="1"/>
      </tp>
      <tp t="s">
        <v>S/A</v>
        <stp/>
        <stp>##V3_BDPV12</stp>
        <stp>912828UA Govt</stp>
        <stp>COUPON_FREQUENCY_DESCRIPTION</stp>
        <stp>[TREASURY.xlsx]Sheet1!R387C10</stp>
        <tr r="J387" s="1"/>
      </tp>
      <tp t="s">
        <v>S/A</v>
        <stp/>
        <stp>##V3_BDPV12</stp>
        <stp>912828PJ Govt</stp>
        <stp>COUPON_FREQUENCY_DESCRIPTION</stp>
        <stp>[TREASURY.xlsx]Sheet1!R630C10</stp>
        <tr r="J630" s="1"/>
      </tp>
      <tp t="s">
        <v>S/A</v>
        <stp/>
        <stp>##V3_BDPV12</stp>
        <stp>912828RB Govt</stp>
        <stp>COUPON_FREQUENCY_DESCRIPTION</stp>
        <stp>[TREASURY.xlsx]Sheet1!R459C10</stp>
        <tr r="J459" s="1"/>
      </tp>
      <tp t="s">
        <v>S/A</v>
        <stp/>
        <stp>##V3_BDPV12</stp>
        <stp>912828WE Govt</stp>
        <stp>COUPON_FREQUENCY_DESCRIPTION</stp>
        <stp>[TREASURY.xlsx]Sheet1!R108C10</stp>
        <tr r="J108" s="1"/>
      </tp>
      <tp t="s">
        <v>S/A</v>
        <stp/>
        <stp>##V3_BDPV12</stp>
        <stp>912828SB Govt</stp>
        <stp>COUPON_FREQUENCY_DESCRIPTION</stp>
        <stp>[TREASURY.xlsx]Sheet1!R564C10</stp>
        <tr r="J564" s="1"/>
      </tp>
      <tp t="s">
        <v>S/A</v>
        <stp/>
        <stp>##V3_BDPV12</stp>
        <stp>912828WJ Govt</stp>
        <stp>COUPON_FREQUENCY_DESCRIPTION</stp>
        <stp>[TREASURY.xlsx]Sheet1!R182C10</stp>
        <tr r="J182" s="1"/>
      </tp>
      <tp t="s">
        <v>S/A</v>
        <stp/>
        <stp>##V3_BDPV12</stp>
        <stp>912828SZ Govt</stp>
        <stp>COUPON_FREQUENCY_DESCRIPTION</stp>
        <stp>[TREASURY.xlsx]Sheet1!R551C10</stp>
        <tr r="J551" s="1"/>
      </tp>
      <tp t="s">
        <v>S/A</v>
        <stp/>
        <stp>##V3_BDPV12</stp>
        <stp>912828RS Govt</stp>
        <stp>COUPON_FREQUENCY_DESCRIPTION</stp>
        <stp>[TREASURY.xlsx]Sheet1!R444C10</stp>
        <tr r="J444" s="1"/>
      </tp>
      <tp t="s">
        <v>S/A</v>
        <stp/>
        <stp>##V3_BDPV12</stp>
        <stp>912828RT Govt</stp>
        <stp>COUPON_FREQUENCY_DESCRIPTION</stp>
        <stp>[TREASURY.xlsx]Sheet1!R420C10</stp>
        <tr r="J420" s="1"/>
      </tp>
      <tp t="s">
        <v>S/A</v>
        <stp/>
        <stp>##V3_BDPV12</stp>
        <stp>912828PV Govt</stp>
        <stp>COUPON_FREQUENCY_DESCRIPTION</stp>
        <stp>[TREASURY.xlsx]Sheet1!R652C10</stp>
        <tr r="J652" s="1"/>
      </tp>
      <tp t="s">
        <v>S/A</v>
        <stp/>
        <stp>##V3_BDPV12</stp>
        <stp>912828R9 Govt</stp>
        <stp>COUPON_FREQUENCY_DESCRIPTION</stp>
        <stp>[TREASURY.xlsx]Sheet1!R437C10</stp>
        <tr r="J437" s="1"/>
      </tp>
      <tp t="s">
        <v>S/A</v>
        <stp/>
        <stp>##V3_BDPV12</stp>
        <stp>912828T9 Govt</stp>
        <stp>COUPON_FREQUENCY_DESCRIPTION</stp>
        <stp>[TREASURY.xlsx]Sheet1!R215C10</stp>
        <tr r="J215" s="1"/>
      </tp>
      <tp t="s">
        <v>S/A</v>
        <stp/>
        <stp>##V3_BDPV12</stp>
        <stp>912828W7 Govt</stp>
        <stp>COUPON_FREQUENCY_DESCRIPTION</stp>
        <stp>[TREASURY.xlsx]Sheet1!R125C10</stp>
        <tr r="J125" s="1"/>
      </tp>
      <tp t="s">
        <v>S/A</v>
        <stp/>
        <stp>##V3_BDPV12</stp>
        <stp>912828SG Govt</stp>
        <stp>COUPON_FREQUENCY_DESCRIPTION</stp>
        <stp>[TREASURY.xlsx]Sheet1!R496C10</stp>
        <tr r="J496" s="1"/>
      </tp>
      <tp t="s">
        <v>S/A</v>
        <stp/>
        <stp>##V3_BDPV12</stp>
        <stp>912828TC Govt</stp>
        <stp>COUPON_FREQUENCY_DESCRIPTION</stp>
        <stp>[TREASURY.xlsx]Sheet1!R385C10</stp>
        <tr r="J385" s="1"/>
      </tp>
      <tp t="s">
        <v>S/A</v>
        <stp/>
        <stp>##V3_BDPV12</stp>
        <stp>912828RM Govt</stp>
        <stp>COUPON_FREQUENCY_DESCRIPTION</stp>
        <stp>[TREASURY.xlsx]Sheet1!R563C10</stp>
        <tr r="J563" s="1"/>
      </tp>
      <tp t="s">
        <v>S/A</v>
        <stp/>
        <stp>##V3_BDPV12</stp>
        <stp>912828VB Govt</stp>
        <stp>COUPON_FREQUENCY_DESCRIPTION</stp>
        <stp>[TREASURY.xlsx]Sheet1!R168C10</stp>
        <tr r="J168" s="1"/>
      </tp>
      <tp t="s">
        <v>S/A</v>
        <stp/>
        <stp>##V3_BDPV12</stp>
        <stp>912828SJ Govt</stp>
        <stp>COUPON_FREQUENCY_DESCRIPTION</stp>
        <stp>[TREASURY.xlsx]Sheet1!R489C10</stp>
        <tr r="J489" s="1"/>
      </tp>
      <tp t="s">
        <v>S/A</v>
        <stp/>
        <stp>##V3_BDPV12</stp>
        <stp>912828ST Govt</stp>
        <stp>COUPON_FREQUENCY_DESCRIPTION</stp>
        <stp>[TREASURY.xlsx]Sheet1!R497C10</stp>
        <tr r="J497" s="1"/>
      </tp>
      <tp t="s">
        <v>S/A</v>
        <stp/>
        <stp>##V3_BDPV12</stp>
        <stp>912828SU Govt</stp>
        <stp>COUPON_FREQUENCY_DESCRIPTION</stp>
        <stp>[TREASURY.xlsx]Sheet1!R404C10</stp>
        <tr r="J404" s="1"/>
      </tp>
      <tp t="s">
        <v>S/A</v>
        <stp/>
        <stp>##V3_BDPV12</stp>
        <stp>912828RP Govt</stp>
        <stp>COUPON_FREQUENCY_DESCRIPTION</stp>
        <stp>[TREASURY.xlsx]Sheet1!R549C10</stp>
        <tr r="J549" s="1"/>
      </tp>
      <tp t="s">
        <v>S/A</v>
        <stp/>
        <stp>##V3_BDPV12</stp>
        <stp>912828QW Govt</stp>
        <stp>COUPON_FREQUENCY_DESCRIPTION</stp>
        <stp>[TREASURY.xlsx]Sheet1!R646C10</stp>
        <tr r="J646" s="1"/>
      </tp>
      <tp t="s">
        <v>S/A</v>
        <stp/>
        <stp>##V3_BDPV12</stp>
        <stp>912828TW Govt</stp>
        <stp>COUPON_FREQUENCY_DESCRIPTION</stp>
        <stp>[TREASURY.xlsx]Sheet1!R361C10</stp>
        <tr r="J361" s="1"/>
      </tp>
      <tp t="s">
        <v>S/A</v>
        <stp/>
        <stp>##V3_BDPV12</stp>
        <stp>912828VS Govt</stp>
        <stp>COUPON_FREQUENCY_DESCRIPTION</stp>
        <stp>[TREASURY.xlsx]Sheet1!R134C10</stp>
        <tr r="J134" s="1"/>
      </tp>
      <tp t="s">
        <v>S/A</v>
        <stp/>
        <stp>##V3_BDPV12</stp>
        <stp>912828S4 Govt</stp>
        <stp>COUPON_FREQUENCY_DESCRIPTION</stp>
        <stp>[TREASURY.xlsx]Sheet1!R487C10</stp>
        <tr r="J487" s="1"/>
      </tp>
      <tp t="s">
        <v>S/A</v>
        <stp/>
        <stp>##V3_BDPV12</stp>
        <stp>912828V9 Govt</stp>
        <stp>COUPON_FREQUENCY_DESCRIPTION</stp>
        <stp>[TREASURY.xlsx]Sheet1!R127C10</stp>
        <tr r="J127" s="1"/>
      </tp>
      <tp t="s">
        <v>S/A</v>
        <stp/>
        <stp>##V3_BDPV12</stp>
        <stp>912828U8 Govt</stp>
        <stp>COUPON_FREQUENCY_DESCRIPTION</stp>
        <stp>[TREASURY.xlsx]Sheet1!R213C10</stp>
        <tr r="J213" s="1"/>
      </tp>
      <tp t="s">
        <v>S/A</v>
        <stp/>
        <stp>##V3_BDPV12</stp>
        <stp>912828U6 Govt</stp>
        <stp>COUPON_FREQUENCY_DESCRIPTION</stp>
        <stp>[TREASURY.xlsx]Sheet1!R232C10</stp>
        <tr r="J232" s="1"/>
      </tp>
      <tp t="s">
        <v>S/A</v>
        <stp/>
        <stp>##V3_BDPV12</stp>
        <stp>912828U5 Govt</stp>
        <stp>COUPON_FREQUENCY_DESCRIPTION</stp>
        <stp>[TREASURY.xlsx]Sheet1!R246C10</stp>
        <tr r="J246" s="1"/>
      </tp>
      <tp t="s">
        <v>S/A</v>
        <stp/>
        <stp>##V3_BDPV12</stp>
        <stp>912828PH Govt</stp>
        <stp>COUPON_FREQUENCY_DESCRIPTION</stp>
        <stp>[TREASURY.xlsx]Sheet1!R464C10</stp>
        <tr r="J464" s="1"/>
      </tp>
      <tp t="s">
        <v>S/A</v>
        <stp/>
        <stp>##V3_BDPV12</stp>
        <stp>912828WN Govt</stp>
        <stp>COUPON_FREQUENCY_DESCRIPTION</stp>
        <stp>[TREASURY.xlsx]Sheet1!R338C10</stp>
        <tr r="J338" s="1"/>
      </tp>
      <tp t="s">
        <v>S/A</v>
        <stp/>
        <stp>##V3_BDPV12</stp>
        <stp>912828UN Govt</stp>
        <stp>COUPON_FREQUENCY_DESCRIPTION</stp>
        <stp>[TREASURY.xlsx]Sheet1!R147C10</stp>
        <tr r="J147" s="1"/>
      </tp>
      <tp t="s">
        <v>S/A</v>
        <stp/>
        <stp>##V3_BDPV12</stp>
        <stp>912828RA Govt</stp>
        <stp>COUPON_FREQUENCY_DESCRIPTION</stp>
        <stp>[TREASURY.xlsx]Sheet1!R677C10</stp>
        <tr r="J677" s="1"/>
      </tp>
      <tp t="s">
        <v>S/A</v>
        <stp/>
        <stp>##V3_BDPV12</stp>
        <stp>912828QA Govt</stp>
        <stp>COUPON_FREQUENCY_DESCRIPTION</stp>
        <stp>[TREASURY.xlsx]Sheet1!R509C10</stp>
        <tr r="J509" s="1"/>
      </tp>
      <tp t="s">
        <v>S/A</v>
        <stp/>
        <stp>##V3_BDPV12</stp>
        <stp>912828QF Govt</stp>
        <stp>COUPON_FREQUENCY_DESCRIPTION</stp>
        <stp>[TREASURY.xlsx]Sheet1!R576C10</stp>
        <tr r="J576" s="1"/>
      </tp>
      <tp t="s">
        <v>S/A</v>
        <stp/>
        <stp>##V3_BDPV12</stp>
        <stp>912828QH Govt</stp>
        <stp>COUPON_FREQUENCY_DESCRIPTION</stp>
        <stp>[TREASURY.xlsx]Sheet1!R595C10</stp>
        <tr r="J595" s="1"/>
      </tp>
      <tp t="s">
        <v>S/A</v>
        <stp/>
        <stp>##V3_BDPV12</stp>
        <stp>912828WG Govt</stp>
        <stp>COUPON_FREQUENCY_DESCRIPTION</stp>
        <stp>[TREASURY.xlsx]Sheet1!R370C10</stp>
        <tr r="J370" s="1"/>
      </tp>
      <tp t="s">
        <v>S/A</v>
        <stp/>
        <stp>##V3_BDPV12</stp>
        <stp>912828RV Govt</stp>
        <stp>COUPON_FREQUENCY_DESCRIPTION</stp>
        <stp>[TREASURY.xlsx]Sheet1!R687C10</stp>
        <tr r="J687" s="1"/>
      </tp>
      <tp t="s">
        <v>S/A</v>
        <stp/>
        <stp>##V3_BDPV12</stp>
        <stp>912828WY Govt</stp>
        <stp>COUPON_FREQUENCY_DESCRIPTION</stp>
        <stp>[TREASURY.xlsx]Sheet1!R359C10</stp>
        <tr r="J359" s="1"/>
      </tp>
      <tp t="s">
        <v>S/A</v>
        <stp/>
        <stp>##V3_BDPV12</stp>
        <stp>912828QX Govt</stp>
        <stp>COUPON_FREQUENCY_DESCRIPTION</stp>
        <stp>[TREASURY.xlsx]Sheet1!R519C10</stp>
        <tr r="J519" s="1"/>
      </tp>
      <tp t="s">
        <v>S/A</v>
        <stp/>
        <stp>##V3_BDPV12</stp>
        <stp>912828WR Govt</stp>
        <stp>COUPON_FREQUENCY_DESCRIPTION</stp>
        <stp>[TREASURY.xlsx]Sheet1!R341C10</stp>
        <tr r="J341" s="1"/>
      </tp>
      <tp t="s">
        <v>S/A</v>
        <stp/>
        <stp>##V3_BDPV12</stp>
        <stp>912828QP Govt</stp>
        <stp>COUPON_FREQUENCY_DESCRIPTION</stp>
        <stp>[TREASURY.xlsx]Sheet1!R550C10</stp>
        <tr r="J550" s="1"/>
      </tp>
      <tp t="s">
        <v>S/A</v>
        <stp/>
        <stp>##V3_BDPV12</stp>
        <stp>912828WW Govt</stp>
        <stp>COUPON_FREQUENCY_DESCRIPTION</stp>
        <stp>[TREASURY.xlsx]Sheet1!R340C10</stp>
        <tr r="J340" s="1"/>
      </tp>
      <tp t="s">
        <v>S/A</v>
        <stp/>
        <stp>##V3_BDPV12</stp>
        <stp>912828W9 Govt</stp>
        <stp>COUPON_FREQUENCY_DESCRIPTION</stp>
        <stp>[TREASURY.xlsx]Sheet1!R363C10</stp>
        <tr r="J363" s="1"/>
      </tp>
      <tp t="s">
        <v>S/A</v>
        <stp/>
        <stp>##V3_BDPV12</stp>
        <stp>912828P9 Govt</stp>
        <stp>COUPON_FREQUENCY_DESCRIPTION</stp>
        <stp>[TREASURY.xlsx]Sheet1!R431C10</stp>
        <tr r="J431" s="1"/>
      </tp>
      <tp t="s">
        <v>S/A</v>
        <stp/>
        <stp>##V3_BDPV12</stp>
        <stp>912828V2 Govt</stp>
        <stp>COUPON_FREQUENCY_DESCRIPTION</stp>
        <stp>[TREASURY.xlsx]Sheet1!R250C10</stp>
        <tr r="J250" s="1"/>
      </tp>
      <tp t="s">
        <v>S/A</v>
        <stp/>
        <stp>##V3_BDPV12</stp>
        <stp>912828V7 Govt</stp>
        <stp>COUPON_FREQUENCY_DESCRIPTION</stp>
        <stp>[TREASURY.xlsx]Sheet1!R262C10</stp>
        <tr r="J262" s="1"/>
      </tp>
      <tp t="s">
        <v>S/A</v>
        <stp/>
        <stp>##V3_BDPV12</stp>
        <stp>912828R8 Govt</stp>
        <stp>COUPON_FREQUENCY_DESCRIPTION</stp>
        <stp>[TREASURY.xlsx]Sheet1!R689C10</stp>
        <tr r="J689" s="1"/>
      </tp>
      <tp t="s">
        <v>S/A</v>
        <stp/>
        <stp>##V3_BDPV12</stp>
        <stp>912828QL Govt</stp>
        <stp>COUPON_FREQUENCY_DESCRIPTION</stp>
        <stp>[TREASURY.xlsx]Sheet1!R401C10</stp>
        <tr r="J401" s="1"/>
      </tp>
      <tp t="s">
        <v>S/A</v>
        <stp/>
        <stp>##V3_BDPV12</stp>
        <stp>912828QJ Govt</stp>
        <stp>COUPON_FREQUENCY_DESCRIPTION</stp>
        <stp>[TREASURY.xlsx]Sheet1!R407C10</stp>
        <tr r="J407" s="1"/>
      </tp>
      <tp t="s">
        <v>S/A</v>
        <stp/>
        <stp>##V3_BDPV12</stp>
        <stp>912828SN Govt</stp>
        <stp>COUPON_FREQUENCY_DESCRIPTION</stp>
        <stp>[TREASURY.xlsx]Sheet1!R670C10</stp>
        <tr r="J670" s="1"/>
      </tp>
      <tp t="s">
        <v>S/A</v>
        <stp/>
        <stp>##V3_BDPV12</stp>
        <stp>912828SD Govt</stp>
        <stp>COUPON_FREQUENCY_DESCRIPTION</stp>
        <stp>[TREASURY.xlsx]Sheet1!R623C10</stp>
        <tr r="J623" s="1"/>
      </tp>
      <tp t="s">
        <v>S/A</v>
        <stp/>
        <stp>##V3_BDPV12</stp>
        <stp>912828SE Govt</stp>
        <stp>COUPON_FREQUENCY_DESCRIPTION</stp>
        <stp>[TREASURY.xlsx]Sheet1!R618C10</stp>
        <tr r="J618" s="1"/>
      </tp>
      <tp t="s">
        <v>S/A</v>
        <stp/>
        <stp>##V3_BDPV12</stp>
        <stp>912828PM Govt</stp>
        <stp>COUPON_FREQUENCY_DESCRIPTION</stp>
        <stp>[TREASURY.xlsx]Sheet1!R593C10</stp>
        <tr r="J593" s="1"/>
      </tp>
      <tp t="s">
        <v>S/A</v>
        <stp/>
        <stp>##V3_BDPV12</stp>
        <stp>912828TJ Govt</stp>
        <stp>COUPON_FREQUENCY_DESCRIPTION</stp>
        <stp>[TREASURY.xlsx]Sheet1!R194C10</stp>
        <tr r="J194" s="1"/>
      </tp>
      <tp t="s">
        <v>S/A</v>
        <stp/>
        <stp>##V3_BDPV12</stp>
        <stp>912828PE Govt</stp>
        <stp>COUPON_FREQUENCY_DESCRIPTION</stp>
        <stp>[TREASURY.xlsx]Sheet1!R548C10</stp>
        <tr r="J548" s="1"/>
      </tp>
      <tp t="s">
        <v>S/A</v>
        <stp/>
        <stp>##V3_BDPV12</stp>
        <stp>912828QZ Govt</stp>
        <stp>COUPON_FREQUENCY_DESCRIPTION</stp>
        <stp>[TREASURY.xlsx]Sheet1!R449C10</stp>
        <tr r="J449" s="1"/>
      </tp>
      <tp t="s">
        <v>S/A</v>
        <stp/>
        <stp>##V3_BDPV12</stp>
        <stp>912828WZ Govt</stp>
        <stp>COUPON_FREQUENCY_DESCRIPTION</stp>
        <stp>[TREASURY.xlsx]Sheet1!R244C10</stp>
        <tr r="J244" s="1"/>
      </tp>
      <tp t="s">
        <v>S/A</v>
        <stp/>
        <stp>##V3_BDPV12</stp>
        <stp>912828PZ Govt</stp>
        <stp>COUPON_FREQUENCY_DESCRIPTION</stp>
        <stp>[TREASURY.xlsx]Sheet1!R575C10</stp>
        <tr r="J575" s="1"/>
      </tp>
      <tp t="s">
        <v>S/A</v>
        <stp/>
        <stp>##V3_BDPV12</stp>
        <stp>912828TY Govt</stp>
        <stp>COUPON_FREQUENCY_DESCRIPTION</stp>
        <stp>[TREASURY.xlsx]Sheet1!R118C10</stp>
        <tr r="J118" s="1"/>
      </tp>
      <tp t="s">
        <v>S/A</v>
        <stp/>
        <stp>##V3_BDPV12</stp>
        <stp>912828SW Govt</stp>
        <stp>COUPON_FREQUENCY_DESCRIPTION</stp>
        <stp>[TREASURY.xlsx]Sheet1!R653C10</stp>
        <tr r="J653" s="1"/>
      </tp>
      <tp t="s">
        <v>S/A</v>
        <stp/>
        <stp>##V3_BDPV12</stp>
        <stp>912828PY Govt</stp>
        <stp>COUPON_FREQUENCY_DESCRIPTION</stp>
        <stp>[TREASURY.xlsx]Sheet1!R594C10</stp>
        <tr r="J594" s="1"/>
      </tp>
      <tp t="s">
        <v>S/A</v>
        <stp/>
        <stp>##V3_BDPV12</stp>
        <stp>912828S6 Govt</stp>
        <stp>COUPON_FREQUENCY_DESCRIPTION</stp>
        <stp>[TREASURY.xlsx]Sheet1!R692C10</stp>
        <tr r="J692" s="1"/>
      </tp>
      <tp t="s">
        <v>S/A</v>
        <stp/>
        <stp>##V3_BDPV12</stp>
        <stp>912828W4 Govt</stp>
        <stp>COUPON_FREQUENCY_DESCRIPTION</stp>
        <stp>[TREASURY.xlsx]Sheet1!R296C10</stp>
        <tr r="J296" s="1"/>
      </tp>
      <tp t="s">
        <v>S/A</v>
        <stp/>
        <stp>##V3_BDPV12</stp>
        <stp>912828W5 Govt</stp>
        <stp>COUPON_FREQUENCY_DESCRIPTION</stp>
        <stp>[TREASURY.xlsx]Sheet1!R281C10</stp>
        <tr r="J281" s="1"/>
      </tp>
      <tp t="s">
        <v>S/A</v>
        <stp/>
        <stp>##V3_BDPV12</stp>
        <stp>912828Q9 Govt</stp>
        <stp>COUPON_FREQUENCY_DESCRIPTION</stp>
        <stp>[TREASURY.xlsx]Sheet1!R425C10</stp>
        <tr r="J425" s="1"/>
      </tp>
      <tp t="s">
        <v>S/A</v>
        <stp/>
        <stp>##V3_BDPV12</stp>
        <stp>912828T2 Govt</stp>
        <stp>COUPON_FREQUENCY_DESCRIPTION</stp>
        <stp>[TREASURY.xlsx]Sheet1!R192C10</stp>
        <tr r="J192" s="1"/>
      </tp>
      <tp t="s">
        <v>S/A</v>
        <stp/>
        <stp>##V3_BDPV12</stp>
        <stp>912828W8 Govt</stp>
        <stp>COUPON_FREQUENCY_DESCRIPTION</stp>
        <stp>[TREASURY.xlsx]Sheet1!R221C10</stp>
        <tr r="J221" s="1"/>
      </tp>
      <tp t="s">
        <v>S/A</v>
        <stp/>
        <stp>##V3_BDPV12</stp>
        <stp>912828V8 Govt</stp>
        <stp>COUPON_FREQUENCY_DESCRIPTION</stp>
        <stp>[TREASURY.xlsx]Sheet1!R307C10</stp>
        <tr r="J307" s="1"/>
      </tp>
      <tp t="s">
        <v>S/A</v>
        <stp/>
        <stp>##V3_BDPV12</stp>
        <stp>912828T6 Govt</stp>
        <stp>COUPON_FREQUENCY_DESCRIPTION</stp>
        <stp>[TREASURY.xlsx]Sheet1!R105C10</stp>
        <tr r="J105" s="1"/>
      </tp>
      <tp t="s">
        <v>S/A</v>
        <stp/>
        <stp>##V3_BDPV12</stp>
        <stp>912828Q4 Govt</stp>
        <stp>COUPON_FREQUENCY_DESCRIPTION</stp>
        <stp>[TREASURY.xlsx]Sheet1!R423C10</stp>
        <tr r="J423" s="1"/>
      </tp>
      <tp t="s">
        <v>S/A</v>
        <stp/>
        <stp>##V3_BDPV12</stp>
        <stp>912828Q3 Govt</stp>
        <stp>COUPON_FREQUENCY_DESCRIPTION</stp>
        <stp>[TREASURY.xlsx]Sheet1!R413C10</stp>
        <tr r="J413" s="1"/>
      </tp>
      <tp t="s">
        <v>S/A</v>
        <stp/>
        <stp>##V3_BDPV12</stp>
        <stp>912828T3 Govt</stp>
        <stp>COUPON_FREQUENCY_DESCRIPTION</stp>
        <stp>[TREASURY.xlsx]Sheet1!R124C10</stp>
        <tr r="J124" s="1"/>
      </tp>
      <tp t="s">
        <v>S/A</v>
        <stp/>
        <stp>##V3_BDPV12</stp>
        <stp>912828VJ Govt</stp>
        <stp>COUPON_FREQUENCY_DESCRIPTION</stp>
        <stp>[TREASURY.xlsx]Sheet1!R447C10</stp>
        <tr r="J447" s="1"/>
      </tp>
      <tp t="s">
        <v>S/A</v>
        <stp/>
        <stp>##V3_BDPV12</stp>
        <stp>912828QN Govt</stp>
        <stp>COUPON_FREQUENCY_DESCRIPTION</stp>
        <stp>[TREASURY.xlsx]Sheet1!R334C10</stp>
        <tr r="J334" s="1"/>
      </tp>
      <tp t="s">
        <v>S/A</v>
        <stp/>
        <stp>##V3_BDPV12</stp>
        <stp>912828WM Govt</stp>
        <stp>COUPON_FREQUENCY_DESCRIPTION</stp>
        <stp>[TREASURY.xlsx]Sheet1!R567C10</stp>
        <tr r="J567" s="1"/>
      </tp>
      <tp t="s">
        <v>S/A</v>
        <stp/>
        <stp>##V3_BDPV12</stp>
        <stp>912828SF Govt</stp>
        <stp>COUPON_FREQUENCY_DESCRIPTION</stp>
        <stp>[TREASURY.xlsx]Sheet1!R138C10</stp>
        <tr r="J138" s="1"/>
      </tp>
      <tp t="s">
        <v>S/A</v>
        <stp/>
        <stp>##V3_BDPV12</stp>
        <stp>912828TG Govt</stp>
        <stp>COUPON_FREQUENCY_DESCRIPTION</stp>
        <stp>[TREASURY.xlsx]Sheet1!R654C10</stp>
        <tr r="J654" s="1"/>
      </tp>
      <tp t="s">
        <v>S/A</v>
        <stp/>
        <stp>##V3_BDPV12</stp>
        <stp>912828TB Govt</stp>
        <stp>COUPON_FREQUENCY_DESCRIPTION</stp>
        <stp>[TREASURY.xlsx]Sheet1!R637C10</stp>
        <tr r="J637" s="1"/>
      </tp>
      <tp t="s">
        <v>S/A</v>
        <stp/>
        <stp>##V3_BDPV12</stp>
        <stp>912828VP Govt</stp>
        <stp>COUPON_FREQUENCY_DESCRIPTION</stp>
        <stp>[TREASURY.xlsx]Sheet1!R479C10</stp>
        <tr r="J479" s="1"/>
      </tp>
      <tp t="s">
        <v>S/A</v>
        <stp/>
        <stp>##V3_BDPV12</stp>
        <stp>912828WS Govt</stp>
        <stp>COUPON_FREQUENCY_DESCRIPTION</stp>
        <stp>[TREASURY.xlsx]Sheet1!R543C10</stp>
        <tr r="J543" s="1"/>
      </tp>
      <tp t="s">
        <v>S/A</v>
        <stp/>
        <stp>##V3_BDPV12</stp>
        <stp>912828SV Govt</stp>
        <stp>COUPON_FREQUENCY_DESCRIPTION</stp>
        <stp>[TREASURY.xlsx]Sheet1!R164C10</stp>
        <tr r="J164" s="1"/>
      </tp>
      <tp t="s">
        <v>S/A</v>
        <stp/>
        <stp>##V3_BDPV12</stp>
        <stp>912828T5 Govt</stp>
        <stp>COUPON_FREQUENCY_DESCRIPTION</stp>
        <stp>[TREASURY.xlsx]Sheet1!R631C10</stp>
        <tr r="J631" s="1"/>
      </tp>
      <tp t="s">
        <v>S/A</v>
        <stp/>
        <stp>##V3_BDPV12</stp>
        <stp>912828P3 Govt</stp>
        <stp>COUPON_FREQUENCY_DESCRIPTION</stp>
        <stp>[TREASURY.xlsx]Sheet1!R222C10</stp>
        <tr r="J222" s="1"/>
      </tp>
      <tp t="s">
        <v>S/A</v>
        <stp/>
        <stp>##V3_BDPV12</stp>
        <stp>912828Q7 Govt</stp>
        <stp>COUPON_FREQUENCY_DESCRIPTION</stp>
        <stp>[TREASURY.xlsx]Sheet1!R378C10</stp>
        <tr r="J378" s="1"/>
      </tp>
      <tp t="s">
        <v>S/A</v>
        <stp/>
        <stp>##V3_BDPV12</stp>
        <stp>912828VG Govt</stp>
        <stp>COUPON_FREQUENCY_DESCRIPTION</stp>
        <stp>[TREASURY.xlsx]Sheet1!R587C10</stp>
        <tr r="J587" s="1"/>
      </tp>
      <tp t="s">
        <v>S/A</v>
        <stp/>
        <stp>##V3_BDPV12</stp>
        <stp>912828WB Govt</stp>
        <stp>COUPON_FREQUENCY_DESCRIPTION</stp>
        <stp>[TREASURY.xlsx]Sheet1!R457C10</stp>
        <tr r="J457" s="1"/>
      </tp>
      <tp t="s">
        <v>S/A</v>
        <stp/>
        <stp>##V3_BDPV12</stp>
        <stp>912828PC Govt</stp>
        <stp>COUPON_FREQUENCY_DESCRIPTION</stp>
        <stp>[TREASURY.xlsx]Sheet1!R365C10</stp>
        <tr r="J365" s="1"/>
      </tp>
      <tp t="s">
        <v>S/A</v>
        <stp/>
        <stp>##V3_BDPV12</stp>
        <stp>912828VC Govt</stp>
        <stp>COUPON_FREQUENCY_DESCRIPTION</stp>
        <stp>[TREASURY.xlsx]Sheet1!R577C10</stp>
        <tr r="J577" s="1"/>
      </tp>
      <tp t="s">
        <v>S/A</v>
        <stp/>
        <stp>##V3_BDPV12</stp>
        <stp>912828UF Govt</stp>
        <stp>COUPON_FREQUENCY_DESCRIPTION</stp>
        <stp>[TREASURY.xlsx]Sheet1!R671C10</stp>
        <tr r="J671" s="1"/>
      </tp>
      <tp t="s">
        <v>S/A</v>
        <stp/>
        <stp>##V3_BDPV12</stp>
        <stp>912828UV Govt</stp>
        <stp>COUPON_FREQUENCY_DESCRIPTION</stp>
        <stp>[TREASURY.xlsx]Sheet1!R693C10</stp>
        <tr r="J693" s="1"/>
      </tp>
      <tp t="s">
        <v>S/A</v>
        <stp/>
        <stp>##V3_BDPV12</stp>
        <stp>912828PX Govt</stp>
        <stp>COUPON_FREQUENCY_DESCRIPTION</stp>
        <stp>[TREASURY.xlsx]Sheet1!R355C10</stp>
        <tr r="J355" s="1"/>
      </tp>
      <tp t="s">
        <v>S/A</v>
        <stp/>
        <stp>##V3_BDPV12</stp>
        <stp>912828WP Govt</stp>
        <stp>COUPON_FREQUENCY_DESCRIPTION</stp>
        <stp>[TREASURY.xlsx]Sheet1!R488C10</stp>
        <tr r="J488" s="1"/>
      </tp>
      <tp t="s">
        <v>S/A</v>
        <stp/>
        <stp>##V3_BDPV12</stp>
        <stp>912828VR Govt</stp>
        <stp>COUPON_FREQUENCY_DESCRIPTION</stp>
        <stp>[TREASURY.xlsx]Sheet1!R566C10</stp>
        <tr r="J566" s="1"/>
      </tp>
      <tp t="s">
        <v>S/A</v>
        <stp/>
        <stp>##V3_BDPV12</stp>
        <stp>912828RR Govt</stp>
        <stp>COUPON_FREQUENCY_DESCRIPTION</stp>
        <stp>[TREASURY.xlsx]Sheet1!R119C10</stp>
        <tr r="J119" s="1"/>
      </tp>
      <tp t="s">
        <v>S/A</v>
        <stp/>
        <stp>##V3_BDPV12</stp>
        <stp>912828U9 Govt</stp>
        <stp>COUPON_FREQUENCY_DESCRIPTION</stp>
        <stp>[TREASURY.xlsx]Sheet1!R678C10</stp>
        <tr r="J678" s="1"/>
      </tp>
      <tp t="s">
        <v>S/A</v>
        <stp/>
        <stp>##V3_BDPV12</stp>
        <stp>912828W6 Govt</stp>
        <stp>COUPON_FREQUENCY_DESCRIPTION</stp>
        <stp>[TREASURY.xlsx]Sheet1!R480C10</stp>
        <tr r="J480" s="1"/>
      </tp>
      <tp t="s">
        <v>S/A</v>
        <stp/>
        <stp>##V3_BDPV12</stp>
        <stp>912828P7 Govt</stp>
        <stp>COUPON_FREQUENCY_DESCRIPTION</stp>
        <stp>[TREASURY.xlsx]Sheet1!R309C10</stp>
        <tr r="J309" s="1"/>
      </tp>
      <tp t="s">
        <v>S/A</v>
        <stp/>
        <stp>##V3_BDPV12</stp>
        <stp>912828P8 Govt</stp>
        <stp>COUPON_FREQUENCY_DESCRIPTION</stp>
        <stp>[TREASURY.xlsx]Sheet1!R389C10</stp>
        <tr r="J389" s="1"/>
      </tp>
      <tp t="s">
        <v>S/A</v>
        <stp/>
        <stp>##V3_BDPV12</stp>
        <stp>912828R3 Govt</stp>
        <stp>COUPON_FREQUENCY_DESCRIPTION</stp>
        <stp>[TREASURY.xlsx]Sheet1!R130C10</stp>
        <tr r="J130" s="1"/>
      </tp>
      <tp t="s">
        <v>S/A</v>
        <stp/>
        <stp>##V3_BDPV12</stp>
        <stp>912828VF Govt</stp>
        <stp>COUPON_FREQUENCY_DESCRIPTION</stp>
        <stp>[TREASURY.xlsx]Sheet1!R694C10</stp>
        <tr r="J694" s="1"/>
      </tp>
      <tp t="s">
        <v>S/A</v>
        <stp/>
        <stp>##V3_BDPV12</stp>
        <stp>912828SH Govt</stp>
        <stp>COUPON_FREQUENCY_DESCRIPTION</stp>
        <stp>[TREASURY.xlsx]Sheet1!R360C10</stp>
        <tr r="J360" s="1"/>
      </tp>
      <tp t="s">
        <v>S/A</v>
        <stp/>
        <stp>##V3_BDPV12</stp>
        <stp>912828TL Govt</stp>
        <stp>COUPON_FREQUENCY_DESCRIPTION</stp>
        <stp>[TREASURY.xlsx]Sheet1!R409C10</stp>
        <tr r="J409" s="1"/>
      </tp>
      <tp t="s">
        <v>S/A</v>
        <stp/>
        <stp>##V3_BDPV12</stp>
        <stp>912828UD Govt</stp>
        <stp>COUPON_FREQUENCY_DESCRIPTION</stp>
        <stp>[TREASURY.xlsx]Sheet1!R586C10</stp>
        <tr r="J586" s="1"/>
      </tp>
      <tp t="s">
        <v>S/A</v>
        <stp/>
        <stp>##V3_BDPV12</stp>
        <stp>912828VH Govt</stp>
        <stp>COUPON_FREQUENCY_DESCRIPTION</stp>
        <stp>[TREASURY.xlsx]Sheet1!R632C10</stp>
        <tr r="J632" s="1"/>
      </tp>
      <tp t="s">
        <v>S/A</v>
        <stp/>
        <stp>##V3_BDPV12</stp>
        <stp>912828UB Govt</stp>
        <stp>COUPON_FREQUENCY_DESCRIPTION</stp>
        <stp>[TREASURY.xlsx]Sheet1!R540C10</stp>
        <tr r="J540" s="1"/>
      </tp>
      <tp t="s">
        <v>S/A</v>
        <stp/>
        <stp>##V3_BDPV12</stp>
        <stp>912828VA Govt</stp>
        <stp>COUPON_FREQUENCY_DESCRIPTION</stp>
        <stp>[TREASURY.xlsx]Sheet1!R638C10</stp>
        <tr r="J638" s="1"/>
      </tp>
      <tp t="s">
        <v>S/A</v>
        <stp/>
        <stp>##V3_BDPV12</stp>
        <stp>912828VE Govt</stp>
        <stp>COUPON_FREQUENCY_DESCRIPTION</stp>
        <stp>[TREASURY.xlsx]Sheet1!R673C10</stp>
        <tr r="J673" s="1"/>
      </tp>
      <tp t="s">
        <v>S/A</v>
        <stp/>
        <stp>##V3_BDPV12</stp>
        <stp>912828TV Govt</stp>
        <stp>COUPON_FREQUENCY_DESCRIPTION</stp>
        <stp>[TREASURY.xlsx]Sheet1!R498C10</stp>
        <tr r="J498" s="1"/>
      </tp>
      <tp t="s">
        <v>S/A</v>
        <stp/>
        <stp>##V3_BDPV12</stp>
        <stp>912828TX Govt</stp>
        <stp>COUPON_FREQUENCY_DESCRIPTION</stp>
        <stp>[TREASURY.xlsx]Sheet1!R467C10</stp>
        <tr r="J467" s="1"/>
      </tp>
      <tp t="s">
        <v>S/A</v>
        <stp/>
        <stp>##V3_BDPV12</stp>
        <stp>912828XV Govt</stp>
        <stp>COUPON_FREQUENCY_DESCRIPTION</stp>
        <stp>[TREASURY.xlsx]Sheet1!R883C10</stp>
        <tr r="J883" s="1"/>
      </tp>
      <tp t="s">
        <v>S/A</v>
        <stp/>
        <stp>##V3_BDPV12</stp>
        <stp>912828TS Govt</stp>
        <stp>COUPON_FREQUENCY_DESCRIPTION</stp>
        <stp>[TREASURY.xlsx]Sheet1!R490C10</stp>
        <tr r="J490" s="1"/>
      </tp>
      <tp t="s">
        <v>S/A</v>
        <stp/>
        <stp>##V3_BDPV12</stp>
        <stp>912828VZ Govt</stp>
        <stp>COUPON_FREQUENCY_DESCRIPTION</stp>
        <stp>[TREASURY.xlsx]Sheet1!R695C10</stp>
        <tr r="J695" s="1"/>
      </tp>
      <tp t="s">
        <v>S/A</v>
        <stp/>
        <stp>##V3_BDPV12</stp>
        <stp>912828TR Govt</stp>
        <stp>COUPON_FREQUENCY_DESCRIPTION</stp>
        <stp>[TREASURY.xlsx]Sheet1!R402C10</stp>
        <tr r="J402" s="1"/>
      </tp>
      <tp t="s">
        <v>S/A</v>
        <stp/>
        <stp>##V3_BDPV12</stp>
        <stp>912828UT Govt</stp>
        <stp>COUPON_FREQUENCY_DESCRIPTION</stp>
        <stp>[TREASURY.xlsx]Sheet1!R552C10</stp>
        <tr r="J552" s="1"/>
      </tp>
      <tp t="s">
        <v>S/A</v>
        <stp/>
        <stp>##V3_BDPV12</stp>
        <stp>912828S2 Govt</stp>
        <stp>COUPON_FREQUENCY_DESCRIPTION</stp>
        <stp>[TREASURY.xlsx]Sheet1!R391C10</stp>
        <tr r="J391" s="1"/>
      </tp>
      <tp t="s">
        <v>S/A</v>
        <stp/>
        <stp>##V3_BDPV12</stp>
        <stp>912828Q2 Govt</stp>
        <stp>COUPON_FREQUENCY_DESCRIPTION</stp>
        <stp>[TREASURY.xlsx]Sheet1!R187C10</stp>
        <tr r="J187" s="1"/>
      </tp>
      <tp t="s">
        <v>S/A</v>
        <stp/>
        <stp>##V3_BDPV12</stp>
        <stp>912828S9 Govt</stp>
        <stp>COUPON_FREQUENCY_DESCRIPTION</stp>
        <stp>[TREASURY.xlsx]Sheet1!R301C10</stp>
        <tr r="J301" s="1"/>
      </tp>
      <tp t="s">
        <v>S/A</v>
        <stp/>
        <stp>##V3_BDPV12</stp>
        <stp>912828R2 Govt</stp>
        <stp>COUPON_FREQUENCY_DESCRIPTION</stp>
        <stp>[TREASURY.xlsx]Sheet1!R245C10</stp>
        <tr r="J245" s="1"/>
      </tp>
      <tp t="s">
        <v>S/A</v>
        <stp/>
        <stp>##V3_BDPV12</stp>
        <stp>912828S7 Govt</stp>
        <stp>COUPON_FREQUENCY_DESCRIPTION</stp>
        <stp>[TREASURY.xlsx]Sheet1!R346C10</stp>
        <tr r="J346" s="1"/>
      </tp>
      <tp t="s">
        <v>S/A</v>
        <stp/>
        <stp>##V3_BDPV12</stp>
        <stp>912828S3 Govt</stp>
        <stp>COUPON_FREQUENCY_DESCRIPTION</stp>
        <stp>[TREASURY.xlsx]Sheet1!R305C10</stp>
        <tr r="J305" s="1"/>
      </tp>
      <tp t="s">
        <v>S/A</v>
        <stp/>
        <stp>##V3_BDPV12</stp>
        <stp>912828X9 Govt</stp>
        <stp>COUPON_FREQUENCY_DESCRIPTION</stp>
        <stp>[TREASURY.xlsx]Sheet1!R882C10</stp>
        <tr r="J882" s="1"/>
      </tp>
      <tp t="s">
        <v>S/A</v>
        <stp/>
        <stp>##V3_BDPV12</stp>
        <stp>912828R6 Govt</stp>
        <stp>COUPON_FREQUENCY_DESCRIPTION</stp>
        <stp>[TREASURY.xlsx]Sheet1!R266C10</stp>
        <tr r="J266" s="1"/>
      </tp>
      <tp t="s">
        <v>S/A</v>
        <stp/>
        <stp>##V3_BDPV12</stp>
        <stp>912828V5 Govt</stp>
        <stp>COUPON_FREQUENCY_DESCRIPTION</stp>
        <stp>[TREASURY.xlsx]Sheet1!R655C10</stp>
        <tr r="J655" s="1"/>
      </tp>
      <tp t="s">
        <v>S/A</v>
        <stp/>
        <stp>##V3_BDPV12</stp>
        <stp>912828WF Govt</stp>
        <stp>COUPON_FREQUENCY_DESCRIPTION</stp>
        <stp>[TREASURY.xlsx]Sheet1!R680C10</stp>
        <tr r="J680" s="1"/>
      </tp>
      <tp t="s">
        <v>S/A</v>
        <stp/>
        <stp>##V3_BDPV12</stp>
        <stp>912828TK Govt</stp>
        <stp>COUPON_FREQUENCY_DESCRIPTION</stp>
        <stp>[TREASURY.xlsx]Sheet1!R565C10</stp>
        <tr r="J565" s="1"/>
      </tp>
      <tp t="s">
        <v>S/A</v>
        <stp/>
        <stp>##V3_BDPV12</stp>
        <stp>912828WD Govt</stp>
        <stp>COUPON_FREQUENCY_DESCRIPTION</stp>
        <stp>[TREASURY.xlsx]Sheet1!R682C10</stp>
        <tr r="J682" s="1"/>
      </tp>
      <tp t="s">
        <v>S/A</v>
        <stp/>
        <stp>##V3_BDPV12</stp>
        <stp>912828UM Govt</stp>
        <stp>COUPON_FREQUENCY_DESCRIPTION</stp>
        <stp>[TREASURY.xlsx]Sheet1!R472C10</stp>
        <tr r="J472" s="1"/>
      </tp>
      <tp t="s">
        <v>S/A</v>
        <stp/>
        <stp>##V3_BDPV12</stp>
        <stp>912828TA Govt</stp>
        <stp>COUPON_FREQUENCY_DESCRIPTION</stp>
        <stp>[TREASURY.xlsx]Sheet1!R520C10</stp>
        <tr r="J520" s="1"/>
      </tp>
      <tp t="s">
        <v>S/A</v>
        <stp/>
        <stp>##V3_BDPV12</stp>
        <stp>912828UE Govt</stp>
        <stp>COUPON_FREQUENCY_DESCRIPTION</stp>
        <stp>[TREASURY.xlsx]Sheet1!R446C10</stp>
        <tr r="J446" s="1"/>
      </tp>
      <tp t="s">
        <v>S/A</v>
        <stp/>
        <stp>##V3_BDPV12</stp>
        <stp>912828TH Govt</stp>
        <stp>COUPON_FREQUENCY_DESCRIPTION</stp>
        <stp>[TREASURY.xlsx]Sheet1!R585C10</stp>
        <tr r="J585" s="1"/>
      </tp>
      <tp t="s">
        <v>S/A</v>
        <stp/>
        <stp>##V3_BDPV12</stp>
        <stp>912828RC Govt</stp>
        <stp>COUPON_FREQUENCY_DESCRIPTION</stp>
        <stp>[TREASURY.xlsx]Sheet1!R333C10</stp>
        <tr r="J333" s="1"/>
      </tp>
      <tp t="s">
        <v>S/A</v>
        <stp/>
        <stp>##V3_BDPV12</stp>
        <stp>912828RX Govt</stp>
        <stp>COUPON_FREQUENCY_DESCRIPTION</stp>
        <stp>[TREASURY.xlsx]Sheet1!R374C10</stp>
        <tr r="J374" s="1"/>
      </tp>
      <tp t="s">
        <v>S/A</v>
        <stp/>
        <stp>##V3_BDPV12</stp>
        <stp>912828UZ Govt</stp>
        <stp>COUPON_FREQUENCY_DESCRIPTION</stp>
        <stp>[TREASURY.xlsx]Sheet1!R445C10</stp>
        <tr r="J445" s="1"/>
      </tp>
      <tp t="s">
        <v>S/A</v>
        <stp/>
        <stp>##V3_BDPV12</stp>
        <stp>912828TU Govt</stp>
        <stp>COUPON_FREQUENCY_DESCRIPTION</stp>
        <stp>[TREASURY.xlsx]Sheet1!R539C10</stp>
        <tr r="J539" s="1"/>
      </tp>
      <tp t="s">
        <v>S/A</v>
        <stp/>
        <stp>##V3_BDPV12</stp>
        <stp>912828UQ Govt</stp>
        <stp>COUPON_FREQUENCY_DESCRIPTION</stp>
        <stp>[TREASURY.xlsx]Sheet1!R421C10</stp>
        <tr r="J421" s="1"/>
      </tp>
      <tp t="s">
        <v>S/A</v>
        <stp/>
        <stp>##V3_BDPV12</stp>
        <stp>912828U7 Govt</stp>
        <stp>COUPON_FREQUENCY_DESCRIPTION</stp>
        <stp>[TREASURY.xlsx]Sheet1!R484C10</stp>
        <tr r="J484" s="1"/>
      </tp>
      <tp t="s">
        <v>S/A</v>
        <stp/>
        <stp>##V3_BDPV12</stp>
        <stp>912828R7 Govt</stp>
        <stp>COUPON_FREQUENCY_DESCRIPTION</stp>
        <stp>[TREASURY.xlsx]Sheet1!R383C10</stp>
        <tr r="J383" s="1"/>
      </tp>
      <tp t="s">
        <v>S/A</v>
        <stp/>
        <stp>##V3_BDPV12</stp>
        <stp>912828W3 Govt</stp>
        <stp>COUPON_FREQUENCY_DESCRIPTION</stp>
        <stp>[TREASURY.xlsx]Sheet1!R681C10</stp>
        <tr r="J681" s="1"/>
      </tp>
      <tp t="s">
        <v>S/A</v>
        <stp/>
        <stp>##V3_BDPV12</stp>
        <stp>912828U3 Govt</stp>
        <stp>COUPON_FREQUENCY_DESCRIPTION</stp>
        <stp>[TREASURY.xlsx]Sheet1!R491C10</stp>
        <tr r="J491" s="1"/>
      </tp>
      <tp t="s">
        <v>S/A</v>
        <stp/>
        <stp>##V3_BDPV12</stp>
        <stp>912828W2 Govt</stp>
        <stp>COUPON_FREQUENCY_DESCRIPTION</stp>
        <stp>[TREASURY.xlsx]Sheet1!R679C10</stp>
        <tr r="J679" s="1"/>
      </tp>
      <tp>
        <v>0.25</v>
        <stp/>
        <stp>##V3_BDPV12</stp>
        <stp>91282CAJ Govt</stp>
        <stp>CPN</stp>
        <stp>[TREASURY.xlsx]Sheet1!R49C3</stp>
        <tr r="C49" s="1"/>
      </tp>
      <tp t="s">
        <v>#N/A Field Not Applicable</v>
        <stp/>
        <stp>##V3_BDPV12</stp>
        <stp>912827P2 Govt</stp>
        <stp>IDX_RATIO</stp>
        <stp>[TREASURY.xlsx]Sheet1!R735C20</stp>
        <tr r="T735" s="1"/>
      </tp>
      <tp t="s">
        <v>UNITED STATES</v>
        <stp/>
        <stp>##V3_BDPV12</stp>
        <stp>9128275G Govt</stp>
        <stp>COUNTRY_FULL_NAME</stp>
        <stp>[TREASURY.xlsx]Sheet1!R1369C8</stp>
        <tr r="H1369" s="1"/>
      </tp>
      <tp t="s">
        <v>#N/A Field Not Applicable</v>
        <stp/>
        <stp>##V3_BDPV12</stp>
        <stp>912828P7 Govt</stp>
        <stp>IDX_RATIO</stp>
        <stp>[TREASURY.xlsx]Sheet1!R309C20</stp>
        <tr r="T309" s="1"/>
      </tp>
      <tp t="s">
        <v>#N/A Field Not Applicable</v>
        <stp/>
        <stp>##V3_BDPV12</stp>
        <stp>912828P3 Govt</stp>
        <stp>IDX_RATIO</stp>
        <stp>[TREASURY.xlsx]Sheet1!R222C20</stp>
        <tr r="T222" s="1"/>
      </tp>
      <tp t="s">
        <v>UNITED STATES</v>
        <stp/>
        <stp>##V3_BDPV12</stp>
        <stp>9128274C Govt</stp>
        <stp>COUNTRY_FULL_NAME</stp>
        <stp>[TREASURY.xlsx]Sheet1!R1458C8</stp>
        <tr r="H1458" s="1"/>
      </tp>
      <tp t="s">
        <v>#N/A Field Not Applicable</v>
        <stp/>
        <stp>##V3_BDPV12</stp>
        <stp>912828P9 Govt</stp>
        <stp>IDX_RATIO</stp>
        <stp>[TREASURY.xlsx]Sheet1!R431C20</stp>
        <tr r="T431" s="1"/>
      </tp>
      <tp t="s">
        <v>#N/A Field Not Applicable</v>
        <stp/>
        <stp>##V3_BDPV12</stp>
        <stp>912828P8 Govt</stp>
        <stp>IDX_RATIO</stp>
        <stp>[TREASURY.xlsx]Sheet1!R389C20</stp>
        <tr r="T389" s="1"/>
      </tp>
      <tp t="s">
        <v>#N/A Field Not Applicable</v>
        <stp/>
        <stp>##V3_BDPV12</stp>
        <stp>912828P2 Govt</stp>
        <stp>IDX_RATIO</stp>
        <stp>[TREASURY.xlsx]Sheet1!R981C20</stp>
        <tr r="T981" s="1"/>
      </tp>
      <tp t="s">
        <v>UNITED STATES</v>
        <stp/>
        <stp>##V3_BDPV12</stp>
        <stp>9128275S Govt</stp>
        <stp>COUNTRY_FULL_NAME</stp>
        <stp>[TREASURY.xlsx]Sheet1!R1019C8</stp>
        <tr r="H1019" s="1"/>
      </tp>
      <tp t="s">
        <v>UNITED STATES</v>
        <stp/>
        <stp>##V3_BDPV12</stp>
        <stp>9128274X Govt</stp>
        <stp>COUNTRY_FULL_NAME</stp>
        <stp>[TREASURY.xlsx]Sheet1!R1368C8</stp>
        <tr r="H1368" s="1"/>
      </tp>
      <tp t="s">
        <v>#N/A Field Not Applicable</v>
        <stp/>
        <stp>##V3_BDPV12</stp>
        <stp>912810PW Govt</stp>
        <stp>IDX_RATIO</stp>
        <stp>[TREASURY.xlsx]Sheet1!R289C20</stp>
        <tr r="T289" s="1"/>
      </tp>
      <tp t="s">
        <v>#N/A Field Not Applicable</v>
        <stp/>
        <stp>##V3_BDPV12</stp>
        <stp>912827PQ Govt</stp>
        <stp>IDX_RATIO</stp>
        <stp>[TREASURY.xlsx]Sheet1!R665C20</stp>
        <tr r="T665" s="1"/>
      </tp>
      <tp t="s">
        <v>T</v>
        <stp/>
        <stp>##V3_BDPV12</stp>
        <stp>912828YG Govt</stp>
        <stp>TICKER</stp>
        <stp>[TREASURY.xlsx]Sheet1!R69C2</stp>
        <tr r="B69" s="1"/>
      </tp>
      <tp t="s">
        <v>#N/A Field Not Applicable</v>
        <stp/>
        <stp>##V3_BDPV12</stp>
        <stp>912810PT Govt</stp>
        <stp>IDX_RATIO</stp>
        <stp>[TREASURY.xlsx]Sheet1!R226C20</stp>
        <tr r="T226" s="1"/>
      </tp>
      <tp t="s">
        <v>#N/A Field Not Applicable</v>
        <stp/>
        <stp>##V3_BDPV12</stp>
        <stp>912828PV Govt</stp>
        <stp>IDX_RATIO</stp>
        <stp>[TREASURY.xlsx]Sheet1!R652C20</stp>
        <tr r="T652" s="1"/>
      </tp>
      <tp t="s">
        <v>#N/A Field Not Applicable</v>
        <stp/>
        <stp>##V3_BDPV12</stp>
        <stp>912827PW Govt</stp>
        <stp>IDX_RATIO</stp>
        <stp>[TREASURY.xlsx]Sheet1!R739C20</stp>
        <tr r="T739" s="1"/>
      </tp>
      <tp t="s">
        <v>T</v>
        <stp/>
        <stp>##V3_BDPV12</stp>
        <stp>912810SY Govt</stp>
        <stp>TICKER</stp>
        <stp>[TREASURY.xlsx]Sheet1!R21C2</stp>
        <tr r="B21" s="1"/>
      </tp>
      <tp t="s">
        <v>#N/A Field Not Applicable</v>
        <stp/>
        <stp>##V3_BDPV12</stp>
        <stp>912828PY Govt</stp>
        <stp>IDX_RATIO</stp>
        <stp>[TREASURY.xlsx]Sheet1!R594C20</stp>
        <tr r="T594" s="1"/>
      </tp>
      <tp t="s">
        <v>#N/A Field Not Applicable</v>
        <stp/>
        <stp>##V3_BDPV12</stp>
        <stp>912828PZ Govt</stp>
        <stp>IDX_RATIO</stp>
        <stp>[TREASURY.xlsx]Sheet1!R575C20</stp>
        <tr r="T575" s="1"/>
      </tp>
      <tp t="s">
        <v>#N/A Field Not Applicable</v>
        <stp/>
        <stp>##V3_BDPV12</stp>
        <stp>912828PW Govt</stp>
        <stp>IDX_RATIO</stp>
        <stp>[TREASURY.xlsx]Sheet1!R987C20</stp>
        <tr r="T987" s="1"/>
      </tp>
      <tp t="s">
        <v>#N/A Field Not Applicable</v>
        <stp/>
        <stp>##V3_BDPV12</stp>
        <stp>912827PP Govt</stp>
        <stp>IDX_RATIO</stp>
        <stp>[TREASURY.xlsx]Sheet1!R904C20</stp>
        <tr r="T904" s="1"/>
      </tp>
      <tp t="s">
        <v>#N/A Field Not Applicable</v>
        <stp/>
        <stp>##V3_BDPV12</stp>
        <stp>912828PQ Govt</stp>
        <stp>IDX_RATIO</stp>
        <stp>[TREASURY.xlsx]Sheet1!R985C20</stp>
        <tr r="T985" s="1"/>
      </tp>
      <tp t="s">
        <v>#N/A Field Not Applicable</v>
        <stp/>
        <stp>##V3_BDPV12</stp>
        <stp>912828PX Govt</stp>
        <stp>IDX_RATIO</stp>
        <stp>[TREASURY.xlsx]Sheet1!R355C20</stp>
        <tr r="T355" s="1"/>
      </tp>
      <tp t="s">
        <v>#N/A Field Not Applicable</v>
        <stp/>
        <stp>##V3_BDPV12</stp>
        <stp>912828PS Govt</stp>
        <stp>IDX_RATIO</stp>
        <stp>[TREASURY.xlsx]Sheet1!R986C20</stp>
        <tr r="T986" s="1"/>
      </tp>
      <tp t="s">
        <v>#N/A Field Not Applicable</v>
        <stp/>
        <stp>##V3_BDPV12</stp>
        <stp>912810PX Govt</stp>
        <stp>IDX_RATIO</stp>
        <stp>[TREASURY.xlsx]Sheet1!R282C20</stp>
        <tr r="T282" s="1"/>
      </tp>
      <tp t="s">
        <v>USD</v>
        <stp/>
        <stp>##V3_BDPV12</stp>
        <stp>91282CAF Govt</stp>
        <stp>CRNCY</stp>
        <stp>[TREASURY.xlsx]Sheet1!R195C7</stp>
        <tr r="G195" s="1"/>
      </tp>
      <tp t="s">
        <v>#N/A Field Not Applicable</v>
        <stp/>
        <stp>##V3_BDPV12</stp>
        <stp>912828PL Govt</stp>
        <stp>IDX_RATIO</stp>
        <stp>[TREASURY.xlsx]Sheet1!R983C20</stp>
        <tr r="T983" s="1"/>
      </tp>
      <tp t="s">
        <v>#N/A Field Not Applicable</v>
        <stp/>
        <stp>##V3_BDPV12</stp>
        <stp>912827PC Govt</stp>
        <stp>IDX_RATIO</stp>
        <stp>[TREASURY.xlsx]Sheet1!R736C20</stp>
        <tr r="T736" s="1"/>
      </tp>
      <tp t="s">
        <v>#N/A Field Not Applicable</v>
        <stp/>
        <stp>##V3_BDPV12</stp>
        <stp>912827PN Govt</stp>
        <stp>IDX_RATIO</stp>
        <stp>[TREASURY.xlsx]Sheet1!R903C20</stp>
        <tr r="T903" s="1"/>
      </tp>
      <tp t="s">
        <v>#N/A Field Not Applicable</v>
        <stp/>
        <stp>##V3_BDPV12</stp>
        <stp>912828PN Govt</stp>
        <stp>IDX_RATIO</stp>
        <stp>[TREASURY.xlsx]Sheet1!R984C20</stp>
        <tr r="T984" s="1"/>
      </tp>
      <tp t="s">
        <v>USD</v>
        <stp/>
        <stp>##V3_BDPV12</stp>
        <stp>91282CBE Govt</stp>
        <stp>CRNCY</stp>
        <stp>[TREASURY.xlsx]Sheet1!R115C7</stp>
        <tr r="G115" s="1"/>
      </tp>
      <tp t="s">
        <v>#N/A Field Not Applicable</v>
        <stp/>
        <stp>##V3_BDPV12</stp>
        <stp>912827PF Govt</stp>
        <stp>IDX_RATIO</stp>
        <stp>[TREASURY.xlsx]Sheet1!R737C20</stp>
        <tr r="T737" s="1"/>
      </tp>
      <tp t="s">
        <v>#N/A Field Not Applicable</v>
        <stp/>
        <stp>##V3_BDPV12</stp>
        <stp>912828PE Govt</stp>
        <stp>IDX_RATIO</stp>
        <stp>[TREASURY.xlsx]Sheet1!R548C20</stp>
        <tr r="T548" s="1"/>
      </tp>
      <tp t="s">
        <v>#N/A Field Not Applicable</v>
        <stp/>
        <stp>##V3_BDPV12</stp>
        <stp>912828PC Govt</stp>
        <stp>IDX_RATIO</stp>
        <stp>[TREASURY.xlsx]Sheet1!R365C20</stp>
        <tr r="T365" s="1"/>
      </tp>
      <tp t="s">
        <v>#N/A Field Not Applicable</v>
        <stp/>
        <stp>##V3_BDPV12</stp>
        <stp>912828PK Govt</stp>
        <stp>IDX_RATIO</stp>
        <stp>[TREASURY.xlsx]Sheet1!R982C20</stp>
        <tr r="T982" s="1"/>
      </tp>
      <tp t="s">
        <v>#N/A Field Not Applicable</v>
        <stp/>
        <stp>##V3_BDPV12</stp>
        <stp>912828PH Govt</stp>
        <stp>IDX_RATIO</stp>
        <stp>[TREASURY.xlsx]Sheet1!R464C20</stp>
        <tr r="T464" s="1"/>
      </tp>
      <tp t="s">
        <v>#N/A Field Not Applicable</v>
        <stp/>
        <stp>##V3_BDPV12</stp>
        <stp>912828PJ Govt</stp>
        <stp>IDX_RATIO</stp>
        <stp>[TREASURY.xlsx]Sheet1!R630C20</stp>
        <tr r="T630" s="1"/>
      </tp>
      <tp t="s">
        <v>#N/A Field Not Applicable</v>
        <stp/>
        <stp>##V3_BDPV12</stp>
        <stp>912827PH Govt</stp>
        <stp>IDX_RATIO</stp>
        <stp>[TREASURY.xlsx]Sheet1!R499C20</stp>
        <tr r="T499" s="1"/>
      </tp>
      <tp t="s">
        <v>#N/A Field Not Applicable</v>
        <stp/>
        <stp>##V3_BDPV12</stp>
        <stp>912828PM Govt</stp>
        <stp>IDX_RATIO</stp>
        <stp>[TREASURY.xlsx]Sheet1!R593C20</stp>
        <tr r="T593" s="1"/>
      </tp>
      <tp t="s">
        <v>#N/A Field Not Applicable</v>
        <stp/>
        <stp>##V3_BDPV12</stp>
        <stp>912827PL Govt</stp>
        <stp>IDX_RATIO</stp>
        <stp>[TREASURY.xlsx]Sheet1!R738C20</stp>
        <tr r="T738" s="1"/>
      </tp>
      <tp t="s">
        <v>S/A</v>
        <stp/>
        <stp>##V3_BDPV12</stp>
        <stp>9128282K Govt</stp>
        <stp>COUPON_FREQUENCY_DESCRIPTION</stp>
        <stp>[TREASURY.xlsx]Sheet1!R957C10</stp>
        <tr r="J957" s="1"/>
      </tp>
      <tp t="s">
        <v>S/A</v>
        <stp/>
        <stp>##V3_BDPV12</stp>
        <stp>9128284M Govt</stp>
        <stp>COUPON_FREQUENCY_DESCRIPTION</stp>
        <stp>[TREASURY.xlsx]Sheet1!R227C10</stp>
        <tr r="J227" s="1"/>
      </tp>
      <tp t="s">
        <v>S/A</v>
        <stp/>
        <stp>##V3_BDPV12</stp>
        <stp>9128284F Govt</stp>
        <stp>COUPON_FREQUENCY_DESCRIPTION</stp>
        <stp>[TREASURY.xlsx]Sheet1!R285C10</stp>
        <tr r="J285" s="1"/>
      </tp>
      <tp t="s">
        <v>S/A</v>
        <stp/>
        <stp>##V3_BDPV12</stp>
        <stp>9128284A Govt</stp>
        <stp>COUPON_FREQUENCY_DESCRIPTION</stp>
        <stp>[TREASURY.xlsx]Sheet1!R288C10</stp>
        <tr r="J288" s="1"/>
      </tp>
      <tp t="s">
        <v>S/A</v>
        <stp/>
        <stp>##V3_BDPV12</stp>
        <stp>9128284L Govt</stp>
        <stp>COUPON_FREQUENCY_DESCRIPTION</stp>
        <stp>[TREASURY.xlsx]Sheet1!R299C10</stp>
        <tr r="J299" s="1"/>
      </tp>
      <tp t="s">
        <v>S/A</v>
        <stp/>
        <stp>##V3_BDPV12</stp>
        <stp>9128284D Govt</stp>
        <stp>COUPON_FREQUENCY_DESCRIPTION</stp>
        <stp>[TREASURY.xlsx]Sheet1!R202C10</stp>
        <tr r="J202" s="1"/>
      </tp>
      <tp t="s">
        <v>S/A</v>
        <stp/>
        <stp>##V3_BDPV12</stp>
        <stp>9128285G Govt</stp>
        <stp>COUPON_FREQUENCY_DESCRIPTION</stp>
        <stp>[TREASURY.xlsx]Sheet1!R368C10</stp>
        <tr r="J368" s="1"/>
      </tp>
      <tp t="s">
        <v>S/A</v>
        <stp/>
        <stp>##V3_BDPV12</stp>
        <stp>9128282C Govt</stp>
        <stp>COUPON_FREQUENCY_DESCRIPTION</stp>
        <stp>[TREASURY.xlsx]Sheet1!R439C10</stp>
        <tr r="J439" s="1"/>
      </tp>
      <tp t="s">
        <v>S/A</v>
        <stp/>
        <stp>##V3_BDPV12</stp>
        <stp>9128285X Govt</stp>
        <stp>COUPON_FREQUENCY_DESCRIPTION</stp>
        <stp>[TREASURY.xlsx]Sheet1!R372C10</stp>
        <tr r="J372" s="1"/>
      </tp>
      <tp t="s">
        <v>S/A</v>
        <stp/>
        <stp>##V3_BDPV12</stp>
        <stp>9128284Z Govt</stp>
        <stp>COUPON_FREQUENCY_DESCRIPTION</stp>
        <stp>[TREASURY.xlsx]Sheet1!R251C10</stp>
        <tr r="J251" s="1"/>
      </tp>
      <tp t="s">
        <v>S/A</v>
        <stp/>
        <stp>##V3_BDPV12</stp>
        <stp>9128284X Govt</stp>
        <stp>COUPON_FREQUENCY_DESCRIPTION</stp>
        <stp>[TREASURY.xlsx]Sheet1!R256C10</stp>
        <tr r="J256" s="1"/>
      </tp>
      <tp t="s">
        <v>S/A</v>
        <stp/>
        <stp>##V3_BDPV12</stp>
        <stp>9128284S Govt</stp>
        <stp>COUPON_FREQUENCY_DESCRIPTION</stp>
        <stp>[TREASURY.xlsx]Sheet1!R294C10</stp>
        <tr r="J294" s="1"/>
      </tp>
      <tp t="s">
        <v>S/A</v>
        <stp/>
        <stp>##V3_BDPV12</stp>
        <stp>9128282Q Govt</stp>
        <stp>COUPON_FREQUENCY_DESCRIPTION</stp>
        <stp>[TREASURY.xlsx]Sheet1!R469C10</stp>
        <tr r="J469" s="1"/>
      </tp>
      <tp t="s">
        <v>S/A</v>
        <stp/>
        <stp>##V3_BDPV12</stp>
        <stp>9128284R Govt</stp>
        <stp>COUPON_FREQUENCY_DESCRIPTION</stp>
        <stp>[TREASURY.xlsx]Sheet1!R257C10</stp>
        <tr r="J257" s="1"/>
      </tp>
      <tp t="s">
        <v>S/A</v>
        <stp/>
        <stp>##V3_BDPV12</stp>
        <stp>9128285J Govt</stp>
        <stp>COUPON_FREQUENCY_DESCRIPTION</stp>
        <stp>[TREASURY.xlsx]Sheet1!R248C10</stp>
        <tr r="J248" s="1"/>
      </tp>
      <tp t="s">
        <v>S/A</v>
        <stp/>
        <stp>##V3_BDPV12</stp>
        <stp>9128284G Govt</stp>
        <stp>COUPON_FREQUENCY_DESCRIPTION</stp>
        <stp>[TREASURY.xlsx]Sheet1!R390C10</stp>
        <tr r="J390" s="1"/>
      </tp>
      <tp t="s">
        <v>USD</v>
        <stp/>
        <stp>##V3_BDPV12</stp>
        <stp>91282CAT Govt</stp>
        <stp>CRNCY</stp>
        <stp>[TREASURY.xlsx]Sheet1!R39C7</stp>
        <tr r="G39" s="1"/>
      </tp>
      <tp t="s">
        <v>USD</v>
        <stp/>
        <stp>##V3_BDPV12</stp>
        <stp>91282CAJ Govt</stp>
        <stp>CRNCY</stp>
        <stp>[TREASURY.xlsx]Sheet1!R49C7</stp>
        <tr r="G49" s="1"/>
      </tp>
      <tp t="s">
        <v>USD</v>
        <stp/>
        <stp>##V3_BDPV12</stp>
        <stp>91282CAB Govt</stp>
        <stp>CRNCY</stp>
        <stp>[TREASURY.xlsx]Sheet1!R99C7</stp>
        <tr r="G99" s="1"/>
      </tp>
      <tp t="s">
        <v>USD</v>
        <stp/>
        <stp>##V3_BDPV12</stp>
        <stp>91282CCP Govt</stp>
        <stp>CRNCY</stp>
        <stp>[TREASURY.xlsx]Sheet1!R19C7</stp>
        <tr r="G19" s="1"/>
      </tp>
      <tp t="s">
        <v>S/A</v>
        <stp/>
        <stp>##V3_BDPV12</stp>
        <stp>9128285K Govt</stp>
        <stp>COUPON_FREQUENCY_DESCRIPTION</stp>
        <stp>[TREASURY.xlsx]Sheet1!R229C10</stp>
        <tr r="J229" s="1"/>
      </tp>
      <tp t="s">
        <v>S/A</v>
        <stp/>
        <stp>##V3_BDPV12</stp>
        <stp>9128285A Govt</stp>
        <stp>COUPON_FREQUENCY_DESCRIPTION</stp>
        <stp>[TREASURY.xlsx]Sheet1!R283C10</stp>
        <tr r="J283" s="1"/>
      </tp>
      <tp t="s">
        <v>USD</v>
        <stp/>
        <stp>##V3_BDPV12</stp>
        <stp>91282CBW Govt</stp>
        <stp>CRNCY</stp>
        <stp>[TREASURY.xlsx]Sheet1!R29C7</stp>
        <tr r="G29" s="1"/>
      </tp>
      <tp t="s">
        <v>USD</v>
        <stp/>
        <stp>##V3_BDPV12</stp>
        <stp>91282CBV Govt</stp>
        <stp>CRNCY</stp>
        <stp>[TREASURY.xlsx]Sheet1!R89C7</stp>
        <tr r="G89" s="1"/>
      </tp>
      <tp t="s">
        <v>USD</v>
        <stp/>
        <stp>##V3_BDPV12</stp>
        <stp>91282CBH Govt</stp>
        <stp>CRNCY</stp>
        <stp>[TREASURY.xlsx]Sheet1!R59C7</stp>
        <tr r="G59" s="1"/>
      </tp>
      <tp t="s">
        <v>S/A</v>
        <stp/>
        <stp>##V3_BDPV12</stp>
        <stp>9128285N Govt</stp>
        <stp>COUPON_FREQUENCY_DESCRIPTION</stp>
        <stp>[TREASURY.xlsx]Sheet1!R290C10</stp>
        <tr r="J290" s="1"/>
      </tp>
      <tp t="s">
        <v>S/A</v>
        <stp/>
        <stp>##V3_BDPV12</stp>
        <stp>9128285C Govt</stp>
        <stp>COUPON_FREQUENCY_DESCRIPTION</stp>
        <stp>[TREASURY.xlsx]Sheet1!R205C10</stp>
        <tr r="J205" s="1"/>
      </tp>
      <tp t="s">
        <v>S/A</v>
        <stp/>
        <stp>##V3_BDPV12</stp>
        <stp>9128284J Govt</stp>
        <stp>COUPON_FREQUENCY_DESCRIPTION</stp>
        <stp>[TREASURY.xlsx]Sheet1!R381C10</stp>
        <tr r="J381" s="1"/>
      </tp>
      <tp t="s">
        <v>S/A</v>
        <stp/>
        <stp>##V3_BDPV12</stp>
        <stp>9128284Y Govt</stp>
        <stp>COUPON_FREQUENCY_DESCRIPTION</stp>
        <stp>[TREASURY.xlsx]Sheet1!R376C10</stp>
        <tr r="J376" s="1"/>
      </tp>
      <tp t="s">
        <v>S/A</v>
        <stp/>
        <stp>##V3_BDPV12</stp>
        <stp>9128282X Govt</stp>
        <stp>COUPON_FREQUENCY_DESCRIPTION</stp>
        <stp>[TREASURY.xlsx]Sheet1!R554C10</stp>
        <tr r="J554" s="1"/>
      </tp>
      <tp t="s">
        <v>S/A</v>
        <stp/>
        <stp>##V3_BDPV12</stp>
        <stp>9128285Z Govt</stp>
        <stp>COUPON_FREQUENCY_DESCRIPTION</stp>
        <stp>[TREASURY.xlsx]Sheet1!R220C10</stp>
        <tr r="J220" s="1"/>
      </tp>
      <tp t="s">
        <v>S/A</v>
        <stp/>
        <stp>##V3_BDPV12</stp>
        <stp>9128285T Govt</stp>
        <stp>COUPON_FREQUENCY_DESCRIPTION</stp>
        <stp>[TREASURY.xlsx]Sheet1!R239C10</stp>
        <tr r="J239" s="1"/>
      </tp>
      <tp t="s">
        <v>S/A</v>
        <stp/>
        <stp>##V3_BDPV12</stp>
        <stp>9128285P Govt</stp>
        <stp>COUPON_FREQUENCY_DESCRIPTION</stp>
        <stp>[TREASURY.xlsx]Sheet1!R271C10</stp>
        <tr r="J271" s="1"/>
      </tp>
      <tp t="s">
        <v>S/A</v>
        <stp/>
        <stp>##V3_BDPV12</stp>
        <stp>9128284P Govt</stp>
        <stp>COUPON_FREQUENCY_DESCRIPTION</stp>
        <stp>[TREASURY.xlsx]Sheet1!R367C10</stp>
        <tr r="J367" s="1"/>
      </tp>
      <tp t="s">
        <v>S/A</v>
        <stp/>
        <stp>##V3_BDPV12</stp>
        <stp>9128284W Govt</stp>
        <stp>COUPON_FREQUENCY_DESCRIPTION</stp>
        <stp>[TREASURY.xlsx]Sheet1!R347C10</stp>
        <tr r="J347" s="1"/>
      </tp>
      <tp t="s">
        <v>S/A</v>
        <stp/>
        <stp>##V3_BDPV12</stp>
        <stp>9128284T Govt</stp>
        <stp>COUPON_FREQUENCY_DESCRIPTION</stp>
        <stp>[TREASURY.xlsx]Sheet1!R344C10</stp>
        <tr r="J344" s="1"/>
      </tp>
      <tp t="s">
        <v>S/A</v>
        <stp/>
        <stp>##V3_BDPV12</stp>
        <stp>9128283S Govt</stp>
        <stp>COUPON_FREQUENCY_DESCRIPTION</stp>
        <stp>[TREASURY.xlsx]Sheet1!R433C10</stp>
        <tr r="J433" s="1"/>
      </tp>
      <tp t="s">
        <v>S/A</v>
        <stp/>
        <stp>##V3_BDPV12</stp>
        <stp>9128286M Govt</stp>
        <stp>COUPON_FREQUENCY_DESCRIPTION</stp>
        <stp>[TREASURY.xlsx]Sheet1!R218C10</stp>
        <tr r="J218" s="1"/>
      </tp>
      <tp t="s">
        <v>S/A</v>
        <stp/>
        <stp>##V3_BDPV12</stp>
        <stp>9128286L Govt</stp>
        <stp>COUPON_FREQUENCY_DESCRIPTION</stp>
        <stp>[TREASURY.xlsx]Sheet1!R276C10</stp>
        <tr r="J276" s="1"/>
      </tp>
      <tp t="s">
        <v>S/A</v>
        <stp/>
        <stp>##V3_BDPV12</stp>
        <stp>9128282J Govt</stp>
        <stp>COUPON_FREQUENCY_DESCRIPTION</stp>
        <stp>[TREASURY.xlsx]Sheet1!R611C10</stp>
        <tr r="J611" s="1"/>
      </tp>
      <tp t="s">
        <v>S/A</v>
        <stp/>
        <stp>##V3_BDPV12</stp>
        <stp>9128286H Govt</stp>
        <stp>COUPON_FREQUENCY_DESCRIPTION</stp>
        <stp>[TREASURY.xlsx]Sheet1!R228C10</stp>
        <tr r="J228" s="1"/>
      </tp>
      <tp t="s">
        <v>S/A</v>
        <stp/>
        <stp>##V3_BDPV12</stp>
        <stp>9128286A Govt</stp>
        <stp>COUPON_FREQUENCY_DESCRIPTION</stp>
        <stp>[TREASURY.xlsx]Sheet1!R265C10</stp>
        <tr r="J265" s="1"/>
      </tp>
      <tp t="s">
        <v>S/A</v>
        <stp/>
        <stp>##V3_BDPV12</stp>
        <stp>9128285F Govt</stp>
        <stp>COUPON_FREQUENCY_DESCRIPTION</stp>
        <stp>[TREASURY.xlsx]Sheet1!R106C10</stp>
        <tr r="J106" s="1"/>
      </tp>
      <tp t="s">
        <v>S/A</v>
        <stp/>
        <stp>##V3_BDPV12</stp>
        <stp>9128285L Govt</stp>
        <stp>COUPON_FREQUENCY_DESCRIPTION</stp>
        <stp>[TREASURY.xlsx]Sheet1!R193C10</stp>
        <tr r="J193" s="1"/>
      </tp>
      <tp t="s">
        <v>S/A</v>
        <stp/>
        <stp>##V3_BDPV12</stp>
        <stp>9128287F Govt</stp>
        <stp>COUPON_FREQUENCY_DESCRIPTION</stp>
        <stp>[TREASURY.xlsx]Sheet1!R329C10</stp>
        <tr r="J329" s="1"/>
      </tp>
      <tp t="s">
        <v>S/A</v>
        <stp/>
        <stp>##V3_BDPV12</stp>
        <stp>9128286F Govt</stp>
        <stp>COUPON_FREQUENCY_DESCRIPTION</stp>
        <stp>[TREASURY.xlsx]Sheet1!R225C10</stp>
        <tr r="J225" s="1"/>
      </tp>
      <tp t="s">
        <v>S/A</v>
        <stp/>
        <stp>##V3_BDPV12</stp>
        <stp>9128286C Govt</stp>
        <stp>COUPON_FREQUENCY_DESCRIPTION</stp>
        <stp>[TREASURY.xlsx]Sheet1!R272C10</stp>
        <tr r="J272" s="1"/>
      </tp>
      <tp t="s">
        <v>S/A</v>
        <stp/>
        <stp>##V3_BDPV12</stp>
        <stp>9128286G Govt</stp>
        <stp>COUPON_FREQUENCY_DESCRIPTION</stp>
        <stp>[TREASURY.xlsx]Sheet1!R240C10</stp>
        <tr r="J240" s="1"/>
      </tp>
      <tp t="s">
        <v>S/A</v>
        <stp/>
        <stp>##V3_BDPV12</stp>
        <stp>9128287A Govt</stp>
        <stp>COUPON_FREQUENCY_DESCRIPTION</stp>
        <stp>[TREASURY.xlsx]Sheet1!R339C10</stp>
        <tr r="J339" s="1"/>
      </tp>
      <tp t="s">
        <v>S/A</v>
        <stp/>
        <stp>##V3_BDPV12</stp>
        <stp>9128287B Govt</stp>
        <stp>COUPON_FREQUENCY_DESCRIPTION</stp>
        <stp>[TREASURY.xlsx]Sheet1!R306C10</stp>
        <tr r="J306" s="1"/>
      </tp>
      <tp t="s">
        <v>S/A</v>
        <stp/>
        <stp>##V3_BDPV12</stp>
        <stp>9128283H Govt</stp>
        <stp>COUPON_FREQUENCY_DESCRIPTION</stp>
        <stp>[TREASURY.xlsx]Sheet1!R784C10</stp>
        <tr r="J784" s="1"/>
      </tp>
      <tp t="s">
        <v>S/A</v>
        <stp/>
        <stp>##V3_BDPV12</stp>
        <stp>9128286X Govt</stp>
        <stp>COUPON_FREQUENCY_DESCRIPTION</stp>
        <stp>[TREASURY.xlsx]Sheet1!R264C10</stp>
        <tr r="J264" s="1"/>
      </tp>
      <tp t="s">
        <v>S/A</v>
        <stp/>
        <stp>##V3_BDPV12</stp>
        <stp>9128286Y Govt</stp>
        <stp>COUPON_FREQUENCY_DESCRIPTION</stp>
        <stp>[TREASURY.xlsx]Sheet1!R241C10</stp>
        <tr r="J241" s="1"/>
      </tp>
      <tp t="s">
        <v>S/A</v>
        <stp/>
        <stp>##V3_BDPV12</stp>
        <stp>9128286Z Govt</stp>
        <stp>COUPON_FREQUENCY_DESCRIPTION</stp>
        <stp>[TREASURY.xlsx]Sheet1!R200C10</stp>
        <tr r="J200" s="1"/>
      </tp>
      <tp t="s">
        <v>S/A</v>
        <stp/>
        <stp>##V3_BDPV12</stp>
        <stp>9128286U Govt</stp>
        <stp>COUPON_FREQUENCY_DESCRIPTION</stp>
        <stp>[TREASURY.xlsx]Sheet1!R233C10</stp>
        <tr r="J233" s="1"/>
      </tp>
      <tp t="s">
        <v>S/A</v>
        <stp/>
        <stp>##V3_BDPV12</stp>
        <stp>9128285R Govt</stp>
        <stp>COUPON_FREQUENCY_DESCRIPTION</stp>
        <stp>[TREASURY.xlsx]Sheet1!R140C10</stp>
        <tr r="J140" s="1"/>
      </tp>
      <tp t="s">
        <v>S/A</v>
        <stp/>
        <stp>##V3_BDPV12</stp>
        <stp>9128285U Govt</stp>
        <stp>COUPON_FREQUENCY_DESCRIPTION</stp>
        <stp>[TREASURY.xlsx]Sheet1!R160C10</stp>
        <tr r="J160" s="1"/>
      </tp>
      <tp t="s">
        <v>S/A</v>
        <stp/>
        <stp>##V3_BDPV12</stp>
        <stp>9128286R Govt</stp>
        <stp>COUPON_FREQUENCY_DESCRIPTION</stp>
        <stp>[TREASURY.xlsx]Sheet1!R201C10</stp>
        <tr r="J201" s="1"/>
      </tp>
      <tp t="s">
        <v>S/A</v>
        <stp/>
        <stp>##V3_BDPV12</stp>
        <stp>9128285V Govt</stp>
        <stp>COUPON_FREQUENCY_DESCRIPTION</stp>
        <stp>[TREASURY.xlsx]Sheet1!R179C10</stp>
        <tr r="J179" s="1"/>
      </tp>
      <tp t="s">
        <v>S/A</v>
        <stp/>
        <stp>##V3_BDPV12</stp>
        <stp>9128287C Govt</stp>
        <stp>COUPON_FREQUENCY_DESCRIPTION</stp>
        <stp>[TREASURY.xlsx]Sheet1!R219C10</stp>
        <tr r="J219" s="1"/>
      </tp>
      <tp t="s">
        <v>S/A</v>
        <stp/>
        <stp>##V3_BDPV12</stp>
        <stp>9128286D Govt</stp>
        <stp>COUPON_FREQUENCY_DESCRIPTION</stp>
        <stp>[TREASURY.xlsx]Sheet1!R348C10</stp>
        <tr r="J348" s="1"/>
      </tp>
      <tp t="s">
        <v>S/A</v>
        <stp/>
        <stp>##V3_BDPV12</stp>
        <stp>9128284U Govt</stp>
        <stp>COUPON_FREQUENCY_DESCRIPTION</stp>
        <stp>[TREASURY.xlsx]Sheet1!R128C10</stp>
        <tr r="J128" s="1"/>
      </tp>
      <tp t="s">
        <v>S/A</v>
        <stp/>
        <stp>##V3_BDPV12</stp>
        <stp>9128286S Govt</stp>
        <stp>COUPON_FREQUENCY_DESCRIPTION</stp>
        <stp>[TREASURY.xlsx]Sheet1!R322C10</stp>
        <tr r="J322" s="1"/>
      </tp>
      <tp t="s">
        <v>S/A</v>
        <stp/>
        <stp>##V3_BDPV12</stp>
        <stp>9128283C Govt</stp>
        <stp>COUPON_FREQUENCY_DESCRIPTION</stp>
        <stp>[TREASURY.xlsx]Sheet1!R186C10</stp>
        <tr r="J186" s="1"/>
      </tp>
      <tp t="s">
        <v>S/A</v>
        <stp/>
        <stp>##V3_BDPV12</stp>
        <stp>9128283P Govt</stp>
        <stp>COUPON_FREQUENCY_DESCRIPTION</stp>
        <stp>[TREASURY.xlsx]Sheet1!R185C10</stp>
        <tr r="J185" s="1"/>
      </tp>
      <tp t="s">
        <v>S/A</v>
        <stp/>
        <stp>##V3_BDPV12</stp>
        <stp>9128284Q Govt</stp>
        <stp>COUPON_FREQUENCY_DESCRIPTION</stp>
        <stp>[TREASURY.xlsx]Sheet1!R675C10</stp>
        <tr r="J675" s="1"/>
      </tp>
      <tp t="s">
        <v>S/A</v>
        <stp/>
        <stp>##V3_BDPV12</stp>
        <stp>9128282Y Govt</stp>
        <stp>COUPON_FREQUENCY_DESCRIPTION</stp>
        <stp>[TREASURY.xlsx]Sheet1!R145C10</stp>
        <tr r="J145" s="1"/>
      </tp>
      <tp t="s">
        <v>S/A</v>
        <stp/>
        <stp>##V3_BDPV12</stp>
        <stp>9128286V Govt</stp>
        <stp>COUPON_FREQUENCY_DESCRIPTION</stp>
        <stp>[TREASURY.xlsx]Sheet1!R523C10</stp>
        <tr r="J523" s="1"/>
      </tp>
      <tp t="s">
        <v>S/A</v>
        <stp/>
        <stp>##V3_BDPV12</stp>
        <stp>9128282W Govt</stp>
        <stp>COUPON_FREQUENCY_DESCRIPTION</stp>
        <stp>[TREASURY.xlsx]Sheet1!R166C10</stp>
        <tr r="J166" s="1"/>
      </tp>
      <tp t="s">
        <v>S/A</v>
        <stp/>
        <stp>##V3_BDPV12</stp>
        <stp>9128283G Govt</stp>
        <stp>COUPON_FREQUENCY_DESCRIPTION</stp>
        <stp>[TREASURY.xlsx]Sheet1!R380C10</stp>
        <tr r="J380" s="1"/>
      </tp>
      <tp t="s">
        <v>S/A</v>
        <stp/>
        <stp>##V3_BDPV12</stp>
        <stp>9128282N Govt</stp>
        <stp>COUPON_FREQUENCY_DESCRIPTION</stp>
        <stp>[TREASURY.xlsx]Sheet1!R258C10</stp>
        <tr r="J258" s="1"/>
      </tp>
      <tp t="s">
        <v>S/A</v>
        <stp/>
        <stp>##V3_BDPV12</stp>
        <stp>9128283L Govt</stp>
        <stp>COUPON_FREQUENCY_DESCRIPTION</stp>
        <stp>[TREASURY.xlsx]Sheet1!R350C10</stp>
        <tr r="J350" s="1"/>
      </tp>
      <tp t="s">
        <v>S/A</v>
        <stp/>
        <stp>##V3_BDPV12</stp>
        <stp>9128283N Govt</stp>
        <stp>COUPON_FREQUENCY_DESCRIPTION</stp>
        <stp>[TREASURY.xlsx]Sheet1!R366C10</stp>
        <tr r="J366" s="1"/>
      </tp>
      <tp t="s">
        <v>S/A</v>
        <stp/>
        <stp>##V3_BDPV12</stp>
        <stp>9128282D Govt</stp>
        <stp>COUPON_FREQUENCY_DESCRIPTION</stp>
        <stp>[TREASURY.xlsx]Sheet1!R260C10</stp>
        <tr r="J260" s="1"/>
      </tp>
      <tp t="s">
        <v>S/A</v>
        <stp/>
        <stp>##V3_BDPV12</stp>
        <stp>9128283Q Govt</stp>
        <stp>COUPON_FREQUENCY_DESCRIPTION</stp>
        <stp>[TREASURY.xlsx]Sheet1!R375C10</stp>
        <tr r="J375" s="1"/>
      </tp>
      <tp t="s">
        <v>S/A</v>
        <stp/>
        <stp>##V3_BDPV12</stp>
        <stp>9128282S Govt</stp>
        <stp>COUPON_FREQUENCY_DESCRIPTION</stp>
        <stp>[TREASURY.xlsx]Sheet1!R212C10</stp>
        <tr r="J212" s="1"/>
      </tp>
      <tp t="s">
        <v>S/A</v>
        <stp/>
        <stp>##V3_BDPV12</stp>
        <stp>9128282P Govt</stp>
        <stp>COUPON_FREQUENCY_DESCRIPTION</stp>
        <stp>[TREASURY.xlsx]Sheet1!R214C10</stp>
        <tr r="J214" s="1"/>
      </tp>
      <tp t="s">
        <v>S/A</v>
        <stp/>
        <stp>##V3_BDPV12</stp>
        <stp>9128283Y Govt</stp>
        <stp>COUPON_FREQUENCY_DESCRIPTION</stp>
        <stp>[TREASURY.xlsx]Sheet1!R395C10</stp>
        <tr r="J395" s="1"/>
      </tp>
      <tp t="s">
        <v>S/A</v>
        <stp/>
        <stp>##V3_BDPV12</stp>
        <stp>9128282U Govt</stp>
        <stp>COUPON_FREQUENCY_DESCRIPTION</stp>
        <stp>[TREASURY.xlsx]Sheet1!R252C10</stp>
        <tr r="J252" s="1"/>
      </tp>
      <tp t="s">
        <v>S/A</v>
        <stp/>
        <stp>##V3_BDPV12</stp>
        <stp>9128283J Govt</stp>
        <stp>COUPON_FREQUENCY_DESCRIPTION</stp>
        <stp>[TREASURY.xlsx]Sheet1!R216C10</stp>
        <tr r="J216" s="1"/>
      </tp>
      <tp t="s">
        <v>S/A</v>
        <stp/>
        <stp>##V3_BDPV12</stp>
        <stp>9128283D Govt</stp>
        <stp>COUPON_FREQUENCY_DESCRIPTION</stp>
        <stp>[TREASURY.xlsx]Sheet1!R231C10</stp>
        <tr r="J231" s="1"/>
      </tp>
      <tp t="s">
        <v>S/A</v>
        <stp/>
        <stp>##V3_BDPV12</stp>
        <stp>9128285B Govt</stp>
        <stp>COUPON_FREQUENCY_DESCRIPTION</stp>
        <stp>[TREASURY.xlsx]Sheet1!R442C10</stp>
        <tr r="J442" s="1"/>
      </tp>
      <tp t="s">
        <v>S/A</v>
        <stp/>
        <stp>##V3_BDPV12</stp>
        <stp>9128282B Govt</stp>
        <stp>COUPON_FREQUENCY_DESCRIPTION</stp>
        <stp>[TREASURY.xlsx]Sheet1!R373C10</stp>
        <tr r="J373" s="1"/>
      </tp>
      <tp t="s">
        <v>S/A</v>
        <stp/>
        <stp>##V3_BDPV12</stp>
        <stp>9128284C Govt</stp>
        <stp>COUPON_FREQUENCY_DESCRIPTION</stp>
        <stp>[TREASURY.xlsx]Sheet1!R505C10</stp>
        <tr r="J505" s="1"/>
      </tp>
      <tp t="s">
        <v>S/A</v>
        <stp/>
        <stp>##V3_BDPV12</stp>
        <stp>9128282F Govt</stp>
        <stp>COUPON_FREQUENCY_DESCRIPTION</stp>
        <stp>[TREASURY.xlsx]Sheet1!R345C10</stp>
        <tr r="J345" s="1"/>
      </tp>
      <tp t="s">
        <v>S/A</v>
        <stp/>
        <stp>##V3_BDPV12</stp>
        <stp>9128283Z Govt</stp>
        <stp>COUPON_FREQUENCY_DESCRIPTION</stp>
        <stp>[TREASURY.xlsx]Sheet1!R261C10</stp>
        <tr r="J261" s="1"/>
      </tp>
      <tp t="s">
        <v>S/A</v>
        <stp/>
        <stp>##V3_BDPV12</stp>
        <stp>9128282T Govt</stp>
        <stp>COUPON_FREQUENCY_DESCRIPTION</stp>
        <stp>[TREASURY.xlsx]Sheet1!R330C10</stp>
        <tr r="J330" s="1"/>
      </tp>
      <tp t="s">
        <v>S/A</v>
        <stp/>
        <stp>##V3_BDPV12</stp>
        <stp>9128283U Govt</stp>
        <stp>COUPON_FREQUENCY_DESCRIPTION</stp>
        <stp>[TREASURY.xlsx]Sheet1!R268C10</stp>
        <tr r="J268" s="1"/>
      </tp>
      <tp t="s">
        <v>S/A</v>
        <stp/>
        <stp>##V3_BDPV12</stp>
        <stp>9128283V Govt</stp>
        <stp>COUPON_FREQUENCY_DESCRIPTION</stp>
        <stp>[TREASURY.xlsx]Sheet1!R242C10</stp>
        <tr r="J242" s="1"/>
      </tp>
      <tp t="s">
        <v>S/A</v>
        <stp/>
        <stp>##V3_BDPV12</stp>
        <stp>9128285S Govt</stp>
        <stp>COUPON_FREQUENCY_DESCRIPTION</stp>
        <stp>[TREASURY.xlsx]Sheet1!R429C10</stp>
        <tr r="J429" s="1"/>
      </tp>
      <tp t="s">
        <v>S/A</v>
        <stp/>
        <stp>##V3_BDPV12</stp>
        <stp>9128282V Govt</stp>
        <stp>COUPON_FREQUENCY_DESCRIPTION</stp>
        <stp>[TREASURY.xlsx]Sheet1!R362C10</stp>
        <tr r="J362" s="1"/>
      </tp>
      <tp t="s">
        <v>S/A</v>
        <stp/>
        <stp>##V3_BDPV12</stp>
        <stp>9128285Q Govt</stp>
        <stp>COUPON_FREQUENCY_DESCRIPTION</stp>
        <stp>[TREASURY.xlsx]Sheet1!R410C10</stp>
        <tr r="J410" s="1"/>
      </tp>
      <tp>
        <v>2.1011595367814491</v>
        <stp/>
        <stp>##V3_BDPV12</stp>
        <stp>912810SU Govt</stp>
        <stp>YLD_YTM_BID</stp>
        <stp>[TREASURY.xlsx]Sheet1!R15C4</stp>
        <tr r="D15" s="1"/>
      </tp>
      <tp>
        <v>1.875</v>
        <stp/>
        <stp>##V3_BDPV12</stp>
        <stp>912810SW Govt</stp>
        <stp>CPN</stp>
        <stp>[TREASURY.xlsx]Sheet1!R44C3</stp>
        <tr r="C44" s="1"/>
      </tp>
      <tp>
        <v>2.1132869426489322</v>
        <stp/>
        <stp>##V3_BDPV12</stp>
        <stp>912810SP Govt</stp>
        <stp>YLD_YTM_BID</stp>
        <stp>[TREASURY.xlsx]Sheet1!R35C4</stp>
        <tr r="D35" s="1"/>
      </tp>
      <tp>
        <v>1.375</v>
        <stp/>
        <stp>##V3_BDPV12</stp>
        <stp>912828S3 Govt</stp>
        <stp>CPN</stp>
        <stp>[TREASURY.xlsx]Sheet1!R305C3</stp>
        <tr r="C305" s="1"/>
      </tp>
      <tp>
        <v>2.75</v>
        <stp/>
        <stp>##V3_BDPV12</stp>
        <stp>912828B6 Govt</stp>
        <stp>CPN</stp>
        <stp>[TREASURY.xlsx]Sheet1!R110C3</stp>
        <tr r="C110" s="1"/>
      </tp>
      <tp>
        <v>1.5</v>
        <stp/>
        <stp>##V3_BDPV12</stp>
        <stp>912828X2 Govt</stp>
        <stp>CPN</stp>
        <stp>[TREASURY.xlsx]Sheet1!R624C3</stp>
        <tr r="C624" s="1"/>
      </tp>
      <tp>
        <v>1.375</v>
        <stp/>
        <stp>##V3_BDPV12</stp>
        <stp>912828L6 Govt</stp>
        <stp>CPN</stp>
        <stp>[TREASURY.xlsx]Sheet1!R430C3</stp>
        <tr r="C430" s="1"/>
      </tp>
      <tp>
        <v>0.375</v>
        <stp/>
        <stp>##V3_BDPV12</stp>
        <stp>912828C4 Govt</stp>
        <stp>CPN</stp>
        <stp>[TREASURY.xlsx]Sheet1!R492C3</stp>
        <tr r="C492" s="1"/>
      </tp>
      <tp>
        <v>1.375</v>
        <stp/>
        <stp>##V3_BDPV12</stp>
        <stp>912828J5 Govt</stp>
        <stp>CPN</stp>
        <stp>[TREASURY.xlsx]Sheet1!R403C3</stp>
        <tr r="C403" s="1"/>
      </tp>
      <tp>
        <v>1.5</v>
        <stp/>
        <stp>##V3_BDPV12</stp>
        <stp>912828A7 Govt</stp>
        <stp>CPN</stp>
        <stp>[TREASURY.xlsx]Sheet1!R481C3</stp>
        <tr r="C481" s="1"/>
      </tp>
      <tp>
        <v>1.625</v>
        <stp/>
        <stp>##V3_BDPV12</stp>
        <stp>912828W6 Govt</stp>
        <stp>CPN</stp>
        <stp>[TREASURY.xlsx]Sheet1!R480C3</stp>
        <tr r="C480" s="1"/>
      </tp>
      <tp>
        <v>0.25</v>
        <stp/>
        <stp>##V3_BDPV12</stp>
        <stp>912828A6 Govt</stp>
        <stp>CPN</stp>
        <stp>[TREASURY.xlsx]Sheet1!R580C3</stp>
        <tr r="C580" s="1"/>
      </tp>
      <tp>
        <v>6.125</v>
        <stp/>
        <stp>##V3_BDPV12</stp>
        <stp>912827D6 Govt</stp>
        <stp>CPN</stp>
        <stp>[TREASURY.xlsx]Sheet1!R700C3</stp>
        <tr r="C700" s="1"/>
      </tp>
      <tp>
        <v>6.375</v>
        <stp/>
        <stp>##V3_BDPV12</stp>
        <stp>912827D7 Govt</stp>
        <stp>CPN</stp>
        <stp>[TREASURY.xlsx]Sheet1!R701C3</stp>
        <tr r="C701" s="1"/>
      </tp>
      <tp>
        <v>6</v>
        <stp/>
        <stp>##V3_BDPV12</stp>
        <stp>912827H2 Govt</stp>
        <stp>CPN</stp>
        <stp>[TREASURY.xlsx]Sheet1!R704C3</stp>
        <tr r="C704" s="1"/>
      </tp>
      <tp t="s">
        <v>#N/A N/A</v>
        <stp/>
        <stp>##V3_BDPV12</stp>
        <stp>912827P2 Govt</stp>
        <stp>YLD_YTM_BID</stp>
        <stp>[TREASURY.xlsx]Sheet1!R735C4</stp>
        <tr r="D735" s="1"/>
      </tp>
      <tp t="s">
        <v>#N/A N/A</v>
        <stp/>
        <stp>##V3_BDPV12</stp>
        <stp>912827U6 Govt</stp>
        <stp>YLD_YTM_BID</stp>
        <stp>[TREASURY.xlsx]Sheet1!R751C4</stp>
        <tr r="D751" s="1"/>
      </tp>
      <tp t="s">
        <v>#N/A N/A</v>
        <stp/>
        <stp>##V3_BDPV12</stp>
        <stp>912827E7 Govt</stp>
        <stp>YLD_YTM_BID</stp>
        <stp>[TREASURY.xlsx]Sheet1!R590C4</stp>
        <tr r="D590" s="1"/>
      </tp>
      <tp t="s">
        <v>#N/A N/A</v>
        <stp/>
        <stp>##V3_BDPV12</stp>
        <stp>912828G7 Govt</stp>
        <stp>YLD_YTM_BID</stp>
        <stp>[TREASURY.xlsx]Sheet1!R560C4</stp>
        <tr r="D560" s="1"/>
      </tp>
      <tp t="s">
        <v>#N/A N/A</v>
        <stp/>
        <stp>##V3_BDPV12</stp>
        <stp>912828F6 Govt</stp>
        <stp>YLD_YTM_BID</stp>
        <stp>[TREASURY.xlsx]Sheet1!R411C4</stp>
        <tr r="D411" s="1"/>
      </tp>
      <tp t="s">
        <v>#N/A N/A</v>
        <stp/>
        <stp>##V3_BDPV12</stp>
        <stp>912828N4 Govt</stp>
        <stp>YLD_YTM_BID</stp>
        <stp>[TREASURY.xlsx]Sheet1!R463C4</stp>
        <tr r="D463" s="1"/>
      </tp>
      <tp t="s">
        <v>#N/A N/A</v>
        <stp/>
        <stp>##V3_BDPV12</stp>
        <stp>912828Q4 Govt</stp>
        <stp>YLD_YTM_BID</stp>
        <stp>[TREASURY.xlsx]Sheet1!R423C4</stp>
        <tr r="D423" s="1"/>
      </tp>
      <tp t="s">
        <v>#N/A N/A</v>
        <stp/>
        <stp>##V3_BDPV12</stp>
        <stp>912827U2 Govt</stp>
        <stp>YLD_YTM_BID</stp>
        <stp>[TREASURY.xlsx]Sheet1!R835C4</stp>
        <tr r="D835" s="1"/>
      </tp>
      <tp t="s">
        <v>#N/A N/A</v>
        <stp/>
        <stp>##V3_BDPV12</stp>
        <stp>912827N7 Govt</stp>
        <stp>YLD_YTM_BID</stp>
        <stp>[TREASURY.xlsx]Sheet1!R900C4</stp>
        <tr r="D900" s="1"/>
      </tp>
      <tp t="s">
        <v>#N/A N/A</v>
        <stp/>
        <stp>##V3_BDPV12</stp>
        <stp>912828N6 Govt</stp>
        <stp>YLD_YTM_BID</stp>
        <stp>[TREASURY.xlsx]Sheet1!R621C4</stp>
        <tr r="D621" s="1"/>
      </tp>
      <tp t="s">
        <v>#N/A N/A</v>
        <stp/>
        <stp>##V3_BDPV12</stp>
        <stp>912828T3 Govt</stp>
        <stp>YLD_YTM_BID</stp>
        <stp>[TREASURY.xlsx]Sheet1!R124C4</stp>
        <tr r="D124" s="1"/>
      </tp>
      <tp t="s">
        <v>#N/A N/A</v>
        <stp/>
        <stp>##V3_BDPV12</stp>
        <stp>912828C5 Govt</stp>
        <stp>YLD_YTM_BID</stp>
        <stp>[TREASURY.xlsx]Sheet1!R342C4</stp>
        <tr r="D342" s="1"/>
      </tp>
      <tp>
        <v>0.42297184847556624</v>
        <stp/>
        <stp>##V3_BDPV12</stp>
        <stp>912828X7 Govt</stp>
        <stp>YLD_YTM_BID</stp>
        <stp>[TREASURY.xlsx]Sheet1!R300C4</stp>
        <tr r="D300" s="1"/>
      </tp>
      <tp>
        <v>0.20932300556388353</v>
        <stp/>
        <stp>##V3_BDPV12</stp>
        <stp>912828R2 Govt</stp>
        <stp>YLD_YTM_BID</stp>
        <stp>[TREASURY.xlsx]Sheet1!R245C4</stp>
        <tr r="D245" s="1"/>
      </tp>
      <tp t="s">
        <v>8/15/2021</v>
        <stp/>
        <stp>##V3_BDPV12</stp>
        <stp>912810SW Govt</stp>
        <stp>FIRST_CPN_DT</stp>
        <stp>[TREASURY.xlsx]Sheet1!R44C9</stp>
        <tr r="I44" s="1"/>
      </tp>
      <tp t="s">
        <v>2/15/2021</v>
        <stp/>
        <stp>##V3_BDPV12</stp>
        <stp>912810SQ Govt</stp>
        <stp>FIRST_CPN_DT</stp>
        <stp>[TREASURY.xlsx]Sheet1!R92C9</stp>
        <tr r="I92" s="1"/>
      </tp>
      <tp t="s">
        <v>8/15/2001</v>
        <stp/>
        <stp>##V3_BDPV12</stp>
        <stp>912810FP Govt</stp>
        <stp>FIRST_CPN_DT</stp>
        <stp>[TREASURY.xlsx]Sheet1!R93C9</stp>
        <tr r="I93" s="1"/>
      </tp>
      <tp>
        <v>2.0879916945149155</v>
        <stp/>
        <stp>##V3_BDPV12</stp>
        <stp>912810SK Govt</stp>
        <stp>YLD_YTM_BID</stp>
        <stp>[TREASURY.xlsx]Sheet1!R95C4</stp>
        <tr r="D95" s="1"/>
      </tp>
      <tp>
        <v>0.96757845998582537</v>
        <stp/>
        <stp>##V3_BDPV12</stp>
        <stp>91282CCW Govt</stp>
        <stp>YLD_YTM_BID</stp>
        <stp>[TREASURY.xlsx]Sheet1!R4C4</stp>
        <tr r="D4" s="1"/>
      </tp>
      <tp>
        <v>1.875</v>
        <stp/>
        <stp>##V3_BDPV12</stp>
        <stp>912810SU Govt</stp>
        <stp>CPN</stp>
        <stp>[TREASURY.xlsx]Sheet1!R15C3</stp>
        <tr r="C15" s="1"/>
      </tp>
      <tp>
        <v>2.0288021728858219</v>
        <stp/>
        <stp>##V3_BDPV12</stp>
        <stp>912810SW Govt</stp>
        <stp>YLD_YTM_BID</stp>
        <stp>[TREASURY.xlsx]Sheet1!R44C4</stp>
        <tr r="D44" s="1"/>
      </tp>
      <tp>
        <v>1.375</v>
        <stp/>
        <stp>##V3_BDPV12</stp>
        <stp>912810SP Govt</stp>
        <stp>CPN</stp>
        <stp>[TREASURY.xlsx]Sheet1!R35C3</stp>
        <tr r="C35" s="1"/>
      </tp>
      <tp>
        <v>1.625</v>
        <stp/>
        <stp>##V3_BDPV12</stp>
        <stp>912828R2 Govt</stp>
        <stp>CPN</stp>
        <stp>[TREASURY.xlsx]Sheet1!R245C3</stp>
        <tr r="C245" s="1"/>
      </tp>
      <tp>
        <v>2.25</v>
        <stp/>
        <stp>##V3_BDPV12</stp>
        <stp>912828C5 Govt</stp>
        <stp>CPN</stp>
        <stp>[TREASURY.xlsx]Sheet1!R342C3</stp>
        <tr r="C342" s="1"/>
      </tp>
      <tp>
        <v>2</v>
        <stp/>
        <stp>##V3_BDPV12</stp>
        <stp>912828X7 Govt</stp>
        <stp>CPN</stp>
        <stp>[TREASURY.xlsx]Sheet1!R300C3</stp>
        <tr r="C300" s="1"/>
      </tp>
      <tp>
        <v>1.125</v>
        <stp/>
        <stp>##V3_BDPV12</stp>
        <stp>912828T3 Govt</stp>
        <stp>CPN</stp>
        <stp>[TREASURY.xlsx]Sheet1!R124C3</stp>
        <tr r="C124" s="1"/>
      </tp>
      <tp>
        <v>4.75</v>
        <stp/>
        <stp>##V3_BDPV12</stp>
        <stp>912827N7 Govt</stp>
        <stp>CPN</stp>
        <stp>[TREASURY.xlsx]Sheet1!R900C3</stp>
        <tr r="C900" s="1"/>
      </tp>
      <tp>
        <v>1.125</v>
        <stp/>
        <stp>##V3_BDPV12</stp>
        <stp>912828N6 Govt</stp>
        <stp>CPN</stp>
        <stp>[TREASURY.xlsx]Sheet1!R621C3</stp>
        <tr r="C621" s="1"/>
      </tp>
      <tp>
        <v>6.25</v>
        <stp/>
        <stp>##V3_BDPV12</stp>
        <stp>912827U2 Govt</stp>
        <stp>CPN</stp>
        <stp>[TREASURY.xlsx]Sheet1!R835C3</stp>
        <tr r="C835" s="1"/>
      </tp>
      <tp>
        <v>1.5</v>
        <stp/>
        <stp>##V3_BDPV12</stp>
        <stp>912828F6 Govt</stp>
        <stp>CPN</stp>
        <stp>[TREASURY.xlsx]Sheet1!R411C3</stp>
        <tr r="C411" s="1"/>
      </tp>
      <tp>
        <v>1.75</v>
        <stp/>
        <stp>##V3_BDPV12</stp>
        <stp>912828N4 Govt</stp>
        <stp>CPN</stp>
        <stp>[TREASURY.xlsx]Sheet1!R463C3</stp>
        <tr r="C463" s="1"/>
      </tp>
      <tp>
        <v>0.875</v>
        <stp/>
        <stp>##V3_BDPV12</stp>
        <stp>912828Q4 Govt</stp>
        <stp>CPN</stp>
        <stp>[TREASURY.xlsx]Sheet1!R423C3</stp>
        <tr r="C423" s="1"/>
      </tp>
      <tp>
        <v>1</v>
        <stp/>
        <stp>##V3_BDPV12</stp>
        <stp>912828G7 Govt</stp>
        <stp>CPN</stp>
        <stp>[TREASURY.xlsx]Sheet1!R560C3</stp>
        <tr r="C560" s="1"/>
      </tp>
      <tp>
        <v>6.875</v>
        <stp/>
        <stp>##V3_BDPV12</stp>
        <stp>912827E7 Govt</stp>
        <stp>CPN</stp>
        <stp>[TREASURY.xlsx]Sheet1!R590C3</stp>
        <tr r="C590" s="1"/>
      </tp>
      <tp>
        <v>5.5</v>
        <stp/>
        <stp>##V3_BDPV12</stp>
        <stp>912827P2 Govt</stp>
        <stp>CPN</stp>
        <stp>[TREASURY.xlsx]Sheet1!R735C3</stp>
        <tr r="C735" s="1"/>
      </tp>
      <tp>
        <v>6.125</v>
        <stp/>
        <stp>##V3_BDPV12</stp>
        <stp>912827U6 Govt</stp>
        <stp>CPN</stp>
        <stp>[TREASURY.xlsx]Sheet1!R751C3</stp>
        <tr r="C751" s="1"/>
      </tp>
      <tp t="s">
        <v>#N/A N/A</v>
        <stp/>
        <stp>##V3_BDPV12</stp>
        <stp>912827D6 Govt</stp>
        <stp>YLD_YTM_BID</stp>
        <stp>[TREASURY.xlsx]Sheet1!R700C4</stp>
        <tr r="D700" s="1"/>
      </tp>
      <tp t="s">
        <v>#N/A N/A</v>
        <stp/>
        <stp>##V3_BDPV12</stp>
        <stp>912827D7 Govt</stp>
        <stp>YLD_YTM_BID</stp>
        <stp>[TREASURY.xlsx]Sheet1!R701C4</stp>
        <tr r="D701" s="1"/>
      </tp>
      <tp t="s">
        <v>#N/A N/A</v>
        <stp/>
        <stp>##V3_BDPV12</stp>
        <stp>912827H2 Govt</stp>
        <stp>YLD_YTM_BID</stp>
        <stp>[TREASURY.xlsx]Sheet1!R704C4</stp>
        <tr r="D704" s="1"/>
      </tp>
      <tp t="s">
        <v>#N/A N/A</v>
        <stp/>
        <stp>##V3_BDPV12</stp>
        <stp>912828A6 Govt</stp>
        <stp>YLD_YTM_BID</stp>
        <stp>[TREASURY.xlsx]Sheet1!R580C4</stp>
        <tr r="D580" s="1"/>
      </tp>
      <tp t="s">
        <v>#N/A N/A</v>
        <stp/>
        <stp>##V3_BDPV12</stp>
        <stp>912828L6 Govt</stp>
        <stp>YLD_YTM_BID</stp>
        <stp>[TREASURY.xlsx]Sheet1!R430C4</stp>
        <tr r="D430" s="1"/>
      </tp>
      <tp t="s">
        <v>#N/A N/A</v>
        <stp/>
        <stp>##V3_BDPV12</stp>
        <stp>912828C4 Govt</stp>
        <stp>YLD_YTM_BID</stp>
        <stp>[TREASURY.xlsx]Sheet1!R492C4</stp>
        <tr r="D492" s="1"/>
      </tp>
      <tp t="s">
        <v>#N/A N/A</v>
        <stp/>
        <stp>##V3_BDPV12</stp>
        <stp>912828J5 Govt</stp>
        <stp>YLD_YTM_BID</stp>
        <stp>[TREASURY.xlsx]Sheet1!R403C4</stp>
        <tr r="D403" s="1"/>
      </tp>
      <tp t="s">
        <v>#N/A N/A</v>
        <stp/>
        <stp>##V3_BDPV12</stp>
        <stp>912828A7 Govt</stp>
        <stp>YLD_YTM_BID</stp>
        <stp>[TREASURY.xlsx]Sheet1!R481C4</stp>
        <tr r="D481" s="1"/>
      </tp>
      <tp t="s">
        <v>#N/A N/A</v>
        <stp/>
        <stp>##V3_BDPV12</stp>
        <stp>912828W6 Govt</stp>
        <stp>YLD_YTM_BID</stp>
        <stp>[TREASURY.xlsx]Sheet1!R480C4</stp>
        <tr r="D480" s="1"/>
      </tp>
      <tp t="s">
        <v>#N/A N/A</v>
        <stp/>
        <stp>##V3_BDPV12</stp>
        <stp>912828X2 Govt</stp>
        <stp>YLD_YTM_BID</stp>
        <stp>[TREASURY.xlsx]Sheet1!R624C4</stp>
        <tr r="D624" s="1"/>
      </tp>
      <tp>
        <v>0.35949160067212416</v>
        <stp/>
        <stp>##V3_BDPV12</stp>
        <stp>912828B6 Govt</stp>
        <stp>YLD_YTM_BID</stp>
        <stp>[TREASURY.xlsx]Sheet1!R110C4</stp>
        <tr r="D110" s="1"/>
      </tp>
      <tp>
        <v>0.23190222136811581</v>
        <stp/>
        <stp>##V3_BDPV12</stp>
        <stp>912828S3 Govt</stp>
        <stp>YLD_YTM_BID</stp>
        <stp>[TREASURY.xlsx]Sheet1!R305C4</stp>
        <tr r="D305" s="1"/>
      </tp>
      <tp t="s">
        <v>2/15/2017</v>
        <stp/>
        <stp>##V3_BDPV12</stp>
        <stp>912810RT Govt</stp>
        <stp>FIRST_CPN_DT</stp>
        <stp>[TREASURY.xlsx]Sheet1!R96C9</stp>
        <tr r="I96" s="1"/>
      </tp>
      <tp t="s">
        <v>2/15/2022</v>
        <stp/>
        <stp>##V3_BDPV12</stp>
        <stp>91282CCT Govt</stp>
        <stp>FIRST_CPN_DT</stp>
        <stp>[TREASURY.xlsx]Sheet1!R16C9</stp>
        <tr r="I16" s="1"/>
      </tp>
      <tp t="s">
        <v>1/31/2022</v>
        <stp/>
        <stp>##V3_BDPV12</stp>
        <stp>91282CCR Govt</stp>
        <stp>FIRST_CPN_DT</stp>
        <stp>[TREASURY.xlsx]Sheet1!R20C9</stp>
        <tr r="I20" s="1"/>
      </tp>
      <tp>
        <v>2.375</v>
        <stp/>
        <stp>##V3_BDPV12</stp>
        <stp>912810SK Govt</stp>
        <stp>CPN</stp>
        <stp>[TREASURY.xlsx]Sheet1!R95C3</stp>
        <tr r="C95" s="1"/>
      </tp>
      <tp t="s">
        <v>#N/A Field Not Applicable</v>
        <stp/>
        <stp>##V3_BDPV12</stp>
        <stp>912827N3 Govt</stp>
        <stp>IDX_RATIO</stp>
        <stp>[TREASURY.xlsx]Sheet1!R726C20</stp>
        <tr r="T726" s="1"/>
      </tp>
      <tp t="s">
        <v>#N/A Field Not Applicable</v>
        <stp/>
        <stp>##V3_BDPV12</stp>
        <stp>912828N2 Govt</stp>
        <stp>IDX_RATIO</stp>
        <stp>[TREASURY.xlsx]Sheet1!R440C20</stp>
        <tr r="T440" s="1"/>
      </tp>
      <tp t="s">
        <v>#N/A Field Not Applicable</v>
        <stp/>
        <stp>##V3_BDPV12</stp>
        <stp>912827N6 Govt</stp>
        <stp>IDX_RATIO</stp>
        <stp>[TREASURY.xlsx]Sheet1!R728C20</stp>
        <tr r="T728" s="1"/>
      </tp>
      <tp t="s">
        <v>#N/A Field Not Applicable</v>
        <stp/>
        <stp>##V3_BDPV12</stp>
        <stp>912828N4 Govt</stp>
        <stp>IDX_RATIO</stp>
        <stp>[TREASURY.xlsx]Sheet1!R463C20</stp>
        <tr r="T463" s="1"/>
      </tp>
      <tp t="s">
        <v>#N/A Field Not Applicable</v>
        <stp/>
        <stp>##V3_BDPV12</stp>
        <stp>912828N6 Govt</stp>
        <stp>IDX_RATIO</stp>
        <stp>[TREASURY.xlsx]Sheet1!R621C20</stp>
        <tr r="T621" s="1"/>
      </tp>
      <tp t="s">
        <v>#N/A Field Not Applicable</v>
        <stp/>
        <stp>##V3_BDPV12</stp>
        <stp>912828N5 Govt</stp>
        <stp>IDX_RATIO</stp>
        <stp>[TREASURY.xlsx]Sheet1!R600C20</stp>
        <tr r="T600" s="1"/>
      </tp>
      <tp t="s">
        <v>#N/A Field Not Applicable</v>
        <stp/>
        <stp>##V3_BDPV12</stp>
        <stp>912827N5 Govt</stp>
        <stp>IDX_RATIO</stp>
        <stp>[TREASURY.xlsx]Sheet1!R727C20</stp>
        <tr r="T727" s="1"/>
      </tp>
      <tp t="s">
        <v>#N/A Field Not Applicable</v>
        <stp/>
        <stp>##V3_BDPV12</stp>
        <stp>912828N3 Govt</stp>
        <stp>IDX_RATIO</stp>
        <stp>[TREASURY.xlsx]Sheet1!R129C20</stp>
        <tr r="T129" s="1"/>
      </tp>
      <tp t="s">
        <v>#N/A Field Not Applicable</v>
        <stp/>
        <stp>##V3_BDPV12</stp>
        <stp>912827N8 Govt</stp>
        <stp>IDX_RATIO</stp>
        <stp>[TREASURY.xlsx]Sheet1!R729C20</stp>
        <tr r="T729" s="1"/>
      </tp>
      <tp t="s">
        <v>#N/A Field Not Applicable</v>
        <stp/>
        <stp>##V3_BDPV12</stp>
        <stp>912827N7 Govt</stp>
        <stp>IDX_RATIO</stp>
        <stp>[TREASURY.xlsx]Sheet1!R900C20</stp>
        <tr r="T900" s="1"/>
      </tp>
      <tp t="s">
        <v>#N/A Field Not Applicable</v>
        <stp/>
        <stp>##V3_BDPV12</stp>
        <stp>912828N8 Govt</stp>
        <stp>IDX_RATIO</stp>
        <stp>[TREASURY.xlsx]Sheet1!R343C20</stp>
        <tr r="T343" s="1"/>
      </tp>
      <tp t="s">
        <v>#N/A Field Not Applicable</v>
        <stp/>
        <stp>##V3_BDPV12</stp>
        <stp>912828NV Govt</stp>
        <stp>IDX_RATIO</stp>
        <stp>[TREASURY.xlsx]Sheet1!R382C20</stp>
        <tr r="T382" s="1"/>
      </tp>
      <tp t="s">
        <v>#N/A Field Not Applicable</v>
        <stp/>
        <stp>##V3_BDPV12</stp>
        <stp>912828NT Govt</stp>
        <stp>IDX_RATIO</stp>
        <stp>[TREASURY.xlsx]Sheet1!R351C20</stp>
        <tr r="T351" s="1"/>
      </tp>
      <tp t="s">
        <v>#N/A Field Not Applicable</v>
        <stp/>
        <stp>##V3_BDPV12</stp>
        <stp>912827NP Govt</stp>
        <stp>IDX_RATIO</stp>
        <stp>[TREASURY.xlsx]Sheet1!R733C20</stp>
        <tr r="T733" s="1"/>
      </tp>
      <tp t="s">
        <v>#N/A Field Not Applicable</v>
        <stp/>
        <stp>##V3_BDPV12</stp>
        <stp>912827NV Govt</stp>
        <stp>IDX_RATIO</stp>
        <stp>[TREASURY.xlsx]Sheet1!R734C20</stp>
        <tr r="T734" s="1"/>
      </tp>
      <tp t="s">
        <v>#N/A Field Not Applicable</v>
        <stp/>
        <stp>##V3_BDPV12</stp>
        <stp>912828NX Govt</stp>
        <stp>IDX_RATIO</stp>
        <stp>[TREASURY.xlsx]Sheet1!R980C20</stp>
        <tr r="T980" s="1"/>
      </tp>
      <tp t="s">
        <v>#N/A Field Not Applicable</v>
        <stp/>
        <stp>##V3_BDPV12</stp>
        <stp>912828NU Govt</stp>
        <stp>IDX_RATIO</stp>
        <stp>[TREASURY.xlsx]Sheet1!R547C20</stp>
        <tr r="T547" s="1"/>
      </tp>
      <tp t="s">
        <v>#N/A Field Not Applicable</v>
        <stp/>
        <stp>##V3_BDPV12</stp>
        <stp>912828NP Govt</stp>
        <stp>IDX_RATIO</stp>
        <stp>[TREASURY.xlsx]Sheet1!R865C20</stp>
        <tr r="T865" s="1"/>
      </tp>
      <tp t="s">
        <v>#N/A Field Not Applicable</v>
        <stp/>
        <stp>##V3_BDPV12</stp>
        <stp>912828NS Govt</stp>
        <stp>IDX_RATIO</stp>
        <stp>[TREASURY.xlsx]Sheet1!R979C20</stp>
        <tr r="T979" s="1"/>
      </tp>
      <tp t="s">
        <v>#N/A Field Not Applicable</v>
        <stp/>
        <stp>##V3_BDPV12</stp>
        <stp>912827NL Govt</stp>
        <stp>IDX_RATIO</stp>
        <stp>[TREASURY.xlsx]Sheet1!R902C20</stp>
        <tr r="T902" s="1"/>
      </tp>
      <tp t="s">
        <v>#N/A Field Not Applicable</v>
        <stp/>
        <stp>##V3_BDPV12</stp>
        <stp>912828NL Govt</stp>
        <stp>IDX_RATIO</stp>
        <stp>[TREASURY.xlsx]Sheet1!R863C20</stp>
        <tr r="T863" s="1"/>
      </tp>
      <tp t="s">
        <v>#N/A Field Not Applicable</v>
        <stp/>
        <stp>##V3_BDPV12</stp>
        <stp>912827NC Govt</stp>
        <stp>IDX_RATIO</stp>
        <stp>[TREASURY.xlsx]Sheet1!R730C20</stp>
        <tr r="T730" s="1"/>
      </tp>
      <tp t="s">
        <v>#N/A Field Not Applicable</v>
        <stp/>
        <stp>##V3_BDPV12</stp>
        <stp>912828NN Govt</stp>
        <stp>IDX_RATIO</stp>
        <stp>[TREASURY.xlsx]Sheet1!R864C20</stp>
        <tr r="T864" s="1"/>
      </tp>
      <tp t="s">
        <v>#N/A Field Not Applicable</v>
        <stp/>
        <stp>##V3_BDPV12</stp>
        <stp>912828NB Govt</stp>
        <stp>IDX_RATIO</stp>
        <stp>[TREASURY.xlsx]Sheet1!R388C20</stp>
        <tr r="T388" s="1"/>
      </tp>
      <tp t="s">
        <v>#N/A Field Not Applicable</v>
        <stp/>
        <stp>##V3_BDPV12</stp>
        <stp>912827ND Govt</stp>
        <stp>IDX_RATIO</stp>
        <stp>[TREASURY.xlsx]Sheet1!R731C20</stp>
        <tr r="T731" s="1"/>
      </tp>
      <tp t="s">
        <v>#N/A Field Not Applicable</v>
        <stp/>
        <stp>##V3_BDPV12</stp>
        <stp>912828ND Govt</stp>
        <stp>IDX_RATIO</stp>
        <stp>[TREASURY.xlsx]Sheet1!R645C20</stp>
        <tr r="T645" s="1"/>
      </tp>
      <tp t="s">
        <v>#N/A Field Not Applicable</v>
        <stp/>
        <stp>##V3_BDPV12</stp>
        <stp>912828NG Govt</stp>
        <stp>IDX_RATIO</stp>
        <stp>[TREASURY.xlsx]Sheet1!R562C20</stp>
        <tr r="T562" s="1"/>
      </tp>
      <tp t="s">
        <v>#N/A Field Not Applicable</v>
        <stp/>
        <stp>##V3_BDPV12</stp>
        <stp>912828NK Govt</stp>
        <stp>IDX_RATIO</stp>
        <stp>[TREASURY.xlsx]Sheet1!R978C20</stp>
        <tr r="T978" s="1"/>
      </tp>
      <tp t="s">
        <v>#N/A Field Not Applicable</v>
        <stp/>
        <stp>##V3_BDPV12</stp>
        <stp>912827NK Govt</stp>
        <stp>IDX_RATIO</stp>
        <stp>[TREASURY.xlsx]Sheet1!R901C20</stp>
        <tr r="T901" s="1"/>
      </tp>
      <tp t="s">
        <v>#N/A Field Not Applicable</v>
        <stp/>
        <stp>##V3_BDPV12</stp>
        <stp>912828NE Govt</stp>
        <stp>IDX_RATIO</stp>
        <stp>[TREASURY.xlsx]Sheet1!R977C20</stp>
        <tr r="T977" s="1"/>
      </tp>
      <tp t="s">
        <v>#N/A Field Not Applicable</v>
        <stp/>
        <stp>##V3_BDPV12</stp>
        <stp>912828NH Govt</stp>
        <stp>IDX_RATIO</stp>
        <stp>[TREASURY.xlsx]Sheet1!R622C20</stp>
        <tr r="T622" s="1"/>
      </tp>
      <tp t="s">
        <v>#N/A Field Not Applicable</v>
        <stp/>
        <stp>##V3_BDPV12</stp>
        <stp>912828NC Govt</stp>
        <stp>IDX_RATIO</stp>
        <stp>[TREASURY.xlsx]Sheet1!R862C20</stp>
        <tr r="T862" s="1"/>
      </tp>
      <tp t="s">
        <v>#N/A Field Not Applicable</v>
        <stp/>
        <stp>##V3_BDPV12</stp>
        <stp>912827NM Govt</stp>
        <stp>IDX_RATIO</stp>
        <stp>[TREASURY.xlsx]Sheet1!R732C20</stp>
        <tr r="T732" s="1"/>
      </tp>
      <tp>
        <v>0.52236058310416622</v>
        <stp/>
        <stp>##V3_BDPV12</stp>
        <stp>91282CCX Govt</stp>
        <stp>YLD_YTM_BID</stp>
        <stp>[TREASURY.xlsx]Sheet1!R5C4</stp>
        <tr r="D5" s="1"/>
      </tp>
      <tp>
        <v>2.0984861184714716</v>
        <stp/>
        <stp>##V3_BDPV12</stp>
        <stp>912810RT Govt</stp>
        <stp>YLD_YTM_BID</stp>
        <stp>[TREASURY.xlsx]Sheet1!R96C4</stp>
        <tr r="D96" s="1"/>
      </tp>
      <tp>
        <v>2.1079986990350177</v>
        <stp/>
        <stp>##V3_BDPV12</stp>
        <stp>912810SS Govt</stp>
        <stp>YLD_YTM_BID</stp>
        <stp>[TREASURY.xlsx]Sheet1!R37C4</stp>
        <tr r="D37" s="1"/>
      </tp>
      <tp>
        <v>1.75</v>
        <stp/>
        <stp>##V3_BDPV12</stp>
        <stp>912828U6 Govt</stp>
        <stp>CPN</stp>
        <stp>[TREASURY.xlsx]Sheet1!R232C3</stp>
        <tr r="C232" s="1"/>
      </tp>
      <tp>
        <v>1.875</v>
        <stp/>
        <stp>##V3_BDPV12</stp>
        <stp>912828W5 Govt</stp>
        <stp>CPN</stp>
        <stp>[TREASURY.xlsx]Sheet1!R281C3</stp>
        <tr r="C281" s="1"/>
      </tp>
      <tp>
        <v>1.375</v>
        <stp/>
        <stp>##V3_BDPV12</stp>
        <stp>912828L3 Govt</stp>
        <stp>CPN</stp>
        <stp>[TREASURY.xlsx]Sheet1!R327C3</stp>
        <tr r="C327" s="1"/>
      </tp>
      <tp>
        <v>1.375</v>
        <stp/>
        <stp>##V3_BDPV12</stp>
        <stp>912828R7 Govt</stp>
        <stp>CPN</stp>
        <stp>[TREASURY.xlsx]Sheet1!R383C3</stp>
        <tr r="C383" s="1"/>
      </tp>
      <tp>
        <v>2.625</v>
        <stp/>
        <stp>##V3_BDPV12</stp>
        <stp>912828Y2 Govt</stp>
        <stp>CPN</stp>
        <stp>[TREASURY.xlsx]Sheet1!R336C3</stp>
        <tr r="C336" s="1"/>
      </tp>
      <tp>
        <v>2.25</v>
        <stp/>
        <stp>##V3_BDPV12</stp>
        <stp>912828G3 Govt</stp>
        <stp>CPN</stp>
        <stp>[TREASURY.xlsx]Sheet1!R137C3</stp>
        <tr r="C137" s="1"/>
      </tp>
      <tp>
        <v>1.75</v>
        <stp/>
        <stp>##V3_BDPV12</stp>
        <stp>912828L5 Govt</stp>
        <stp>CPN</stp>
        <stp>[TREASURY.xlsx]Sheet1!R161C3</stp>
        <tr r="C161" s="1"/>
      </tp>
      <tp>
        <v>1.25</v>
        <stp/>
        <stp>##V3_BDPV12</stp>
        <stp>912828A3 Govt</stp>
        <stp>CPN</stp>
        <stp>[TREASURY.xlsx]Sheet1!R627C3</stp>
        <tr r="C627" s="1"/>
      </tp>
      <tp>
        <v>1</v>
        <stp/>
        <stp>##V3_BDPV12</stp>
        <stp>912828T5 Govt</stp>
        <stp>CPN</stp>
        <stp>[TREASURY.xlsx]Sheet1!R631C3</stp>
        <tr r="C631" s="1"/>
      </tp>
      <tp>
        <v>0.75</v>
        <stp/>
        <stp>##V3_BDPV12</stp>
        <stp>912828S6 Govt</stp>
        <stp>CPN</stp>
        <stp>[TREASURY.xlsx]Sheet1!R692C3</stp>
        <tr r="C692" s="1"/>
      </tp>
      <tp>
        <v>7.5</v>
        <stp/>
        <stp>##V3_BDPV12</stp>
        <stp>912827S5 Govt</stp>
        <stp>CPN</stp>
        <stp>[TREASURY.xlsx]Sheet1!R831C3</stp>
        <tr r="C831" s="1"/>
      </tp>
      <tp>
        <v>0.875</v>
        <stp/>
        <stp>##V3_BDPV12</stp>
        <stp>912828M7 Govt</stp>
        <stp>CPN</stp>
        <stp>[TREASURY.xlsx]Sheet1!R443C3</stp>
        <tr r="C443" s="1"/>
      </tp>
      <tp>
        <v>6</v>
        <stp/>
        <stp>##V3_BDPV12</stp>
        <stp>912827J2 Govt</stp>
        <stp>CPN</stp>
        <stp>[TREASURY.xlsx]Sheet1!R706C3</stp>
        <tr r="C706" s="1"/>
      </tp>
      <tp>
        <v>6.375</v>
        <stp/>
        <stp>##V3_BDPV12</stp>
        <stp>912827J3 Govt</stp>
        <stp>CPN</stp>
        <stp>[TREASURY.xlsx]Sheet1!R707C3</stp>
        <tr r="C707" s="1"/>
      </tp>
      <tp>
        <v>1.375</v>
        <stp/>
        <stp>##V3_BDPV12</stp>
        <stp>912828V3 Govt</stp>
        <stp>CPN</stp>
        <stp>[TREASURY.xlsx]Sheet1!R877C3</stp>
        <tr r="C877" s="1"/>
      </tp>
      <tp t="s">
        <v>#N/A N/A</v>
        <stp/>
        <stp>##V3_BDPV12</stp>
        <stp>912828D4 Govt</stp>
        <stp>YLD_YTM_BID</stp>
        <stp>[TREASURY.xlsx]Sheet1!R961C4</stp>
        <tr r="D961" s="1"/>
      </tp>
      <tp t="s">
        <v>#N/A N/A</v>
        <stp/>
        <stp>##V3_BDPV12</stp>
        <stp>912827N3 Govt</stp>
        <stp>YLD_YTM_BID</stp>
        <stp>[TREASURY.xlsx]Sheet1!R726C4</stp>
        <tr r="D726" s="1"/>
      </tp>
      <tp t="s">
        <v>#N/A N/A</v>
        <stp/>
        <stp>##V3_BDPV12</stp>
        <stp>912828T4 Govt</stp>
        <stp>YLD_YTM_BID</stp>
        <stp>[TREASURY.xlsx]Sheet1!R871C4</stp>
        <tr r="D871" s="1"/>
      </tp>
      <tp t="s">
        <v>#N/A N/A</v>
        <stp/>
        <stp>##V3_BDPV12</stp>
        <stp>912827W2 Govt</stp>
        <stp>YLD_YTM_BID</stp>
        <stp>[TREASURY.xlsx]Sheet1!R767C4</stp>
        <tr r="D767" s="1"/>
      </tp>
      <tp t="s">
        <v>#N/A N/A</v>
        <stp/>
        <stp>##V3_BDPV12</stp>
        <stp>912828F3 Govt</stp>
        <stp>YLD_YTM_BID</stp>
        <stp>[TREASURY.xlsx]Sheet1!R406C4</stp>
        <tr r="D406" s="1"/>
      </tp>
      <tp t="s">
        <v>#N/A N/A</v>
        <stp/>
        <stp>##V3_BDPV12</stp>
        <stp>912828D6 Govt</stp>
        <stp>YLD_YTM_BID</stp>
        <stp>[TREASURY.xlsx]Sheet1!R613C4</stp>
        <tr r="D613" s="1"/>
      </tp>
      <tp t="s">
        <v>#N/A N/A</v>
        <stp/>
        <stp>##V3_BDPV12</stp>
        <stp>912828N5 Govt</stp>
        <stp>YLD_YTM_BID</stp>
        <stp>[TREASURY.xlsx]Sheet1!R600C4</stp>
        <tr r="D600" s="1"/>
      </tp>
      <tp t="s">
        <v>#N/A N/A</v>
        <stp/>
        <stp>##V3_BDPV12</stp>
        <stp>912827Y5 Govt</stp>
        <stp>YLD_YTM_BID</stp>
        <stp>[TREASURY.xlsx]Sheet1!R940C4</stp>
        <tr r="D940" s="1"/>
      </tp>
      <tp>
        <v>0.19409697323966496</v>
        <stp/>
        <stp>##V3_BDPV12</stp>
        <stp>912828Q2 Govt</stp>
        <stp>YLD_YTM_BID</stp>
        <stp>[TREASURY.xlsx]Sheet1!R187C4</stp>
        <tr r="D187" s="1"/>
      </tp>
      <tp t="s">
        <v>#N/A N/A</v>
        <stp/>
        <stp>##V3_BDPV12</stp>
        <stp>912828D7 Govt</stp>
        <stp>YLD_YTM_BID</stp>
        <stp>[TREASURY.xlsx]Sheet1!R332C4</stp>
        <tr r="D332" s="1"/>
      </tp>
      <tp t="s">
        <v>#N/A N/A</v>
        <stp/>
        <stp>##V3_BDPV12</stp>
        <stp>912828F2 Govt</stp>
        <stp>YLD_YTM_BID</stp>
        <stp>[TREASURY.xlsx]Sheet1!R207C4</stp>
        <tr r="D207" s="1"/>
      </tp>
      <tp>
        <v>0.10640597863339869</v>
        <stp/>
        <stp>##V3_BDPV12</stp>
        <stp>912828G5 Govt</stp>
        <stp>YLD_YTM_BID</stp>
        <stp>[TREASURY.xlsx]Sheet1!R230C4</stp>
        <tr r="D230" s="1"/>
      </tp>
      <tp>
        <v>6.8285044664652725E-2</v>
        <stp/>
        <stp>##V3_BDPV12</stp>
        <stp>912828V7 Govt</stp>
        <stp>YLD_YTM_BID</stp>
        <stp>[TREASURY.xlsx]Sheet1!R262C4</stp>
        <tr r="D262" s="1"/>
      </tp>
      <tp t="s">
        <v>5/15/2021</v>
        <stp/>
        <stp>##V3_BDPV12</stp>
        <stp>91282CAV Govt</stp>
        <stp>FIRST_CPN_DT</stp>
        <stp>[TREASURY.xlsx]Sheet1!R17C9</stp>
        <tr r="I17" s="1"/>
      </tp>
      <tp t="s">
        <v>8/31/2021</v>
        <stp/>
        <stp>##V3_BDPV12</stp>
        <stp>91282CBQ Govt</stp>
        <stp>FIRST_CPN_DT</stp>
        <stp>[TREASURY.xlsx]Sheet1!R30C9</stp>
        <tr r="I30" s="1"/>
      </tp>
      <tp t="s">
        <v>11/30/2020</v>
        <stp/>
        <stp>##V3_BDPV12</stp>
        <stp>912828ZT Govt</stp>
        <stp>FIRST_CPN_DT</stp>
        <stp>[TREASURY.xlsx]Sheet1!R85C9</stp>
        <tr r="I85" s="1"/>
      </tp>
      <tp>
        <v>2.0371675075614197</v>
        <stp/>
        <stp>##V3_BDPV12</stp>
        <stp>912810TA Govt</stp>
        <stp>YLD_YTM_BID</stp>
        <stp>[TREASURY.xlsx]Sheet1!R10C4</stp>
        <tr r="D10" s="1"/>
      </tp>
      <tp>
        <v>2.112744028922839</v>
        <stp/>
        <stp>##V3_BDPV12</stp>
        <stp>912810SN Govt</stp>
        <stp>YLD_YTM_BID</stp>
        <stp>[TREASURY.xlsx]Sheet1!R27C4</stp>
        <tr r="D27" s="1"/>
      </tp>
      <tp t="s">
        <v>#N/A Field Not Applicable</v>
        <stp/>
        <stp>##V3_BDPV12</stp>
        <stp>912828M5 Govt</stp>
        <stp>IDX_RATIO</stp>
        <stp>[TREASURY.xlsx]Sheet1!R116C20</stp>
        <tr r="T116" s="1"/>
      </tp>
      <tp t="s">
        <v>#N/A Field Not Applicable</v>
        <stp/>
        <stp>##V3_BDPV12</stp>
        <stp>912828M4 Govt</stp>
        <stp>IDX_RATIO</stp>
        <stp>[TREASURY.xlsx]Sheet1!R254C20</stp>
        <tr r="T254" s="1"/>
      </tp>
      <tp t="s">
        <v>#N/A Field Not Applicable</v>
        <stp/>
        <stp>##V3_BDPV12</stp>
        <stp>912827M6 Govt</stp>
        <stp>IDX_RATIO</stp>
        <stp>[TREASURY.xlsx]Sheet1!R719C20</stp>
        <tr r="T719" s="1"/>
      </tp>
      <tp t="s">
        <v>#N/A Field Not Applicable</v>
        <stp/>
        <stp>##V3_BDPV12</stp>
        <stp>912828M7 Govt</stp>
        <stp>IDX_RATIO</stp>
        <stp>[TREASURY.xlsx]Sheet1!R443C20</stp>
        <tr r="T443" s="1"/>
      </tp>
      <tp t="s">
        <v>#N/A Field Not Applicable</v>
        <stp/>
        <stp>##V3_BDPV12</stp>
        <stp>912827M5 Govt</stp>
        <stp>IDX_RATIO</stp>
        <stp>[TREASURY.xlsx]Sheet1!R718C20</stp>
        <tr r="T718" s="1"/>
      </tp>
      <tp t="s">
        <v>T 6 1/2 08/31/01</v>
        <stp/>
        <stp>##V3_BDPV12</stp>
        <stp>912827Z3 Govt</stp>
        <stp>SECURITY_NAME</stp>
        <stp>[TREASURY.xlsx]Sheet1!R1608C16</stp>
        <tr r="P1608" s="1"/>
      </tp>
      <tp t="s">
        <v>T 6 1/4 06/30/98</v>
        <stp/>
        <stp>##V3_BDPV12</stp>
        <stp>912827Y3 Govt</stp>
        <stp>SECURITY_NAME</stp>
        <stp>[TREASURY.xlsx]Sheet1!R1601C16</stp>
        <tr r="P1601" s="1"/>
      </tp>
      <tp t="s">
        <v>#N/A Field Not Applicable</v>
        <stp/>
        <stp>##V3_BDPV12</stp>
        <stp>912828M9 Govt</stp>
        <stp>IDX_RATIO</stp>
        <stp>[TREASURY.xlsx]Sheet1!R592C20</stp>
        <tr r="T592" s="1"/>
      </tp>
      <tp t="s">
        <v>T 3 7/8 09/30/95</v>
        <stp/>
        <stp>##V3_BDPV12</stp>
        <stp>912827M3 Govt</stp>
        <stp>SECURITY_NAME</stp>
        <stp>[TREASURY.xlsx]Sheet1!R1568C16</stp>
        <tr r="P1568" s="1"/>
      </tp>
      <tp t="s">
        <v>T 4 1/8 06/30/95</v>
        <stp/>
        <stp>##V3_BDPV12</stp>
        <stp>912827L3 Govt</stp>
        <stp>SECURITY_NAME</stp>
        <stp>[TREASURY.xlsx]Sheet1!R1564C16</stp>
        <tr r="P1564" s="1"/>
      </tp>
      <tp t="s">
        <v>T 7 06/30/93</v>
        <stp/>
        <stp>##V3_BDPV12</stp>
        <stp>912827B3 Govt</stp>
        <stp>SECURITY_NAME</stp>
        <stp>[TREASURY.xlsx]Sheet1!R1549C16</stp>
        <tr r="P1549" s="1"/>
      </tp>
      <tp t="s">
        <v>T 7 1/2 12/31/96</v>
        <stp/>
        <stp>##V3_BDPV12</stp>
        <stp>912827S3 Govt</stp>
        <stp>SECURITY_NAME</stp>
        <stp>[TREASURY.xlsx]Sheet1!R1585C16</stp>
        <tr r="P1585" s="1"/>
      </tp>
      <tp t="s">
        <v>T 5 3/4 09/30/97</v>
        <stp/>
        <stp>##V3_BDPV12</stp>
        <stp>912827V3 Govt</stp>
        <stp>SECURITY_NAME</stp>
        <stp>[TREASURY.xlsx]Sheet1!R1591C16</stp>
        <tr r="P1591" s="1"/>
      </tp>
      <tp t="s">
        <v>T 7 1/4 08/31/96</v>
        <stp/>
        <stp>##V3_BDPV12</stp>
        <stp>912827C3 Govt</stp>
        <stp>SECURITY_NAME</stp>
        <stp>[TREASURY.xlsx]Sheet1!R1480C16</stp>
        <tr r="P1480" s="1"/>
      </tp>
      <tp t="s">
        <v>T 5 1/2 11/30/93</v>
        <stp/>
        <stp>##V3_BDPV12</stp>
        <stp>912827D3 Govt</stp>
        <stp>SECURITY_NAME</stp>
        <stp>[TREASURY.xlsx]Sheet1!R1483C16</stp>
        <tr r="P1483" s="1"/>
      </tp>
      <tp t="s">
        <v>T 6 06/30/96</v>
        <stp/>
        <stp>##V3_BDPV12</stp>
        <stp>912827Q3 Govt</stp>
        <stp>SECURITY_NAME</stp>
        <stp>[TREASURY.xlsx]Sheet1!R1494C16</stp>
        <tr r="P1494" s="1"/>
      </tp>
      <tp t="s">
        <v>T 5 7/8 05/15/95</v>
        <stp/>
        <stp>##V3_BDPV12</stp>
        <stp>912827F3 Govt</stp>
        <stp>SECURITY_NAME</stp>
        <stp>[TREASURY.xlsx]Sheet1!R1314C16</stp>
        <tr r="P1314" s="1"/>
      </tp>
      <tp t="s">
        <v>T 4 1/4 10/31/94</v>
        <stp/>
        <stp>##V3_BDPV12</stp>
        <stp>912827H3 Govt</stp>
        <stp>SECURITY_NAME</stp>
        <stp>[TREASURY.xlsx]Sheet1!R1316C16</stp>
        <tr r="P1316" s="1"/>
      </tp>
      <tp t="s">
        <v>T 5 1/8 03/31/96</v>
        <stp/>
        <stp>##V3_BDPV12</stp>
        <stp>912827P3 Govt</stp>
        <stp>SECURITY_NAME</stp>
        <stp>[TREASURY.xlsx]Sheet1!R1386C16</stp>
        <tr r="P1386" s="1"/>
      </tp>
      <tp t="s">
        <v>#N/A Field Not Applicable</v>
        <stp/>
        <stp>##V3_BDPV12</stp>
        <stp>912828M8 Govt</stp>
        <stp>IDX_RATIO</stp>
        <stp>[TREASURY.xlsx]Sheet1!R150C20</stp>
        <tr r="T150" s="1"/>
      </tp>
      <tp t="s">
        <v>T 0 1/2 02/28/17</v>
        <stp/>
        <stp>##V3_BDPV12</stp>
        <stp>912828J3 Govt</stp>
        <stp>SECURITY_NAME</stp>
        <stp>[TREASURY.xlsx]Sheet1!R1246C16</stp>
        <tr r="P1246" s="1"/>
      </tp>
      <tp t="s">
        <v>T 1 1/2 01/31/19</v>
        <stp/>
        <stp>##V3_BDPV12</stp>
        <stp>912828B3 Govt</stp>
        <stp>SECURITY_NAME</stp>
        <stp>[TREASURY.xlsx]Sheet1!R1108C16</stp>
        <tr r="P1108" s="1"/>
      </tp>
      <tp t="s">
        <v>T 5 1/8 03/31/98</v>
        <stp/>
        <stp>##V3_BDPV12</stp>
        <stp>912827K3 Govt</stp>
        <stp>SECURITY_NAME</stp>
        <stp>[TREASURY.xlsx]Sheet1!R1039C16</stp>
        <tr r="P1039" s="1"/>
      </tp>
      <tp t="s">
        <v>T 7 3/4 03/31/96</v>
        <stp/>
        <stp>##V3_BDPV12</stp>
        <stp>912827A3 Govt</stp>
        <stp>SECURITY_NAME</stp>
        <stp>[TREASURY.xlsx]Sheet1!R1030C16</stp>
        <tr r="P1030" s="1"/>
      </tp>
      <tp t="s">
        <v>T 6 1/2 09/30/96</v>
        <stp/>
        <stp>##V3_BDPV12</stp>
        <stp>912827R3 Govt</stp>
        <stp>SECURITY_NAME</stp>
        <stp>[TREASURY.xlsx]Sheet1!R1060C16</stp>
        <tr r="P1060" s="1"/>
      </tp>
      <tp t="s">
        <v>T 6 5/8 03/31/97</v>
        <stp/>
        <stp>##V3_BDPV12</stp>
        <stp>912827T3 Govt</stp>
        <stp>SECURITY_NAME</stp>
        <stp>[TREASURY.xlsx]Sheet1!R1069C16</stp>
        <tr r="P1069" s="1"/>
      </tp>
      <tp t="s">
        <v>T 6 1/8 03/31/98</v>
        <stp/>
        <stp>##V3_BDPV12</stp>
        <stp>912827X3 Govt</stp>
        <stp>SECURITY_NAME</stp>
        <stp>[TREASURY.xlsx]Sheet1!R1094C16</stp>
        <tr r="P1094" s="1"/>
      </tp>
      <tp t="s">
        <v>#N/A Field Not Applicable</v>
        <stp/>
        <stp>##V3_BDPV12</stp>
        <stp>912828MQ Govt</stp>
        <stp>IDX_RATIO</stp>
        <stp>[TREASURY.xlsx]Sheet1!R483C20</stp>
        <tr r="T483" s="1"/>
      </tp>
      <tp t="s">
        <v>#N/A Field Not Applicable</v>
        <stp/>
        <stp>##V3_BDPV12</stp>
        <stp>912827MQ Govt</stp>
        <stp>IDX_RATIO</stp>
        <stp>[TREASURY.xlsx]Sheet1!R723C20</stp>
        <tr r="T723" s="1"/>
      </tp>
      <tp t="s">
        <v>#N/A Field Not Applicable</v>
        <stp/>
        <stp>##V3_BDPV12</stp>
        <stp>912828MU Govt</stp>
        <stp>IDX_RATIO</stp>
        <stp>[TREASURY.xlsx]Sheet1!R494C20</stp>
        <tr r="T494" s="1"/>
      </tp>
      <tp t="s">
        <v>#N/A Field Not Applicable</v>
        <stp/>
        <stp>##V3_BDPV12</stp>
        <stp>912828MX Govt</stp>
        <stp>IDX_RATIO</stp>
        <stp>[TREASURY.xlsx]Sheet1!R825C20</stp>
        <tr r="T825" s="1"/>
      </tp>
      <tp t="s">
        <v>#N/A Field Not Applicable</v>
        <stp/>
        <stp>##V3_BDPV12</stp>
        <stp>912827MT Govt</stp>
        <stp>IDX_RATIO</stp>
        <stp>[TREASURY.xlsx]Sheet1!R724C20</stp>
        <tr r="T724" s="1"/>
      </tp>
      <tp t="s">
        <v>#N/A Field Not Applicable</v>
        <stp/>
        <stp>##V3_BDPV12</stp>
        <stp>912828MP Govt</stp>
        <stp>IDX_RATIO</stp>
        <stp>[TREASURY.xlsx]Sheet1!R386C20</stp>
        <tr r="T386" s="1"/>
      </tp>
      <tp t="s">
        <v>#N/A Field Not Applicable</v>
        <stp/>
        <stp>##V3_BDPV12</stp>
        <stp>912828MW Govt</stp>
        <stp>IDX_RATIO</stp>
        <stp>[TREASURY.xlsx]Sheet1!R599C20</stp>
        <tr r="T599" s="1"/>
      </tp>
      <tp t="s">
        <v>#N/A Field Not Applicable</v>
        <stp/>
        <stp>##V3_BDPV12</stp>
        <stp>912827MY Govt</stp>
        <stp>IDX_RATIO</stp>
        <stp>[TREASURY.xlsx]Sheet1!R725C20</stp>
        <tr r="T725" s="1"/>
      </tp>
      <tp t="s">
        <v>#N/A Field Not Applicable</v>
        <stp/>
        <stp>##V3_BDPV12</stp>
        <stp>912828MV Govt</stp>
        <stp>IDX_RATIO</stp>
        <stp>[TREASURY.xlsx]Sheet1!R824C20</stp>
        <tr r="T824" s="1"/>
      </tp>
      <tp t="s">
        <v>#N/A Field Not Applicable</v>
        <stp/>
        <stp>##V3_BDPV12</stp>
        <stp>912827MP Govt</stp>
        <stp>IDX_RATIO</stp>
        <stp>[TREASURY.xlsx]Sheet1!R899C20</stp>
        <tr r="T899" s="1"/>
      </tp>
      <tp t="s">
        <v>#N/A Field Not Applicable</v>
        <stp/>
        <stp>##V3_BDPV12</stp>
        <stp>912828MS Govt</stp>
        <stp>IDX_RATIO</stp>
        <stp>[TREASURY.xlsx]Sheet1!R861C20</stp>
        <tr r="T861" s="1"/>
      </tp>
      <tp t="s">
        <v>#N/A Field Not Applicable</v>
        <stp/>
        <stp>##V3_BDPV12</stp>
        <stp>912828MR Govt</stp>
        <stp>IDX_RATIO</stp>
        <stp>[TREASURY.xlsx]Sheet1!R823C20</stp>
        <tr r="T823" s="1"/>
      </tp>
      <tp t="s">
        <v>#N/A Field Not Applicable</v>
        <stp/>
        <stp>##V3_BDPV12</stp>
        <stp>912827MB Govt</stp>
        <stp>IDX_RATIO</stp>
        <stp>[TREASURY.xlsx]Sheet1!R721C20</stp>
        <tr r="T721" s="1"/>
      </tp>
      <tp t="s">
        <v>#N/A Field Not Applicable</v>
        <stp/>
        <stp>##V3_BDPV12</stp>
        <stp>912828MM Govt</stp>
        <stp>IDX_RATIO</stp>
        <stp>[TREASURY.xlsx]Sheet1!R821C20</stp>
        <tr r="T821" s="1"/>
      </tp>
      <tp t="s">
        <v>#N/A Field Not Applicable</v>
        <stp/>
        <stp>##V3_BDPV12</stp>
        <stp>912827MA Govt</stp>
        <stp>IDX_RATIO</stp>
        <stp>[TREASURY.xlsx]Sheet1!R720C20</stp>
        <tr r="T720" s="1"/>
      </tp>
      <tp t="s">
        <v>#N/A Field Not Applicable</v>
        <stp/>
        <stp>##V3_BDPV12</stp>
        <stp>912828MN Govt</stp>
        <stp>IDX_RATIO</stp>
        <stp>[TREASURY.xlsx]Sheet1!R822C20</stp>
        <tr r="T822" s="1"/>
      </tp>
      <tp t="s">
        <v>#N/A Field Not Applicable</v>
        <stp/>
        <stp>##V3_BDPV12</stp>
        <stp>912828MH Govt</stp>
        <stp>IDX_RATIO</stp>
        <stp>[TREASURY.xlsx]Sheet1!R976C20</stp>
        <tr r="T976" s="1"/>
      </tp>
      <tp t="s">
        <v>#N/A Field Not Applicable</v>
        <stp/>
        <stp>##V3_BDPV12</stp>
        <stp>912827MF Govt</stp>
        <stp>IDX_RATIO</stp>
        <stp>[TREASURY.xlsx]Sheet1!R722C20</stp>
        <tr r="T722" s="1"/>
      </tp>
      <tp t="s">
        <v>#N/A Field Not Applicable</v>
        <stp/>
        <stp>##V3_BDPV12</stp>
        <stp>912828ME Govt</stp>
        <stp>IDX_RATIO</stp>
        <stp>[TREASURY.xlsx]Sheet1!R574C20</stp>
        <tr r="T574" s="1"/>
      </tp>
      <tp t="s">
        <v>#N/A Field Not Applicable</v>
        <stp/>
        <stp>##V3_BDPV12</stp>
        <stp>912827MK Govt</stp>
        <stp>IDX_RATIO</stp>
        <stp>[TREASURY.xlsx]Sheet1!R898C20</stp>
        <tr r="T898" s="1"/>
      </tp>
      <tp t="s">
        <v>#N/A Field Not Applicable</v>
        <stp/>
        <stp>##V3_BDPV12</stp>
        <stp>912828MJ Govt</stp>
        <stp>IDX_RATIO</stp>
        <stp>[TREASURY.xlsx]Sheet1!R820C20</stp>
        <tr r="T820" s="1"/>
      </tp>
      <tp t="s">
        <v>#N/A Field Not Applicable</v>
        <stp/>
        <stp>##V3_BDPV12</stp>
        <stp>912827MJ Govt</stp>
        <stp>IDX_RATIO</stp>
        <stp>[TREASURY.xlsx]Sheet1!R897C20</stp>
        <tr r="T897" s="1"/>
      </tp>
      <tp t="s">
        <v>#N/A Field Not Applicable</v>
        <stp/>
        <stp>##V3_BDPV12</stp>
        <stp>912827MH Govt</stp>
        <stp>IDX_RATIO</stp>
        <stp>[TREASURY.xlsx]Sheet1!R544C20</stp>
        <tr r="T544" s="1"/>
      </tp>
      <tp t="s">
        <v>#N/A Field Not Applicable</v>
        <stp/>
        <stp>##V3_BDPV12</stp>
        <stp>912827ME Govt</stp>
        <stp>IDX_RATIO</stp>
        <stp>[TREASURY.xlsx]Sheet1!R895C20</stp>
        <tr r="T895" s="1"/>
      </tp>
      <tp t="s">
        <v>#N/A Field Not Applicable</v>
        <stp/>
        <stp>##V3_BDPV12</stp>
        <stp>912828MD Govt</stp>
        <stp>IDX_RATIO</stp>
        <stp>[TREASURY.xlsx]Sheet1!R859C20</stp>
        <tr r="T859" s="1"/>
      </tp>
      <tp t="s">
        <v>#N/A Field Not Applicable</v>
        <stp/>
        <stp>##V3_BDPV12</stp>
        <stp>912828MG Govt</stp>
        <stp>IDX_RATIO</stp>
        <stp>[TREASURY.xlsx]Sheet1!R860C20</stp>
        <tr r="T860" s="1"/>
      </tp>
      <tp t="s">
        <v>#N/A Field Not Applicable</v>
        <stp/>
        <stp>##V3_BDPV12</stp>
        <stp>912827MG Govt</stp>
        <stp>IDX_RATIO</stp>
        <stp>[TREASURY.xlsx]Sheet1!R896C20</stp>
        <tr r="T896" s="1"/>
      </tp>
      <tp t="s">
        <v>#N/A Field Not Applicable</v>
        <stp/>
        <stp>##V3_BDPV12</stp>
        <stp>912828MK Govt</stp>
        <stp>IDX_RATIO</stp>
        <stp>[TREASURY.xlsx]Sheet1!R538C20</stp>
        <tr r="T538" s="1"/>
      </tp>
      <tp t="s">
        <v>#N/A Field Not Applicable</v>
        <stp/>
        <stp>##V3_BDPV12</stp>
        <stp>912828MB Govt</stp>
        <stp>IDX_RATIO</stp>
        <stp>[TREASURY.xlsx]Sheet1!R819C20</stp>
        <tr r="T819" s="1"/>
      </tp>
      <tp>
        <v>0.26933449902429268</v>
        <stp/>
        <stp>##V3_BDPV12</stp>
        <stp>91282CCU Govt</stp>
        <stp>YLD_YTM_BID</stp>
        <stp>[TREASURY.xlsx]Sheet1!R6C4</stp>
        <tr r="D6" s="1"/>
      </tp>
      <tp>
        <v>2.25</v>
        <stp/>
        <stp>##V3_BDPV12</stp>
        <stp>912810RT Govt</stp>
        <stp>CPN</stp>
        <stp>[TREASURY.xlsx]Sheet1!R96C3</stp>
        <tr r="C96" s="1"/>
      </tp>
      <tp>
        <v>1.625</v>
        <stp/>
        <stp>##V3_BDPV12</stp>
        <stp>912810SS Govt</stp>
        <stp>CPN</stp>
        <stp>[TREASURY.xlsx]Sheet1!R37C3</stp>
        <tr r="C37" s="1"/>
      </tp>
      <tp>
        <v>2.125</v>
        <stp/>
        <stp>##V3_BDPV12</stp>
        <stp>912828F2 Govt</stp>
        <stp>CPN</stp>
        <stp>[TREASURY.xlsx]Sheet1!R207C3</stp>
        <tr r="C207" s="1"/>
      </tp>
      <tp>
        <v>1.875</v>
        <stp/>
        <stp>##V3_BDPV12</stp>
        <stp>912828G5 Govt</stp>
        <stp>CPN</stp>
        <stp>[TREASURY.xlsx]Sheet1!R230C3</stp>
        <tr r="C230" s="1"/>
      </tp>
      <tp>
        <v>1.875</v>
        <stp/>
        <stp>##V3_BDPV12</stp>
        <stp>912828V7 Govt</stp>
        <stp>CPN</stp>
        <stp>[TREASURY.xlsx]Sheet1!R262C3</stp>
        <tr r="C262" s="1"/>
      </tp>
      <tp>
        <v>2</v>
        <stp/>
        <stp>##V3_BDPV12</stp>
        <stp>912828D7 Govt</stp>
        <stp>CPN</stp>
        <stp>[TREASURY.xlsx]Sheet1!R332C3</stp>
        <tr r="C332" s="1"/>
      </tp>
      <tp>
        <v>1.5</v>
        <stp/>
        <stp>##V3_BDPV12</stp>
        <stp>912828Q2 Govt</stp>
        <stp>CPN</stp>
        <stp>[TREASURY.xlsx]Sheet1!R187C3</stp>
        <tr r="C187" s="1"/>
      </tp>
      <tp>
        <v>0.5</v>
        <stp/>
        <stp>##V3_BDPV12</stp>
        <stp>912828D6 Govt</stp>
        <stp>CPN</stp>
        <stp>[TREASURY.xlsx]Sheet1!R613C3</stp>
        <tr r="C613" s="1"/>
      </tp>
      <tp>
        <v>1</v>
        <stp/>
        <stp>##V3_BDPV12</stp>
        <stp>912828N5 Govt</stp>
        <stp>CPN</stp>
        <stp>[TREASURY.xlsx]Sheet1!R600C3</stp>
        <tr r="C600" s="1"/>
      </tp>
      <tp>
        <v>7</v>
        <stp/>
        <stp>##V3_BDPV12</stp>
        <stp>912827Y5 Govt</stp>
        <stp>CPN</stp>
        <stp>[TREASURY.xlsx]Sheet1!R940C3</stp>
        <tr r="C940" s="1"/>
      </tp>
      <tp>
        <v>1.75</v>
        <stp/>
        <stp>##V3_BDPV12</stp>
        <stp>912828F3 Govt</stp>
        <stp>CPN</stp>
        <stp>[TREASURY.xlsx]Sheet1!R406C3</stp>
        <tr r="C406" s="1"/>
      </tp>
      <tp>
        <v>4.25</v>
        <stp/>
        <stp>##V3_BDPV12</stp>
        <stp>912827N3 Govt</stp>
        <stp>CPN</stp>
        <stp>[TREASURY.xlsx]Sheet1!R726C3</stp>
        <tr r="C726" s="1"/>
      </tp>
      <tp>
        <v>0.75</v>
        <stp/>
        <stp>##V3_BDPV12</stp>
        <stp>912828T4 Govt</stp>
        <stp>CPN</stp>
        <stp>[TREASURY.xlsx]Sheet1!R871C3</stp>
        <tr r="C871" s="1"/>
      </tp>
      <tp>
        <v>5.625</v>
        <stp/>
        <stp>##V3_BDPV12</stp>
        <stp>912827W2 Govt</stp>
        <stp>CPN</stp>
        <stp>[TREASURY.xlsx]Sheet1!R767C3</stp>
        <tr r="C767" s="1"/>
      </tp>
      <tp>
        <v>0.875</v>
        <stp/>
        <stp>##V3_BDPV12</stp>
        <stp>912828D4 Govt</stp>
        <stp>CPN</stp>
        <stp>[TREASURY.xlsx]Sheet1!R961C3</stp>
        <tr r="C961" s="1"/>
      </tp>
      <tp t="s">
        <v>#N/A N/A</v>
        <stp/>
        <stp>##V3_BDPV12</stp>
        <stp>912827J2 Govt</stp>
        <stp>YLD_YTM_BID</stp>
        <stp>[TREASURY.xlsx]Sheet1!R706C4</stp>
        <tr r="D706" s="1"/>
      </tp>
      <tp t="s">
        <v>#N/A N/A</v>
        <stp/>
        <stp>##V3_BDPV12</stp>
        <stp>912827J3 Govt</stp>
        <stp>YLD_YTM_BID</stp>
        <stp>[TREASURY.xlsx]Sheet1!R707C4</stp>
        <tr r="D707" s="1"/>
      </tp>
      <tp t="s">
        <v>#N/A N/A</v>
        <stp/>
        <stp>##V3_BDPV12</stp>
        <stp>912828V3 Govt</stp>
        <stp>YLD_YTM_BID</stp>
        <stp>[TREASURY.xlsx]Sheet1!R877C4</stp>
        <tr r="D877" s="1"/>
      </tp>
      <tp t="s">
        <v>#N/A N/A</v>
        <stp/>
        <stp>##V3_BDPV12</stp>
        <stp>912828M7 Govt</stp>
        <stp>YLD_YTM_BID</stp>
        <stp>[TREASURY.xlsx]Sheet1!R443C4</stp>
        <tr r="D443" s="1"/>
      </tp>
      <tp t="s">
        <v>#N/A N/A</v>
        <stp/>
        <stp>##V3_BDPV12</stp>
        <stp>912827S5 Govt</stp>
        <stp>YLD_YTM_BID</stp>
        <stp>[TREASURY.xlsx]Sheet1!R831C4</stp>
        <tr r="D831" s="1"/>
      </tp>
      <tp t="s">
        <v>#N/A N/A</v>
        <stp/>
        <stp>##V3_BDPV12</stp>
        <stp>912828A3 Govt</stp>
        <stp>YLD_YTM_BID</stp>
        <stp>[TREASURY.xlsx]Sheet1!R627C4</stp>
        <tr r="D627" s="1"/>
      </tp>
      <tp t="s">
        <v>#N/A N/A</v>
        <stp/>
        <stp>##V3_BDPV12</stp>
        <stp>912828T5 Govt</stp>
        <stp>YLD_YTM_BID</stp>
        <stp>[TREASURY.xlsx]Sheet1!R631C4</stp>
        <tr r="D631" s="1"/>
      </tp>
      <tp t="s">
        <v>#N/A N/A</v>
        <stp/>
        <stp>##V3_BDPV12</stp>
        <stp>912828S6 Govt</stp>
        <stp>YLD_YTM_BID</stp>
        <stp>[TREASURY.xlsx]Sheet1!R692C4</stp>
        <tr r="D692" s="1"/>
      </tp>
      <tp>
        <v>0.55432393529654855</v>
        <stp/>
        <stp>##V3_BDPV12</stp>
        <stp>912828G3 Govt</stp>
        <stp>YLD_YTM_BID</stp>
        <stp>[TREASURY.xlsx]Sheet1!R137C4</stp>
        <tr r="D137" s="1"/>
      </tp>
      <tp>
        <v>0.10050111306787182</v>
        <stp/>
        <stp>##V3_BDPV12</stp>
        <stp>912828L5 Govt</stp>
        <stp>YLD_YTM_BID</stp>
        <stp>[TREASURY.xlsx]Sheet1!R161C4</stp>
        <tr r="D161" s="1"/>
      </tp>
      <tp t="s">
        <v>#N/A N/A</v>
        <stp/>
        <stp>##V3_BDPV12</stp>
        <stp>912828L3 Govt</stp>
        <stp>YLD_YTM_BID</stp>
        <stp>[TREASURY.xlsx]Sheet1!R327C4</stp>
        <tr r="D327" s="1"/>
      </tp>
      <tp t="s">
        <v>#N/A N/A</v>
        <stp/>
        <stp>##V3_BDPV12</stp>
        <stp>912828R7 Govt</stp>
        <stp>YLD_YTM_BID</stp>
        <stp>[TREASURY.xlsx]Sheet1!R383C4</stp>
        <tr r="D383" s="1"/>
      </tp>
      <tp t="s">
        <v>#N/A N/A</v>
        <stp/>
        <stp>##V3_BDPV12</stp>
        <stp>912828Y2 Govt</stp>
        <stp>YLD_YTM_BID</stp>
        <stp>[TREASURY.xlsx]Sheet1!R336C4</stp>
        <tr r="D336" s="1"/>
      </tp>
      <tp>
        <v>0.11140199662488792</v>
        <stp/>
        <stp>##V3_BDPV12</stp>
        <stp>912828U6 Govt</stp>
        <stp>YLD_YTM_BID</stp>
        <stp>[TREASURY.xlsx]Sheet1!R232C4</stp>
        <tr r="D232" s="1"/>
      </tp>
      <tp>
        <v>7.0212972688534006E-2</v>
        <stp/>
        <stp>##V3_BDPV12</stp>
        <stp>912828W5 Govt</stp>
        <stp>YLD_YTM_BID</stp>
        <stp>[TREASURY.xlsx]Sheet1!R281C4</stp>
        <tr r="D281" s="1"/>
      </tp>
      <tp t="s">
        <v>8/15/2021</v>
        <stp/>
        <stp>##V3_BDPV12</stp>
        <stp>912810SU Govt</stp>
        <stp>FIRST_CPN_DT</stp>
        <stp>[TREASURY.xlsx]Sheet1!R15C9</stp>
        <tr r="I15" s="1"/>
      </tp>
      <tp t="s">
        <v>11/15/2020</v>
        <stp/>
        <stp>##V3_BDPV12</stp>
        <stp>912828ZQ Govt</stp>
        <stp>FIRST_CPN_DT</stp>
        <stp>[TREASURY.xlsx]Sheet1!R31C9</stp>
        <tr r="I31" s="1"/>
      </tp>
      <tp>
        <v>1.75</v>
        <stp/>
        <stp>##V3_BDPV12</stp>
        <stp>912810TA Govt</stp>
        <stp>CPN</stp>
        <stp>[TREASURY.xlsx]Sheet1!R10C3</stp>
        <tr r="C10" s="1"/>
      </tp>
      <tp>
        <v>1.25</v>
        <stp/>
        <stp>##V3_BDPV12</stp>
        <stp>912810SN Govt</stp>
        <stp>CPN</stp>
        <stp>[TREASURY.xlsx]Sheet1!R27C3</stp>
        <tr r="C27" s="1"/>
      </tp>
      <tp t="s">
        <v>#N/A Field Not Applicable</v>
        <stp/>
        <stp>##V3_BDPV12</stp>
        <stp>912828L5 Govt</stp>
        <stp>IDX_RATIO</stp>
        <stp>[TREASURY.xlsx]Sheet1!R161C20</stp>
        <tr r="T161" s="1"/>
      </tp>
      <tp t="s">
        <v>#N/A Field Not Applicable</v>
        <stp/>
        <stp>##V3_BDPV12</stp>
        <stp>912828L3 Govt</stp>
        <stp>IDX_RATIO</stp>
        <stp>[TREASURY.xlsx]Sheet1!R327C20</stp>
        <tr r="T327" s="1"/>
      </tp>
      <tp t="s">
        <v>#N/A Field Not Applicable</v>
        <stp/>
        <stp>##V3_BDPV12</stp>
        <stp>912828L2 Govt</stp>
        <stp>IDX_RATIO</stp>
        <stp>[TREASURY.xlsx]Sheet1!R173C20</stp>
        <tr r="T173" s="1"/>
      </tp>
      <tp t="s">
        <v>#N/A Field Not Applicable</v>
        <stp/>
        <stp>##V3_BDPV12</stp>
        <stp>912828L4 Govt</stp>
        <stp>IDX_RATIO</stp>
        <stp>[TREASURY.xlsx]Sheet1!R669C20</stp>
        <tr r="T669" s="1"/>
      </tp>
      <tp t="s">
        <v>#N/A Field Not Applicable</v>
        <stp/>
        <stp>##V3_BDPV12</stp>
        <stp>912828L6 Govt</stp>
        <stp>IDX_RATIO</stp>
        <stp>[TREASURY.xlsx]Sheet1!R430C20</stp>
        <tr r="T430" s="1"/>
      </tp>
      <tp t="s">
        <v>#N/A Field Not Applicable</v>
        <stp/>
        <stp>##V3_BDPV12</stp>
        <stp>912827L5 Govt</stp>
        <stp>IDX_RATIO</stp>
        <stp>[TREASURY.xlsx]Sheet1!R886C20</stp>
        <tr r="T886" s="1"/>
      </tp>
      <tp t="s">
        <v>T 7 5/8 05/31/96</v>
        <stp/>
        <stp>##V3_BDPV12</stp>
        <stp>912827B2 Govt</stp>
        <stp>SECURITY_NAME</stp>
        <stp>[TREASURY.xlsx]Sheet1!R1475C16</stp>
        <tr r="P1475" s="1"/>
      </tp>
      <tp t="s">
        <v>T 6 3/8 08/31/93</v>
        <stp/>
        <stp>##V3_BDPV12</stp>
        <stp>912827C2 Govt</stp>
        <stp>SECURITY_NAME</stp>
        <stp>[TREASURY.xlsx]Sheet1!R1479C16</stp>
        <tr r="P1479" s="1"/>
      </tp>
      <tp t="s">
        <v>T 3 7/8 03/31/95</v>
        <stp/>
        <stp>##V3_BDPV12</stp>
        <stp>912827K2 Govt</stp>
        <stp>SECURITY_NAME</stp>
        <stp>[TREASURY.xlsx]Sheet1!R1489C16</stp>
        <tr r="P1489" s="1"/>
      </tp>
      <tp t="s">
        <v>#N/A Field Not Applicable</v>
        <stp/>
        <stp>##V3_BDPV12</stp>
        <stp>912827L9 Govt</stp>
        <stp>IDX_RATIO</stp>
        <stp>[TREASURY.xlsx]Sheet1!R714C20</stp>
        <tr r="T714" s="1"/>
      </tp>
      <tp t="s">
        <v>T 5 1/8 11/30/98</v>
        <stp/>
        <stp>##V3_BDPV12</stp>
        <stp>912827N2 Govt</stp>
        <stp>SECURITY_NAME</stp>
        <stp>[TREASURY.xlsx]Sheet1!R1329C16</stp>
        <tr r="P1329" s="1"/>
      </tp>
      <tp t="s">
        <v>T 5 5/8 02/28/01</v>
        <stp/>
        <stp>##V3_BDPV12</stp>
        <stp>912827X2 Govt</stp>
        <stp>SECURITY_NAME</stp>
        <stp>[TREASURY.xlsx]Sheet1!R1211C16</stp>
        <tr r="P1211" s="1"/>
      </tp>
      <tp t="s">
        <v>T 0 7/8 11/15/17</v>
        <stp/>
        <stp>##V3_BDPV12</stp>
        <stp>912828G2 Govt</stp>
        <stp>SECURITY_NAME</stp>
        <stp>[TREASURY.xlsx]Sheet1!R1280C16</stp>
        <tr r="P1280" s="1"/>
      </tp>
      <tp t="s">
        <v>T 0 3/4 04/15/18</v>
        <stp/>
        <stp>##V3_BDPV12</stp>
        <stp>912828K2 Govt</stp>
        <stp>SECURITY_NAME</stp>
        <stp>[TREASURY.xlsx]Sheet1!R1287C16</stp>
        <tr r="P1287" s="1"/>
      </tp>
      <tp t="s">
        <v>T 0 1/4 11/30/15</v>
        <stp/>
        <stp>##V3_BDPV12</stp>
        <stp>912828A2 Govt</stp>
        <stp>SECURITY_NAME</stp>
        <stp>[TREASURY.xlsx]Sheet1!R1232C16</stp>
        <tr r="P1232" s="1"/>
      </tp>
      <tp t="s">
        <v>T 4 3/4 08/31/98</v>
        <stp/>
        <stp>##V3_BDPV12</stp>
        <stp>912827M2 Govt</stp>
        <stp>SECURITY_NAME</stp>
        <stp>[TREASURY.xlsx]Sheet1!R1164C16</stp>
        <tr r="P1164" s="1"/>
      </tp>
      <tp t="s">
        <v>T 5 3/8 05/31/98</v>
        <stp/>
        <stp>##V3_BDPV12</stp>
        <stp>912827L2 Govt</stp>
        <stp>SECURITY_NAME</stp>
        <stp>[TREASURY.xlsx]Sheet1!R1163C16</stp>
        <tr r="P1163" s="1"/>
      </tp>
      <tp t="s">
        <v>T 6 3/4 05/31/99</v>
        <stp/>
        <stp>##V3_BDPV12</stp>
        <stp>912827Q2 Govt</stp>
        <stp>SECURITY_NAME</stp>
        <stp>[TREASURY.xlsx]Sheet1!R1176C16</stp>
        <tr r="P1176" s="1"/>
      </tp>
      <tp t="s">
        <v>T 5 1/2 02/15/95</v>
        <stp/>
        <stp>##V3_BDPV12</stp>
        <stp>912827E2 Govt</stp>
        <stp>SECURITY_NAME</stp>
        <stp>[TREASURY.xlsx]Sheet1!R1153C16</stp>
        <tr r="P1153" s="1"/>
      </tp>
      <tp t="s">
        <v>T 7 3/4 11/30/99</v>
        <stp/>
        <stp>##V3_BDPV12</stp>
        <stp>912827S2 Govt</stp>
        <stp>SECURITY_NAME</stp>
        <stp>[TREASURY.xlsx]Sheet1!R1181C16</stp>
        <tr r="P1181" s="1"/>
      </tp>
      <tp t="s">
        <v>T 7 1/8 03/31/93</v>
        <stp/>
        <stp>##V3_BDPV12</stp>
        <stp>912827A2 Govt</stp>
        <stp>SECURITY_NAME</stp>
        <stp>[TREASURY.xlsx]Sheet1!R1029C16</stp>
        <tr r="P1029" s="1"/>
      </tp>
      <tp t="s">
        <v>T 4 1/4 07/31/94</v>
        <stp/>
        <stp>##V3_BDPV12</stp>
        <stp>912827G2 Govt</stp>
        <stp>SECURITY_NAME</stp>
        <stp>[TREASURY.xlsx]Sheet1!R1034C16</stp>
        <tr r="P1034" s="1"/>
      </tp>
      <tp t="s">
        <v>T 7 1/2 11/15/01</v>
        <stp/>
        <stp>##V3_BDPV12</stp>
        <stp>912827D2 Govt</stp>
        <stp>SECURITY_NAME</stp>
        <stp>[TREASURY.xlsx]Sheet1!R1033C16</stp>
        <tr r="P1033" s="1"/>
      </tp>
      <tp t="s">
        <v>T 6 1/4 08/31/00</v>
        <stp/>
        <stp>##V3_BDPV12</stp>
        <stp>912827V2 Govt</stp>
        <stp>SECURITY_NAME</stp>
        <stp>[TREASURY.xlsx]Sheet1!R1082C16</stp>
        <tr r="P1082" s="1"/>
      </tp>
      <tp t="s">
        <v>T 6 1/2 05/31/01</v>
        <stp/>
        <stp>##V3_BDPV12</stp>
        <stp>912827Y2 Govt</stp>
        <stp>SECURITY_NAME</stp>
        <stp>[TREASURY.xlsx]Sheet1!R1098C16</stp>
        <tr r="P1098" s="1"/>
      </tp>
      <tp t="s">
        <v>#N/A Field Not Applicable</v>
        <stp/>
        <stp>##V3_BDPV12</stp>
        <stp>912828L9 Govt</stp>
        <stp>IDX_RATIO</stp>
        <stp>[TREASURY.xlsx]Sheet1!R358C20</stp>
        <tr r="T358" s="1"/>
      </tp>
      <tp t="s">
        <v>#N/A Field Not Applicable</v>
        <stp/>
        <stp>##V3_BDPV12</stp>
        <stp>912828LQ Govt</stp>
        <stp>IDX_RATIO</stp>
        <stp>[TREASURY.xlsx]Sheet1!R486C20</stp>
        <tr r="T486" s="1"/>
      </tp>
      <tp t="s">
        <v>#N/A Field Not Applicable</v>
        <stp/>
        <stp>##V3_BDPV12</stp>
        <stp>912827LV Govt</stp>
        <stp>IDX_RATIO</stp>
        <stp>[TREASURY.xlsx]Sheet1!R717C20</stp>
        <tr r="T717" s="1"/>
      </tp>
      <tp t="s">
        <v>#N/A Field Not Applicable</v>
        <stp/>
        <stp>##V3_BDPV12</stp>
        <stp>912828LW Govt</stp>
        <stp>IDX_RATIO</stp>
        <stp>[TREASURY.xlsx]Sheet1!R629C20</stp>
        <tr r="T629" s="1"/>
      </tp>
      <tp t="s">
        <v>#N/A Field Not Applicable</v>
        <stp/>
        <stp>##V3_BDPV12</stp>
        <stp>912827LY Govt</stp>
        <stp>IDX_RATIO</stp>
        <stp>[TREASURY.xlsx]Sheet1!R894C20</stp>
        <tr r="T894" s="1"/>
      </tp>
      <tp t="s">
        <v>#N/A Field Not Applicable</v>
        <stp/>
        <stp>##V3_BDPV12</stp>
        <stp>912827LX Govt</stp>
        <stp>IDX_RATIO</stp>
        <stp>[TREASURY.xlsx]Sheet1!R893C20</stp>
        <tr r="T893" s="1"/>
      </tp>
      <tp t="s">
        <v>#N/A Field Not Applicable</v>
        <stp/>
        <stp>##V3_BDPV12</stp>
        <stp>912828LT Govt</stp>
        <stp>IDX_RATIO</stp>
        <stp>[TREASURY.xlsx]Sheet1!R975C20</stp>
        <tr r="T975" s="1"/>
      </tp>
      <tp t="s">
        <v>#N/A Field Not Applicable</v>
        <stp/>
        <stp>##V3_BDPV12</stp>
        <stp>912828LU Govt</stp>
        <stp>IDX_RATIO</stp>
        <stp>[TREASURY.xlsx]Sheet1!R818C20</stp>
        <tr r="T818" s="1"/>
      </tp>
      <tp t="s">
        <v>#N/A Field Not Applicable</v>
        <stp/>
        <stp>##V3_BDPV12</stp>
        <stp>912828LX Govt</stp>
        <stp>IDX_RATIO</stp>
        <stp>[TREASURY.xlsx]Sheet1!R535C20</stp>
        <tr r="T535" s="1"/>
      </tp>
      <tp t="s">
        <v>#N/A Field Not Applicable</v>
        <stp/>
        <stp>##V3_BDPV12</stp>
        <stp>912827LU Govt</stp>
        <stp>IDX_RATIO</stp>
        <stp>[TREASURY.xlsx]Sheet1!R892C20</stp>
        <tr r="T892" s="1"/>
      </tp>
      <tp t="s">
        <v>#N/A Field Not Applicable</v>
        <stp/>
        <stp>##V3_BDPV12</stp>
        <stp>912828LZ Govt</stp>
        <stp>IDX_RATIO</stp>
        <stp>[TREASURY.xlsx]Sheet1!R515C20</stp>
        <tr r="T515" s="1"/>
      </tp>
      <tp t="s">
        <v>#N/A Field Not Applicable</v>
        <stp/>
        <stp>##V3_BDPV12</stp>
        <stp>912828LP Govt</stp>
        <stp>IDX_RATIO</stp>
        <stp>[TREASURY.xlsx]Sheet1!R816C20</stp>
        <tr r="T816" s="1"/>
      </tp>
      <tp t="s">
        <v>#N/A Field Not Applicable</v>
        <stp/>
        <stp>##V3_BDPV12</stp>
        <stp>912828LS Govt</stp>
        <stp>IDX_RATIO</stp>
        <stp>[TREASURY.xlsx]Sheet1!R858C20</stp>
        <tr r="T858" s="1"/>
      </tp>
      <tp t="s">
        <v>#N/A Field Not Applicable</v>
        <stp/>
        <stp>##V3_BDPV12</stp>
        <stp>912828LY Govt</stp>
        <stp>IDX_RATIO</stp>
        <stp>[TREASURY.xlsx]Sheet1!R353C20</stp>
        <tr r="T353" s="1"/>
      </tp>
      <tp t="s">
        <v>#N/A Field Not Applicable</v>
        <stp/>
        <stp>##V3_BDPV12</stp>
        <stp>912828LR Govt</stp>
        <stp>IDX_RATIO</stp>
        <stp>[TREASURY.xlsx]Sheet1!R817C20</stp>
        <tr r="T817" s="1"/>
      </tp>
      <tp t="s">
        <v>#N/A Field Not Applicable</v>
        <stp/>
        <stp>##V3_BDPV12</stp>
        <stp>912827LL Govt</stp>
        <stp>IDX_RATIO</stp>
        <stp>[TREASURY.xlsx]Sheet1!R891C20</stp>
        <tr r="T891" s="1"/>
      </tp>
      <tp t="s">
        <v>#N/A Field Not Applicable</v>
        <stp/>
        <stp>##V3_BDPV12</stp>
        <stp>912828LB Govt</stp>
        <stp>IDX_RATIO</stp>
        <stp>[TREASURY.xlsx]Sheet1!R558C20</stp>
        <tr r="T558" s="1"/>
      </tp>
      <tp t="s">
        <v>#N/A Field Not Applicable</v>
        <stp/>
        <stp>##V3_BDPV12</stp>
        <stp>912827LF Govt</stp>
        <stp>IDX_RATIO</stp>
        <stp>[TREASURY.xlsx]Sheet1!R656C20</stp>
        <tr r="T656" s="1"/>
      </tp>
      <tp t="s">
        <v>#N/A Field Not Applicable</v>
        <stp/>
        <stp>##V3_BDPV12</stp>
        <stp>912828LF Govt</stp>
        <stp>IDX_RATIO</stp>
        <stp>[TREASURY.xlsx]Sheet1!R584C20</stp>
        <tr r="T584" s="1"/>
      </tp>
      <tp t="s">
        <v>#N/A Field Not Applicable</v>
        <stp/>
        <stp>##V3_BDPV12</stp>
        <stp>912827LJ Govt</stp>
        <stp>IDX_RATIO</stp>
        <stp>[TREASURY.xlsx]Sheet1!R890C20</stp>
        <tr r="T890" s="1"/>
      </tp>
      <tp t="s">
        <v>#N/A Field Not Applicable</v>
        <stp/>
        <stp>##V3_BDPV12</stp>
        <stp>912827LE Govt</stp>
        <stp>IDX_RATIO</stp>
        <stp>[TREASURY.xlsx]Sheet1!R889C20</stp>
        <tr r="T889" s="1"/>
      </tp>
      <tp t="s">
        <v>#N/A Field Not Applicable</v>
        <stp/>
        <stp>##V3_BDPV12</stp>
        <stp>912828LD Govt</stp>
        <stp>IDX_RATIO</stp>
        <stp>[TREASURY.xlsx]Sheet1!R814C20</stp>
        <tr r="T814" s="1"/>
      </tp>
      <tp t="s">
        <v>#N/A Field Not Applicable</v>
        <stp/>
        <stp>##V3_BDPV12</stp>
        <stp>912828LG Govt</stp>
        <stp>IDX_RATIO</stp>
        <stp>[TREASURY.xlsx]Sheet1!R815C20</stp>
        <tr r="T815" s="1"/>
      </tp>
      <tp t="s">
        <v>#N/A Field Not Applicable</v>
        <stp/>
        <stp>##V3_BDPV12</stp>
        <stp>912828LK Govt</stp>
        <stp>IDX_RATIO</stp>
        <stp>[TREASURY.xlsx]Sheet1!R546C20</stp>
        <tr r="T546" s="1"/>
      </tp>
      <tp t="s">
        <v>#N/A Field Not Applicable</v>
        <stp/>
        <stp>##V3_BDPV12</stp>
        <stp>912828LJ Govt</stp>
        <stp>IDX_RATIO</stp>
        <stp>[TREASURY.xlsx]Sheet1!R485C20</stp>
        <tr r="T485" s="1"/>
      </tp>
      <tp t="s">
        <v>#N/A Field Not Applicable</v>
        <stp/>
        <stp>##V3_BDPV12</stp>
        <stp>912827LN Govt</stp>
        <stp>IDX_RATIO</stp>
        <stp>[TREASURY.xlsx]Sheet1!R716C20</stp>
        <tr r="T716" s="1"/>
      </tp>
      <tp t="s">
        <v>#N/A Field Not Applicable</v>
        <stp/>
        <stp>##V3_BDPV12</stp>
        <stp>912827LA Govt</stp>
        <stp>IDX_RATIO</stp>
        <stp>[TREASURY.xlsx]Sheet1!R887C20</stp>
        <tr r="T887" s="1"/>
      </tp>
      <tp t="s">
        <v>#N/A Field Not Applicable</v>
        <stp/>
        <stp>##V3_BDPV12</stp>
        <stp>912827LC Govt</stp>
        <stp>IDX_RATIO</stp>
        <stp>[TREASURY.xlsx]Sheet1!R888C20</stp>
        <tr r="T888" s="1"/>
      </tp>
      <tp t="s">
        <v>#N/A Field Not Applicable</v>
        <stp/>
        <stp>##V3_BDPV12</stp>
        <stp>912827LM Govt</stp>
        <stp>IDX_RATIO</stp>
        <stp>[TREASURY.xlsx]Sheet1!R715C20</stp>
        <tr r="T715" s="1"/>
      </tp>
      <tp>
        <v>0.97803377059075425</v>
        <stp/>
        <stp>##V3_BDPV12</stp>
        <stp>91282CCZ Govt</stp>
        <stp>YLD_YTM_BID</stp>
        <stp>[TREASURY.xlsx]Sheet1!R7C4</stp>
        <tr r="D7" s="1"/>
      </tp>
      <tp>
        <v>5</v>
        <stp/>
        <stp>##V3_BDPV12</stp>
        <stp>912810PU Govt</stp>
        <stp>CPN</stp>
        <stp>[TREASURY.xlsx]Sheet1!R63C3</stp>
        <tr r="C63" s="1"/>
      </tp>
      <tp>
        <v>1.375</v>
        <stp/>
        <stp>##V3_BDPV12</stp>
        <stp>912810ST Govt</stp>
        <stp>CPN</stp>
        <stp>[TREASURY.xlsx]Sheet1!R90C3</stp>
        <tr r="C90" s="1"/>
      </tp>
      <tp>
        <v>2.25</v>
        <stp/>
        <stp>##V3_BDPV12</stp>
        <stp>912828V2 Govt</stp>
        <stp>CPN</stp>
        <stp>[TREASURY.xlsx]Sheet1!R250C3</stp>
        <tr r="C250" s="1"/>
      </tp>
      <tp>
        <v>2.125</v>
        <stp/>
        <stp>##V3_BDPV12</stp>
        <stp>912828W4 Govt</stp>
        <stp>CPN</stp>
        <stp>[TREASURY.xlsx]Sheet1!R296C3</stp>
        <tr r="C296" s="1"/>
      </tp>
      <tp>
        <v>2.875</v>
        <stp/>
        <stp>##V3_BDPV12</stp>
        <stp>912828Y7 Govt</stp>
        <stp>CPN</stp>
        <stp>[TREASURY.xlsx]Sheet1!R255C3</stp>
        <tr r="C255" s="1"/>
      </tp>
      <tp>
        <v>1.5</v>
        <stp/>
        <stp>##V3_BDPV12</stp>
        <stp>912828Z2 Govt</stp>
        <stp>CPN</stp>
        <stp>[TREASURY.xlsx]Sheet1!R210C3</stp>
        <tr r="C210" s="1"/>
      </tp>
      <tp>
        <v>1.375</v>
        <stp/>
        <stp>##V3_BDPV12</stp>
        <stp>912828Z6 Govt</stp>
        <stp>CPN</stp>
        <stp>[TREASURY.xlsx]Sheet1!R234C3</stp>
        <tr r="C234" s="1"/>
      </tp>
      <tp>
        <v>2.125</v>
        <stp/>
        <stp>##V3_BDPV12</stp>
        <stp>912828W7 Govt</stp>
        <stp>CPN</stp>
        <stp>[TREASURY.xlsx]Sheet1!R125C3</stp>
        <tr r="C125" s="1"/>
      </tp>
      <tp>
        <v>2.125</v>
        <stp/>
        <stp>##V3_BDPV12</stp>
        <stp>912828B5 Govt</stp>
        <stp>CPN</stp>
        <stp>[TREASURY.xlsx]Sheet1!R647C3</stp>
        <tr r="C647" s="1"/>
      </tp>
      <tp>
        <v>0.5</v>
        <stp/>
        <stp>##V3_BDPV12</stp>
        <stp>912828H7 Govt</stp>
        <stp>CPN</stp>
        <stp>[TREASURY.xlsx]Sheet1!R605C3</stp>
        <tr r="C605" s="1"/>
      </tp>
      <tp>
        <v>5.625</v>
        <stp/>
        <stp>##V3_BDPV12</stp>
        <stp>912827U3 Govt</stp>
        <stp>CPN</stp>
        <stp>[TREASURY.xlsx]Sheet1!R921C3</stp>
        <tr r="C921" s="1"/>
      </tp>
      <tp>
        <v>1.125</v>
        <stp/>
        <stp>##V3_BDPV12</stp>
        <stp>912828W3 Govt</stp>
        <stp>CPN</stp>
        <stp>[TREASURY.xlsx]Sheet1!R681C3</stp>
        <tr r="C681" s="1"/>
      </tp>
      <tp>
        <v>1.25</v>
        <stp/>
        <stp>##V3_BDPV12</stp>
        <stp>912828N2 Govt</stp>
        <stp>CPN</stp>
        <stp>[TREASURY.xlsx]Sheet1!R440C3</stp>
        <tr r="C440" s="1"/>
      </tp>
      <tp>
        <v>1</v>
        <stp/>
        <stp>##V3_BDPV12</stp>
        <stp>912828U3 Govt</stp>
        <stp>CPN</stp>
        <stp>[TREASURY.xlsx]Sheet1!R491C3</stp>
        <tr r="C491" s="1"/>
      </tp>
      <tp>
        <v>4</v>
        <stp/>
        <stp>##V3_BDPV12</stp>
        <stp>912827N5 Govt</stp>
        <stp>CPN</stp>
        <stp>[TREASURY.xlsx]Sheet1!R727C3</stp>
        <tr r="C727" s="1"/>
      </tp>
      <tp>
        <v>1</v>
        <stp/>
        <stp>##V3_BDPV12</stp>
        <stp>912828U4 Govt</stp>
        <stp>CPN</stp>
        <stp>[TREASURY.xlsx]Sheet1!R876C3</stp>
        <tr r="C876" s="1"/>
      </tp>
      <tp t="s">
        <v>#N/A N/A</v>
        <stp/>
        <stp>##V3_BDPV12</stp>
        <stp>912828P2 Govt</stp>
        <stp>YLD_YTM_BID</stp>
        <stp>[TREASURY.xlsx]Sheet1!R981C4</stp>
        <tr r="D981" s="1"/>
      </tp>
      <tp t="s">
        <v>#N/A N/A</v>
        <stp/>
        <stp>##V3_BDPV12</stp>
        <stp>912827V4 Govt</stp>
        <stp>YLD_YTM_BID</stp>
        <stp>[TREASURY.xlsx]Sheet1!R757C4</stp>
        <tr r="D757" s="1"/>
      </tp>
      <tp t="s">
        <v>#N/A N/A</v>
        <stp/>
        <stp>##V3_BDPV12</stp>
        <stp>912828H2 Govt</stp>
        <stp>YLD_YTM_BID</stp>
        <stp>[TREASURY.xlsx]Sheet1!R581C4</stp>
        <tr r="D581" s="1"/>
      </tp>
      <tp t="s">
        <v>#N/A N/A</v>
        <stp/>
        <stp>##V3_BDPV12</stp>
        <stp>912828U7 Govt</stp>
        <stp>YLD_YTM_BID</stp>
        <stp>[TREASURY.xlsx]Sheet1!R484C4</stp>
        <tr r="D484" s="1"/>
      </tp>
      <tp t="s">
        <v>#N/A N/A</v>
        <stp/>
        <stp>##V3_BDPV12</stp>
        <stp>912828S4 Govt</stp>
        <stp>YLD_YTM_BID</stp>
        <stp>[TREASURY.xlsx]Sheet1!R487C4</stp>
        <tr r="D487" s="1"/>
      </tp>
      <tp t="s">
        <v>#N/A N/A</v>
        <stp/>
        <stp>##V3_BDPV12</stp>
        <stp>912827L5 Govt</stp>
        <stp>YLD_YTM_BID</stp>
        <stp>[TREASURY.xlsx]Sheet1!R886C4</stp>
        <tr r="D886" s="1"/>
      </tp>
      <tp t="s">
        <v>#N/A N/A</v>
        <stp/>
        <stp>##V3_BDPV12</stp>
        <stp>912827Z2 Govt</stp>
        <stp>YLD_YTM_BID</stp>
        <stp>[TREASURY.xlsx]Sheet1!R951C4</stp>
        <tr r="D951" s="1"/>
      </tp>
      <tp>
        <v>0.80872974554168597</v>
        <stp/>
        <stp>##V3_BDPV12</stp>
        <stp>912828M5 Govt</stp>
        <stp>YLD_YTM_BID</stp>
        <stp>[TREASURY.xlsx]Sheet1!R116C4</stp>
        <tr r="D116" s="1"/>
      </tp>
      <tp>
        <v>0.27085728369546302</v>
        <stp/>
        <stp>##V3_BDPV12</stp>
        <stp>912828T6 Govt</stp>
        <stp>YLD_YTM_BID</stp>
        <stp>[TREASURY.xlsx]Sheet1!R105C4</stp>
        <tr r="D105" s="1"/>
      </tp>
      <tp>
        <v>0.91870521316293341</v>
        <stp/>
        <stp>##V3_BDPV12</stp>
        <stp>912828R3 Govt</stp>
        <stp>YLD_YTM_BID</stp>
        <stp>[TREASURY.xlsx]Sheet1!R130C4</stp>
        <tr r="D130" s="1"/>
      </tp>
      <tp t="s">
        <v>#N/A N/A</v>
        <stp/>
        <stp>##V3_BDPV12</stp>
        <stp>912828S2 Govt</stp>
        <stp>YLD_YTM_BID</stp>
        <stp>[TREASURY.xlsx]Sheet1!R391C4</stp>
        <tr r="D391" s="1"/>
      </tp>
      <tp>
        <v>6.1007767875470069E-2</v>
        <stp/>
        <stp>##V3_BDPV12</stp>
        <stp>912828J7 Govt</stp>
        <stp>YLD_YTM_BID</stp>
        <stp>[TREASURY.xlsx]Sheet1!R204C4</stp>
        <tr r="D204" s="1"/>
      </tp>
      <tp>
        <v>0.31884811974975175</v>
        <stp/>
        <stp>##V3_BDPV12</stp>
        <stp>912828U5 Govt</stp>
        <stp>YLD_YTM_BID</stp>
        <stp>[TREASURY.xlsx]Sheet1!R246C4</stp>
        <tr r="D246" s="1"/>
      </tp>
      <tp>
        <v>2.0221768444720309</v>
        <stp/>
        <stp>##V3_BDPV12</stp>
        <stp>912810SY Govt</stp>
        <stp>YLD_YTM_BID</stp>
        <stp>[TREASURY.xlsx]Sheet1!R21C4</stp>
        <tr r="D21" s="1"/>
      </tp>
      <tp t="s">
        <v>9/15/2021</v>
        <stp/>
        <stp>##V3_BDPV12</stp>
        <stp>91282CBR Govt</stp>
        <stp>FIRST_CPN_DT</stp>
        <stp>[TREASURY.xlsx]Sheet1!R55C9</stp>
        <tr r="I55" s="1"/>
      </tp>
      <tp>
        <v>2</v>
        <stp/>
        <stp>##V3_BDPV12</stp>
        <stp>912810SL Govt</stp>
        <stp>CPN</stp>
        <stp>[TREASURY.xlsx]Sheet1!R40C3</stp>
        <tr r="C40" s="1"/>
      </tp>
      <tp t="s">
        <v>#N/A Field Not Applicable</v>
        <stp/>
        <stp>##V3_BDPV12</stp>
        <stp>912827K4 Govt</stp>
        <stp>IDX_RATIO</stp>
        <stp>[TREASURY.xlsx]Sheet1!R568C20</stp>
        <tr r="T568" s="1"/>
      </tp>
      <tp t="s">
        <v>#N/A Field Not Applicable</v>
        <stp/>
        <stp>##V3_BDPV12</stp>
        <stp>912828K5 Govt</stp>
        <stp>IDX_RATIO</stp>
        <stp>[TREASURY.xlsx]Sheet1!R518C20</stp>
        <tr r="T518" s="1"/>
      </tp>
      <tp t="s">
        <v>T 6 3/8 09/30/01</v>
        <stp/>
        <stp>##V3_BDPV12</stp>
        <stp>912827Z5 Govt</stp>
        <stp>SECURITY_NAME</stp>
        <stp>[TREASURY.xlsx]Sheet1!R1609C16</stp>
        <tr r="P1609" s="1"/>
      </tp>
      <tp t="s">
        <v>T 5 1/8 05/31/94</v>
        <stp/>
        <stp>##V3_BDPV12</stp>
        <stp>912827F5 Govt</stp>
        <stp>SECURITY_NAME</stp>
        <stp>[TREASURY.xlsx]Sheet1!R1560C16</stp>
        <tr r="P1560" s="1"/>
      </tp>
      <tp t="s">
        <v>T 5 01/31/98</v>
        <stp/>
        <stp>##V3_BDPV12</stp>
        <stp>912827W5 Govt</stp>
        <stp>SECURITY_NAME</stp>
        <stp>[TREASURY.xlsx]Sheet1!R1414C16</stp>
        <tr r="P1414" s="1"/>
      </tp>
      <tp t="s">
        <v>T 7 04/30/93</v>
        <stp/>
        <stp>##V3_BDPV12</stp>
        <stp>912827A5 Govt</stp>
        <stp>SECURITY_NAME</stp>
        <stp>[TREASURY.xlsx]Sheet1!R1473C16</stp>
        <tr r="P1473" s="1"/>
      </tp>
      <tp t="s">
        <v>T 8 1/4 07/15/98</v>
        <stp/>
        <stp>##V3_BDPV12</stp>
        <stp>912827B5 Govt</stp>
        <stp>SECURITY_NAME</stp>
        <stp>[TREASURY.xlsx]Sheet1!R1477C16</stp>
        <tr r="P1477" s="1"/>
      </tp>
      <tp t="s">
        <v>T 7 09/30/96</v>
        <stp/>
        <stp>##V3_BDPV12</stp>
        <stp>912827C5 Govt</stp>
        <stp>SECURITY_NAME</stp>
        <stp>[TREASURY.xlsx]Sheet1!R1481C16</stp>
        <tr r="P1481" s="1"/>
      </tp>
      <tp t="s">
        <v>T 4 1/4 01/31/95</v>
        <stp/>
        <stp>##V3_BDPV12</stp>
        <stp>912827J5 Govt</stp>
        <stp>SECURITY_NAME</stp>
        <stp>[TREASURY.xlsx]Sheet1!R1488C16</stp>
        <tr r="P1488" s="1"/>
      </tp>
      <tp t="s">
        <v>T 5 12/31/93</v>
        <stp/>
        <stp>##V3_BDPV12</stp>
        <stp>912827D5 Govt</stp>
        <stp>SECURITY_NAME</stp>
        <stp>[TREASURY.xlsx]Sheet1!R1484C16</stp>
        <tr r="P1484" s="1"/>
      </tp>
      <tp t="s">
        <v>T 5 1/2 04/30/96</v>
        <stp/>
        <stp>##V3_BDPV12</stp>
        <stp>912827P5 Govt</stp>
        <stp>SECURITY_NAME</stp>
        <stp>[TREASURY.xlsx]Sheet1!R1337C16</stp>
        <tr r="P1337" s="1"/>
      </tp>
      <tp t="s">
        <v>T 0 7/8 05/31/18</v>
        <stp/>
        <stp>##V3_BDPV12</stp>
        <stp>912828R5 Govt</stp>
        <stp>SECURITY_NAME</stp>
        <stp>[TREASURY.xlsx]Sheet1!R1284C16</stp>
        <tr r="P1284" s="1"/>
      </tp>
      <tp t="s">
        <v>T 0 3/4 02/15/19</v>
        <stp/>
        <stp>##V3_BDPV12</stp>
        <stp>912828P5 Govt</stp>
        <stp>SECURITY_NAME</stp>
        <stp>[TREASURY.xlsx]Sheet1!R1259C16</stp>
        <tr r="P1259" s="1"/>
      </tp>
      <tp t="s">
        <v>T 0 7/8 10/15/17</v>
        <stp/>
        <stp>##V3_BDPV12</stp>
        <stp>912828F5 Govt</stp>
        <stp>SECURITY_NAME</stp>
        <stp>[TREASURY.xlsx]Sheet1!R1240C16</stp>
        <tr r="P1240" s="1"/>
      </tp>
      <tp t="s">
        <v>T 0 7/8 04/15/19</v>
        <stp/>
        <stp>##V3_BDPV12</stp>
        <stp>912828Q5 Govt</stp>
        <stp>SECURITY_NAME</stp>
        <stp>[TREASURY.xlsx]Sheet1!R1262C16</stp>
        <tr r="P1262" s="1"/>
      </tp>
      <tp t="s">
        <v>T 0 5/8 12/15/16</v>
        <stp/>
        <stp>##V3_BDPV12</stp>
        <stp>912828A5 Govt</stp>
        <stp>SECURITY_NAME</stp>
        <stp>[TREASURY.xlsx]Sheet1!R1233C16</stp>
        <tr r="P1233" s="1"/>
      </tp>
      <tp t="s">
        <v>T 3 7/8 04/30/95</v>
        <stp/>
        <stp>##V3_BDPV12</stp>
        <stp>912827K5 Govt</stp>
        <stp>SECURITY_NAME</stp>
        <stp>[TREASURY.xlsx]Sheet1!R1159C16</stp>
        <tr r="P1159" s="1"/>
      </tp>
      <tp t="s">
        <v>T 6 3/8 08/15/02</v>
        <stp/>
        <stp>##V3_BDPV12</stp>
        <stp>912827G5 Govt</stp>
        <stp>SECURITY_NAME</stp>
        <stp>[TREASURY.xlsx]Sheet1!R1156C16</stp>
        <tr r="P1156" s="1"/>
      </tp>
      <tp t="s">
        <v>T 5 7/8 07/31/97</v>
        <stp/>
        <stp>##V3_BDPV12</stp>
        <stp>912827U5 Govt</stp>
        <stp>SECURITY_NAME</stp>
        <stp>[TREASURY.xlsx]Sheet1!R1197C16</stp>
        <tr r="P1197" s="1"/>
      </tp>
      <tp t="s">
        <v>#N/A Field Not Applicable</v>
        <stp/>
        <stp>##V3_BDPV12</stp>
        <stp>912828K8 Govt</stp>
        <stp>IDX_RATIO</stp>
        <stp>[TREASURY.xlsx]Sheet1!R369C20</stp>
        <tr r="T369" s="1"/>
      </tp>
      <tp t="s">
        <v>T 5 5/8 10/31/97</v>
        <stp/>
        <stp>##V3_BDPV12</stp>
        <stp>912827V5 Govt</stp>
        <stp>SECURITY_NAME</stp>
        <stp>[TREASURY.xlsx]Sheet1!R1083C16</stp>
        <tr r="P1083" s="1"/>
      </tp>
      <tp t="s">
        <v>#N/A Field Not Applicable</v>
        <stp/>
        <stp>##V3_BDPV12</stp>
        <stp>912827KS Govt</stp>
        <stp>IDX_RATIO</stp>
        <stp>[TREASURY.xlsx]Sheet1!R668C20</stp>
        <tr r="T668" s="1"/>
      </tp>
      <tp t="s">
        <v>#N/A Field Not Applicable</v>
        <stp/>
        <stp>##V3_BDPV12</stp>
        <stp>912828KR Govt</stp>
        <stp>IDX_RATIO</stp>
        <stp>[TREASURY.xlsx]Sheet1!R676C20</stp>
        <tr r="T676" s="1"/>
      </tp>
      <tp t="s">
        <v>#N/A Field Not Applicable</v>
        <stp/>
        <stp>##V3_BDPV12</stp>
        <stp>912828KQ Govt</stp>
        <stp>IDX_RATIO</stp>
        <stp>[TREASURY.xlsx]Sheet1!R583C20</stp>
        <tr r="T583" s="1"/>
      </tp>
      <tp t="s">
        <v>#N/A Field Not Applicable</v>
        <stp/>
        <stp>##V3_BDPV12</stp>
        <stp>912827KW Govt</stp>
        <stp>IDX_RATIO</stp>
        <stp>[TREASURY.xlsx]Sheet1!R392C20</stp>
        <tr r="T392" s="1"/>
      </tp>
      <tp t="s">
        <v>#N/A Field Not Applicable</v>
        <stp/>
        <stp>##V3_BDPV12</stp>
        <stp>912828KS Govt</stp>
        <stp>IDX_RATIO</stp>
        <stp>[TREASURY.xlsx]Sheet1!R418C20</stp>
        <tr r="T418" s="1"/>
      </tp>
      <tp t="s">
        <v>#N/A Field Not Applicable</v>
        <stp/>
        <stp>##V3_BDPV12</stp>
        <stp>912827KQ Govt</stp>
        <stp>IDX_RATIO</stp>
        <stp>[TREASURY.xlsx]Sheet1!R710C20</stp>
        <tr r="T710" s="1"/>
      </tp>
      <tp t="s">
        <v>#N/A Field Not Applicable</v>
        <stp/>
        <stp>##V3_BDPV12</stp>
        <stp>912827KV Govt</stp>
        <stp>IDX_RATIO</stp>
        <stp>[TREASURY.xlsx]Sheet1!R711C20</stp>
        <tr r="T711" s="1"/>
      </tp>
      <tp t="s">
        <v>#N/A Field Not Applicable</v>
        <stp/>
        <stp>##V3_BDPV12</stp>
        <stp>912828KW Govt</stp>
        <stp>IDX_RATIO</stp>
        <stp>[TREASURY.xlsx]Sheet1!R617C20</stp>
        <tr r="T617" s="1"/>
      </tp>
      <tp t="s">
        <v>#N/A Field Not Applicable</v>
        <stp/>
        <stp>##V3_BDPV12</stp>
        <stp>912828KV Govt</stp>
        <stp>IDX_RATIO</stp>
        <stp>[TREASURY.xlsx]Sheet1!R616C20</stp>
        <tr r="T616" s="1"/>
      </tp>
      <tp t="s">
        <v>#N/A Field Not Applicable</v>
        <stp/>
        <stp>##V3_BDPV12</stp>
        <stp>912828KZ Govt</stp>
        <stp>IDX_RATIO</stp>
        <stp>[TREASURY.xlsx]Sheet1!R974C20</stp>
        <tr r="T974" s="1"/>
      </tp>
      <tp t="s">
        <v>#N/A Field Not Applicable</v>
        <stp/>
        <stp>##V3_BDPV12</stp>
        <stp>912827KU Govt</stp>
        <stp>IDX_RATIO</stp>
        <stp>[TREASURY.xlsx]Sheet1!R683C20</stp>
        <tr r="T683" s="1"/>
      </tp>
      <tp t="s">
        <v>#N/A Field Not Applicable</v>
        <stp/>
        <stp>##V3_BDPV12</stp>
        <stp>912828KT Govt</stp>
        <stp>IDX_RATIO</stp>
        <stp>[TREASURY.xlsx]Sheet1!R973C20</stp>
        <tr r="T973" s="1"/>
      </tp>
      <tp t="s">
        <v>#N/A Field Not Applicable</v>
        <stp/>
        <stp>##V3_BDPV12</stp>
        <stp>912827KZ Govt</stp>
        <stp>IDX_RATIO</stp>
        <stp>[TREASURY.xlsx]Sheet1!R713C20</stp>
        <tr r="T713" s="1"/>
      </tp>
      <tp t="s">
        <v>#N/A Field Not Applicable</v>
        <stp/>
        <stp>##V3_BDPV12</stp>
        <stp>912828KU Govt</stp>
        <stp>IDX_RATIO</stp>
        <stp>[TREASURY.xlsx]Sheet1!R813C20</stp>
        <tr r="T813" s="1"/>
      </tp>
      <tp t="s">
        <v>#N/A Field Not Applicable</v>
        <stp/>
        <stp>##V3_BDPV12</stp>
        <stp>912828KY Govt</stp>
        <stp>IDX_RATIO</stp>
        <stp>[TREASURY.xlsx]Sheet1!R644C20</stp>
        <tr r="T644" s="1"/>
      </tp>
      <tp t="s">
        <v>#N/A Field Not Applicable</v>
        <stp/>
        <stp>##V3_BDPV12</stp>
        <stp>912827KY Govt</stp>
        <stp>IDX_RATIO</stp>
        <stp>[TREASURY.xlsx]Sheet1!R712C20</stp>
        <tr r="T712" s="1"/>
      </tp>
      <tp t="s">
        <v>#N/A Field Not Applicable</v>
        <stp/>
        <stp>##V3_BDPV12</stp>
        <stp>912827KP Govt</stp>
        <stp>IDX_RATIO</stp>
        <stp>[TREASURY.xlsx]Sheet1!R885C20</stp>
        <tr r="T885" s="1"/>
      </tp>
      <tp t="s">
        <v>#N/A Field Not Applicable</v>
        <stp/>
        <stp>##V3_BDPV12</stp>
        <stp>912827KC Govt</stp>
        <stp>IDX_RATIO</stp>
        <stp>[TREASURY.xlsx]Sheet1!R608C20</stp>
        <tr r="T608" s="1"/>
      </tp>
      <tp t="s">
        <v>#N/A Field Not Applicable</v>
        <stp/>
        <stp>##V3_BDPV12</stp>
        <stp>912828KL Govt</stp>
        <stp>IDX_RATIO</stp>
        <stp>[TREASURY.xlsx]Sheet1!R857C20</stp>
        <tr r="T857" s="1"/>
      </tp>
      <tp t="s">
        <v>#N/A Field Not Applicable</v>
        <stp/>
        <stp>##V3_BDPV12</stp>
        <stp>912828KD Govt</stp>
        <stp>IDX_RATIO</stp>
        <stp>[TREASURY.xlsx]Sheet1!R364C20</stp>
        <tr r="T364" s="1"/>
      </tp>
      <tp t="s">
        <v>#N/A Field Not Applicable</v>
        <stp/>
        <stp>##V3_BDPV12</stp>
        <stp>912828KB Govt</stp>
        <stp>IDX_RATIO</stp>
        <stp>[TREASURY.xlsx]Sheet1!R398C20</stp>
        <tr r="T398" s="1"/>
      </tp>
      <tp t="s">
        <v>#N/A Field Not Applicable</v>
        <stp/>
        <stp>##V3_BDPV12</stp>
        <stp>912828KE Govt</stp>
        <stp>IDX_RATIO</stp>
        <stp>[TREASURY.xlsx]Sheet1!R582C20</stp>
        <tr r="T582" s="1"/>
      </tp>
      <tp t="s">
        <v>#N/A Field Not Applicable</v>
        <stp/>
        <stp>##V3_BDPV12</stp>
        <stp>912827KJ Govt</stp>
        <stp>IDX_RATIO</stp>
        <stp>[TREASURY.xlsx]Sheet1!R884C20</stp>
        <tr r="T884" s="1"/>
      </tp>
      <tp t="s">
        <v>#N/A Field Not Applicable</v>
        <stp/>
        <stp>##V3_BDPV12</stp>
        <stp>912827KH Govt</stp>
        <stp>IDX_RATIO</stp>
        <stp>[TREASURY.xlsx]Sheet1!R455C20</stp>
        <tr r="T455" s="1"/>
      </tp>
      <tp t="s">
        <v>#N/A Field Not Applicable</v>
        <stp/>
        <stp>##V3_BDPV12</stp>
        <stp>912827KK Govt</stp>
        <stp>IDX_RATIO</stp>
        <stp>[TREASURY.xlsx]Sheet1!R708C20</stp>
        <tr r="T708" s="1"/>
      </tp>
      <tp t="s">
        <v>#N/A Field Not Applicable</v>
        <stp/>
        <stp>##V3_BDPV12</stp>
        <stp>912828KJ Govt</stp>
        <stp>IDX_RATIO</stp>
        <stp>[TREASURY.xlsx]Sheet1!R561C20</stp>
        <tr r="T561" s="1"/>
      </tp>
      <tp t="s">
        <v>#N/A Field Not Applicable</v>
        <stp/>
        <stp>##V3_BDPV12</stp>
        <stp>912828KF Govt</stp>
        <stp>IDX_RATIO</stp>
        <stp>[TREASURY.xlsx]Sheet1!R812C20</stp>
        <tr r="T812" s="1"/>
      </tp>
      <tp t="s">
        <v>#N/A Field Not Applicable</v>
        <stp/>
        <stp>##V3_BDPV12</stp>
        <stp>912828KA Govt</stp>
        <stp>IDX_RATIO</stp>
        <stp>[TREASURY.xlsx]Sheet1!R856C20</stp>
        <tr r="T856" s="1"/>
      </tp>
      <tp t="s">
        <v>#N/A Field Not Applicable</v>
        <stp/>
        <stp>##V3_BDPV12</stp>
        <stp>912827KN Govt</stp>
        <stp>IDX_RATIO</stp>
        <stp>[TREASURY.xlsx]Sheet1!R569C20</stp>
        <tr r="T569" s="1"/>
      </tp>
      <tp t="s">
        <v>#N/A Field Not Applicable</v>
        <stp/>
        <stp>##V3_BDPV12</stp>
        <stp>912827KM Govt</stp>
        <stp>IDX_RATIO</stp>
        <stp>[TREASURY.xlsx]Sheet1!R709C20</stp>
        <tr r="T709" s="1"/>
      </tp>
      <tp>
        <v>2.0350047895936894</v>
        <stp/>
        <stp>##V3_BDPV12</stp>
        <stp>912810ST Govt</stp>
        <stp>YLD_YTM_BID</stp>
        <stp>[TREASURY.xlsx]Sheet1!R90C4</stp>
        <tr r="D90" s="1"/>
      </tp>
      <tp>
        <v>1.7298705151566964</v>
        <stp/>
        <stp>##V3_BDPV12</stp>
        <stp>912810PU Govt</stp>
        <stp>YLD_YTM_BID</stp>
        <stp>[TREASURY.xlsx]Sheet1!R63C4</stp>
        <tr r="D63" s="1"/>
      </tp>
      <tp>
        <v>1.75</v>
        <stp/>
        <stp>##V3_BDPV12</stp>
        <stp>912828J7 Govt</stp>
        <stp>CPN</stp>
        <stp>[TREASURY.xlsx]Sheet1!R204C3</stp>
        <tr r="C204" s="1"/>
      </tp>
      <tp>
        <v>2.125</v>
        <stp/>
        <stp>##V3_BDPV12</stp>
        <stp>912828U5 Govt</stp>
        <stp>CPN</stp>
        <stp>[TREASURY.xlsx]Sheet1!R246C3</stp>
        <tr r="C246" s="1"/>
      </tp>
      <tp>
        <v>1.125</v>
        <stp/>
        <stp>##V3_BDPV12</stp>
        <stp>912828S2 Govt</stp>
        <stp>CPN</stp>
        <stp>[TREASURY.xlsx]Sheet1!R391C3</stp>
        <tr r="C391" s="1"/>
      </tp>
      <tp>
        <v>2.25</v>
        <stp/>
        <stp>##V3_BDPV12</stp>
        <stp>912828M5 Govt</stp>
        <stp>CPN</stp>
        <stp>[TREASURY.xlsx]Sheet1!R116C3</stp>
        <tr r="C116" s="1"/>
      </tp>
      <tp>
        <v>1.25</v>
        <stp/>
        <stp>##V3_BDPV12</stp>
        <stp>912828T6 Govt</stp>
        <stp>CPN</stp>
        <stp>[TREASURY.xlsx]Sheet1!R105C3</stp>
        <tr r="C105" s="1"/>
      </tp>
      <tp>
        <v>1.625</v>
        <stp/>
        <stp>##V3_BDPV12</stp>
        <stp>912828R3 Govt</stp>
        <stp>CPN</stp>
        <stp>[TREASURY.xlsx]Sheet1!R130C3</stp>
        <tr r="C130" s="1"/>
      </tp>
      <tp>
        <v>6.125</v>
        <stp/>
        <stp>##V3_BDPV12</stp>
        <stp>912827Z2 Govt</stp>
        <stp>CPN</stp>
        <stp>[TREASURY.xlsx]Sheet1!R951C3</stp>
        <tr r="C951" s="1"/>
      </tp>
      <tp>
        <v>4.25</v>
        <stp/>
        <stp>##V3_BDPV12</stp>
        <stp>912827L5 Govt</stp>
        <stp>CPN</stp>
        <stp>[TREASURY.xlsx]Sheet1!R886C3</stp>
        <tr r="C886" s="1"/>
      </tp>
      <tp>
        <v>1.375</v>
        <stp/>
        <stp>##V3_BDPV12</stp>
        <stp>912828U7 Govt</stp>
        <stp>CPN</stp>
        <stp>[TREASURY.xlsx]Sheet1!R484C3</stp>
        <tr r="C484" s="1"/>
      </tp>
      <tp>
        <v>0.75</v>
        <stp/>
        <stp>##V3_BDPV12</stp>
        <stp>912828S4 Govt</stp>
        <stp>CPN</stp>
        <stp>[TREASURY.xlsx]Sheet1!R487C3</stp>
        <tr r="C487" s="1"/>
      </tp>
      <tp>
        <v>0.625</v>
        <stp/>
        <stp>##V3_BDPV12</stp>
        <stp>912828H2 Govt</stp>
        <stp>CPN</stp>
        <stp>[TREASURY.xlsx]Sheet1!R581C3</stp>
        <tr r="C581" s="1"/>
      </tp>
      <tp>
        <v>6.125</v>
        <stp/>
        <stp>##V3_BDPV12</stp>
        <stp>912827V4 Govt</stp>
        <stp>CPN</stp>
        <stp>[TREASURY.xlsx]Sheet1!R757C3</stp>
        <tr r="C757" s="1"/>
      </tp>
      <tp>
        <v>0.75</v>
        <stp/>
        <stp>##V3_BDPV12</stp>
        <stp>912828P2 Govt</stp>
        <stp>CPN</stp>
        <stp>[TREASURY.xlsx]Sheet1!R981C3</stp>
        <tr r="C981" s="1"/>
      </tp>
      <tp t="s">
        <v>#N/A N/A</v>
        <stp/>
        <stp>##V3_BDPV12</stp>
        <stp>912827N5 Govt</stp>
        <stp>YLD_YTM_BID</stp>
        <stp>[TREASURY.xlsx]Sheet1!R727C4</stp>
        <tr r="D727" s="1"/>
      </tp>
      <tp t="s">
        <v>#N/A N/A</v>
        <stp/>
        <stp>##V3_BDPV12</stp>
        <stp>912828U4 Govt</stp>
        <stp>YLD_YTM_BID</stp>
        <stp>[TREASURY.xlsx]Sheet1!R876C4</stp>
        <tr r="D876" s="1"/>
      </tp>
      <tp t="s">
        <v>#N/A N/A</v>
        <stp/>
        <stp>##V3_BDPV12</stp>
        <stp>912828N2 Govt</stp>
        <stp>YLD_YTM_BID</stp>
        <stp>[TREASURY.xlsx]Sheet1!R440C4</stp>
        <tr r="D440" s="1"/>
      </tp>
      <tp t="s">
        <v>#N/A N/A</v>
        <stp/>
        <stp>##V3_BDPV12</stp>
        <stp>912828U3 Govt</stp>
        <stp>YLD_YTM_BID</stp>
        <stp>[TREASURY.xlsx]Sheet1!R491C4</stp>
        <tr r="D491" s="1"/>
      </tp>
      <tp t="s">
        <v>#N/A N/A</v>
        <stp/>
        <stp>##V3_BDPV12</stp>
        <stp>912828B5 Govt</stp>
        <stp>YLD_YTM_BID</stp>
        <stp>[TREASURY.xlsx]Sheet1!R647C4</stp>
        <tr r="D647" s="1"/>
      </tp>
      <tp t="s">
        <v>#N/A N/A</v>
        <stp/>
        <stp>##V3_BDPV12</stp>
        <stp>912828H7 Govt</stp>
        <stp>YLD_YTM_BID</stp>
        <stp>[TREASURY.xlsx]Sheet1!R605C4</stp>
        <tr r="D605" s="1"/>
      </tp>
      <tp t="s">
        <v>#N/A N/A</v>
        <stp/>
        <stp>##V3_BDPV12</stp>
        <stp>912827U3 Govt</stp>
        <stp>YLD_YTM_BID</stp>
        <stp>[TREASURY.xlsx]Sheet1!R921C4</stp>
        <tr r="D921" s="1"/>
      </tp>
      <tp t="s">
        <v>#N/A N/A</v>
        <stp/>
        <stp>##V3_BDPV12</stp>
        <stp>912828W3 Govt</stp>
        <stp>YLD_YTM_BID</stp>
        <stp>[TREASURY.xlsx]Sheet1!R681C4</stp>
        <tr r="D681" s="1"/>
      </tp>
      <tp>
        <v>0.40956319954291576</v>
        <stp/>
        <stp>##V3_BDPV12</stp>
        <stp>912828W7 Govt</stp>
        <stp>YLD_YTM_BID</stp>
        <stp>[TREASURY.xlsx]Sheet1!R125C4</stp>
        <tr r="D125" s="1"/>
      </tp>
      <tp>
        <v>0.34183129607964413</v>
        <stp/>
        <stp>##V3_BDPV12</stp>
        <stp>912828V2 Govt</stp>
        <stp>YLD_YTM_BID</stp>
        <stp>[TREASURY.xlsx]Sheet1!R250C4</stp>
        <tr r="D250" s="1"/>
      </tp>
      <tp>
        <v>0.37433445289725303</v>
        <stp/>
        <stp>##V3_BDPV12</stp>
        <stp>912828W4 Govt</stp>
        <stp>YLD_YTM_BID</stp>
        <stp>[TREASURY.xlsx]Sheet1!R296C4</stp>
        <tr r="D296" s="1"/>
      </tp>
      <tp>
        <v>0.7376417681765931</v>
        <stp/>
        <stp>##V3_BDPV12</stp>
        <stp>912828Y7 Govt</stp>
        <stp>YLD_YTM_BID</stp>
        <stp>[TREASURY.xlsx]Sheet1!R255C4</stp>
        <tr r="D255" s="1"/>
      </tp>
      <tp>
        <v>0.14954174571851284</v>
        <stp/>
        <stp>##V3_BDPV12</stp>
        <stp>912828Z2 Govt</stp>
        <stp>YLD_YTM_BID</stp>
        <stp>[TREASURY.xlsx]Sheet1!R210C4</stp>
        <tr r="D210" s="1"/>
      </tp>
      <tp>
        <v>5.9962513335423948E-2</v>
        <stp/>
        <stp>##V3_BDPV12</stp>
        <stp>912828Z6 Govt</stp>
        <stp>YLD_YTM_BID</stp>
        <stp>[TREASURY.xlsx]Sheet1!R234C4</stp>
        <tr r="D234" s="1"/>
      </tp>
      <tp>
        <v>2.25</v>
        <stp/>
        <stp>##V3_BDPV12</stp>
        <stp>912810SY Govt</stp>
        <stp>CPN</stp>
        <stp>[TREASURY.xlsx]Sheet1!R21C3</stp>
        <tr r="C21" s="1"/>
      </tp>
      <tp t="s">
        <v>11/15/2007</v>
        <stp/>
        <stp>##V3_BDPV12</stp>
        <stp>912810PU Govt</stp>
        <stp>FIRST_CPN_DT</stp>
        <stp>[TREASURY.xlsx]Sheet1!R63C9</stp>
        <tr r="I63" s="1"/>
      </tp>
      <tp t="s">
        <v>4/30/2021</v>
        <stp/>
        <stp>##V3_BDPV12</stp>
        <stp>91282CAR Govt</stp>
        <stp>FIRST_CPN_DT</stp>
        <stp>[TREASURY.xlsx]Sheet1!R64C9</stp>
        <tr r="I64" s="1"/>
      </tp>
      <tp t="s">
        <v>9/30/2021</v>
        <stp/>
        <stp>##V3_BDPV12</stp>
        <stp>91282CBT Govt</stp>
        <stp>FIRST_CPN_DT</stp>
        <stp>[TREASURY.xlsx]Sheet1!R52C9</stp>
        <tr r="I52" s="1"/>
      </tp>
      <tp t="s">
        <v>9/30/2021</v>
        <stp/>
        <stp>##V3_BDPV12</stp>
        <stp>91282CBU Govt</stp>
        <stp>FIRST_CPN_DT</stp>
        <stp>[TREASURY.xlsx]Sheet1!R53C9</stp>
        <tr r="I53" s="1"/>
      </tp>
      <tp t="s">
        <v>9/30/2021</v>
        <stp/>
        <stp>##V3_BDPV12</stp>
        <stp>91282CBS Govt</stp>
        <stp>FIRST_CPN_DT</stp>
        <stp>[TREASURY.xlsx]Sheet1!R75C9</stp>
        <tr r="I75" s="1"/>
      </tp>
      <tp t="s">
        <v>8/31/2021</v>
        <stp/>
        <stp>##V3_BDPV12</stp>
        <stp>91282CBP Govt</stp>
        <stp>FIRST_CPN_DT</stp>
        <stp>[TREASURY.xlsx]Sheet1!R86C9</stp>
        <tr r="I86" s="1"/>
      </tp>
      <tp t="s">
        <v>4/30/2020</v>
        <stp/>
        <stp>##V3_BDPV12</stp>
        <stp>912828YQ Govt</stp>
        <stp>FIRST_CPN_DT</stp>
        <stp>[TREASURY.xlsx]Sheet1!R87C9</stp>
        <tr r="I87" s="1"/>
      </tp>
      <tp>
        <v>2.0975458082712626</v>
        <stp/>
        <stp>##V3_BDPV12</stp>
        <stp>912810SL Govt</stp>
        <stp>YLD_YTM_BID</stp>
        <stp>[TREASURY.xlsx]Sheet1!R40C4</stp>
        <tr r="D40" s="1"/>
      </tp>
      <tp t="s">
        <v>#N/A Field Not Applicable</v>
        <stp/>
        <stp>##V3_BDPV12</stp>
        <stp>912827J2 Govt</stp>
        <stp>IDX_RATIO</stp>
        <stp>[TREASURY.xlsx]Sheet1!R706C20</stp>
        <tr r="T706" s="1"/>
      </tp>
      <tp t="s">
        <v>#N/A Field Not Applicable</v>
        <stp/>
        <stp>##V3_BDPV12</stp>
        <stp>912828J7 Govt</stp>
        <stp>IDX_RATIO</stp>
        <stp>[TREASURY.xlsx]Sheet1!R204C20</stp>
        <tr r="T204" s="1"/>
      </tp>
      <tp t="s">
        <v>#N/A Field Not Applicable</v>
        <stp/>
        <stp>##V3_BDPV12</stp>
        <stp>912827J3 Govt</stp>
        <stp>IDX_RATIO</stp>
        <stp>[TREASURY.xlsx]Sheet1!R707C20</stp>
        <tr r="T707" s="1"/>
      </tp>
      <tp t="s">
        <v>#N/A Field Not Applicable</v>
        <stp/>
        <stp>##V3_BDPV12</stp>
        <stp>912828J4 Govt</stp>
        <stp>IDX_RATIO</stp>
        <stp>[TREASURY.xlsx]Sheet1!R308C20</stp>
        <tr r="T308" s="1"/>
      </tp>
      <tp t="s">
        <v>#N/A Field Not Applicable</v>
        <stp/>
        <stp>##V3_BDPV12</stp>
        <stp>912828J9 Govt</stp>
        <stp>IDX_RATIO</stp>
        <stp>[TREASURY.xlsx]Sheet1!R852C20</stp>
        <tr r="T852" s="1"/>
      </tp>
      <tp t="s">
        <v>#N/A Field Not Applicable</v>
        <stp/>
        <stp>##V3_BDPV12</stp>
        <stp>912828J5 Govt</stp>
        <stp>IDX_RATIO</stp>
        <stp>[TREASURY.xlsx]Sheet1!R403C20</stp>
        <tr r="T403" s="1"/>
      </tp>
      <tp t="s">
        <v>#N/A Field Not Applicable</v>
        <stp/>
        <stp>##V3_BDPV12</stp>
        <stp>912828J6 Govt</stp>
        <stp>IDX_RATIO</stp>
        <stp>[TREASURY.xlsx]Sheet1!R686C20</stp>
        <tr r="T686" s="1"/>
      </tp>
      <tp t="s">
        <v>T 6 5/8 06/30/01</v>
        <stp/>
        <stp>##V3_BDPV12</stp>
        <stp>912827Y4 Govt</stp>
        <stp>SECURITY_NAME</stp>
        <stp>[TREASURY.xlsx]Sheet1!R1602C16</stp>
        <tr r="P1602" s="1"/>
      </tp>
      <tp t="s">
        <v>#N/A Field Not Applicable</v>
        <stp/>
        <stp>##V3_BDPV12</stp>
        <stp>912828J8 Govt</stp>
        <stp>IDX_RATIO</stp>
        <stp>[TREASURY.xlsx]Sheet1!R451C20</stp>
        <tr r="T451" s="1"/>
      </tp>
      <tp t="s">
        <v>T 5 5/8 01/31/98</v>
        <stp/>
        <stp>##V3_BDPV12</stp>
        <stp>912827J4 Govt</stp>
        <stp>SECURITY_NAME</stp>
        <stp>[TREASURY.xlsx]Sheet1!R1561C16</stp>
        <tr r="P1561" s="1"/>
      </tp>
      <tp t="s">
        <v>T 7 7/8 04/15/98</v>
        <stp/>
        <stp>##V3_BDPV12</stp>
        <stp>912827A4 Govt</stp>
        <stp>SECURITY_NAME</stp>
        <stp>[TREASURY.xlsx]Sheet1!R1547C16</stp>
        <tr r="P1547" s="1"/>
      </tp>
      <tp t="s">
        <v>T 6 1/2 11/30/96</v>
        <stp/>
        <stp>##V3_BDPV12</stp>
        <stp>912827D4 Govt</stp>
        <stp>SECURITY_NAME</stp>
        <stp>[TREASURY.xlsx]Sheet1!R1557C16</stp>
        <tr r="P1557" s="1"/>
      </tp>
      <tp t="s">
        <v>T 6 1/8 09/30/93</v>
        <stp/>
        <stp>##V3_BDPV12</stp>
        <stp>912827C4 Govt</stp>
        <stp>SECURITY_NAME</stp>
        <stp>[TREASURY.xlsx]Sheet1!R1553C16</stp>
        <tr r="P1553" s="1"/>
      </tp>
      <tp t="s">
        <v>T 7 1/2 05/15/02</v>
        <stp/>
        <stp>##V3_BDPV12</stp>
        <stp>912827F4 Govt</stp>
        <stp>SECURITY_NAME</stp>
        <stp>[TREASURY.xlsx]Sheet1!R1559C16</stp>
        <tr r="P1559" s="1"/>
      </tp>
      <tp t="s">
        <v>T 5 7/8 06/30/00</v>
        <stp/>
        <stp>##V3_BDPV12</stp>
        <stp>912827U4 Govt</stp>
        <stp>SECURITY_NAME</stp>
        <stp>[TREASURY.xlsx]Sheet1!R1403C16</stp>
        <tr r="P1403" s="1"/>
      </tp>
      <tp t="s">
        <v>T 7 7/8 06/30/96</v>
        <stp/>
        <stp>##V3_BDPV12</stp>
        <stp>912827B4 Govt</stp>
        <stp>SECURITY_NAME</stp>
        <stp>[TREASURY.xlsx]Sheet1!R1476C16</stp>
        <tr r="P1476" s="1"/>
      </tp>
      <tp t="s">
        <v>T 7 1/8 09/30/99</v>
        <stp/>
        <stp>##V3_BDPV12</stp>
        <stp>912827R4 Govt</stp>
        <stp>SECURITY_NAME</stp>
        <stp>[TREASURY.xlsx]Sheet1!R1499C16</stp>
        <tr r="P1499" s="1"/>
      </tp>
      <tp t="s">
        <v>T 5 3/8 02/28/94</v>
        <stp/>
        <stp>##V3_BDPV12</stp>
        <stp>912827E4 Govt</stp>
        <stp>SECURITY_NAME</stp>
        <stp>[TREASURY.xlsx]Sheet1!R1313C16</stp>
        <tr r="P1313" s="1"/>
      </tp>
      <tp t="s">
        <v>T 6 7/8 03/31/00</v>
        <stp/>
        <stp>##V3_BDPV12</stp>
        <stp>912827T4 Govt</stp>
        <stp>SECURITY_NAME</stp>
        <stp>[TREASURY.xlsx]Sheet1!R1397C16</stp>
        <tr r="P1397" s="1"/>
      </tp>
      <tp t="s">
        <v>T 6 09/30/98</v>
        <stp/>
        <stp>##V3_BDPV12</stp>
        <stp>912827Z4 Govt</stp>
        <stp>SECURITY_NAME</stp>
        <stp>[TREASURY.xlsx]Sheet1!R1225C16</stp>
        <tr r="P1225" s="1"/>
      </tp>
      <tp t="s">
        <v>T 0 1/2 11/30/16</v>
        <stp/>
        <stp>##V3_BDPV12</stp>
        <stp>912828G4 Govt</stp>
        <stp>SECURITY_NAME</stp>
        <stp>[TREASURY.xlsx]Sheet1!R1281C16</stp>
        <tr r="P1281" s="1"/>
      </tp>
      <tp t="s">
        <v>T 0 7/8 05/15/19</v>
        <stp/>
        <stp>##V3_BDPV12</stp>
        <stp>912828R4 Govt</stp>
        <stp>SECURITY_NAME</stp>
        <stp>[TREASURY.xlsx]Sheet1!R1264C16</stp>
        <tr r="P1264" s="1"/>
      </tp>
      <tp t="s">
        <v>T 4 3/4 09/30/98</v>
        <stp/>
        <stp>##V3_BDPV12</stp>
        <stp>912827M4 Govt</stp>
        <stp>SECURITY_NAME</stp>
        <stp>[TREASURY.xlsx]Sheet1!R1165C16</stp>
        <tr r="P1165" s="1"/>
      </tp>
      <tp t="s">
        <v>T 5 7/8 03/31/99</v>
        <stp/>
        <stp>##V3_BDPV12</stp>
        <stp>912827P4 Govt</stp>
        <stp>SECURITY_NAME</stp>
        <stp>[TREASURY.xlsx]Sheet1!R1171C16</stp>
        <tr r="P1171" s="1"/>
      </tp>
      <tp t="s">
        <v>T 6 3/4 06/30/99</v>
        <stp/>
        <stp>##V3_BDPV12</stp>
        <stp>912827Q4 Govt</stp>
        <stp>SECURITY_NAME</stp>
        <stp>[TREASURY.xlsx]Sheet1!R1177C16</stp>
        <tr r="P1177" s="1"/>
      </tp>
      <tp t="s">
        <v>T 5 3/4 10/31/97</v>
        <stp/>
        <stp>##V3_BDPV12</stp>
        <stp>912827H4 Govt</stp>
        <stp>SECURITY_NAME</stp>
        <stp>[TREASURY.xlsx]Sheet1!R1157C16</stp>
        <tr r="P1157" s="1"/>
      </tp>
      <tp t="s">
        <v>T 0 1/2 09/30/16</v>
        <stp/>
        <stp>##V3_BDPV12</stp>
        <stp>912828F4 Govt</stp>
        <stp>SECURITY_NAME</stp>
        <stp>[TREASURY.xlsx]Sheet1!R1117C16</stp>
        <tr r="P1117" s="1"/>
      </tp>
      <tp t="s">
        <v>T 4 5/8 08/15/95</v>
        <stp/>
        <stp>##V3_BDPV12</stp>
        <stp>912827G4 Govt</stp>
        <stp>SECURITY_NAME</stp>
        <stp>[TREASURY.xlsx]Sheet1!R1035C16</stp>
        <tr r="P1035" s="1"/>
      </tp>
      <tp t="s">
        <v>T 5 1/8 12/31/98</v>
        <stp/>
        <stp>##V3_BDPV12</stp>
        <stp>912827N4 Govt</stp>
        <stp>SECURITY_NAME</stp>
        <stp>[TREASURY.xlsx]Sheet1!R1048C16</stp>
        <tr r="P1048" s="1"/>
      </tp>
      <tp t="s">
        <v>T 5 1/8 06/30/98</v>
        <stp/>
        <stp>##V3_BDPV12</stp>
        <stp>912827L4 Govt</stp>
        <stp>SECURITY_NAME</stp>
        <stp>[TREASURY.xlsx]Sheet1!R1040C16</stp>
        <tr r="P1040" s="1"/>
      </tp>
      <tp t="s">
        <v>#N/A Field Not Applicable</v>
        <stp/>
        <stp>##V3_BDPV12</stp>
        <stp>912828JW Govt</stp>
        <stp>IDX_RATIO</stp>
        <stp>[TREASURY.xlsx]Sheet1!R643C20</stp>
        <tr r="T643" s="1"/>
      </tp>
      <tp t="s">
        <v>#N/A Field Not Applicable</v>
        <stp/>
        <stp>##V3_BDPV12</stp>
        <stp>912828JR Govt</stp>
        <stp>IDX_RATIO</stp>
        <stp>[TREASURY.xlsx]Sheet1!R396C20</stp>
        <tr r="T396" s="1"/>
      </tp>
      <tp t="s">
        <v>#N/A Field Not Applicable</v>
        <stp/>
        <stp>##V3_BDPV12</stp>
        <stp>912828JT Govt</stp>
        <stp>IDX_RATIO</stp>
        <stp>[TREASURY.xlsx]Sheet1!R471C20</stp>
        <tr r="T471" s="1"/>
      </tp>
      <tp t="s">
        <v>#N/A Field Not Applicable</v>
        <stp/>
        <stp>##V3_BDPV12</stp>
        <stp>912828JU Govt</stp>
        <stp>IDX_RATIO</stp>
        <stp>[TREASURY.xlsx]Sheet1!R855C20</stp>
        <tr r="T855" s="1"/>
      </tp>
      <tp t="s">
        <v>#N/A Field Not Applicable</v>
        <stp/>
        <stp>##V3_BDPV12</stp>
        <stp>912828JV Govt</stp>
        <stp>IDX_RATIO</stp>
        <stp>[TREASURY.xlsx]Sheet1!R972C20</stp>
        <tr r="T972" s="1"/>
      </tp>
      <tp t="s">
        <v>#N/A Field Not Applicable</v>
        <stp/>
        <stp>##V3_BDPV12</stp>
        <stp>912828JY Govt</stp>
        <stp>IDX_RATIO</stp>
        <stp>[TREASURY.xlsx]Sheet1!R691C20</stp>
        <tr r="T691" s="1"/>
      </tp>
      <tp t="s">
        <v>#N/A Field Not Applicable</v>
        <stp/>
        <stp>##V3_BDPV12</stp>
        <stp>912828JZ Govt</stp>
        <stp>IDX_RATIO</stp>
        <stp>[TREASURY.xlsx]Sheet1!R478C20</stp>
        <tr r="T478" s="1"/>
      </tp>
      <tp t="s">
        <v>#N/A Field Not Applicable</v>
        <stp/>
        <stp>##V3_BDPV12</stp>
        <stp>912828JQ Govt</stp>
        <stp>IDX_RATIO</stp>
        <stp>[TREASURY.xlsx]Sheet1!R811C20</stp>
        <tr r="T811" s="1"/>
      </tp>
      <tp t="s">
        <v>#N/A Field Not Applicable</v>
        <stp/>
        <stp>##V3_BDPV12</stp>
        <stp>912828JM Govt</stp>
        <stp>IDX_RATIO</stp>
        <stp>[TREASURY.xlsx]Sheet1!R810C20</stp>
        <tr r="T810" s="1"/>
      </tp>
      <tp t="s">
        <v>#N/A Field Not Applicable</v>
        <stp/>
        <stp>##V3_BDPV12</stp>
        <stp>912828JB Govt</stp>
        <stp>IDX_RATIO</stp>
        <stp>[TREASURY.xlsx]Sheet1!R598C20</stp>
        <tr r="T598" s="1"/>
      </tp>
      <tp t="s">
        <v>#N/A Field Not Applicable</v>
        <stp/>
        <stp>##V3_BDPV12</stp>
        <stp>912828JK Govt</stp>
        <stp>IDX_RATIO</stp>
        <stp>[TREASURY.xlsx]Sheet1!R854C20</stp>
        <tr r="T854" s="1"/>
      </tp>
      <tp t="s">
        <v>#N/A Field Not Applicable</v>
        <stp/>
        <stp>##V3_BDPV12</stp>
        <stp>912828JG Govt</stp>
        <stp>IDX_RATIO</stp>
        <stp>[TREASURY.xlsx]Sheet1!R417C20</stp>
        <tr r="T417" s="1"/>
      </tp>
      <tp t="s">
        <v>#N/A Field Not Applicable</v>
        <stp/>
        <stp>##V3_BDPV12</stp>
        <stp>912828JF Govt</stp>
        <stp>IDX_RATIO</stp>
        <stp>[TREASURY.xlsx]Sheet1!R537C20</stp>
        <tr r="T537" s="1"/>
      </tp>
      <tp t="s">
        <v>#N/A Field Not Applicable</v>
        <stp/>
        <stp>##V3_BDPV12</stp>
        <stp>912828JH Govt</stp>
        <stp>IDX_RATIO</stp>
        <stp>[TREASURY.xlsx]Sheet1!R542C20</stp>
        <tr r="T542" s="1"/>
      </tp>
      <tp t="s">
        <v>#N/A Field Not Applicable</v>
        <stp/>
        <stp>##V3_BDPV12</stp>
        <stp>912828JD Govt</stp>
        <stp>IDX_RATIO</stp>
        <stp>[TREASURY.xlsx]Sheet1!R971C20</stp>
        <tr r="T971" s="1"/>
      </tp>
      <tp t="s">
        <v>#N/A Field Not Applicable</v>
        <stp/>
        <stp>##V3_BDPV12</stp>
        <stp>912828JJ Govt</stp>
        <stp>IDX_RATIO</stp>
        <stp>[TREASURY.xlsx]Sheet1!R690C20</stp>
        <tr r="T690" s="1"/>
      </tp>
      <tp t="s">
        <v>#N/A Field Not Applicable</v>
        <stp/>
        <stp>##V3_BDPV12</stp>
        <stp>912828JC Govt</stp>
        <stp>IDX_RATIO</stp>
        <stp>[TREASURY.xlsx]Sheet1!R853C20</stp>
        <tr r="T853" s="1"/>
      </tp>
      <tp t="s">
        <v>ACT/ACT</v>
        <stp/>
        <stp>##V3_BDPV12</stp>
        <stp>91282CAZ Govt</stp>
        <stp>DAY_CNT_DES</stp>
        <stp>[TREASURY.xlsx]Sheet1!R45C17</stp>
        <tr r="Q45" s="1"/>
      </tp>
      <tp>
        <v>1.125</v>
        <stp/>
        <stp>##V3_BDPV12</stp>
        <stp>91282CCV Govt</stp>
        <stp>CPN</stp>
        <stp>[TREASURY.xlsx]Sheet1!R9C3</stp>
        <tr r="C9" s="1"/>
      </tp>
      <tp>
        <v>1.125</v>
        <stp/>
        <stp>##V3_BDPV12</stp>
        <stp>912810SQ Govt</stp>
        <stp>CPN</stp>
        <stp>[TREASURY.xlsx]Sheet1!R92C3</stp>
        <tr r="C92" s="1"/>
      </tp>
      <tp>
        <v>1.75</v>
        <stp/>
        <stp>##V3_BDPV12</stp>
        <stp>912828YS Govt</stp>
        <stp>CPN</stp>
        <stp>[TREASURY.xlsx]Sheet1!R38C3</stp>
        <tr r="C38" s="1"/>
      </tp>
      <tp>
        <v>1.875</v>
        <stp/>
        <stp>##V3_BDPV12</stp>
        <stp>912828M4 Govt</stp>
        <stp>CPN</stp>
        <stp>[TREASURY.xlsx]Sheet1!R254C3</stp>
        <tr r="C254" s="1"/>
      </tp>
      <tp>
        <v>1.625</v>
        <stp/>
        <stp>##V3_BDPV12</stp>
        <stp>912828R6 Govt</stp>
        <stp>CPN</stp>
        <stp>[TREASURY.xlsx]Sheet1!R266C3</stp>
        <tr r="C266" s="1"/>
      </tp>
      <tp>
        <v>1.875</v>
        <stp/>
        <stp>##V3_BDPV12</stp>
        <stp>912828X4 Govt</stp>
        <stp>CPN</stp>
        <stp>[TREASURY.xlsx]Sheet1!R224C3</stp>
        <tr r="C224" s="1"/>
      </tp>
      <tp>
        <v>1.75</v>
        <stp/>
        <stp>##V3_BDPV12</stp>
        <stp>912828Y8 Govt</stp>
        <stp>CPN</stp>
        <stp>[TREASURY.xlsx]Sheet1!R208C3</stp>
        <tr r="C208" s="1"/>
      </tp>
      <tp>
        <v>2</v>
        <stp/>
        <stp>##V3_BDPV12</stp>
        <stp>912828F9 Govt</stp>
        <stp>CPN</stp>
        <stp>[TREASURY.xlsx]Sheet1!R199C3</stp>
        <tr r="C199" s="1"/>
      </tp>
      <tp>
        <v>1.375</v>
        <stp/>
        <stp>##V3_BDPV12</stp>
        <stp>912828T2 Govt</stp>
        <stp>CPN</stp>
        <stp>[TREASURY.xlsx]Sheet1!R192C3</stp>
        <tr r="C192" s="1"/>
      </tp>
      <tp>
        <v>1</v>
        <stp/>
        <stp>##V3_BDPV12</stp>
        <stp>912828J6 Govt</stp>
        <stp>CPN</stp>
        <stp>[TREASURY.xlsx]Sheet1!R686C3</stp>
        <tr r="C686" s="1"/>
      </tp>
      <tp>
        <v>1.125</v>
        <stp/>
        <stp>##V3_BDPV12</stp>
        <stp>912828V5 Govt</stp>
        <stp>CPN</stp>
        <stp>[TREASURY.xlsx]Sheet1!R655C3</stp>
        <tr r="C655" s="1"/>
      </tp>
      <tp>
        <v>6.125</v>
        <stp/>
        <stp>##V3_BDPV12</stp>
        <stp>912827Q5 Govt</stp>
        <stp>CPN</stp>
        <stp>[TREASURY.xlsx]Sheet1!R905C3</stp>
        <tr r="C905" s="1"/>
      </tp>
      <tp>
        <v>0.375</v>
        <stp/>
        <stp>##V3_BDPV12</stp>
        <stp>912828C8 Govt</stp>
        <stp>CPN</stp>
        <stp>[TREASURY.xlsx]Sheet1!R788C3</stp>
        <tr r="C788" s="1"/>
      </tp>
      <tp>
        <v>1.25</v>
        <stp/>
        <stp>##V3_BDPV12</stp>
        <stp>912828Q3 Govt</stp>
        <stp>CPN</stp>
        <stp>[TREASURY.xlsx]Sheet1!R413C3</stp>
        <tr r="C413" s="1"/>
      </tp>
      <tp>
        <v>5.5</v>
        <stp/>
        <stp>##V3_BDPV12</stp>
        <stp>912827G3 Govt</stp>
        <stp>CPN</stp>
        <stp>[TREASURY.xlsx]Sheet1!R703C3</stp>
        <tr r="C703" s="1"/>
      </tp>
      <tp>
        <v>1</v>
        <stp/>
        <stp>##V3_BDPV12</stp>
        <stp>912828D9 Govt</stp>
        <stp>CPN</stp>
        <stp>[TREASURY.xlsx]Sheet1!R839C3</stp>
        <tr r="C839" s="1"/>
      </tp>
      <tp>
        <v>5.125</v>
        <stp/>
        <stp>##V3_BDPV12</stp>
        <stp>912827H5 Govt</stp>
        <stp>CPN</stp>
        <stp>[TREASURY.xlsx]Sheet1!R705C3</stp>
        <tr r="C705" s="1"/>
      </tp>
      <tp>
        <v>5.875</v>
        <stp/>
        <stp>##V3_BDPV12</stp>
        <stp>912827V8 Govt</stp>
        <stp>CPN</stp>
        <stp>[TREASURY.xlsx]Sheet1!R758C3</stp>
        <tr r="C758" s="1"/>
      </tp>
      <tp>
        <v>5.875</v>
        <stp/>
        <stp>##V3_BDPV12</stp>
        <stp>912827Z7 Govt</stp>
        <stp>CPN</stp>
        <stp>[TREASURY.xlsx]Sheet1!R777C3</stp>
        <tr r="C777" s="1"/>
      </tp>
      <tp>
        <v>1.5</v>
        <stp/>
        <stp>##V3_BDPV12</stp>
        <stp>912828G6 Govt</stp>
        <stp>CPN</stp>
        <stp>[TREASURY.xlsx]Sheet1!R966C3</stp>
        <tr r="C966" s="1"/>
      </tp>
      <tp t="s">
        <v>#N/A N/A</v>
        <stp/>
        <stp>##V3_BDPV12</stp>
        <stp>912827F2 Govt</stp>
        <stp>YLD_YTM_BID</stp>
        <stp>[TREASURY.xlsx]Sheet1!R663C4</stp>
        <tr r="D663" s="1"/>
      </tp>
      <tp t="s">
        <v>#N/A N/A</v>
        <stp/>
        <stp>##V3_BDPV12</stp>
        <stp>912827N8 Govt</stp>
        <stp>YLD_YTM_BID</stp>
        <stp>[TREASURY.xlsx]Sheet1!R729C4</stp>
        <tr r="D729" s="1"/>
      </tp>
      <tp t="s">
        <v>#N/A N/A</v>
        <stp/>
        <stp>##V3_BDPV12</stp>
        <stp>912827R2 Govt</stp>
        <stp>YLD_YTM_BID</stp>
        <stp>[TREASURY.xlsx]Sheet1!R743C4</stp>
        <tr r="D743" s="1"/>
      </tp>
      <tp t="s">
        <v>#N/A N/A</v>
        <stp/>
        <stp>##V3_BDPV12</stp>
        <stp>912827S4 Govt</stp>
        <stp>YLD_YTM_BID</stp>
        <stp>[TREASURY.xlsx]Sheet1!R745C4</stp>
        <tr r="D745" s="1"/>
      </tp>
      <tp t="s">
        <v>#N/A N/A</v>
        <stp/>
        <stp>##V3_BDPV12</stp>
        <stp>912827Z9 Govt</stp>
        <stp>YLD_YTM_BID</stp>
        <stp>[TREASURY.xlsx]Sheet1!R778C4</stp>
        <tr r="D778" s="1"/>
      </tp>
      <tp t="s">
        <v>#N/A N/A</v>
        <stp/>
        <stp>##V3_BDPV12</stp>
        <stp>912828A4 Govt</stp>
        <stp>YLD_YTM_BID</stp>
        <stp>[TREASURY.xlsx]Sheet1!R555C4</stp>
        <tr r="D555" s="1"/>
      </tp>
      <tp t="s">
        <v>#N/A N/A</v>
        <stp/>
        <stp>##V3_BDPV12</stp>
        <stp>912828C7 Govt</stp>
        <stp>YLD_YTM_BID</stp>
        <stp>[TREASURY.xlsx]Sheet1!R416C4</stp>
        <tr r="D416" s="1"/>
      </tp>
      <tp t="s">
        <v>#N/A N/A</v>
        <stp/>
        <stp>##V3_BDPV12</stp>
        <stp>912827T2 Govt</stp>
        <stp>YLD_YTM_BID</stp>
        <stp>[TREASURY.xlsx]Sheet1!R833C4</stp>
        <tr r="D833" s="1"/>
      </tp>
      <tp t="s">
        <v>#N/A N/A</v>
        <stp/>
        <stp>##V3_BDPV12</stp>
        <stp>912827R8 Govt</stp>
        <stp>YLD_YTM_BID</stp>
        <stp>[TREASURY.xlsx]Sheet1!R909C4</stp>
        <tr r="D909" s="1"/>
      </tp>
      <tp t="s">
        <v>#N/A N/A</v>
        <stp/>
        <stp>##V3_BDPV12</stp>
        <stp>912828U9 Govt</stp>
        <stp>YLD_YTM_BID</stp>
        <stp>[TREASURY.xlsx]Sheet1!R678C4</stp>
        <tr r="D678" s="1"/>
      </tp>
      <tp t="s">
        <v>#N/A N/A</v>
        <stp/>
        <stp>##V3_BDPV12</stp>
        <stp>912828R8 Govt</stp>
        <stp>YLD_YTM_BID</stp>
        <stp>[TREASURY.xlsx]Sheet1!R689C4</stp>
        <tr r="D689" s="1"/>
      </tp>
      <tp t="s">
        <v>#N/A N/A</v>
        <stp/>
        <stp>##V3_BDPV12</stp>
        <stp>912827X5 Govt</stp>
        <stp>YLD_YTM_BID</stp>
        <stp>[TREASURY.xlsx]Sheet1!R934C4</stp>
        <tr r="D934" s="1"/>
      </tp>
      <tp>
        <v>9.9636207618483991E-2</v>
        <stp/>
        <stp>##V3_BDPV12</stp>
        <stp>912828L2 Govt</stp>
        <stp>YLD_YTM_BID</stp>
        <stp>[TREASURY.xlsx]Sheet1!R173C4</stp>
        <tr r="D173" s="1"/>
      </tp>
      <tp t="s">
        <v>#N/A N/A</v>
        <stp/>
        <stp>##V3_BDPV12</stp>
        <stp>912828K8 Govt</stp>
        <stp>YLD_YTM_BID</stp>
        <stp>[TREASURY.xlsx]Sheet1!R369C4</stp>
        <tr r="D369" s="1"/>
      </tp>
      <tp t="s">
        <v>#N/A N/A</v>
        <stp/>
        <stp>##V3_BDPV12</stp>
        <stp>912828L9 Govt</stp>
        <stp>YLD_YTM_BID</stp>
        <stp>[TREASURY.xlsx]Sheet1!R358C4</stp>
        <tr r="D358" s="1"/>
      </tp>
      <tp t="s">
        <v>#N/A N/A</v>
        <stp/>
        <stp>##V3_BDPV12</stp>
        <stp>912828S7 Govt</stp>
        <stp>YLD_YTM_BID</stp>
        <stp>[TREASURY.xlsx]Sheet1!R346C4</stp>
        <tr r="D346" s="1"/>
      </tp>
      <tp t="s">
        <v>#N/A N/A</v>
        <stp/>
        <stp>##V3_BDPV12</stp>
        <stp>912828P8 Govt</stp>
        <stp>YLD_YTM_BID</stp>
        <stp>[TREASURY.xlsx]Sheet1!R389C4</stp>
        <tr r="D389" s="1"/>
      </tp>
      <tp>
        <v>8.4871067667274688E-2</v>
        <stp/>
        <stp>##V3_BDPV12</stp>
        <stp>912828G8 Govt</stp>
        <stp>YLD_YTM_BID</stp>
        <stp>[TREASURY.xlsx]Sheet1!R209C4</stp>
        <tr r="D209" s="1"/>
      </tp>
      <tp>
        <v>0.16190767285544344</v>
        <stp/>
        <stp>##V3_BDPV12</stp>
        <stp>912828P3 Govt</stp>
        <stp>YLD_YTM_BID</stp>
        <stp>[TREASURY.xlsx]Sheet1!R222C4</stp>
        <tr r="D222" s="1"/>
      </tp>
      <tp>
        <v>0.25013434658096895</v>
        <stp/>
        <stp>##V3_BDPV12</stp>
        <stp>912828Y6 Govt</stp>
        <stp>YLD_YTM_BID</stp>
        <stp>[TREASURY.xlsx]Sheet1!R297C4</stp>
        <tr r="D297" s="1"/>
      </tp>
      <tp t="s">
        <v>2/15/2021</v>
        <stp/>
        <stp>##V3_BDPV12</stp>
        <stp>912810SP Govt</stp>
        <stp>FIRST_CPN_DT</stp>
        <stp>[TREASURY.xlsx]Sheet1!R35C9</stp>
        <tr r="I35" s="1"/>
      </tp>
      <tp t="s">
        <v>2/15/2019</v>
        <stp/>
        <stp>##V3_BDPV12</stp>
        <stp>9128284V Govt</stp>
        <stp>FIRST_CPN_DT</stp>
        <stp>[TREASURY.xlsx]Sheet1!R23C9</stp>
        <tr r="I23" s="1"/>
      </tp>
      <tp>
        <v>0.97618462376716864</v>
        <stp/>
        <stp>##V3_BDPV12</stp>
        <stp>912828YG Govt</stp>
        <stp>YLD_YTM_BID</stp>
        <stp>[TREASURY.xlsx]Sheet1!R69C4</stp>
        <tr r="D69" s="1"/>
      </tp>
      <tp>
        <v>2.0931607423889935</v>
        <stp/>
        <stp>##V3_BDPV12</stp>
        <stp>912810SJ Govt</stp>
        <stp>YLD_YTM_BID</stp>
        <stp>[TREASURY.xlsx]Sheet1!R73C4</stp>
        <tr r="D73" s="1"/>
      </tp>
      <tp t="s">
        <v>T 7 1/4 02/15/98</v>
        <stp/>
        <stp>##V3_BDPV12</stp>
        <stp>912827S7 Govt</stp>
        <stp>SECURITY_NAME</stp>
        <stp>[TREASURY.xlsx]Sheet1!R1504C16</stp>
        <tr r="P1504" s="1"/>
      </tp>
      <tp t="s">
        <v>T 5 7/8 08/15/98</v>
        <stp/>
        <stp>##V3_BDPV12</stp>
        <stp>912827U7 Govt</stp>
        <stp>SECURITY_NAME</stp>
        <stp>[TREASURY.xlsx]Sheet1!R1511C16</stp>
        <tr r="P1511" s="1"/>
      </tp>
      <tp t="s">
        <v>T 4 3/8 08/15/96</v>
        <stp/>
        <stp>##V3_BDPV12</stp>
        <stp>912827L7 Govt</stp>
        <stp>SECURITY_NAME</stp>
        <stp>[TREASURY.xlsx]Sheet1!R1565C16</stp>
        <tr r="P1565" s="1"/>
      </tp>
      <tp t="s">
        <v>T 6 1/4 02/15/03</v>
        <stp/>
        <stp>##V3_BDPV12</stp>
        <stp>912827J7 Govt</stp>
        <stp>SECURITY_NAME</stp>
        <stp>[TREASURY.xlsx]Sheet1!R1562C16</stp>
        <tr r="P1562" s="1"/>
      </tp>
      <tp t="s">
        <v>T 4 1/4 05/15/96</v>
        <stp/>
        <stp>##V3_BDPV12</stp>
        <stp>912827K7 Govt</stp>
        <stp>SECURITY_NAME</stp>
        <stp>[TREASURY.xlsx]Sheet1!R1563C16</stp>
        <tr r="P1563" s="1"/>
      </tp>
      <tp t="s">
        <v>T 7 3/8 11/15/97</v>
        <stp/>
        <stp>##V3_BDPV12</stp>
        <stp>912827R7 Govt</stp>
        <stp>SECURITY_NAME</stp>
        <stp>[TREASURY.xlsx]Sheet1!R1577C16</stp>
        <tr r="P1577" s="1"/>
      </tp>
      <tp t="s">
        <v>T 7 7/8 07/31/96</v>
        <stp/>
        <stp>##V3_BDPV12</stp>
        <stp>912827B7 Govt</stp>
        <stp>SECURITY_NAME</stp>
        <stp>[TREASURY.xlsx]Sheet1!R1551C16</stp>
        <tr r="P1551" s="1"/>
      </tp>
      <tp t="s">
        <v>T 6 10/31/93</v>
        <stp/>
        <stp>##V3_BDPV12</stp>
        <stp>912827C7 Govt</stp>
        <stp>SECURITY_NAME</stp>
        <stp>[TREASURY.xlsx]Sheet1!R1555C16</stp>
        <tr r="P1555" s="1"/>
      </tp>
      <tp t="s">
        <v>T 5 02/15/99</v>
        <stp/>
        <stp>##V3_BDPV12</stp>
        <stp>912827W7 Govt</stp>
        <stp>SECURITY_NAME</stp>
        <stp>[TREASURY.xlsx]Sheet1!R1416C16</stp>
        <tr r="P1416" s="1"/>
      </tp>
      <tp t="s">
        <v>T 5 1/2 11/15/98</v>
        <stp/>
        <stp>##V3_BDPV12</stp>
        <stp>912827V7 Govt</stp>
        <stp>SECURITY_NAME</stp>
        <stp>[TREASURY.xlsx]Sheet1!R1410C16</stp>
        <tr r="P1410" s="1"/>
      </tp>
      <tp t="s">
        <v>T 6 1/2 05/15/97</v>
        <stp/>
        <stp>##V3_BDPV12</stp>
        <stp>912827P7 Govt</stp>
        <stp>SECURITY_NAME</stp>
        <stp>[TREASURY.xlsx]Sheet1!R1338C16</stp>
        <tr r="P1338" s="1"/>
      </tp>
      <tp t="s">
        <v>T 5 06/30/94</v>
        <stp/>
        <stp>##V3_BDPV12</stp>
        <stp>912827F7 Govt</stp>
        <stp>SECURITY_NAME</stp>
        <stp>[TREASURY.xlsx]Sheet1!R1315C16</stp>
        <tr r="P1315" s="1"/>
      </tp>
      <tp t="s">
        <v>T 6 5/8 07/31/01</v>
        <stp/>
        <stp>##V3_BDPV12</stp>
        <stp>912827Y7 Govt</stp>
        <stp>SECURITY_NAME</stp>
        <stp>[TREASURY.xlsx]Sheet1!R1219C16</stp>
        <tr r="P1219" s="1"/>
      </tp>
      <tp t="s">
        <v>T 0 5/8 02/15/17</v>
        <stp/>
        <stp>##V3_BDPV12</stp>
        <stp>912828B7 Govt</stp>
        <stp>SECURITY_NAME</stp>
        <stp>[TREASURY.xlsx]Sheet1!R1270C16</stp>
        <tr r="P1270" s="1"/>
      </tp>
      <tp t="s">
        <v>T 6 1/2 08/15/97</v>
        <stp/>
        <stp>##V3_BDPV12</stp>
        <stp>912827Q7 Govt</stp>
        <stp>SECURITY_NAME</stp>
        <stp>[TREASURY.xlsx]Sheet1!R1178C16</stp>
        <tr r="P1178" s="1"/>
      </tp>
      <tp t="s">
        <v>T 4 5/8 11/30/94</v>
        <stp/>
        <stp>##V3_BDPV12</stp>
        <stp>912827H7 Govt</stp>
        <stp>SECURITY_NAME</stp>
        <stp>[TREASURY.xlsx]Sheet1!R1158C16</stp>
        <tr r="P1158" s="1"/>
      </tp>
      <tp t="s">
        <v>T 7 05/15/94</v>
        <stp/>
        <stp>##V3_BDPV12</stp>
        <stp>912827A7 Govt</stp>
        <stp>SECURITY_NAME</stp>
        <stp>[TREASURY.xlsx]Sheet1!R1031C16</stp>
        <tr r="P1031" s="1"/>
      </tp>
      <tp t="s">
        <v>T 5 5/8 08/31/97</v>
        <stp/>
        <stp>##V3_BDPV12</stp>
        <stp>912827G7 Govt</stp>
        <stp>SECURITY_NAME</stp>
        <stp>[TREASURY.xlsx]Sheet1!R1037C16</stp>
        <tr r="P1037" s="1"/>
      </tp>
      <tp t="s">
        <v>T 6 1/8 05/15/98</v>
        <stp/>
        <stp>##V3_BDPV12</stp>
        <stp>912827T7 Govt</stp>
        <stp>SECURITY_NAME</stp>
        <stp>[TREASURY.xlsx]Sheet1!R1070C16</stp>
        <tr r="P1070" s="1"/>
      </tp>
      <tp t="s">
        <v>T 4 3/8 11/15/96</v>
        <stp/>
        <stp>##V3_BDPV12</stp>
        <stp>912827M7 Govt</stp>
        <stp>SECURITY_NAME</stp>
        <stp>[TREASURY.xlsx]Sheet1!R1044C16</stp>
        <tr r="P1044" s="1"/>
      </tp>
      <tp t="s">
        <v>T 6 3/8 05/15/99</v>
        <stp/>
        <stp>##V3_BDPV12</stp>
        <stp>912827X7 Govt</stp>
        <stp>SECURITY_NAME</stp>
        <stp>[TREASURY.xlsx]Sheet1!R1095C16</stp>
        <tr r="P1095" s="1"/>
      </tp>
      <tp>
        <v>1.625</v>
        <stp/>
        <stp>##V3_BDPV12</stp>
        <stp>912828P4 Govt</stp>
        <stp>CPN</stp>
        <stp>[TREASURY.xlsx]Sheet1!R91C3</stp>
        <tr r="C91" s="1"/>
      </tp>
      <tp>
        <v>2</v>
        <stp/>
        <stp>##V3_BDPV12</stp>
        <stp>912828U2 Govt</stp>
        <stp>CPN</stp>
        <stp>[TREASURY.xlsx]Sheet1!R84C3</stp>
        <tr r="C84" s="1"/>
      </tp>
      <tp t="s">
        <v>ACT/ACT</v>
        <stp/>
        <stp>##V3_BDPV12</stp>
        <stp>912810SY Govt</stp>
        <stp>DAY_CNT_DES</stp>
        <stp>[TREASURY.xlsx]Sheet1!R21C17</stp>
        <tr r="Q21" s="1"/>
      </tp>
      <tp t="s">
        <v>ACT/ACT</v>
        <stp/>
        <stp>##V3_BDPV12</stp>
        <stp>91282CCY Govt</stp>
        <stp>DAY_CNT_DES</stp>
        <stp>[TREASURY.xlsx]Sheet1!R13C17</stp>
        <tr r="Q13" s="1"/>
      </tp>
      <tp>
        <v>1.5274949817659815</v>
        <stp/>
        <stp>##V3_BDPV12</stp>
        <stp>91282CCS Govt</stp>
        <stp>YLD_YTM_BID</stp>
        <stp>[TREASURY.xlsx]Sheet1!R2C4</stp>
        <tr r="D2" s="1"/>
      </tp>
      <tp>
        <v>2.0356682789357179</v>
        <stp/>
        <stp>##V3_BDPV12</stp>
        <stp>912810SQ Govt</stp>
        <stp>YLD_YTM_BID</stp>
        <stp>[TREASURY.xlsx]Sheet1!R92C4</stp>
        <tr r="D92" s="1"/>
      </tp>
      <tp>
        <v>1.3921548193823872</v>
        <stp/>
        <stp>##V3_BDPV12</stp>
        <stp>912828YS Govt</stp>
        <stp>YLD_YTM_BID</stp>
        <stp>[TREASURY.xlsx]Sheet1!R38C4</stp>
        <tr r="D38" s="1"/>
      </tp>
      <tp>
        <v>2.125</v>
        <stp/>
        <stp>##V3_BDPV12</stp>
        <stp>912828G8 Govt</stp>
        <stp>CPN</stp>
        <stp>[TREASURY.xlsx]Sheet1!R209C3</stp>
        <tr r="C209" s="1"/>
      </tp>
      <tp>
        <v>1.75</v>
        <stp/>
        <stp>##V3_BDPV12</stp>
        <stp>912828P3 Govt</stp>
        <stp>CPN</stp>
        <stp>[TREASURY.xlsx]Sheet1!R222C3</stp>
        <tr r="C222" s="1"/>
      </tp>
      <tp>
        <v>2.75</v>
        <stp/>
        <stp>##V3_BDPV12</stp>
        <stp>912828Y6 Govt</stp>
        <stp>CPN</stp>
        <stp>[TREASURY.xlsx]Sheet1!R297C3</stp>
        <tr r="C297" s="1"/>
      </tp>
      <tp>
        <v>1</v>
        <stp/>
        <stp>##V3_BDPV12</stp>
        <stp>912828K8 Govt</stp>
        <stp>CPN</stp>
        <stp>[TREASURY.xlsx]Sheet1!R369C3</stp>
        <tr r="C369" s="1"/>
      </tp>
      <tp>
        <v>1.375</v>
        <stp/>
        <stp>##V3_BDPV12</stp>
        <stp>912828L9 Govt</stp>
        <stp>CPN</stp>
        <stp>[TREASURY.xlsx]Sheet1!R358C3</stp>
        <tr r="C358" s="1"/>
      </tp>
      <tp>
        <v>1.125</v>
        <stp/>
        <stp>##V3_BDPV12</stp>
        <stp>912828S7 Govt</stp>
        <stp>CPN</stp>
        <stp>[TREASURY.xlsx]Sheet1!R346C3</stp>
        <tr r="C346" s="1"/>
      </tp>
      <tp>
        <v>1.125</v>
        <stp/>
        <stp>##V3_BDPV12</stp>
        <stp>912828P8 Govt</stp>
        <stp>CPN</stp>
        <stp>[TREASURY.xlsx]Sheet1!R389C3</stp>
        <tr r="C389" s="1"/>
      </tp>
      <tp>
        <v>1.875</v>
        <stp/>
        <stp>##V3_BDPV12</stp>
        <stp>912828L2 Govt</stp>
        <stp>CPN</stp>
        <stp>[TREASURY.xlsx]Sheet1!R173C3</stp>
        <tr r="C173" s="1"/>
      </tp>
      <tp>
        <v>7.875</v>
        <stp/>
        <stp>##V3_BDPV12</stp>
        <stp>912827R8 Govt</stp>
        <stp>CPN</stp>
        <stp>[TREASURY.xlsx]Sheet1!R909C3</stp>
        <tr r="C909" s="1"/>
      </tp>
      <tp>
        <v>1.25</v>
        <stp/>
        <stp>##V3_BDPV12</stp>
        <stp>912828U9 Govt</stp>
        <stp>CPN</stp>
        <stp>[TREASURY.xlsx]Sheet1!R678C3</stp>
        <tr r="C678" s="1"/>
      </tp>
      <tp>
        <v>5.875</v>
        <stp/>
        <stp>##V3_BDPV12</stp>
        <stp>912827X5 Govt</stp>
        <stp>CPN</stp>
        <stp>[TREASURY.xlsx]Sheet1!R934C3</stp>
        <tr r="C934" s="1"/>
      </tp>
      <tp>
        <v>0.875</v>
        <stp/>
        <stp>##V3_BDPV12</stp>
        <stp>912828R8 Govt</stp>
        <stp>CPN</stp>
        <stp>[TREASURY.xlsx]Sheet1!R689C3</stp>
        <tr r="C689" s="1"/>
      </tp>
      <tp>
        <v>7.125</v>
        <stp/>
        <stp>##V3_BDPV12</stp>
        <stp>912827T2 Govt</stp>
        <stp>CPN</stp>
        <stp>[TREASURY.xlsx]Sheet1!R833C3</stp>
        <tr r="C833" s="1"/>
      </tp>
      <tp>
        <v>0.875</v>
        <stp/>
        <stp>##V3_BDPV12</stp>
        <stp>912828C7 Govt</stp>
        <stp>CPN</stp>
        <stp>[TREASURY.xlsx]Sheet1!R416C3</stp>
        <tr r="C416" s="1"/>
      </tp>
      <tp>
        <v>2</v>
        <stp/>
        <stp>##V3_BDPV12</stp>
        <stp>912828A4 Govt</stp>
        <stp>CPN</stp>
        <stp>[TREASURY.xlsx]Sheet1!R555C3</stp>
        <tr r="C555" s="1"/>
      </tp>
      <tp>
        <v>5.875</v>
        <stp/>
        <stp>##V3_BDPV12</stp>
        <stp>912827N8 Govt</stp>
        <stp>CPN</stp>
        <stp>[TREASURY.xlsx]Sheet1!R729C3</stp>
        <tr r="C729" s="1"/>
      </tp>
      <tp>
        <v>7.75</v>
        <stp/>
        <stp>##V3_BDPV12</stp>
        <stp>912827S4 Govt</stp>
        <stp>CPN</stp>
        <stp>[TREASURY.xlsx]Sheet1!R745C3</stp>
        <tr r="C745" s="1"/>
      </tp>
      <tp>
        <v>6.875</v>
        <stp/>
        <stp>##V3_BDPV12</stp>
        <stp>912827R2 Govt</stp>
        <stp>CPN</stp>
        <stp>[TREASURY.xlsx]Sheet1!R743C3</stp>
        <tr r="C743" s="1"/>
      </tp>
      <tp>
        <v>5.875</v>
        <stp/>
        <stp>##V3_BDPV12</stp>
        <stp>912827Z9 Govt</stp>
        <stp>CPN</stp>
        <stp>[TREASURY.xlsx]Sheet1!R778C3</stp>
        <tr r="C778" s="1"/>
      </tp>
      <tp>
        <v>6.875</v>
        <stp/>
        <stp>##V3_BDPV12</stp>
        <stp>912827F2 Govt</stp>
        <stp>CPN</stp>
        <stp>[TREASURY.xlsx]Sheet1!R663C3</stp>
        <tr r="C663" s="1"/>
      </tp>
      <tp t="s">
        <v>#N/A N/A</v>
        <stp/>
        <stp>##V3_BDPV12</stp>
        <stp>912828G6 Govt</stp>
        <stp>YLD_YTM_BID</stp>
        <stp>[TREASURY.xlsx]Sheet1!R966C4</stp>
        <tr r="D966" s="1"/>
      </tp>
      <tp t="s">
        <v>#N/A N/A</v>
        <stp/>
        <stp>##V3_BDPV12</stp>
        <stp>912827G3 Govt</stp>
        <stp>YLD_YTM_BID</stp>
        <stp>[TREASURY.xlsx]Sheet1!R703C4</stp>
        <tr r="D703" s="1"/>
      </tp>
      <tp t="s">
        <v>#N/A N/A</v>
        <stp/>
        <stp>##V3_BDPV12</stp>
        <stp>912828D9 Govt</stp>
        <stp>YLD_YTM_BID</stp>
        <stp>[TREASURY.xlsx]Sheet1!R839C4</stp>
        <tr r="D839" s="1"/>
      </tp>
      <tp t="s">
        <v>#N/A N/A</v>
        <stp/>
        <stp>##V3_BDPV12</stp>
        <stp>912827H5 Govt</stp>
        <stp>YLD_YTM_BID</stp>
        <stp>[TREASURY.xlsx]Sheet1!R705C4</stp>
        <tr r="D705" s="1"/>
      </tp>
      <tp t="s">
        <v>#N/A N/A</v>
        <stp/>
        <stp>##V3_BDPV12</stp>
        <stp>912827V8 Govt</stp>
        <stp>YLD_YTM_BID</stp>
        <stp>[TREASURY.xlsx]Sheet1!R758C4</stp>
        <tr r="D758" s="1"/>
      </tp>
      <tp t="s">
        <v>#N/A N/A</v>
        <stp/>
        <stp>##V3_BDPV12</stp>
        <stp>912827Z7 Govt</stp>
        <stp>YLD_YTM_BID</stp>
        <stp>[TREASURY.xlsx]Sheet1!R777C4</stp>
        <tr r="D777" s="1"/>
      </tp>
      <tp t="s">
        <v>#N/A N/A</v>
        <stp/>
        <stp>##V3_BDPV12</stp>
        <stp>912828Q3 Govt</stp>
        <stp>YLD_YTM_BID</stp>
        <stp>[TREASURY.xlsx]Sheet1!R413C4</stp>
        <tr r="D413" s="1"/>
      </tp>
      <tp t="s">
        <v>#N/A N/A</v>
        <stp/>
        <stp>##V3_BDPV12</stp>
        <stp>912828C8 Govt</stp>
        <stp>YLD_YTM_BID</stp>
        <stp>[TREASURY.xlsx]Sheet1!R788C4</stp>
        <tr r="D788" s="1"/>
      </tp>
      <tp t="s">
        <v>#N/A N/A</v>
        <stp/>
        <stp>##V3_BDPV12</stp>
        <stp>912828J6 Govt</stp>
        <stp>YLD_YTM_BID</stp>
        <stp>[TREASURY.xlsx]Sheet1!R686C4</stp>
        <tr r="D686" s="1"/>
      </tp>
      <tp t="s">
        <v>#N/A N/A</v>
        <stp/>
        <stp>##V3_BDPV12</stp>
        <stp>912828V5 Govt</stp>
        <stp>YLD_YTM_BID</stp>
        <stp>[TREASURY.xlsx]Sheet1!R655C4</stp>
        <tr r="D655" s="1"/>
      </tp>
      <tp t="s">
        <v>#N/A N/A</v>
        <stp/>
        <stp>##V3_BDPV12</stp>
        <stp>912827Q5 Govt</stp>
        <stp>YLD_YTM_BID</stp>
        <stp>[TREASURY.xlsx]Sheet1!R905C4</stp>
        <tr r="D905" s="1"/>
      </tp>
      <tp>
        <v>0.27232760041567877</v>
        <stp/>
        <stp>##V3_BDPV12</stp>
        <stp>912828F9 Govt</stp>
        <stp>YLD_YTM_BID</stp>
        <stp>[TREASURY.xlsx]Sheet1!R199C4</stp>
        <tr r="D199" s="1"/>
      </tp>
      <tp>
        <v>0.28212045128710067</v>
        <stp/>
        <stp>##V3_BDPV12</stp>
        <stp>912828T2 Govt</stp>
        <stp>YLD_YTM_BID</stp>
        <stp>[TREASURY.xlsx]Sheet1!R192C4</stp>
        <tr r="D192" s="1"/>
      </tp>
      <tp>
        <v>0.11040468469238168</v>
        <stp/>
        <stp>##V3_BDPV12</stp>
        <stp>912828M4 Govt</stp>
        <stp>YLD_YTM_BID</stp>
        <stp>[TREASURY.xlsx]Sheet1!R254C4</stp>
        <tr r="D254" s="1"/>
      </tp>
      <tp>
        <v>0.22734973129224387</v>
        <stp/>
        <stp>##V3_BDPV12</stp>
        <stp>912828R6 Govt</stp>
        <stp>YLD_YTM_BID</stp>
        <stp>[TREASURY.xlsx]Sheet1!R266C4</stp>
        <tr r="D266" s="1"/>
      </tp>
      <tp>
        <v>7.2236414229837037E-2</v>
        <stp/>
        <stp>##V3_BDPV12</stp>
        <stp>912828X4 Govt</stp>
        <stp>YLD_YTM_BID</stp>
        <stp>[TREASURY.xlsx]Sheet1!R224C4</stp>
        <tr r="D224" s="1"/>
      </tp>
      <tp>
        <v>0.47295899761532112</v>
        <stp/>
        <stp>##V3_BDPV12</stp>
        <stp>912828Y8 Govt</stp>
        <stp>YLD_YTM_BID</stp>
        <stp>[TREASURY.xlsx]Sheet1!R208C4</stp>
        <tr r="D208" s="1"/>
      </tp>
      <tp t="s">
        <v>5/15/2021</v>
        <stp/>
        <stp>##V3_BDPV12</stp>
        <stp>912810SS Govt</stp>
        <stp>FIRST_CPN_DT</stp>
        <stp>[TREASURY.xlsx]Sheet1!R37C9</stp>
        <tr r="I37" s="1"/>
      </tp>
      <tp t="s">
        <v>5/15/2021</v>
        <stp/>
        <stp>##V3_BDPV12</stp>
        <stp>912810ST Govt</stp>
        <stp>FIRST_CPN_DT</stp>
        <stp>[TREASURY.xlsx]Sheet1!R90C9</stp>
        <tr r="I90" s="1"/>
      </tp>
      <tp>
        <v>1.625</v>
        <stp/>
        <stp>##V3_BDPV12</stp>
        <stp>912828YG Govt</stp>
        <stp>CPN</stp>
        <stp>[TREASURY.xlsx]Sheet1!R69C3</stp>
        <tr r="C69" s="1"/>
      </tp>
      <tp>
        <v>2.25</v>
        <stp/>
        <stp>##V3_BDPV12</stp>
        <stp>912810SJ Govt</stp>
        <stp>CPN</stp>
        <stp>[TREASURY.xlsx]Sheet1!R73C3</stp>
        <tr r="C73" s="1"/>
      </tp>
      <tp t="s">
        <v>#N/A Field Not Applicable</v>
        <stp/>
        <stp>##V3_BDPV12</stp>
        <stp>912827H2 Govt</stp>
        <stp>IDX_RATIO</stp>
        <stp>[TREASURY.xlsx]Sheet1!R704C20</stp>
        <tr r="T704" s="1"/>
      </tp>
      <tp t="s">
        <v>#N/A Field Not Applicable</v>
        <stp/>
        <stp>##V3_BDPV12</stp>
        <stp>912828H2 Govt</stp>
        <stp>IDX_RATIO</stp>
        <stp>[TREASURY.xlsx]Sheet1!R581C20</stp>
        <tr r="T581" s="1"/>
      </tp>
      <tp t="s">
        <v>#N/A Field Not Applicable</v>
        <stp/>
        <stp>##V3_BDPV12</stp>
        <stp>912828H7 Govt</stp>
        <stp>IDX_RATIO</stp>
        <stp>[TREASURY.xlsx]Sheet1!R605C20</stp>
        <tr r="T605" s="1"/>
      </tp>
      <tp t="s">
        <v>#N/A Field Not Applicable</v>
        <stp/>
        <stp>##V3_BDPV12</stp>
        <stp>912828H5 Govt</stp>
        <stp>IDX_RATIO</stp>
        <stp>[TREASURY.xlsx]Sheet1!R419C20</stp>
        <tr r="T419" s="1"/>
      </tp>
      <tp t="s">
        <v>#N/A Field Not Applicable</v>
        <stp/>
        <stp>##V3_BDPV12</stp>
        <stp>912827H5 Govt</stp>
        <stp>IDX_RATIO</stp>
        <stp>[TREASURY.xlsx]Sheet1!R705C20</stp>
        <tr r="T705" s="1"/>
      </tp>
      <tp t="s">
        <v>T 7 1/2 10/31/99</v>
        <stp/>
        <stp>##V3_BDPV12</stp>
        <stp>912827R6 Govt</stp>
        <stp>SECURITY_NAME</stp>
        <stp>[TREASURY.xlsx]Sheet1!R1500C16</stp>
        <tr r="P1500" s="1"/>
      </tp>
      <tp t="s">
        <v>T 6 7/8 07/31/93</v>
        <stp/>
        <stp>##V3_BDPV12</stp>
        <stp>912827B6 Govt</stp>
        <stp>SECURITY_NAME</stp>
        <stp>[TREASURY.xlsx]Sheet1!R1550C16</stp>
        <tr r="P1550" s="1"/>
      </tp>
      <tp t="s">
        <v>T 7 1/8 10/15/98</v>
        <stp/>
        <stp>##V3_BDPV12</stp>
        <stp>912827C6 Govt</stp>
        <stp>SECURITY_NAME</stp>
        <stp>[TREASURY.xlsx]Sheet1!R1554C16</stp>
        <tr r="P1554" s="1"/>
      </tp>
      <tp t="s">
        <v>T 5 1/4 01/31/01</v>
        <stp/>
        <stp>##V3_BDPV12</stp>
        <stp>912827W6 Govt</stp>
        <stp>SECURITY_NAME</stp>
        <stp>[TREASURY.xlsx]Sheet1!R1415C16</stp>
        <tr r="P1415" s="1"/>
      </tp>
      <tp t="s">
        <v>T 7 5/8 04/30/96</v>
        <stp/>
        <stp>##V3_BDPV12</stp>
        <stp>912827A6 Govt</stp>
        <stp>SECURITY_NAME</stp>
        <stp>[TREASURY.xlsx]Sheet1!R1474C16</stp>
        <tr r="P1474" s="1"/>
      </tp>
      <tp t="s">
        <v>T 5 1/8 04/30/98</v>
        <stp/>
        <stp>##V3_BDPV12</stp>
        <stp>912827K6 Govt</stp>
        <stp>SECURITY_NAME</stp>
        <stp>[TREASURY.xlsx]Sheet1!R1490C16</stp>
        <tr r="P1490" s="1"/>
      </tp>
      <tp t="s">
        <v>T 4 5/8 02/15/96</v>
        <stp/>
        <stp>##V3_BDPV12</stp>
        <stp>912827J6 Govt</stp>
        <stp>SECURITY_NAME</stp>
        <stp>[TREASURY.xlsx]Sheet1!R1317C16</stp>
        <tr r="P1317" s="1"/>
      </tp>
      <tp t="s">
        <v>T 6 3/4 05/31/97</v>
        <stp/>
        <stp>##V3_BDPV12</stp>
        <stp>912827F6 Govt</stp>
        <stp>SECURITY_NAME</stp>
        <stp>[TREASURY.xlsx]Sheet1!R1373C16</stp>
        <tr r="P1373" s="1"/>
      </tp>
      <tp t="s">
        <v>T 5 3/4 03/31/94</v>
        <stp/>
        <stp>##V3_BDPV12</stp>
        <stp>912827E6 Govt</stp>
        <stp>SECURITY_NAME</stp>
        <stp>[TREASURY.xlsx]Sheet1!R1371C16</stp>
        <tr r="P1371" s="1"/>
      </tp>
      <tp t="s">
        <v>T 6 7/8 07/31/99</v>
        <stp/>
        <stp>##V3_BDPV12</stp>
        <stp>912827Q6 Govt</stp>
        <stp>SECURITY_NAME</stp>
        <stp>[TREASURY.xlsx]Sheet1!R1343C16</stp>
        <tr r="P1343" s="1"/>
      </tp>
      <tp t="s">
        <v>T 6 1/2 04/30/99</v>
        <stp/>
        <stp>##V3_BDPV12</stp>
        <stp>912827P6 Govt</stp>
        <stp>SECURITY_NAME</stp>
        <stp>[TREASURY.xlsx]Sheet1!R1387C16</stp>
        <tr r="P1387" s="1"/>
      </tp>
      <tp t="s">
        <v>T 6 1/2 10/15/06</v>
        <stp/>
        <stp>##V3_BDPV12</stp>
        <stp>912827Z6 Govt</stp>
        <stp>SECURITY_NAME</stp>
        <stp>[TREASURY.xlsx]Sheet1!R1226C16</stp>
        <tr r="P1226" s="1"/>
      </tp>
      <tp t="s">
        <v>T 6 1/4 04/30/01</v>
        <stp/>
        <stp>##V3_BDPV12</stp>
        <stp>912827X6 Govt</stp>
        <stp>SECURITY_NAME</stp>
        <stp>[TREASURY.xlsx]Sheet1!R1212C16</stp>
        <tr r="P1212" s="1"/>
      </tp>
      <tp t="s">
        <v>T 1 1/4 11/15/18</v>
        <stp/>
        <stp>##V3_BDPV12</stp>
        <stp>912828M6 Govt</stp>
        <stp>SECURITY_NAME</stp>
        <stp>[TREASURY.xlsx]Sheet1!R1251C16</stp>
        <tr r="P1251" s="1"/>
      </tp>
      <tp t="s">
        <v>T 0 1/2 04/30/17</v>
        <stp/>
        <stp>##V3_BDPV12</stp>
        <stp>912828K6 Govt</stp>
        <stp>SECURITY_NAME</stp>
        <stp>[TREASURY.xlsx]Sheet1!R1248C16</stp>
        <tr r="P1248" s="1"/>
      </tp>
      <tp t="s">
        <v>T 7 3/4 01/31/00</v>
        <stp/>
        <stp>##V3_BDPV12</stp>
        <stp>912827S6 Govt</stp>
        <stp>SECURITY_NAME</stp>
        <stp>[TREASURY.xlsx]Sheet1!R1182C16</stp>
        <tr r="P1182" s="1"/>
      </tp>
      <tp t="s">
        <v>T 6 3/4 04/30/00</v>
        <stp/>
        <stp>##V3_BDPV12</stp>
        <stp>912827T6 Govt</stp>
        <stp>SECURITY_NAME</stp>
        <stp>[TREASURY.xlsx]Sheet1!R1191C16</stp>
        <tr r="P1191" s="1"/>
      </tp>
      <tp t="s">
        <v>T 4 1/4 08/31/94</v>
        <stp/>
        <stp>##V3_BDPV12</stp>
        <stp>912827G6 Govt</stp>
        <stp>SECURITY_NAME</stp>
        <stp>[TREASURY.xlsx]Sheet1!R1036C16</stp>
        <tr r="P1036" s="1"/>
      </tp>
      <tp t="s">
        <v>T 5 1/4 07/31/98</v>
        <stp/>
        <stp>##V3_BDPV12</stp>
        <stp>912827L6 Govt</stp>
        <stp>SECURITY_NAME</stp>
        <stp>[TREASURY.xlsx]Sheet1!R1041C16</stp>
        <tr r="P1041" s="1"/>
      </tp>
      <tp t="s">
        <v>T 5 3/4 10/31/00</v>
        <stp/>
        <stp>##V3_BDPV12</stp>
        <stp>912827V6 Govt</stp>
        <stp>SECURITY_NAME</stp>
        <stp>[TREASURY.xlsx]Sheet1!R1084C16</stp>
        <tr r="P1084" s="1"/>
      </tp>
      <tp t="s">
        <v>T 6 1/4 07/31/98</v>
        <stp/>
        <stp>##V3_BDPV12</stp>
        <stp>912827Y6 Govt</stp>
        <stp>SECURITY_NAME</stp>
        <stp>[TREASURY.xlsx]Sheet1!R1099C16</stp>
        <tr r="P1099" s="1"/>
      </tp>
      <tp t="s">
        <v>#N/A Field Not Applicable</v>
        <stp/>
        <stp>##V3_BDPV12</stp>
        <stp>912828H8 Govt</stp>
        <stp>IDX_RATIO</stp>
        <stp>[TREASURY.xlsx]Sheet1!R247C20</stp>
        <tr r="T247" s="1"/>
      </tp>
      <tp t="s">
        <v>#N/A Field Not Applicable</v>
        <stp/>
        <stp>##V3_BDPV12</stp>
        <stp>912828H3 Govt</stp>
        <stp>IDX_RATIO</stp>
        <stp>[TREASURY.xlsx]Sheet1!R968C20</stp>
        <tr r="T968" s="1"/>
      </tp>
      <tp t="s">
        <v>#N/A Field Not Applicable</v>
        <stp/>
        <stp>##V3_BDPV12</stp>
        <stp>912828HR Govt</stp>
        <stp>IDX_RATIO</stp>
        <stp>[TREASURY.xlsx]Sheet1!R476C20</stp>
        <tr r="T476" s="1"/>
      </tp>
      <tp t="s">
        <v>#N/A Field Not Applicable</v>
        <stp/>
        <stp>##V3_BDPV12</stp>
        <stp>912828HV Govt</stp>
        <stp>IDX_RATIO</stp>
        <stp>[TREASURY.xlsx]Sheet1!R651C20</stp>
        <tr r="T651" s="1"/>
      </tp>
      <tp t="s">
        <v>#N/A Field Not Applicable</v>
        <stp/>
        <stp>##V3_BDPV12</stp>
        <stp>912828HX Govt</stp>
        <stp>IDX_RATIO</stp>
        <stp>[TREASURY.xlsx]Sheet1!R809C20</stp>
        <tr r="T809" s="1"/>
      </tp>
      <tp t="s">
        <v>#N/A Field Not Applicable</v>
        <stp/>
        <stp>##V3_BDPV12</stp>
        <stp>912828HY Govt</stp>
        <stp>IDX_RATIO</stp>
        <stp>[TREASURY.xlsx]Sheet1!R450C20</stp>
        <tr r="T450" s="1"/>
      </tp>
      <tp t="s">
        <v>#N/A Field Not Applicable</v>
        <stp/>
        <stp>##V3_BDPV12</stp>
        <stp>912828HU Govt</stp>
        <stp>IDX_RATIO</stp>
        <stp>[TREASURY.xlsx]Sheet1!R808C20</stp>
        <tr r="T808" s="1"/>
      </tp>
      <tp t="s">
        <v>#N/A Field Not Applicable</v>
        <stp/>
        <stp>##V3_BDPV12</stp>
        <stp>912828HT Govt</stp>
        <stp>IDX_RATIO</stp>
        <stp>[TREASURY.xlsx]Sheet1!R851C20</stp>
        <tr r="T851" s="1"/>
      </tp>
      <tp t="s">
        <v>#N/A Field Not Applicable</v>
        <stp/>
        <stp>##V3_BDPV12</stp>
        <stp>912828HZ Govt</stp>
        <stp>IDX_RATIO</stp>
        <stp>[TREASURY.xlsx]Sheet1!R356C20</stp>
        <tr r="T356" s="1"/>
      </tp>
      <tp t="s">
        <v>#N/A Field Not Applicable</v>
        <stp/>
        <stp>##V3_BDPV12</stp>
        <stp>912828HJ Govt</stp>
        <stp>IDX_RATIO</stp>
        <stp>[TREASURY.xlsx]Sheet1!R807C20</stp>
        <tr r="T807" s="1"/>
      </tp>
      <tp t="s">
        <v>#N/A Field Not Applicable</v>
        <stp/>
        <stp>##V3_BDPV12</stp>
        <stp>912828HE Govt</stp>
        <stp>IDX_RATIO</stp>
        <stp>[TREASURY.xlsx]Sheet1!R850C20</stp>
        <tr r="T850" s="1"/>
      </tp>
      <tp t="s">
        <v>#N/A Field Not Applicable</v>
        <stp/>
        <stp>##V3_BDPV12</stp>
        <stp>912828HD Govt</stp>
        <stp>IDX_RATIO</stp>
        <stp>[TREASURY.xlsx]Sheet1!R969C20</stp>
        <tr r="T969" s="1"/>
      </tp>
      <tp t="s">
        <v>#N/A Field Not Applicable</v>
        <stp/>
        <stp>##V3_BDPV12</stp>
        <stp>912828HH Govt</stp>
        <stp>IDX_RATIO</stp>
        <stp>[TREASURY.xlsx]Sheet1!R470C20</stp>
        <tr r="T470" s="1"/>
      </tp>
      <tp t="s">
        <v>#N/A Field Not Applicable</v>
        <stp/>
        <stp>##V3_BDPV12</stp>
        <stp>912828HF Govt</stp>
        <stp>IDX_RATIO</stp>
        <stp>[TREASURY.xlsx]Sheet1!R970C20</stp>
        <tr r="T970" s="1"/>
      </tp>
      <tp t="s">
        <v>#N/A Field Not Applicable</v>
        <stp/>
        <stp>##V3_BDPV12</stp>
        <stp>912828HG Govt</stp>
        <stp>IDX_RATIO</stp>
        <stp>[TREASURY.xlsx]Sheet1!R806C20</stp>
        <tr r="T806" s="1"/>
      </tp>
      <tp t="s">
        <v>#N/A Field Not Applicable</v>
        <stp/>
        <stp>##V3_BDPV12</stp>
        <stp>912828HK Govt</stp>
        <stp>IDX_RATIO</stp>
        <stp>[TREASURY.xlsx]Sheet1!R525C20</stp>
        <tr r="T525" s="1"/>
      </tp>
      <tp t="s">
        <v>#N/A Field Not Applicable</v>
        <stp/>
        <stp>##V3_BDPV12</stp>
        <stp>912828HM Govt</stp>
        <stp>IDX_RATIO</stp>
        <stp>[TREASURY.xlsx]Sheet1!R573C20</stp>
        <tr r="T573" s="1"/>
      </tp>
      <tp t="s">
        <v>#N/A Field Not Applicable</v>
        <stp/>
        <stp>##V3_BDPV12</stp>
        <stp>912828HL Govt</stp>
        <stp>IDX_RATIO</stp>
        <stp>[TREASURY.xlsx]Sheet1!R424C20</stp>
        <tr r="T424" s="1"/>
      </tp>
      <tp t="s">
        <v>#N/A Field Not Applicable</v>
        <stp/>
        <stp>##V3_BDPV12</stp>
        <stp>912828HB Govt</stp>
        <stp>IDX_RATIO</stp>
        <stp>[TREASURY.xlsx]Sheet1!R849C20</stp>
        <tr r="T849" s="1"/>
      </tp>
      <tp>
        <v>0.87253935242991976</v>
        <stp/>
        <stp>##V3_BDPV12</stp>
        <stp>912828P4 Govt</stp>
        <stp>YLD_YTM_BID</stp>
        <stp>[TREASURY.xlsx]Sheet1!R91C4</stp>
        <tr r="D91" s="1"/>
      </tp>
      <tp>
        <v>0.99829880449781838</v>
        <stp/>
        <stp>##V3_BDPV12</stp>
        <stp>912828U2 Govt</stp>
        <stp>YLD_YTM_BID</stp>
        <stp>[TREASURY.xlsx]Sheet1!R84C4</stp>
        <tr r="D84" s="1"/>
      </tp>
      <tp t="s">
        <v>ACT/ACT</v>
        <stp/>
        <stp>##V3_BDPV12</stp>
        <stp>91282CBX Govt</stp>
        <stp>DAY_CNT_DES</stp>
        <stp>[TREASURY.xlsx]Sheet1!R72C17</stp>
        <tr r="Q72" s="1"/>
      </tp>
      <tp t="s">
        <v>ACT/ACT</v>
        <stp/>
        <stp>##V3_BDPV12</stp>
        <stp>91282CAX Govt</stp>
        <stp>DAY_CNT_DES</stp>
        <stp>[TREASURY.xlsx]Sheet1!R67C17</stp>
        <tr r="Q67" s="1"/>
      </tp>
      <tp>
        <v>0.25</v>
        <stp/>
        <stp>##V3_BDPV12</stp>
        <stp>912828ZT Govt</stp>
        <stp>CPN</stp>
        <stp>[TREASURY.xlsx]Sheet1!R85C3</stp>
        <tr r="C85" s="1"/>
      </tp>
      <tp>
        <v>0.98962968962118736</v>
        <stp/>
        <stp>##V3_BDPV12</stp>
        <stp>912828YQ Govt</stp>
        <stp>YLD_YTM_BID</stp>
        <stp>[TREASURY.xlsx]Sheet1!R87C4</stp>
        <tr r="D87" s="1"/>
      </tp>
      <tp>
        <v>1.375</v>
        <stp/>
        <stp>##V3_BDPV12</stp>
        <stp>912828Z8 Govt</stp>
        <stp>CPN</stp>
        <stp>[TREASURY.xlsx]Sheet1!R236C3</stp>
        <tr r="C236" s="1"/>
      </tp>
      <tp>
        <v>1.5</v>
        <stp/>
        <stp>##V3_BDPV12</stp>
        <stp>912828P7 Govt</stp>
        <stp>CPN</stp>
        <stp>[TREASURY.xlsx]Sheet1!R309C3</stp>
        <tr r="C309" s="1"/>
      </tp>
      <tp>
        <v>2.25</v>
        <stp/>
        <stp>##V3_BDPV12</stp>
        <stp>912828V9 Govt</stp>
        <stp>CPN</stp>
        <stp>[TREASURY.xlsx]Sheet1!R127C3</stp>
        <tr r="C127" s="1"/>
      </tp>
      <tp>
        <v>1.875</v>
        <stp/>
        <stp>##V3_BDPV12</stp>
        <stp>912828Y9 Govt</stp>
        <stp>CPN</stp>
        <stp>[TREASURY.xlsx]Sheet1!R157C3</stp>
        <tr r="C157" s="1"/>
      </tp>
      <tp>
        <v>1.5</v>
        <stp/>
        <stp>##V3_BDPV12</stp>
        <stp>912828Z7 Govt</stp>
        <stp>CPN</stp>
        <stp>[TREASURY.xlsx]Sheet1!R169C3</stp>
        <tr r="C169" s="1"/>
      </tp>
      <tp>
        <v>0.625</v>
        <stp/>
        <stp>##V3_BDPV12</stp>
        <stp>912828R9 Govt</stp>
        <stp>CPN</stp>
        <stp>[TREASURY.xlsx]Sheet1!R437C3</stp>
        <tr r="C437" s="1"/>
      </tp>
      <tp>
        <v>5</v>
        <stp/>
        <stp>##V3_BDPV12</stp>
        <stp>912827N6 Govt</stp>
        <stp>CPN</stp>
        <stp>[TREASURY.xlsx]Sheet1!R728C3</stp>
        <tr r="C728" s="1"/>
      </tp>
      <tp t="s">
        <v>#N/A N/A</v>
        <stp/>
        <stp>##V3_BDPV12</stp>
        <stp>912827M6 Govt</stp>
        <stp>YLD_YTM_BID</stp>
        <stp>[TREASURY.xlsx]Sheet1!R719C4</stp>
        <tr r="D719" s="1"/>
      </tp>
      <tp t="s">
        <v>#N/A N/A</v>
        <stp/>
        <stp>##V3_BDPV12</stp>
        <stp>912827S9 Govt</stp>
        <stp>YLD_YTM_BID</stp>
        <stp>[TREASURY.xlsx]Sheet1!R746C4</stp>
        <tr r="D746" s="1"/>
      </tp>
      <tp t="s">
        <v>#N/A N/A</v>
        <stp/>
        <stp>##V3_BDPV12</stp>
        <stp>912828C6 Govt</stp>
        <stp>YLD_YTM_BID</stp>
        <stp>[TREASURY.xlsx]Sheet1!R349C4</stp>
        <tr r="D349" s="1"/>
      </tp>
      <tp t="s">
        <v>#N/A N/A</v>
        <stp/>
        <stp>##V3_BDPV12</stp>
        <stp>912828Q7 Govt</stp>
        <stp>YLD_YTM_BID</stp>
        <stp>[TREASURY.xlsx]Sheet1!R378C4</stp>
        <tr r="D378" s="1"/>
      </tp>
      <tp>
        <v>0.35304557792358693</v>
        <stp/>
        <stp>##V3_BDPV12</stp>
        <stp>912828V8 Govt</stp>
        <stp>YLD_YTM_BID</stp>
        <stp>[TREASURY.xlsx]Sheet1!R307C4</stp>
        <tr r="D307" s="1"/>
      </tp>
      <tp>
        <v>6.2046976980239373E-2</v>
        <stp/>
        <stp>##V3_BDPV12</stp>
        <stp>912828H8 Govt</stp>
        <stp>YLD_YTM_BID</stp>
        <stp>[TREASURY.xlsx]Sheet1!R247C4</stp>
        <tr r="D247" s="1"/>
      </tp>
      <tp t="s">
        <v>5/15/2020</v>
        <stp/>
        <stp>##V3_BDPV12</stp>
        <stp>912828YS Govt</stp>
        <stp>FIRST_CPN_DT</stp>
        <stp>[TREASURY.xlsx]Sheet1!R38C9</stp>
        <tr r="I38" s="1"/>
      </tp>
      <tp>
        <v>1.5</v>
        <stp/>
        <stp>##V3_BDPV12</stp>
        <stp>912828YF Govt</stp>
        <stp>CPN</stp>
        <stp>[TREASURY.xlsx]Sheet1!R76C3</stp>
        <tr r="C76" s="1"/>
      </tp>
      <tp>
        <v>1.625</v>
        <stp/>
        <stp>##V3_BDPV12</stp>
        <stp>912828YB Govt</stp>
        <stp>CPN</stp>
        <stp>[TREASURY.xlsx]Sheet1!R26C3</stp>
        <tr r="C26" s="1"/>
      </tp>
      <tp>
        <v>0.63188422074273842</v>
        <stp/>
        <stp>##V3_BDPV12</stp>
        <stp>912828ZC Govt</stp>
        <stp>YLD_YTM_BID</stp>
        <stp>[TREASURY.xlsx]Sheet1!R74C4</stp>
        <tr r="D74" s="1"/>
      </tp>
      <tp t="s">
        <v>#N/A Field Not Applicable</v>
        <stp/>
        <stp>##V3_BDPV12</stp>
        <stp>912827G3 Govt</stp>
        <stp>IDX_RATIO</stp>
        <stp>[TREASURY.xlsx]Sheet1!R703C20</stp>
        <tr r="T703" s="1"/>
      </tp>
      <tp t="s">
        <v>#N/A Field Not Applicable</v>
        <stp/>
        <stp>##V3_BDPV12</stp>
        <stp>912828G5 Govt</stp>
        <stp>IDX_RATIO</stp>
        <stp>[TREASURY.xlsx]Sheet1!R230C20</stp>
        <tr r="T230" s="1"/>
      </tp>
      <tp t="s">
        <v>#N/A Field Not Applicable</v>
        <stp/>
        <stp>##V3_BDPV12</stp>
        <stp>912828G7 Govt</stp>
        <stp>IDX_RATIO</stp>
        <stp>[TREASURY.xlsx]Sheet1!R560C20</stp>
        <tr r="T560" s="1"/>
      </tp>
      <tp t="s">
        <v>#N/A Field Not Applicable</v>
        <stp/>
        <stp>##V3_BDPV12</stp>
        <stp>912828G3 Govt</stp>
        <stp>IDX_RATIO</stp>
        <stp>[TREASURY.xlsx]Sheet1!R137C20</stp>
        <tr r="T137" s="1"/>
      </tp>
      <tp t="s">
        <v>#N/A Field Not Applicable</v>
        <stp/>
        <stp>##V3_BDPV12</stp>
        <stp>912828G9 Govt</stp>
        <stp>IDX_RATIO</stp>
        <stp>[TREASURY.xlsx]Sheet1!R422C20</stp>
        <tr r="T422" s="1"/>
      </tp>
      <tp t="s">
        <v>T 6 1/8 05/31/97</v>
        <stp/>
        <stp>##V3_BDPV12</stp>
        <stp>912827T9 Govt</stp>
        <stp>SECURITY_NAME</stp>
        <stp>[TREASURY.xlsx]Sheet1!R1505C16</stp>
        <tr r="P1505" s="1"/>
      </tp>
      <tp t="s">
        <v>T 6 1/4 08/31/96</v>
        <stp/>
        <stp>##V3_BDPV12</stp>
        <stp>912827Q9 Govt</stp>
        <stp>SECURITY_NAME</stp>
        <stp>[TREASURY.xlsx]Sheet1!R1573C16</stp>
        <tr r="P1573" s="1"/>
      </tp>
      <tp t="s">
        <v>T 7 1/4 11/30/96</v>
        <stp/>
        <stp>##V3_BDPV12</stp>
        <stp>912827R9 Govt</stp>
        <stp>SECURITY_NAME</stp>
        <stp>[TREASURY.xlsx]Sheet1!R1578C16</stp>
        <tr r="P1578" s="1"/>
      </tp>
      <tp t="s">
        <v>T 6 3/4 05/31/93</v>
        <stp/>
        <stp>##V3_BDPV12</stp>
        <stp>912827A9 Govt</stp>
        <stp>SECURITY_NAME</stp>
        <stp>[TREASURY.xlsx]Sheet1!R1548C16</stp>
        <tr r="P1548" s="1"/>
      </tp>
      <tp t="s">
        <v>T 7 7/8 08/15/01</v>
        <stp/>
        <stp>##V3_BDPV12</stp>
        <stp>912827B9 Govt</stp>
        <stp>SECURITY_NAME</stp>
        <stp>[TREASURY.xlsx]Sheet1!R1552C16</stp>
        <tr r="P1552" s="1"/>
      </tp>
      <tp t="s">
        <v>T 6 11/15/94</v>
        <stp/>
        <stp>##V3_BDPV12</stp>
        <stp>912827C9 Govt</stp>
        <stp>SECURITY_NAME</stp>
        <stp>[TREASURY.xlsx]Sheet1!R1556C16</stp>
        <tr r="P1556" s="1"/>
      </tp>
      <tp t="s">
        <v>#N/A Field Not Applicable</v>
        <stp/>
        <stp>##V3_BDPV12</stp>
        <stp>912828G6 Govt</stp>
        <stp>IDX_RATIO</stp>
        <stp>[TREASURY.xlsx]Sheet1!R966C20</stp>
        <tr r="T966" s="1"/>
      </tp>
      <tp t="s">
        <v>T 5 1/2 09/30/97</v>
        <stp/>
        <stp>##V3_BDPV12</stp>
        <stp>912827G9 Govt</stp>
        <stp>SECURITY_NAME</stp>
        <stp>[TREASURY.xlsx]Sheet1!R1486C16</stp>
        <tr r="P1486" s="1"/>
      </tp>
      <tp t="s">
        <v>T 4 5/8 02/29/96</v>
        <stp/>
        <stp>##V3_BDPV12</stp>
        <stp>912827N9 Govt</stp>
        <stp>SECURITY_NAME</stp>
        <stp>[TREASURY.xlsx]Sheet1!R1330C16</stp>
        <tr r="P1330" s="1"/>
      </tp>
      <tp t="s">
        <v>T 5 7/8 05/31/96</v>
        <stp/>
        <stp>##V3_BDPV12</stp>
        <stp>912827P9 Govt</stp>
        <stp>SECURITY_NAME</stp>
        <stp>[TREASURY.xlsx]Sheet1!R1339C16</stp>
        <tr r="P1339" s="1"/>
      </tp>
      <tp t="s">
        <v>T 5 3/8 04/30/94</v>
        <stp/>
        <stp>##V3_BDPV12</stp>
        <stp>912827E9 Govt</stp>
        <stp>SECURITY_NAME</stp>
        <stp>[TREASURY.xlsx]Sheet1!R1372C16</stp>
        <tr r="P1372" s="1"/>
      </tp>
      <tp t="s">
        <v>T 4 5/8 12/31/94</v>
        <stp/>
        <stp>##V3_BDPV12</stp>
        <stp>912827H9 Govt</stp>
        <stp>SECURITY_NAME</stp>
        <stp>[TREASURY.xlsx]Sheet1!R1375C16</stp>
        <tr r="P1375" s="1"/>
      </tp>
      <tp t="s">
        <v>T 5 1/8 02/28/98</v>
        <stp/>
        <stp>##V3_BDPV12</stp>
        <stp>912827J9 Govt</stp>
        <stp>SECURITY_NAME</stp>
        <stp>[TREASURY.xlsx]Sheet1!R1376C16</stp>
        <tr r="P1376" s="1"/>
      </tp>
      <tp t="s">
        <v>T 1 02/15/18</v>
        <stp/>
        <stp>##V3_BDPV12</stp>
        <stp>912828H9 Govt</stp>
        <stp>SECURITY_NAME</stp>
        <stp>[TREASURY.xlsx]Sheet1!R1243C16</stp>
        <tr r="P1243" s="1"/>
      </tp>
      <tp t="s">
        <v>T 4 1/8 05/31/95</v>
        <stp/>
        <stp>##V3_BDPV12</stp>
        <stp>912827K9 Govt</stp>
        <stp>SECURITY_NAME</stp>
        <stp>[TREASURY.xlsx]Sheet1!R1160C16</stp>
        <tr r="P1160" s="1"/>
      </tp>
      <tp t="s">
        <v>T 4 1/4 11/30/95</v>
        <stp/>
        <stp>##V3_BDPV12</stp>
        <stp>912827M9 Govt</stp>
        <stp>SECURITY_NAME</stp>
        <stp>[TREASURY.xlsx]Sheet1!R1166C16</stp>
        <tr r="P1166" s="1"/>
      </tp>
      <tp t="s">
        <v>T 6 3/8 07/15/99</v>
        <stp/>
        <stp>##V3_BDPV12</stp>
        <stp>912827F9 Govt</stp>
        <stp>SECURITY_NAME</stp>
        <stp>[TREASURY.xlsx]Sheet1!R1155C16</stp>
        <tr r="P1155" s="1"/>
      </tp>
      <tp t="s">
        <v>#N/A Field Not Applicable</v>
        <stp/>
        <stp>##V3_BDPV12</stp>
        <stp>912828G8 Govt</stp>
        <stp>IDX_RATIO</stp>
        <stp>[TREASURY.xlsx]Sheet1!R209C20</stp>
        <tr r="T209" s="1"/>
      </tp>
      <tp t="s">
        <v>#N/A Field Not Applicable</v>
        <stp/>
        <stp>##V3_BDPV12</stp>
        <stp>912828GS Govt</stp>
        <stp>IDX_RATIO</stp>
        <stp>[TREASURY.xlsx]Sheet1!R615C20</stp>
        <tr r="T615" s="1"/>
      </tp>
      <tp t="s">
        <v>#N/A Field Not Applicable</v>
        <stp/>
        <stp>##V3_BDPV12</stp>
        <stp>912828GQ Govt</stp>
        <stp>IDX_RATIO</stp>
        <stp>[TREASURY.xlsx]Sheet1!R672C20</stp>
        <tr r="T672" s="1"/>
      </tp>
      <tp t="s">
        <v>#N/A Field Not Applicable</v>
        <stp/>
        <stp>##V3_BDPV12</stp>
        <stp>912828GR Govt</stp>
        <stp>IDX_RATIO</stp>
        <stp>[TREASURY.xlsx]Sheet1!R504C20</stp>
        <tr r="T504" s="1"/>
      </tp>
      <tp t="s">
        <v>#N/A Field Not Applicable</v>
        <stp/>
        <stp>##V3_BDPV12</stp>
        <stp>912828GU Govt</stp>
        <stp>IDX_RATIO</stp>
        <stp>[TREASURY.xlsx]Sheet1!R848C20</stp>
        <tr r="T848" s="1"/>
      </tp>
      <tp t="s">
        <v>#N/A Field Not Applicable</v>
        <stp/>
        <stp>##V3_BDPV12</stp>
        <stp>912828GT Govt</stp>
        <stp>IDX_RATIO</stp>
        <stp>[TREASURY.xlsx]Sheet1!R804C20</stp>
        <tr r="T804" s="1"/>
      </tp>
      <tp t="s">
        <v>#N/A Field Not Applicable</v>
        <stp/>
        <stp>##V3_BDPV12</stp>
        <stp>912828GV Govt</stp>
        <stp>IDX_RATIO</stp>
        <stp>[TREASURY.xlsx]Sheet1!R805C20</stp>
        <tr r="T805" s="1"/>
      </tp>
      <tp t="s">
        <v>#N/A Field Not Applicable</v>
        <stp/>
        <stp>##V3_BDPV12</stp>
        <stp>912828GP Govt</stp>
        <stp>IDX_RATIO</stp>
        <stp>[TREASURY.xlsx]Sheet1!R803C20</stp>
        <tr r="T803" s="1"/>
      </tp>
      <tp t="s">
        <v>#N/A Field Not Applicable</v>
        <stp/>
        <stp>##V3_BDPV12</stp>
        <stp>912828GL Govt</stp>
        <stp>IDX_RATIO</stp>
        <stp>[TREASURY.xlsx]Sheet1!R847C20</stp>
        <tr r="T847" s="1"/>
      </tp>
      <tp t="s">
        <v>#N/A Field Not Applicable</v>
        <stp/>
        <stp>##V3_BDPV12</stp>
        <stp>912828GJ Govt</stp>
        <stp>IDX_RATIO</stp>
        <stp>[TREASURY.xlsx]Sheet1!R802C20</stp>
        <tr r="T802" s="1"/>
      </tp>
      <tp t="s">
        <v>#N/A Field Not Applicable</v>
        <stp/>
        <stp>##V3_BDPV12</stp>
        <stp>912828GG Govt</stp>
        <stp>IDX_RATIO</stp>
        <stp>[TREASURY.xlsx]Sheet1!R967C20</stp>
        <tr r="T967" s="1"/>
      </tp>
      <tp t="s">
        <v>#N/A Field Not Applicable</v>
        <stp/>
        <stp>##V3_BDPV12</stp>
        <stp>912828GM Govt</stp>
        <stp>IDX_RATIO</stp>
        <stp>[TREASURY.xlsx]Sheet1!R379C20</stp>
        <tr r="T379" s="1"/>
      </tp>
      <tp t="s">
        <v>#N/A Field Not Applicable</v>
        <stp/>
        <stp>##V3_BDPV12</stp>
        <stp>912828GA Govt</stp>
        <stp>IDX_RATIO</stp>
        <stp>[TREASURY.xlsx]Sheet1!R801C20</stp>
        <tr r="T801" s="1"/>
      </tp>
      <tp t="s">
        <v>ACT/ACT</v>
        <stp/>
        <stp>##V3_BDPV12</stp>
        <stp>912810SW Govt</stp>
        <stp>DAY_CNT_DES</stp>
        <stp>[TREASURY.xlsx]Sheet1!R44C17</stp>
        <tr r="Q44" s="1"/>
      </tp>
      <tp t="s">
        <v>ACT/ACT</v>
        <stp/>
        <stp>##V3_BDPV12</stp>
        <stp>91282CBW Govt</stp>
        <stp>DAY_CNT_DES</stp>
        <stp>[TREASURY.xlsx]Sheet1!R29C17</stp>
        <tr r="Q29" s="1"/>
      </tp>
      <tp t="s">
        <v>ACT/ACT</v>
        <stp/>
        <stp>##V3_BDPV12</stp>
        <stp>9128283W Govt</stp>
        <stp>DAY_CNT_DES</stp>
        <stp>[TREASURY.xlsx]Sheet1!R68C17</stp>
        <tr r="Q68" s="1"/>
      </tp>
      <tp>
        <v>1.5</v>
        <stp/>
        <stp>##V3_BDPV12</stp>
        <stp>912828Z9 Govt</stp>
        <stp>CPN</stp>
        <stp>[TREASURY.xlsx]Sheet1!R25C3</stp>
        <tr r="C25" s="1"/>
      </tp>
      <tp>
        <v>2.375</v>
        <stp/>
        <stp>##V3_BDPV12</stp>
        <stp>912828X8 Govt</stp>
        <stp>CPN</stp>
        <stp>[TREASURY.xlsx]Sheet1!R97C3</stp>
        <tr r="C97" s="1"/>
      </tp>
      <tp>
        <v>0.75</v>
        <stp/>
        <stp>##V3_BDPV12</stp>
        <stp>91282CCW Govt</stp>
        <stp>CPN</stp>
        <stp>[TREASURY.xlsx]Sheet1!R4C3</stp>
        <tr r="C4" s="1"/>
      </tp>
      <tp>
        <v>0.71043426332693649</v>
        <stp/>
        <stp>##V3_BDPV12</stp>
        <stp>912828ZT Govt</stp>
        <stp>YLD_YTM_BID</stp>
        <stp>[TREASURY.xlsx]Sheet1!R85C4</stp>
        <tr r="D85" s="1"/>
      </tp>
      <tp>
        <v>1.625</v>
        <stp/>
        <stp>##V3_BDPV12</stp>
        <stp>912828YQ Govt</stp>
        <stp>CPN</stp>
        <stp>[TREASURY.xlsx]Sheet1!R87C3</stp>
        <tr r="C87" s="1"/>
      </tp>
      <tp>
        <v>1.5</v>
        <stp/>
        <stp>##V3_BDPV12</stp>
        <stp>912828H8 Govt</stp>
        <stp>CPN</stp>
        <stp>[TREASURY.xlsx]Sheet1!R247C3</stp>
        <tr r="C247" s="1"/>
      </tp>
      <tp>
        <v>1.625</v>
        <stp/>
        <stp>##V3_BDPV12</stp>
        <stp>912828C6 Govt</stp>
        <stp>CPN</stp>
        <stp>[TREASURY.xlsx]Sheet1!R349C3</stp>
        <tr r="C349" s="1"/>
      </tp>
      <tp>
        <v>1.375</v>
        <stp/>
        <stp>##V3_BDPV12</stp>
        <stp>912828Q7 Govt</stp>
        <stp>CPN</stp>
        <stp>[TREASURY.xlsx]Sheet1!R378C3</stp>
        <tr r="C378" s="1"/>
      </tp>
      <tp>
        <v>2.25</v>
        <stp/>
        <stp>##V3_BDPV12</stp>
        <stp>912828V8 Govt</stp>
        <stp>CPN</stp>
        <stp>[TREASURY.xlsx]Sheet1!R307C3</stp>
        <tr r="C307" s="1"/>
      </tp>
      <tp>
        <v>4.75</v>
        <stp/>
        <stp>##V3_BDPV12</stp>
        <stp>912827M6 Govt</stp>
        <stp>CPN</stp>
        <stp>[TREASURY.xlsx]Sheet1!R719C3</stp>
        <tr r="C719" s="1"/>
      </tp>
      <tp>
        <v>6.875</v>
        <stp/>
        <stp>##V3_BDPV12</stp>
        <stp>912827S9 Govt</stp>
        <stp>CPN</stp>
        <stp>[TREASURY.xlsx]Sheet1!R746C3</stp>
        <tr r="C746" s="1"/>
      </tp>
      <tp t="s">
        <v>#N/A N/A</v>
        <stp/>
        <stp>##V3_BDPV12</stp>
        <stp>912827N6 Govt</stp>
        <stp>YLD_YTM_BID</stp>
        <stp>[TREASURY.xlsx]Sheet1!R728C4</stp>
        <tr r="D728" s="1"/>
      </tp>
      <tp t="s">
        <v>#N/A N/A</v>
        <stp/>
        <stp>##V3_BDPV12</stp>
        <stp>912828R9 Govt</stp>
        <stp>YLD_YTM_BID</stp>
        <stp>[TREASURY.xlsx]Sheet1!R437C4</stp>
        <tr r="D437" s="1"/>
      </tp>
      <tp>
        <v>1.0460141920166515</v>
        <stp/>
        <stp>##V3_BDPV12</stp>
        <stp>912828V9 Govt</stp>
        <stp>YLD_YTM_BID</stp>
        <stp>[TREASURY.xlsx]Sheet1!R127C4</stp>
        <tr r="D127" s="1"/>
      </tp>
      <tp>
        <v>0.9422586992484081</v>
        <stp/>
        <stp>##V3_BDPV12</stp>
        <stp>912828Y9 Govt</stp>
        <stp>YLD_YTM_BID</stp>
        <stp>[TREASURY.xlsx]Sheet1!R157C4</stp>
        <tr r="D157" s="1"/>
      </tp>
      <tp>
        <v>1.0337161375069521</v>
        <stp/>
        <stp>##V3_BDPV12</stp>
        <stp>912828Z7 Govt</stp>
        <stp>YLD_YTM_BID</stp>
        <stp>[TREASURY.xlsx]Sheet1!R169C4</stp>
        <tr r="D169" s="1"/>
      </tp>
      <tp>
        <v>0.17573127147299514</v>
        <stp/>
        <stp>##V3_BDPV12</stp>
        <stp>912828P7 Govt</stp>
        <stp>YLD_YTM_BID</stp>
        <stp>[TREASURY.xlsx]Sheet1!R309C4</stp>
        <tr r="D309" s="1"/>
      </tp>
      <tp>
        <v>0.16559871577603127</v>
        <stp/>
        <stp>##V3_BDPV12</stp>
        <stp>912828Z8 Govt</stp>
        <stp>YLD_YTM_BID</stp>
        <stp>[TREASURY.xlsx]Sheet1!R236C4</stp>
        <tr r="D236" s="1"/>
      </tp>
      <tp t="s">
        <v>10/31/2021</v>
        <stp/>
        <stp>##V3_BDPV12</stp>
        <stp>91282CBX Govt</stp>
        <stp>FIRST_CPN_DT</stp>
        <stp>[TREASURY.xlsx]Sheet1!R72C9</stp>
        <tr r="I72" s="1"/>
      </tp>
      <tp t="s">
        <v>3/31/2022</v>
        <stp/>
        <stp>##V3_BDPV12</stp>
        <stp>91282CCY Govt</stp>
        <stp>FIRST_CPN_DT</stp>
        <stp>[TREASURY.xlsx]Sheet1!R13C9</stp>
        <tr r="I13" s="1"/>
      </tp>
      <tp t="s">
        <v>2/15/2018</v>
        <stp/>
        <stp>##V3_BDPV12</stp>
        <stp>9128282R Govt</stp>
        <stp>FIRST_CPN_DT</stp>
        <stp>[TREASURY.xlsx]Sheet1!R98C9</stp>
        <tr r="I98" s="1"/>
      </tp>
      <tp>
        <v>9.7373952354603194E-2</v>
        <stp/>
        <stp>##V3_BDPV12</stp>
        <stp>912828YF Govt</stp>
        <stp>YLD_YTM_BID</stp>
        <stp>[TREASURY.xlsx]Sheet1!R76C4</stp>
        <tr r="D76" s="1"/>
      </tp>
      <tp>
        <v>1.125</v>
        <stp/>
        <stp>##V3_BDPV12</stp>
        <stp>912828ZC Govt</stp>
        <stp>CPN</stp>
        <stp>[TREASURY.xlsx]Sheet1!R74C3</stp>
        <tr r="C74" s="1"/>
      </tp>
      <tp>
        <v>1.3786698380348552</v>
        <stp/>
        <stp>##V3_BDPV12</stp>
        <stp>912828YB Govt</stp>
        <stp>YLD_YTM_BID</stp>
        <stp>[TREASURY.xlsx]Sheet1!R26C4</stp>
        <tr r="D26" s="1"/>
      </tp>
      <tp t="s">
        <v>#N/A Field Not Applicable</v>
        <stp/>
        <stp>##V3_BDPV12</stp>
        <stp>912827F2 Govt</stp>
        <stp>IDX_RATIO</stp>
        <stp>[TREASURY.xlsx]Sheet1!R663C20</stp>
        <tr r="T663" s="1"/>
      </tp>
      <tp t="s">
        <v>#N/A Field Not Applicable</v>
        <stp/>
        <stp>##V3_BDPV12</stp>
        <stp>912828F3 Govt</stp>
        <stp>IDX_RATIO</stp>
        <stp>[TREASURY.xlsx]Sheet1!R406C20</stp>
        <tr r="T406" s="1"/>
      </tp>
      <tp t="s">
        <v>ACT/ACT</v>
        <stp/>
        <stp>##V3_BDPV12</stp>
        <stp>91282CBZ Govt</stp>
        <stp>DAY_CNT_DES</stp>
        <stp>[TREASURY.xlsx]Sheet1!R126C17</stp>
        <tr r="Q126" s="1"/>
      </tp>
      <tp t="s">
        <v>ACT/ACT</v>
        <stp/>
        <stp>##V3_BDPV12</stp>
        <stp>91282CBJ Govt</stp>
        <stp>DAY_CNT_DES</stp>
        <stp>[TREASURY.xlsx]Sheet1!R123C17</stp>
        <tr r="Q123" s="1"/>
      </tp>
      <tp t="s">
        <v>ACT/ACT</v>
        <stp/>
        <stp>##V3_BDPV12</stp>
        <stp>91282CAW Govt</stp>
        <stp>DAY_CNT_DES</stp>
        <stp>[TREASURY.xlsx]Sheet1!R109C17</stp>
        <tr r="Q109" s="1"/>
      </tp>
      <tp t="s">
        <v>ACT/ACT</v>
        <stp/>
        <stp>##V3_BDPV12</stp>
        <stp>91282CAU Govt</stp>
        <stp>DAY_CNT_DES</stp>
        <stp>[TREASURY.xlsx]Sheet1!R102C17</stp>
        <tr r="Q102" s="1"/>
      </tp>
      <tp t="s">
        <v>ACT/ACT</v>
        <stp/>
        <stp>##V3_BDPV12</stp>
        <stp>91282CBM Govt</stp>
        <stp>DAY_CNT_DES</stp>
        <stp>[TREASURY.xlsx]Sheet1!R107C17</stp>
        <tr r="Q107" s="1"/>
      </tp>
      <tp t="s">
        <v>ACT/ACT</v>
        <stp/>
        <stp>##V3_BDPV12</stp>
        <stp>91282CAG Govt</stp>
        <stp>DAY_CNT_DES</stp>
        <stp>[TREASURY.xlsx]Sheet1!R133C17</stp>
        <tr r="Q133" s="1"/>
      </tp>
      <tp t="s">
        <v>ACT/ACT</v>
        <stp/>
        <stp>##V3_BDPV12</stp>
        <stp>91282CAD Govt</stp>
        <stp>DAY_CNT_DES</stp>
        <stp>[TREASURY.xlsx]Sheet1!R132C17</stp>
        <tr r="Q132" s="1"/>
      </tp>
      <tp t="s">
        <v>ACT/ACT</v>
        <stp/>
        <stp>##V3_BDPV12</stp>
        <stp>91282CBB Govt</stp>
        <stp>DAY_CNT_DES</stp>
        <stp>[TREASURY.xlsx]Sheet1!R114C17</stp>
        <tr r="Q114" s="1"/>
      </tp>
      <tp t="s">
        <v>ACT/ACT</v>
        <stp/>
        <stp>##V3_BDPV12</stp>
        <stp>91282CBE Govt</stp>
        <stp>DAY_CNT_DES</stp>
        <stp>[TREASURY.xlsx]Sheet1!R115C17</stp>
        <tr r="Q115" s="1"/>
      </tp>
      <tp t="s">
        <v>ACT/ACT</v>
        <stp/>
        <stp>##V3_BDPV12</stp>
        <stp>91282CAC Govt</stp>
        <stp>DAY_CNT_DES</stp>
        <stp>[TREASURY.xlsx]Sheet1!R120C17</stp>
        <tr r="Q120" s="1"/>
      </tp>
      <tp t="s">
        <v>ACT/ACT</v>
        <stp/>
        <stp>##V3_BDPV12</stp>
        <stp>91282CAP Govt</stp>
        <stp>DAY_CNT_DES</stp>
        <stp>[TREASURY.xlsx]Sheet1!R151C17</stp>
        <tr r="Q151" s="1"/>
      </tp>
      <tp t="s">
        <v>ACT/ACT</v>
        <stp/>
        <stp>##V3_BDPV12</stp>
        <stp>91282CAY Govt</stp>
        <stp>DAY_CNT_DES</stp>
        <stp>[TREASURY.xlsx]Sheet1!R144C17</stp>
        <tr r="Q144" s="1"/>
      </tp>
      <tp t="s">
        <v>ACT/ACT</v>
        <stp/>
        <stp>##V3_BDPV12</stp>
        <stp>91282CAL Govt</stp>
        <stp>DAY_CNT_DES</stp>
        <stp>[TREASURY.xlsx]Sheet1!R142C17</stp>
        <tr r="Q142" s="1"/>
      </tp>
      <tp t="s">
        <v>ACT/ACT</v>
        <stp/>
        <stp>##V3_BDPV12</stp>
        <stp>91282CAH Govt</stp>
        <stp>DAY_CNT_DES</stp>
        <stp>[TREASURY.xlsx]Sheet1!R167C17</stp>
        <tr r="Q167" s="1"/>
      </tp>
      <tp t="s">
        <v>ACT/ACT</v>
        <stp/>
        <stp>##V3_BDPV12</stp>
        <stp>91282CAF Govt</stp>
        <stp>DAY_CNT_DES</stp>
        <stp>[TREASURY.xlsx]Sheet1!R195C17</stp>
        <tr r="Q195" s="1"/>
      </tp>
      <tp t="s">
        <v>#N/A Field Not Applicable</v>
        <stp/>
        <stp>##V3_BDPV12</stp>
        <stp>912828F2 Govt</stp>
        <stp>IDX_RATIO</stp>
        <stp>[TREASURY.xlsx]Sheet1!R207C20</stp>
        <tr r="T207" s="1"/>
      </tp>
      <tp t="s">
        <v>#N/A Field Not Applicable</v>
        <stp/>
        <stp>##V3_BDPV12</stp>
        <stp>912828F6 Govt</stp>
        <stp>IDX_RATIO</stp>
        <stp>[TREASURY.xlsx]Sheet1!R411C20</stp>
        <tr r="T411" s="1"/>
      </tp>
      <tp t="s">
        <v>T 7 1/4 08/15/04</v>
        <stp/>
        <stp>##V3_BDPV12</stp>
        <stp>912827Q8 Govt</stp>
        <stp>SECURITY_NAME</stp>
        <stp>[TREASURY.xlsx]Sheet1!R1572C16</stp>
        <tr r="P1572" s="1"/>
      </tp>
      <tp t="s">
        <v>T 7 04/15/99</v>
        <stp/>
        <stp>##V3_BDPV12</stp>
        <stp>912827E8 Govt</stp>
        <stp>SECURITY_NAME</stp>
        <stp>[TREASURY.xlsx]Sheet1!R1558C16</stp>
        <tr r="P1558" s="1"/>
      </tp>
      <tp t="s">
        <v>T 7 1/2 02/15/05</v>
        <stp/>
        <stp>##V3_BDPV12</stp>
        <stp>912827S8 Govt</stp>
        <stp>SECURITY_NAME</stp>
        <stp>[TREASURY.xlsx]Sheet1!R1586C16</stp>
        <tr r="P1586" s="1"/>
      </tp>
      <tp t="s">
        <v>T 6 7/8 08/15/94</v>
        <stp/>
        <stp>##V3_BDPV12</stp>
        <stp>912827B8 Govt</stp>
        <stp>SECURITY_NAME</stp>
        <stp>[TREASURY.xlsx]Sheet1!R1478C16</stp>
        <tr r="P1478" s="1"/>
      </tp>
      <tp t="s">
        <v>T 6 7/8 10/31/96</v>
        <stp/>
        <stp>##V3_BDPV12</stp>
        <stp>912827C8 Govt</stp>
        <stp>SECURITY_NAME</stp>
        <stp>[TREASURY.xlsx]Sheet1!R1482C16</stp>
        <tr r="P1482" s="1"/>
      </tp>
      <tp t="s">
        <v>T 4 7/8 01/31/94</v>
        <stp/>
        <stp>##V3_BDPV12</stp>
        <stp>912827D8 Govt</stp>
        <stp>SECURITY_NAME</stp>
        <stp>[TREASURY.xlsx]Sheet1!R1485C16</stp>
        <tr r="P1485" s="1"/>
      </tp>
      <tp t="s">
        <v>T 6 11/30/97</v>
        <stp/>
        <stp>##V3_BDPV12</stp>
        <stp>912827H8 Govt</stp>
        <stp>SECURITY_NAME</stp>
        <stp>[TREASURY.xlsx]Sheet1!R1487C16</stp>
        <tr r="P1487" s="1"/>
      </tp>
      <tp t="s">
        <v>T 7 1/4 05/15/04</v>
        <stp/>
        <stp>##V3_BDPV12</stp>
        <stp>912827P8 Govt</stp>
        <stp>SECURITY_NAME</stp>
        <stp>[TREASURY.xlsx]Sheet1!R1492C16</stp>
        <tr r="P1492" s="1"/>
      </tp>
      <tp t="s">
        <v>T 5 3/4 08/15/03</v>
        <stp/>
        <stp>##V3_BDPV12</stp>
        <stp>912827L8 Govt</stp>
        <stp>SECURITY_NAME</stp>
        <stp>[TREASURY.xlsx]Sheet1!R1319C16</stp>
        <tr r="P1319" s="1"/>
      </tp>
      <tp t="s">
        <v>T 4 09/30/94</v>
        <stp/>
        <stp>##V3_BDPV12</stp>
        <stp>912827G8 Govt</stp>
        <stp>SECURITY_NAME</stp>
        <stp>[TREASURY.xlsx]Sheet1!R1374C16</stp>
        <tr r="P1374" s="1"/>
      </tp>
      <tp t="s">
        <v>T 0 3/4 10/31/18</v>
        <stp/>
        <stp>##V3_BDPV12</stp>
        <stp>912828T8 Govt</stp>
        <stp>SECURITY_NAME</stp>
        <stp>[TREASURY.xlsx]Sheet1!R1304C16</stp>
        <tr r="P1304" s="1"/>
      </tp>
      <tp t="s">
        <v>T 6 7/8 05/15/06</v>
        <stp/>
        <stp>##V3_BDPV12</stp>
        <stp>912827X8 Govt</stp>
        <stp>SECURITY_NAME</stp>
        <stp>[TREASURY.xlsx]Sheet1!R1213C16</stp>
        <tr r="P1213" s="1"/>
      </tp>
      <tp t="s">
        <v>#N/A Field Not Applicable</v>
        <stp/>
        <stp>##V3_BDPV12</stp>
        <stp>912828F9 Govt</stp>
        <stp>IDX_RATIO</stp>
        <stp>[TREASURY.xlsx]Sheet1!R199C20</stp>
        <tr r="T199" s="1"/>
      </tp>
      <tp t="s">
        <v>T 6 1/4 10/31/01</v>
        <stp/>
        <stp>##V3_BDPV12</stp>
        <stp>912827Z8 Govt</stp>
        <stp>SECURITY_NAME</stp>
        <stp>[TREASURY.xlsx]Sheet1!R1102C16</stp>
        <tr r="P1102" s="1"/>
      </tp>
      <tp t="s">
        <v>T 6 3/8 06/30/97</v>
        <stp/>
        <stp>##V3_BDPV12</stp>
        <stp>912827F8 Govt</stp>
        <stp>SECURITY_NAME</stp>
        <stp>[TREASURY.xlsx]Sheet1!R1154C16</stp>
        <tr r="P1154" s="1"/>
      </tp>
      <tp t="s">
        <v>T 6 1/2 08/15/05</v>
        <stp/>
        <stp>##V3_BDPV12</stp>
        <stp>912827U8 Govt</stp>
        <stp>SECURITY_NAME</stp>
        <stp>[TREASURY.xlsx]Sheet1!R1198C16</stp>
        <tr r="P1198" s="1"/>
      </tp>
      <tp t="s">
        <v>T 0 3/8 10/31/16</v>
        <stp/>
        <stp>##V3_BDPV12</stp>
        <stp>912828F8 Govt</stp>
        <stp>SECURITY_NAME</stp>
        <stp>[TREASURY.xlsx]Sheet1!R1118C16</stp>
        <tr r="P1118" s="1"/>
      </tp>
      <tp t="s">
        <v>T 0 7/8 10/15/18</v>
        <stp/>
        <stp>##V3_BDPV12</stp>
        <stp>912828L8 Govt</stp>
        <stp>SECURITY_NAME</stp>
        <stp>[TREASURY.xlsx]Sheet1!R1127C16</stp>
        <tr r="P1127" s="1"/>
      </tp>
      <tp t="s">
        <v>T 8 05/15/01</v>
        <stp/>
        <stp>##V3_BDPV12</stp>
        <stp>912827A8 Govt</stp>
        <stp>SECURITY_NAME</stp>
        <stp>[TREASURY.xlsx]Sheet1!R1032C16</stp>
        <tr r="P1032" s="1"/>
      </tp>
      <tp t="s">
        <v>T 3 7/8 02/28/95</v>
        <stp/>
        <stp>##V3_BDPV12</stp>
        <stp>912827J8 Govt</stp>
        <stp>SECURITY_NAME</stp>
        <stp>[TREASURY.xlsx]Sheet1!R1038C16</stp>
        <tr r="P1038" s="1"/>
      </tp>
      <tp t="s">
        <v>T 6 1/2 05/15/05</v>
        <stp/>
        <stp>##V3_BDPV12</stp>
        <stp>912827T8 Govt</stp>
        <stp>SECURITY_NAME</stp>
        <stp>[TREASURY.xlsx]Sheet1!R1071C16</stp>
        <tr r="P1071" s="1"/>
      </tp>
      <tp t="s">
        <v>#N/A Field Not Applicable</v>
        <stp/>
        <stp>##V3_BDPV12</stp>
        <stp>912828FQ Govt</stp>
        <stp>IDX_RATIO</stp>
        <stp>[TREASURY.xlsx]Sheet1!R534C20</stp>
        <tr r="T534" s="1"/>
      </tp>
      <tp t="s">
        <v>#N/A Field Not Applicable</v>
        <stp/>
        <stp>##V3_BDPV12</stp>
        <stp>912828FT Govt</stp>
        <stp>IDX_RATIO</stp>
        <stp>[TREASURY.xlsx]Sheet1!R597C20</stp>
        <tr r="T597" s="1"/>
      </tp>
      <tp t="s">
        <v>#N/A Field Not Applicable</v>
        <stp/>
        <stp>##V3_BDPV12</stp>
        <stp>912828FU Govt</stp>
        <stp>IDX_RATIO</stp>
        <stp>[TREASURY.xlsx]Sheet1!R614C20</stp>
        <tr r="T614" s="1"/>
      </tp>
      <tp t="s">
        <v>#N/A Field Not Applicable</v>
        <stp/>
        <stp>##V3_BDPV12</stp>
        <stp>912828FW Govt</stp>
        <stp>IDX_RATIO</stp>
        <stp>[TREASURY.xlsx]Sheet1!R846C20</stp>
        <tr r="T846" s="1"/>
      </tp>
      <tp t="s">
        <v>#N/A Field Not Applicable</v>
        <stp/>
        <stp>##V3_BDPV12</stp>
        <stp>912828FV Govt</stp>
        <stp>IDX_RATIO</stp>
        <stp>[TREASURY.xlsx]Sheet1!R845C20</stp>
        <tr r="T845" s="1"/>
      </tp>
      <tp t="s">
        <v>#N/A Field Not Applicable</v>
        <stp/>
        <stp>##V3_BDPV12</stp>
        <stp>912828FS Govt</stp>
        <stp>IDX_RATIO</stp>
        <stp>[TREASURY.xlsx]Sheet1!R800C20</stp>
        <tr r="T800" s="1"/>
      </tp>
      <tp t="s">
        <v>#N/A Field Not Applicable</v>
        <stp/>
        <stp>##V3_BDPV12</stp>
        <stp>912828FY Govt</stp>
        <stp>IDX_RATIO</stp>
        <stp>[TREASURY.xlsx]Sheet1!R394C20</stp>
        <tr r="T394" s="1"/>
      </tp>
      <tp t="s">
        <v>ACT/ACT</v>
        <stp/>
        <stp>##V3_BDPV12</stp>
        <stp>912827YR Govt</stp>
        <stp>DAY_CNT_DES</stp>
        <stp>[TREASURY.xlsx]Sheet1!R684C17</stp>
        <tr r="Q684" s="1"/>
      </tp>
      <tp t="s">
        <v>ACT/ACT</v>
        <stp/>
        <stp>##V3_BDPV12</stp>
        <stp>912827ZN Govt</stp>
        <stp>DAY_CNT_DES</stp>
        <stp>[TREASURY.xlsx]Sheet1!R685C17</stp>
        <tr r="Q685" s="1"/>
      </tp>
      <tp t="s">
        <v>ACT/ACT</v>
        <stp/>
        <stp>##V3_BDPV12</stp>
        <stp>912827VE Govt</stp>
        <stp>DAY_CNT_DES</stp>
        <stp>[TREASURY.xlsx]Sheet1!R626C17</stp>
        <tr r="Q626" s="1"/>
      </tp>
      <tp t="s">
        <v>ACT/ACT</v>
        <stp/>
        <stp>##V3_BDPV12</stp>
        <stp>912827PQ Govt</stp>
        <stp>DAY_CNT_DES</stp>
        <stp>[TREASURY.xlsx]Sheet1!R665C17</stp>
        <tr r="Q665" s="1"/>
      </tp>
      <tp t="s">
        <v>ACT/ACT</v>
        <stp/>
        <stp>##V3_BDPV12</stp>
        <stp>912827WE Govt</stp>
        <stp>DAY_CNT_DES</stp>
        <stp>[TREASURY.xlsx]Sheet1!R601C17</stp>
        <tr r="Q601" s="1"/>
      </tp>
      <tp t="s">
        <v>ACT/ACT</v>
        <stp/>
        <stp>##V3_BDPV12</stp>
        <stp>912828P2 Govt</stp>
        <stp>DAY_CNT_DES</stp>
        <stp>[TREASURY.xlsx]Sheet1!R981C17</stp>
        <tr r="Q981" s="1"/>
      </tp>
      <tp t="s">
        <v>ACT/ACT</v>
        <stp/>
        <stp>##V3_BDPV12</stp>
        <stp>912828PQ Govt</stp>
        <stp>DAY_CNT_DES</stp>
        <stp>[TREASURY.xlsx]Sheet1!R985C17</stp>
        <tr r="Q985" s="1"/>
      </tp>
      <tp t="s">
        <v>ACT/ACT</v>
        <stp/>
        <stp>##V3_BDPV12</stp>
        <stp>912828PS Govt</stp>
        <stp>DAY_CNT_DES</stp>
        <stp>[TREASURY.xlsx]Sheet1!R986C17</stp>
        <tr r="Q986" s="1"/>
      </tp>
      <tp t="s">
        <v>ACT/ACT</v>
        <stp/>
        <stp>##V3_BDPV12</stp>
        <stp>912828PW Govt</stp>
        <stp>DAY_CNT_DES</stp>
        <stp>[TREASURY.xlsx]Sheet1!R987C17</stp>
        <tr r="Q987" s="1"/>
      </tp>
      <tp t="s">
        <v>ACT/ACT</v>
        <stp/>
        <stp>##V3_BDPV12</stp>
        <stp>912828QQ Govt</stp>
        <stp>DAY_CNT_DES</stp>
        <stp>[TREASURY.xlsx]Sheet1!R991C17</stp>
        <tr r="Q991" s="1"/>
      </tp>
      <tp t="s">
        <v>ACT/ACT</v>
        <stp/>
        <stp>##V3_BDPV12</stp>
        <stp>912828QS Govt</stp>
        <stp>DAY_CNT_DES</stp>
        <stp>[TREASURY.xlsx]Sheet1!R992C17</stp>
        <tr r="Q992" s="1"/>
      </tp>
      <tp t="s">
        <v>ACT/ACT</v>
        <stp/>
        <stp>##V3_BDPV12</stp>
        <stp>912828PL Govt</stp>
        <stp>DAY_CNT_DES</stp>
        <stp>[TREASURY.xlsx]Sheet1!R983C17</stp>
        <tr r="Q983" s="1"/>
      </tp>
      <tp t="s">
        <v>ACT/ACT</v>
        <stp/>
        <stp>##V3_BDPV12</stp>
        <stp>912828PK Govt</stp>
        <stp>DAY_CNT_DES</stp>
        <stp>[TREASURY.xlsx]Sheet1!R982C17</stp>
        <tr r="Q982" s="1"/>
      </tp>
      <tp t="s">
        <v>ACT/ACT</v>
        <stp/>
        <stp>##V3_BDPV12</stp>
        <stp>912828PN Govt</stp>
        <stp>DAY_CNT_DES</stp>
        <stp>[TREASURY.xlsx]Sheet1!R984C17</stp>
        <tr r="Q984" s="1"/>
      </tp>
      <tp t="s">
        <v>ACT/ACT</v>
        <stp/>
        <stp>##V3_BDPV12</stp>
        <stp>912828QG Govt</stp>
        <stp>DAY_CNT_DES</stp>
        <stp>[TREASURY.xlsx]Sheet1!R990C17</stp>
        <tr r="Q990" s="1"/>
      </tp>
      <tp t="s">
        <v>ACT/ACT</v>
        <stp/>
        <stp>##V3_BDPV12</stp>
        <stp>912827ZH Govt</stp>
        <stp>DAY_CNT_DES</stp>
        <stp>[TREASURY.xlsx]Sheet1!R634C17</stp>
        <tr r="Q634" s="1"/>
      </tp>
      <tp t="s">
        <v>ACT/ACT</v>
        <stp/>
        <stp>##V3_BDPV12</stp>
        <stp>912828QE Govt</stp>
        <stp>DAY_CNT_DES</stp>
        <stp>[TREASURY.xlsx]Sheet1!R989C17</stp>
        <tr r="Q989" s="1"/>
      </tp>
      <tp t="s">
        <v>ACT/ACT</v>
        <stp/>
        <stp>##V3_BDPV12</stp>
        <stp>912828QB Govt</stp>
        <stp>DAY_CNT_DES</stp>
        <stp>[TREASURY.xlsx]Sheet1!R988C17</stp>
        <tr r="Q988" s="1"/>
      </tp>
      <tp t="s">
        <v>ACT/ACT</v>
        <stp/>
        <stp>##V3_BDPV12</stp>
        <stp>912828SP Govt</stp>
        <stp>DAY_CNT_DES</stp>
        <stp>[TREASURY.xlsx]Sheet1!R995C17</stp>
        <tr r="Q995" s="1"/>
      </tp>
      <tp t="s">
        <v>ACT/ACT</v>
        <stp/>
        <stp>##V3_BDPV12</stp>
        <stp>912828SS Govt</stp>
        <stp>DAY_CNT_DES</stp>
        <stp>[TREASURY.xlsx]Sheet1!R996C17</stp>
        <tr r="Q996" s="1"/>
      </tp>
      <tp t="s">
        <v>ACT/ACT</v>
        <stp/>
        <stp>##V3_BDPV12</stp>
        <stp>912828RQ Govt</stp>
        <stp>DAY_CNT_DES</stp>
        <stp>[TREASURY.xlsx]Sheet1!R994C17</stp>
        <tr r="Q994" s="1"/>
      </tp>
      <tp t="s">
        <v>ACT/ACT</v>
        <stp/>
        <stp>##V3_BDPV12</stp>
        <stp>912828RJ Govt</stp>
        <stp>DAY_CNT_DES</stp>
        <stp>[TREASURY.xlsx]Sheet1!R993C17</stp>
        <tr r="Q993" s="1"/>
      </tp>
      <tp t="s">
        <v>ACT/ACT</v>
        <stp/>
        <stp>##V3_BDPV12</stp>
        <stp>912828UJ Govt</stp>
        <stp>DAY_CNT_DES</stp>
        <stp>[TREASURY.xlsx]Sheet1!R999C17</stp>
        <tr r="Q999" s="1"/>
      </tp>
      <tp t="s">
        <v>ACT/ACT</v>
        <stp/>
        <stp>##V3_BDPV12</stp>
        <stp>912828TP Govt</stp>
        <stp>DAY_CNT_DES</stp>
        <stp>[TREASURY.xlsx]Sheet1!R998C17</stp>
        <tr r="Q998" s="1"/>
      </tp>
      <tp t="s">
        <v>ACT/ACT</v>
        <stp/>
        <stp>##V3_BDPV12</stp>
        <stp>912828TF Govt</stp>
        <stp>DAY_CNT_DES</stp>
        <stp>[TREASURY.xlsx]Sheet1!R997C17</stp>
        <tr r="Q997" s="1"/>
      </tp>
      <tp t="s">
        <v>ACT/ACT</v>
        <stp/>
        <stp>##V3_BDPV12</stp>
        <stp>912827F2 Govt</stp>
        <stp>DAY_CNT_DES</stp>
        <stp>[TREASURY.xlsx]Sheet1!R663C17</stp>
        <tr r="Q663" s="1"/>
      </tp>
      <tp t="s">
        <v>ACT/ACT</v>
        <stp/>
        <stp>##V3_BDPV12</stp>
        <stp>912828G6 Govt</stp>
        <stp>DAY_CNT_DES</stp>
        <stp>[TREASURY.xlsx]Sheet1!R966C17</stp>
        <tr r="Q966" s="1"/>
      </tp>
      <tp t="s">
        <v>ACT/ACT</v>
        <stp/>
        <stp>##V3_BDPV12</stp>
        <stp>912828GG Govt</stp>
        <stp>DAY_CNT_DES</stp>
        <stp>[TREASURY.xlsx]Sheet1!R967C17</stp>
        <tr r="Q967" s="1"/>
      </tp>
      <tp t="s">
        <v>ACT/ACT</v>
        <stp/>
        <stp>##V3_BDPV12</stp>
        <stp>912828D4 Govt</stp>
        <stp>DAY_CNT_DES</stp>
        <stp>[TREASURY.xlsx]Sheet1!R961C17</stp>
        <tr r="Q961" s="1"/>
      </tp>
      <tp t="s">
        <v>ACT/ACT</v>
        <stp/>
        <stp>##V3_BDPV12</stp>
        <stp>912828DN Govt</stp>
        <stp>DAY_CNT_DES</stp>
        <stp>[TREASURY.xlsx]Sheet1!R963C17</stp>
        <tr r="Q963" s="1"/>
      </tp>
      <tp t="s">
        <v>ACT/ACT</v>
        <stp/>
        <stp>##V3_BDPV12</stp>
        <stp>912828DL Govt</stp>
        <stp>DAY_CNT_DES</stp>
        <stp>[TREASURY.xlsx]Sheet1!R962C17</stp>
        <tr r="Q962" s="1"/>
      </tp>
      <tp t="s">
        <v>ACT/ACT</v>
        <stp/>
        <stp>##V3_BDPV12</stp>
        <stp>912828EP Govt</stp>
        <stp>DAY_CNT_DES</stp>
        <stp>[TREASURY.xlsx]Sheet1!R965C17</stp>
        <tr r="Q965" s="1"/>
      </tp>
      <tp t="s">
        <v>ACT/ACT</v>
        <stp/>
        <stp>##V3_BDPV12</stp>
        <stp>912827KU Govt</stp>
        <stp>DAY_CNT_DES</stp>
        <stp>[TREASURY.xlsx]Sheet1!R683C17</stp>
        <tr r="Q683" s="1"/>
      </tp>
      <tp t="s">
        <v>ACT/ACT</v>
        <stp/>
        <stp>##V3_BDPV12</stp>
        <stp>912828ED Govt</stp>
        <stp>DAY_CNT_DES</stp>
        <stp>[TREASURY.xlsx]Sheet1!R964C17</stp>
        <tr r="Q964" s="1"/>
      </tp>
      <tp t="s">
        <v>ACT/ACT</v>
        <stp/>
        <stp>##V3_BDPV12</stp>
        <stp>912828BN Govt</stp>
        <stp>DAY_CNT_DES</stp>
        <stp>[TREASURY.xlsx]Sheet1!R960C17</stp>
        <tr r="Q960" s="1"/>
      </tp>
      <tp t="s">
        <v>ACT/ACT</v>
        <stp/>
        <stp>##V3_BDPV12</stp>
        <stp>912828AB Govt</stp>
        <stp>DAY_CNT_DES</stp>
        <stp>[TREASURY.xlsx]Sheet1!R958C17</stp>
        <tr r="Q958" s="1"/>
      </tp>
      <tp t="s">
        <v>ACT/ACT</v>
        <stp/>
        <stp>##V3_BDPV12</stp>
        <stp>912828AK Govt</stp>
        <stp>DAY_CNT_DES</stp>
        <stp>[TREASURY.xlsx]Sheet1!R959C17</stp>
        <tr r="Q959" s="1"/>
      </tp>
      <tp t="s">
        <v>ACT/ACT</v>
        <stp/>
        <stp>##V3_BDPV12</stp>
        <stp>912828NX Govt</stp>
        <stp>DAY_CNT_DES</stp>
        <stp>[TREASURY.xlsx]Sheet1!R980C17</stp>
        <tr r="Q980" s="1"/>
      </tp>
      <tp t="s">
        <v>ACT/ACT</v>
        <stp/>
        <stp>##V3_BDPV12</stp>
        <stp>912828NS Govt</stp>
        <stp>DAY_CNT_DES</stp>
        <stp>[TREASURY.xlsx]Sheet1!R979C17</stp>
        <tr r="Q979" s="1"/>
      </tp>
      <tp t="s">
        <v>ACT/ACT</v>
        <stp/>
        <stp>##V3_BDPV12</stp>
        <stp>912827LF Govt</stp>
        <stp>DAY_CNT_DES</stp>
        <stp>[TREASURY.xlsx]Sheet1!R656C17</stp>
        <tr r="Q656" s="1"/>
      </tp>
      <tp t="s">
        <v>ACT/ACT</v>
        <stp/>
        <stp>##V3_BDPV12</stp>
        <stp>912828NE Govt</stp>
        <stp>DAY_CNT_DES</stp>
        <stp>[TREASURY.xlsx]Sheet1!R977C17</stp>
        <tr r="Q977" s="1"/>
      </tp>
      <tp t="s">
        <v>ACT/ACT</v>
        <stp/>
        <stp>##V3_BDPV12</stp>
        <stp>912828NK Govt</stp>
        <stp>DAY_CNT_DES</stp>
        <stp>[TREASURY.xlsx]Sheet1!R978C17</stp>
        <tr r="Q978" s="1"/>
      </tp>
      <tp t="s">
        <v>ACT/ACT</v>
        <stp/>
        <stp>##V3_BDPV12</stp>
        <stp>912828MH Govt</stp>
        <stp>DAY_CNT_DES</stp>
        <stp>[TREASURY.xlsx]Sheet1!R976C17</stp>
        <tr r="Q976" s="1"/>
      </tp>
      <tp t="s">
        <v>ACT/ACT</v>
        <stp/>
        <stp>##V3_BDPV12</stp>
        <stp>912828LT Govt</stp>
        <stp>DAY_CNT_DES</stp>
        <stp>[TREASURY.xlsx]Sheet1!R975C17</stp>
        <tr r="Q975" s="1"/>
      </tp>
      <tp t="s">
        <v>ACT/ACT</v>
        <stp/>
        <stp>##V3_BDPV12</stp>
        <stp>912827KC Govt</stp>
        <stp>DAY_CNT_DES</stp>
        <stp>[TREASURY.xlsx]Sheet1!R608C17</stp>
        <tr r="Q608" s="1"/>
      </tp>
      <tp t="s">
        <v>ACT/ACT</v>
        <stp/>
        <stp>##V3_BDPV12</stp>
        <stp>912828KZ Govt</stp>
        <stp>DAY_CNT_DES</stp>
        <stp>[TREASURY.xlsx]Sheet1!R974C17</stp>
        <tr r="Q974" s="1"/>
      </tp>
      <tp t="s">
        <v>ACT/ACT</v>
        <stp/>
        <stp>##V3_BDPV12</stp>
        <stp>912828KT Govt</stp>
        <stp>DAY_CNT_DES</stp>
        <stp>[TREASURY.xlsx]Sheet1!R973C17</stp>
        <tr r="Q973" s="1"/>
      </tp>
      <tp t="s">
        <v>ACT/ACT</v>
        <stp/>
        <stp>##V3_BDPV12</stp>
        <stp>912827KS Govt</stp>
        <stp>DAY_CNT_DES</stp>
        <stp>[TREASURY.xlsx]Sheet1!R668C17</stp>
        <tr r="Q668" s="1"/>
      </tp>
      <tp t="s">
        <v>ACT/ACT</v>
        <stp/>
        <stp>##V3_BDPV12</stp>
        <stp>912828JV Govt</stp>
        <stp>DAY_CNT_DES</stp>
        <stp>[TREASURY.xlsx]Sheet1!R972C17</stp>
        <tr r="Q972" s="1"/>
      </tp>
      <tp t="s">
        <v>ACT/ACT</v>
        <stp/>
        <stp>##V3_BDPV12</stp>
        <stp>912828JD Govt</stp>
        <stp>DAY_CNT_DES</stp>
        <stp>[TREASURY.xlsx]Sheet1!R971C17</stp>
        <tr r="Q971" s="1"/>
      </tp>
      <tp t="s">
        <v>ACT/ACT</v>
        <stp/>
        <stp>##V3_BDPV12</stp>
        <stp>912828H3 Govt</stp>
        <stp>DAY_CNT_DES</stp>
        <stp>[TREASURY.xlsx]Sheet1!R968C17</stp>
        <tr r="Q968" s="1"/>
      </tp>
      <tp t="s">
        <v>ACT/ACT</v>
        <stp/>
        <stp>##V3_BDPV12</stp>
        <stp>912828HD Govt</stp>
        <stp>DAY_CNT_DES</stp>
        <stp>[TREASURY.xlsx]Sheet1!R969C17</stp>
        <tr r="Q969" s="1"/>
      </tp>
      <tp t="s">
        <v>ACT/ACT</v>
        <stp/>
        <stp>##V3_BDPV12</stp>
        <stp>912828HF Govt</stp>
        <stp>DAY_CNT_DES</stp>
        <stp>[TREASURY.xlsx]Sheet1!R970C17</stp>
        <tr r="Q970" s="1"/>
      </tp>
      <tp t="s">
        <v>ACT/ACT</v>
        <stp/>
        <stp>##V3_BDPV12</stp>
        <stp>9128275N Govt</stp>
        <stp>DAY_CNT_DES</stp>
        <stp>[TREASURY.xlsx]Sheet1!R674C17</stp>
        <tr r="Q674" s="1"/>
      </tp>
      <tp t="s">
        <v>ACT/ACT</v>
        <stp/>
        <stp>##V3_BDPV12</stp>
        <stp>9128273Y Govt</stp>
        <stp>DAY_CNT_DES</stp>
        <stp>[TREASURY.xlsx]Sheet1!R607C17</stp>
        <tr r="Q607" s="1"/>
      </tp>
      <tp t="s">
        <v>ACT/ACT</v>
        <stp/>
        <stp>##V3_BDPV12</stp>
        <stp>9128275F Govt</stp>
        <stp>DAY_CNT_DES</stp>
        <stp>[TREASURY.xlsx]Sheet1!R662C17</stp>
        <tr r="Q662" s="1"/>
      </tp>
      <tp t="s">
        <v>ACT/ACT</v>
        <stp/>
        <stp>##V3_BDPV12</stp>
        <stp>9128274T Govt</stp>
        <stp>DAY_CNT_DES</stp>
        <stp>[TREASURY.xlsx]Sheet1!R610C17</stp>
        <tr r="Q610" s="1"/>
      </tp>
      <tp t="s">
        <v>ACT/ACT</v>
        <stp/>
        <stp>##V3_BDPV12</stp>
        <stp>9128275X Govt</stp>
        <stp>DAY_CNT_DES</stp>
        <stp>[TREASURY.xlsx]Sheet1!R633C17</stp>
        <tr r="Q633" s="1"/>
      </tp>
      <tp t="s">
        <v>ACT/ACT</v>
        <stp/>
        <stp>##V3_BDPV12</stp>
        <stp>9128282K Govt</stp>
        <stp>DAY_CNT_DES</stp>
        <stp>[TREASURY.xlsx]Sheet1!R957C17</stp>
        <tr r="Q957" s="1"/>
      </tp>
      <tp t="s">
        <v>#N/A Field Not Applicable</v>
        <stp/>
        <stp>##V3_BDPV12</stp>
        <stp>912810FG Govt</stp>
        <stp>IDX_RATIO</stp>
        <stp>[TREASURY.xlsx]Sheet1!R223C20</stp>
        <tr r="T223" s="1"/>
      </tp>
      <tp t="s">
        <v>ACT/ACT</v>
        <stp/>
        <stp>##V3_BDPV12</stp>
        <stp>912827U9 Govt</stp>
        <stp>DAY_CNT_DES</stp>
        <stp>[TREASURY.xlsx]Sheet1!R752C17</stp>
        <tr r="Q752" s="1"/>
      </tp>
      <tp t="s">
        <v>ACT/ACT</v>
        <stp/>
        <stp>##V3_BDPV12</stp>
        <stp>912828X9 Govt</stp>
        <stp>DAY_CNT_DES</stp>
        <stp>[TREASURY.xlsx]Sheet1!R882C17</stp>
        <tr r="Q882" s="1"/>
      </tp>
      <tp t="s">
        <v>ACT/ACT</v>
        <stp/>
        <stp>##V3_BDPV12</stp>
        <stp>912827U6 Govt</stp>
        <stp>DAY_CNT_DES</stp>
        <stp>[TREASURY.xlsx]Sheet1!R751C17</stp>
        <tr r="Q751" s="1"/>
      </tp>
      <tp t="s">
        <v>ACT/ACT</v>
        <stp/>
        <stp>##V3_BDPV12</stp>
        <stp>912827VY Govt</stp>
        <stp>DAY_CNT_DES</stp>
        <stp>[TREASURY.xlsx]Sheet1!R766C17</stp>
        <tr r="Q766" s="1"/>
      </tp>
      <tp t="s">
        <v>ACT/ACT</v>
        <stp/>
        <stp>##V3_BDPV12</stp>
        <stp>912828XV Govt</stp>
        <stp>DAY_CNT_DES</stp>
        <stp>[TREASURY.xlsx]Sheet1!R883C17</stp>
        <tr r="Q883" s="1"/>
      </tp>
      <tp t="s">
        <v>ACT/ACT</v>
        <stp/>
        <stp>##V3_BDPV12</stp>
        <stp>912827VR Govt</stp>
        <stp>DAY_CNT_DES</stp>
        <stp>[TREASURY.xlsx]Sheet1!R764C17</stp>
        <tr r="Q764" s="1"/>
      </tp>
      <tp t="s">
        <v>ACT/ACT</v>
        <stp/>
        <stp>##V3_BDPV12</stp>
        <stp>912827VT Govt</stp>
        <stp>DAY_CNT_DES</stp>
        <stp>[TREASURY.xlsx]Sheet1!R765C17</stp>
        <tr r="Q765" s="1"/>
      </tp>
      <tp t="s">
        <v>ACT/ACT</v>
        <stp/>
        <stp>##V3_BDPV12</stp>
        <stp>912827UT Govt</stp>
        <stp>DAY_CNT_DES</stp>
        <stp>[TREASURY.xlsx]Sheet1!R756C17</stp>
        <tr r="Q756" s="1"/>
      </tp>
      <tp t="s">
        <v>ACT/ACT</v>
        <stp/>
        <stp>##V3_BDPV12</stp>
        <stp>912827VQ Govt</stp>
        <stp>DAY_CNT_DES</stp>
        <stp>[TREASURY.xlsx]Sheet1!R763C17</stp>
        <tr r="Q763" s="1"/>
      </tp>
      <tp t="s">
        <v>ACT/ACT</v>
        <stp/>
        <stp>##V3_BDPV12</stp>
        <stp>912828RF Govt</stp>
        <stp>DAY_CNT_DES</stp>
        <stp>[TREASURY.xlsx]Sheet1!R828C17</stp>
        <tr r="Q828" s="1"/>
      </tp>
      <tp t="s">
        <v>ACT/ACT</v>
        <stp/>
        <stp>##V3_BDPV12</stp>
        <stp>912827UJ Govt</stp>
        <stp>DAY_CNT_DES</stp>
        <stp>[TREASURY.xlsx]Sheet1!R755C17</stp>
        <tr r="Q755" s="1"/>
      </tp>
      <tp t="s">
        <v>ACT/ACT</v>
        <stp/>
        <stp>##V3_BDPV12</stp>
        <stp>912827VK Govt</stp>
        <stp>DAY_CNT_DES</stp>
        <stp>[TREASURY.xlsx]Sheet1!R762C17</stp>
        <tr r="Q762" s="1"/>
      </tp>
      <tp t="s">
        <v>ACT/ACT</v>
        <stp/>
        <stp>##V3_BDPV12</stp>
        <stp>912827VG Govt</stp>
        <stp>DAY_CNT_DES</stp>
        <stp>[TREASURY.xlsx]Sheet1!R761C17</stp>
        <tr r="Q761" s="1"/>
      </tp>
      <tp t="s">
        <v>ACT/ACT</v>
        <stp/>
        <stp>##V3_BDPV12</stp>
        <stp>912827UC Govt</stp>
        <stp>DAY_CNT_DES</stp>
        <stp>[TREASURY.xlsx]Sheet1!R754C17</stp>
        <tr r="Q754" s="1"/>
      </tp>
      <tp t="s">
        <v>ACT/ACT</v>
        <stp/>
        <stp>##V3_BDPV12</stp>
        <stp>912827UB Govt</stp>
        <stp>DAY_CNT_DES</stp>
        <stp>[TREASURY.xlsx]Sheet1!R753C17</stp>
        <tr r="Q753" s="1"/>
      </tp>
      <tp t="s">
        <v>ACT/ACT</v>
        <stp/>
        <stp>##V3_BDPV12</stp>
        <stp>912827VC Govt</stp>
        <stp>DAY_CNT_DES</stp>
        <stp>[TREASURY.xlsx]Sheet1!R760C17</stp>
        <tr r="Q760" s="1"/>
      </tp>
      <tp t="s">
        <v>ACT/ACT</v>
        <stp/>
        <stp>##V3_BDPV12</stp>
        <stp>912828V3 Govt</stp>
        <stp>DAY_CNT_DES</stp>
        <stp>[TREASURY.xlsx]Sheet1!R877C17</stp>
        <tr r="Q877" s="1"/>
      </tp>
      <tp t="s">
        <v>ACT/ACT</v>
        <stp/>
        <stp>##V3_BDPV12</stp>
        <stp>912827W2 Govt</stp>
        <stp>DAY_CNT_DES</stp>
        <stp>[TREASURY.xlsx]Sheet1!R767C17</stp>
        <tr r="Q767" s="1"/>
      </tp>
      <tp t="s">
        <v>ACT/ACT</v>
        <stp/>
        <stp>##V3_BDPV12</stp>
        <stp>912827TS Govt</stp>
        <stp>DAY_CNT_DES</stp>
        <stp>[TREASURY.xlsx]Sheet1!R750C17</stp>
        <tr r="Q750" s="1"/>
      </tp>
      <tp t="s">
        <v>ACT/ACT</v>
        <stp/>
        <stp>##V3_BDPV12</stp>
        <stp>912827WC Govt</stp>
        <stp>DAY_CNT_DES</stp>
        <stp>[TREASURY.xlsx]Sheet1!R768C17</stp>
        <tr r="Q768" s="1"/>
      </tp>
      <tp t="s">
        <v>ACT/ACT</v>
        <stp/>
        <stp>##V3_BDPV12</stp>
        <stp>912828VL Govt</stp>
        <stp>DAY_CNT_DES</stp>
        <stp>[TREASURY.xlsx]Sheet1!R878C17</stp>
        <tr r="Q878" s="1"/>
      </tp>
      <tp t="s">
        <v>ACT/ACT</v>
        <stp/>
        <stp>##V3_BDPV12</stp>
        <stp>912828VN Govt</stp>
        <stp>DAY_CNT_DES</stp>
        <stp>[TREASURY.xlsx]Sheet1!R879C17</stp>
        <tr r="Q879" s="1"/>
      </tp>
      <tp t="s">
        <v>ACT/ACT</v>
        <stp/>
        <stp>##V3_BDPV12</stp>
        <stp>912828U4 Govt</stp>
        <stp>DAY_CNT_DES</stp>
        <stp>[TREASURY.xlsx]Sheet1!R876C17</stp>
        <tr r="Q876" s="1"/>
      </tp>
      <tp t="s">
        <v>ACT/ACT</v>
        <stp/>
        <stp>##V3_BDPV12</stp>
        <stp>912827ZR Govt</stp>
        <stp>DAY_CNT_DES</stp>
        <stp>[TREASURY.xlsx]Sheet1!R783C17</stp>
        <tr r="Q783" s="1"/>
      </tp>
      <tp t="s">
        <v>ACT/ACT</v>
        <stp/>
        <stp>##V3_BDPV12</stp>
        <stp>912827ZL Govt</stp>
        <stp>DAY_CNT_DES</stp>
        <stp>[TREASURY.xlsx]Sheet1!R782C17</stp>
        <tr r="Q782" s="1"/>
      </tp>
      <tp t="s">
        <v>ACT/ACT</v>
        <stp/>
        <stp>##V3_BDPV12</stp>
        <stp>912827ZJ Govt</stp>
        <stp>DAY_CNT_DES</stp>
        <stp>[TREASURY.xlsx]Sheet1!R781C17</stp>
        <tr r="Q781" s="1"/>
      </tp>
      <tp t="s">
        <v>ACT/ACT</v>
        <stp/>
        <stp>##V3_BDPV12</stp>
        <stp>912827ZE Govt</stp>
        <stp>DAY_CNT_DES</stp>
        <stp>[TREASURY.xlsx]Sheet1!R780C17</stp>
        <tr r="Q780" s="1"/>
      </tp>
      <tp t="s">
        <v>ACT/ACT</v>
        <stp/>
        <stp>##V3_BDPV12</stp>
        <stp>912828T4 Govt</stp>
        <stp>DAY_CNT_DES</stp>
        <stp>[TREASURY.xlsx]Sheet1!R871C17</stp>
        <tr r="Q871" s="1"/>
      </tp>
      <tp t="s">
        <v>ACT/ACT</v>
        <stp/>
        <stp>##V3_BDPV12</stp>
        <stp>912827P2 Govt</stp>
        <stp>DAY_CNT_DES</stp>
        <stp>[TREASURY.xlsx]Sheet1!R735C17</stp>
        <tr r="Q735" s="1"/>
      </tp>
      <tp t="s">
        <v>ACT/ACT</v>
        <stp/>
        <stp>##V3_BDPV12</stp>
        <stp>912827V8 Govt</stp>
        <stp>DAY_CNT_DES</stp>
        <stp>[TREASURY.xlsx]Sheet1!R758C17</stp>
        <tr r="Q758" s="1"/>
      </tp>
      <tp t="s">
        <v>ACT/ACT</v>
        <stp/>
        <stp>##V3_BDPV12</stp>
        <stp>912827V4 Govt</stp>
        <stp>DAY_CNT_DES</stp>
        <stp>[TREASURY.xlsx]Sheet1!R757C17</stp>
        <tr r="Q757" s="1"/>
      </tp>
      <tp t="s">
        <v>ACT/ACT</v>
        <stp/>
        <stp>##V3_BDPV12</stp>
        <stp>912827PW Govt</stp>
        <stp>DAY_CNT_DES</stp>
        <stp>[TREASURY.xlsx]Sheet1!R739C17</stp>
        <tr r="Q739" s="1"/>
      </tp>
      <tp t="s">
        <v>ACT/ACT</v>
        <stp/>
        <stp>##V3_BDPV12</stp>
        <stp>912828QY Govt</stp>
        <stp>DAY_CNT_DES</stp>
        <stp>[TREASURY.xlsx]Sheet1!R827C17</stp>
        <tr r="Q827" s="1"/>
      </tp>
      <tp t="s">
        <v>ACT/ACT</v>
        <stp/>
        <stp>##V3_BDPV12</stp>
        <stp>912828TZ Govt</stp>
        <stp>DAY_CNT_DES</stp>
        <stp>[TREASURY.xlsx]Sheet1!R875C17</stp>
        <tr r="Q875" s="1"/>
      </tp>
      <tp t="s">
        <v>ACT/ACT</v>
        <stp/>
        <stp>##V3_BDPV12</stp>
        <stp>912828TQ Govt</stp>
        <stp>DAY_CNT_DES</stp>
        <stp>[TREASURY.xlsx]Sheet1!R874C17</stp>
        <tr r="Q874" s="1"/>
      </tp>
      <tp t="s">
        <v>ACT/ACT</v>
        <stp/>
        <stp>##V3_BDPV12</stp>
        <stp>912828QU Govt</stp>
        <stp>DAY_CNT_DES</stp>
        <stp>[TREASURY.xlsx]Sheet1!R826C17</stp>
        <tr r="Q826" s="1"/>
      </tp>
      <tp t="s">
        <v>ACT/ACT</v>
        <stp/>
        <stp>##V3_BDPV12</stp>
        <stp>912828TM Govt</stp>
        <stp>DAY_CNT_DES</stp>
        <stp>[TREASURY.xlsx]Sheet1!R873C17</stp>
        <tr r="Q873" s="1"/>
      </tp>
      <tp t="s">
        <v>ACT/ACT</v>
        <stp/>
        <stp>##V3_BDPV12</stp>
        <stp>912827VA Govt</stp>
        <stp>DAY_CNT_DES</stp>
        <stp>[TREASURY.xlsx]Sheet1!R759C17</stp>
        <tr r="Q759" s="1"/>
      </tp>
      <tp t="s">
        <v>ACT/ACT</v>
        <stp/>
        <stp>##V3_BDPV12</stp>
        <stp>912827PL Govt</stp>
        <stp>DAY_CNT_DES</stp>
        <stp>[TREASURY.xlsx]Sheet1!R738C17</stp>
        <tr r="Q738" s="1"/>
      </tp>
      <tp t="s">
        <v>ACT/ACT</v>
        <stp/>
        <stp>##V3_BDPV12</stp>
        <stp>912827PC Govt</stp>
        <stp>DAY_CNT_DES</stp>
        <stp>[TREASURY.xlsx]Sheet1!R736C17</stp>
        <tr r="Q736" s="1"/>
      </tp>
      <tp t="s">
        <v>ACT/ACT</v>
        <stp/>
        <stp>##V3_BDPV12</stp>
        <stp>912828TD Govt</stp>
        <stp>DAY_CNT_DES</stp>
        <stp>[TREASURY.xlsx]Sheet1!R872C17</stp>
        <tr r="Q872" s="1"/>
      </tp>
      <tp t="s">
        <v>ACT/ACT</v>
        <stp/>
        <stp>##V3_BDPV12</stp>
        <stp>912827PF Govt</stp>
        <stp>DAY_CNT_DES</stp>
        <stp>[TREASURY.xlsx]Sheet1!R737C17</stp>
        <tr r="Q737" s="1"/>
      </tp>
      <tp t="s">
        <v>ACT/ACT</v>
        <stp/>
        <stp>##V3_BDPV12</stp>
        <stp>912828SX Govt</stp>
        <stp>DAY_CNT_DES</stp>
        <stp>[TREASURY.xlsx]Sheet1!R870C17</stp>
        <tr r="Q870" s="1"/>
      </tp>
      <tp t="s">
        <v>ACT/ACT</v>
        <stp/>
        <stp>##V3_BDPV12</stp>
        <stp>912828RE Govt</stp>
        <stp>DAY_CNT_DES</stp>
        <stp>[TREASURY.xlsx]Sheet1!R868C17</stp>
        <tr r="Q868" s="1"/>
      </tp>
      <tp t="s">
        <v>ACT/ACT</v>
        <stp/>
        <stp>##V3_BDPV12</stp>
        <stp>912828RG Govt</stp>
        <stp>DAY_CNT_DES</stp>
        <stp>[TREASURY.xlsx]Sheet1!R869C17</stp>
        <tr r="Q869" s="1"/>
      </tp>
      <tp t="s">
        <v>ACT/ACT</v>
        <stp/>
        <stp>##V3_BDPV12</stp>
        <stp>912827QP Govt</stp>
        <stp>DAY_CNT_DES</stp>
        <stp>[TREASURY.xlsx]Sheet1!R742C17</stp>
        <tr r="Q742" s="1"/>
      </tp>
      <tp t="s">
        <v>ACT/ACT</v>
        <stp/>
        <stp>##V3_BDPV12</stp>
        <stp>912827QL Govt</stp>
        <stp>DAY_CNT_DES</stp>
        <stp>[TREASURY.xlsx]Sheet1!R741C17</stp>
        <tr r="Q741" s="1"/>
      </tp>
      <tp t="s">
        <v>ACT/ACT</v>
        <stp/>
        <stp>##V3_BDPV12</stp>
        <stp>912827QE Govt</stp>
        <stp>DAY_CNT_DES</stp>
        <stp>[TREASURY.xlsx]Sheet1!R740C17</stp>
        <tr r="Q740" s="1"/>
      </tp>
      <tp t="s">
        <v>ACT/ACT</v>
        <stp/>
        <stp>##V3_BDPV12</stp>
        <stp>912827R2 Govt</stp>
        <stp>DAY_CNT_DES</stp>
        <stp>[TREASURY.xlsx]Sheet1!R743C17</stp>
        <tr r="Q743" s="1"/>
      </tp>
      <tp t="s">
        <v>ACT/ACT</v>
        <stp/>
        <stp>##V3_BDPV12</stp>
        <stp>912827RB Govt</stp>
        <stp>DAY_CNT_DES</stp>
        <stp>[TREASURY.xlsx]Sheet1!R744C17</stp>
        <tr r="Q744" s="1"/>
      </tp>
      <tp t="s">
        <v>ACT/ACT</v>
        <stp/>
        <stp>##V3_BDPV12</stp>
        <stp>912827S9 Govt</stp>
        <stp>DAY_CNT_DES</stp>
        <stp>[TREASURY.xlsx]Sheet1!R746C17</stp>
        <tr r="Q746" s="1"/>
      </tp>
      <tp t="s">
        <v>ACT/ACT</v>
        <stp/>
        <stp>##V3_BDPV12</stp>
        <stp>912827S4 Govt</stp>
        <stp>DAY_CNT_DES</stp>
        <stp>[TREASURY.xlsx]Sheet1!R745C17</stp>
        <tr r="Q745" s="1"/>
      </tp>
      <tp t="s">
        <v>ACT/ACT</v>
        <stp/>
        <stp>##V3_BDPV12</stp>
        <stp>912828QR Govt</stp>
        <stp>DAY_CNT_DES</stp>
        <stp>[TREASURY.xlsx]Sheet1!R866C17</stp>
        <tr r="Q866" s="1"/>
      </tp>
      <tp t="s">
        <v>ACT/ACT</v>
        <stp/>
        <stp>##V3_BDPV12</stp>
        <stp>912827SX Govt</stp>
        <stp>DAY_CNT_DES</stp>
        <stp>[TREASURY.xlsx]Sheet1!R749C17</stp>
        <tr r="Q749" s="1"/>
      </tp>
      <tp t="s">
        <v>ACT/ACT</v>
        <stp/>
        <stp>##V3_BDPV12</stp>
        <stp>912828QT Govt</stp>
        <stp>DAY_CNT_DES</stp>
        <stp>[TREASURY.xlsx]Sheet1!R867C17</stp>
        <tr r="Q867" s="1"/>
      </tp>
      <tp t="s">
        <v>ACT/ACT</v>
        <stp/>
        <stp>##V3_BDPV12</stp>
        <stp>912827SC Govt</stp>
        <stp>DAY_CNT_DES</stp>
        <stp>[TREASURY.xlsx]Sheet1!R747C17</stp>
        <tr r="Q747" s="1"/>
      </tp>
      <tp t="s">
        <v>ACT/ACT</v>
        <stp/>
        <stp>##V3_BDPV12</stp>
        <stp>912827SM Govt</stp>
        <stp>DAY_CNT_DES</stp>
        <stp>[TREASURY.xlsx]Sheet1!R748C17</stp>
        <tr r="Q748" s="1"/>
      </tp>
      <tp t="s">
        <v>ACT/ACT</v>
        <stp/>
        <stp>##V3_BDPV12</stp>
        <stp>912827Z7 Govt</stp>
        <stp>DAY_CNT_DES</stp>
        <stp>[TREASURY.xlsx]Sheet1!R777C17</stp>
        <tr r="Q777" s="1"/>
      </tp>
      <tp t="s">
        <v>ACT/ACT</v>
        <stp/>
        <stp>##V3_BDPV12</stp>
        <stp>912827Z9 Govt</stp>
        <stp>DAY_CNT_DES</stp>
        <stp>[TREASURY.xlsx]Sheet1!R778C17</stp>
        <tr r="Q778" s="1"/>
      </tp>
      <tp t="s">
        <v>ACT/ACT</v>
        <stp/>
        <stp>##V3_BDPV12</stp>
        <stp>912827ZC Govt</stp>
        <stp>DAY_CNT_DES</stp>
        <stp>[TREASURY.xlsx]Sheet1!R779C17</stp>
        <tr r="Q779" s="1"/>
      </tp>
      <tp t="s">
        <v>ACT/ACT</v>
        <stp/>
        <stp>##V3_BDPV12</stp>
        <stp>912827X4 Govt</stp>
        <stp>DAY_CNT_DES</stp>
        <stp>[TREASURY.xlsx]Sheet1!R769C17</stp>
        <tr r="Q769" s="1"/>
      </tp>
      <tp t="s">
        <v>ACT/ACT</v>
        <stp/>
        <stp>##V3_BDPV12</stp>
        <stp>912828VQ Govt</stp>
        <stp>DAY_CNT_DES</stp>
        <stp>[TREASURY.xlsx]Sheet1!R880C17</stp>
        <tr r="Q880" s="1"/>
      </tp>
      <tp t="s">
        <v>ACT/ACT</v>
        <stp/>
        <stp>##V3_BDPV12</stp>
        <stp>912827YJ Govt</stp>
        <stp>DAY_CNT_DES</stp>
        <stp>[TREASURY.xlsx]Sheet1!R775C17</stp>
        <tr r="Q775" s="1"/>
      </tp>
      <tp t="s">
        <v>ACT/ACT</v>
        <stp/>
        <stp>##V3_BDPV12</stp>
        <stp>912827YN Govt</stp>
        <stp>DAY_CNT_DES</stp>
        <stp>[TREASURY.xlsx]Sheet1!R776C17</stp>
        <tr r="Q776" s="1"/>
      </tp>
      <tp t="s">
        <v>ACT/ACT</v>
        <stp/>
        <stp>##V3_BDPV12</stp>
        <stp>912827X9 Govt</stp>
        <stp>DAY_CNT_DES</stp>
        <stp>[TREASURY.xlsx]Sheet1!R770C17</stp>
        <tr r="Q770" s="1"/>
      </tp>
      <tp t="s">
        <v>ACT/ACT</v>
        <stp/>
        <stp>##V3_BDPV12</stp>
        <stp>912828WX Govt</stp>
        <stp>DAY_CNT_DES</stp>
        <stp>[TREASURY.xlsx]Sheet1!R881C17</stp>
        <tr r="Q881" s="1"/>
      </tp>
      <tp t="s">
        <v>ACT/ACT</v>
        <stp/>
        <stp>##V3_BDPV12</stp>
        <stp>912827XT Govt</stp>
        <stp>DAY_CNT_DES</stp>
        <stp>[TREASURY.xlsx]Sheet1!R774C17</stp>
        <tr r="Q774" s="1"/>
      </tp>
      <tp t="s">
        <v>ACT/ACT</v>
        <stp/>
        <stp>##V3_BDPV12</stp>
        <stp>912827XK Govt</stp>
        <stp>DAY_CNT_DES</stp>
        <stp>[TREASURY.xlsx]Sheet1!R773C17</stp>
        <tr r="Q773" s="1"/>
      </tp>
      <tp t="s">
        <v>ACT/ACT</v>
        <stp/>
        <stp>##V3_BDPV12</stp>
        <stp>912827XH Govt</stp>
        <stp>DAY_CNT_DES</stp>
        <stp>[TREASURY.xlsx]Sheet1!R772C17</stp>
        <tr r="Q772" s="1"/>
      </tp>
      <tp t="s">
        <v>ACT/ACT</v>
        <stp/>
        <stp>##V3_BDPV12</stp>
        <stp>912827XC Govt</stp>
        <stp>DAY_CNT_DES</stp>
        <stp>[TREASURY.xlsx]Sheet1!R771C17</stp>
        <tr r="Q771" s="1"/>
      </tp>
      <tp t="s">
        <v>ACT/ACT</v>
        <stp/>
        <stp>##V3_BDPV12</stp>
        <stp>912828C3 Govt</stp>
        <stp>DAY_CNT_DES</stp>
        <stp>[TREASURY.xlsx]Sheet1!R838C17</stp>
        <tr r="Q838" s="1"/>
      </tp>
      <tp t="s">
        <v>ACT/ACT</v>
        <stp/>
        <stp>##V3_BDPV12</stp>
        <stp>912828DF Govt</stp>
        <stp>DAY_CNT_DES</stp>
        <stp>[TREASURY.xlsx]Sheet1!R840C17</stp>
        <tr r="Q840" s="1"/>
      </tp>
      <tp t="s">
        <v>ACT/ACT</v>
        <stp/>
        <stp>##V3_BDPV12</stp>
        <stp>912828EW Govt</stp>
        <stp>DAY_CNT_DES</stp>
        <stp>[TREASURY.xlsx]Sheet1!R842C17</stp>
        <tr r="Q842" s="1"/>
      </tp>
      <tp t="s">
        <v>ACT/ACT</v>
        <stp/>
        <stp>##V3_BDPV12</stp>
        <stp>912828EV Govt</stp>
        <stp>DAY_CNT_DES</stp>
        <stp>[TREASURY.xlsx]Sheet1!R841C17</stp>
        <tr r="Q841" s="1"/>
      </tp>
      <tp t="s">
        <v>ACT/ACT</v>
        <stp/>
        <stp>##V3_BDPV12</stp>
        <stp>912828FW Govt</stp>
        <stp>DAY_CNT_DES</stp>
        <stp>[TREASURY.xlsx]Sheet1!R846C17</stp>
        <tr r="Q846" s="1"/>
      </tp>
      <tp t="s">
        <v>ACT/ACT</v>
        <stp/>
        <stp>##V3_BDPV12</stp>
        <stp>912828FV Govt</stp>
        <stp>DAY_CNT_DES</stp>
        <stp>[TREASURY.xlsx]Sheet1!R845C17</stp>
        <tr r="Q845" s="1"/>
      </tp>
      <tp t="s">
        <v>ACT/ACT</v>
        <stp/>
        <stp>##V3_BDPV12</stp>
        <stp>912828FK Govt</stp>
        <stp>DAY_CNT_DES</stp>
        <stp>[TREASURY.xlsx]Sheet1!R844C17</stp>
        <tr r="Q844" s="1"/>
      </tp>
      <tp t="s">
        <v>ACT/ACT</v>
        <stp/>
        <stp>##V3_BDPV12</stp>
        <stp>912828FH Govt</stp>
        <stp>DAY_CNT_DES</stp>
        <stp>[TREASURY.xlsx]Sheet1!R843C17</stp>
        <tr r="Q843" s="1"/>
      </tp>
      <tp t="s">
        <v>ACT/ACT</v>
        <stp/>
        <stp>##V3_BDPV12</stp>
        <stp>912828AG Govt</stp>
        <stp>DAY_CNT_DES</stp>
        <stp>[TREASURY.xlsx]Sheet1!R837C17</stp>
        <tr r="Q837" s="1"/>
      </tp>
      <tp t="s">
        <v>ACT/ACT</v>
        <stp/>
        <stp>##V3_BDPV12</stp>
        <stp>912828GU Govt</stp>
        <stp>DAY_CNT_DES</stp>
        <stp>[TREASURY.xlsx]Sheet1!R848C17</stp>
        <tr r="Q848" s="1"/>
      </tp>
      <tp t="s">
        <v>ACT/ACT</v>
        <stp/>
        <stp>##V3_BDPV12</stp>
        <stp>912828GL Govt</stp>
        <stp>DAY_CNT_DES</stp>
        <stp>[TREASURY.xlsx]Sheet1!R847C17</stp>
        <tr r="Q847" s="1"/>
      </tp>
      <tp t="s">
        <v>ACT/ACT</v>
        <stp/>
        <stp>##V3_BDPV12</stp>
        <stp>912827D9 Govt</stp>
        <stp>DAY_CNT_DES</stp>
        <stp>[TREASURY.xlsx]Sheet1!R702C17</stp>
        <tr r="Q702" s="1"/>
      </tp>
      <tp t="s">
        <v>ACT/ACT</v>
        <stp/>
        <stp>##V3_BDPV12</stp>
        <stp>912827D6 Govt</stp>
        <stp>DAY_CNT_DES</stp>
        <stp>[TREASURY.xlsx]Sheet1!R700C17</stp>
        <tr r="Q700" s="1"/>
      </tp>
      <tp t="s">
        <v>ACT/ACT</v>
        <stp/>
        <stp>##V3_BDPV12</stp>
        <stp>912827D7 Govt</stp>
        <stp>DAY_CNT_DES</stp>
        <stp>[TREASURY.xlsx]Sheet1!R701C17</stp>
        <tr r="Q701" s="1"/>
      </tp>
      <tp t="s">
        <v>ACT/ACT</v>
        <stp/>
        <stp>##V3_BDPV12</stp>
        <stp>912828FS Govt</stp>
        <stp>DAY_CNT_DES</stp>
        <stp>[TREASURY.xlsx]Sheet1!R800C17</stp>
        <tr r="Q800" s="1"/>
      </tp>
      <tp t="s">
        <v>ACT/ACT</v>
        <stp/>
        <stp>##V3_BDPV12</stp>
        <stp>912827G3 Govt</stp>
        <stp>DAY_CNT_DES</stp>
        <stp>[TREASURY.xlsx]Sheet1!R703C17</stp>
        <tr r="Q703" s="1"/>
      </tp>
      <tp t="s">
        <v>ACT/ACT</v>
        <stp/>
        <stp>##V3_BDPV12</stp>
        <stp>912828D9 Govt</stp>
        <stp>DAY_CNT_DES</stp>
        <stp>[TREASURY.xlsx]Sheet1!R839C17</stp>
        <tr r="Q839" s="1"/>
      </tp>
      <tp t="s">
        <v>ACT/ACT</v>
        <stp/>
        <stp>##V3_BDPV12</stp>
        <stp>912828GT Govt</stp>
        <stp>DAY_CNT_DES</stp>
        <stp>[TREASURY.xlsx]Sheet1!R804C17</stp>
        <tr r="Q804" s="1"/>
      </tp>
      <tp t="s">
        <v>ACT/ACT</v>
        <stp/>
        <stp>##V3_BDPV12</stp>
        <stp>912828GP Govt</stp>
        <stp>DAY_CNT_DES</stp>
        <stp>[TREASURY.xlsx]Sheet1!R803C17</stp>
        <tr r="Q803" s="1"/>
      </tp>
      <tp t="s">
        <v>ACT/ACT</v>
        <stp/>
        <stp>##V3_BDPV12</stp>
        <stp>912828GV Govt</stp>
        <stp>DAY_CNT_DES</stp>
        <stp>[TREASURY.xlsx]Sheet1!R805C17</stp>
        <tr r="Q805" s="1"/>
      </tp>
      <tp t="s">
        <v>ACT/ACT</v>
        <stp/>
        <stp>##V3_BDPV12</stp>
        <stp>912828GJ Govt</stp>
        <stp>DAY_CNT_DES</stp>
        <stp>[TREASURY.xlsx]Sheet1!R802C17</stp>
        <tr r="Q802" s="1"/>
      </tp>
      <tp t="s">
        <v>ACT/ACT</v>
        <stp/>
        <stp>##V3_BDPV12</stp>
        <stp>912828GA Govt</stp>
        <stp>DAY_CNT_DES</stp>
        <stp>[TREASURY.xlsx]Sheet1!R801C17</stp>
        <tr r="Q801" s="1"/>
      </tp>
      <tp t="s">
        <v>ACT/ACT</v>
        <stp/>
        <stp>##V3_BDPV12</stp>
        <stp>912827H2 Govt</stp>
        <stp>DAY_CNT_DES</stp>
        <stp>[TREASURY.xlsx]Sheet1!R704C17</stp>
        <tr r="Q704" s="1"/>
      </tp>
      <tp t="s">
        <v>ACT/ACT</v>
        <stp/>
        <stp>##V3_BDPV12</stp>
        <stp>912827H5 Govt</stp>
        <stp>DAY_CNT_DES</stp>
        <stp>[TREASURY.xlsx]Sheet1!R705C17</stp>
        <tr r="Q705" s="1"/>
      </tp>
      <tp t="s">
        <v>ACT/ACT</v>
        <stp/>
        <stp>##V3_BDPV12</stp>
        <stp>912828HU Govt</stp>
        <stp>DAY_CNT_DES</stp>
        <stp>[TREASURY.xlsx]Sheet1!R808C17</stp>
        <tr r="Q808" s="1"/>
      </tp>
      <tp t="s">
        <v>ACT/ACT</v>
        <stp/>
        <stp>##V3_BDPV12</stp>
        <stp>912828NP Govt</stp>
        <stp>DAY_CNT_DES</stp>
        <stp>[TREASURY.xlsx]Sheet1!R865C17</stp>
        <tr r="Q865" s="1"/>
      </tp>
      <tp t="s">
        <v>ACT/ACT</v>
        <stp/>
        <stp>##V3_BDPV12</stp>
        <stp>912828HX Govt</stp>
        <stp>DAY_CNT_DES</stp>
        <stp>[TREASURY.xlsx]Sheet1!R809C17</stp>
        <tr r="Q809" s="1"/>
      </tp>
      <tp t="s">
        <v>ACT/ACT</v>
        <stp/>
        <stp>##V3_BDPV12</stp>
        <stp>912828HJ Govt</stp>
        <stp>DAY_CNT_DES</stp>
        <stp>[TREASURY.xlsx]Sheet1!R807C17</stp>
        <tr r="Q807" s="1"/>
      </tp>
      <tp t="s">
        <v>ACT/ACT</v>
        <stp/>
        <stp>##V3_BDPV12</stp>
        <stp>912828MD Govt</stp>
        <stp>DAY_CNT_DES</stp>
        <stp>[TREASURY.xlsx]Sheet1!R859C17</stp>
        <tr r="Q859" s="1"/>
      </tp>
      <tp t="s">
        <v>ACT/ACT</v>
        <stp/>
        <stp>##V3_BDPV12</stp>
        <stp>912828NL Govt</stp>
        <stp>DAY_CNT_DES</stp>
        <stp>[TREASURY.xlsx]Sheet1!R863C17</stp>
        <tr r="Q863" s="1"/>
      </tp>
      <tp t="s">
        <v>ACT/ACT</v>
        <stp/>
        <stp>##V3_BDPV12</stp>
        <stp>912828NN Govt</stp>
        <stp>DAY_CNT_DES</stp>
        <stp>[TREASURY.xlsx]Sheet1!R864C17</stp>
        <tr r="Q864" s="1"/>
      </tp>
      <tp t="s">
        <v>ACT/ACT</v>
        <stp/>
        <stp>##V3_BDPV12</stp>
        <stp>912828HG Govt</stp>
        <stp>DAY_CNT_DES</stp>
        <stp>[TREASURY.xlsx]Sheet1!R806C17</stp>
        <tr r="Q806" s="1"/>
      </tp>
      <tp t="s">
        <v>ACT/ACT</v>
        <stp/>
        <stp>##V3_BDPV12</stp>
        <stp>912828NC Govt</stp>
        <stp>DAY_CNT_DES</stp>
        <stp>[TREASURY.xlsx]Sheet1!R862C17</stp>
        <tr r="Q862" s="1"/>
      </tp>
      <tp t="s">
        <v>ACT/ACT</v>
        <stp/>
        <stp>##V3_BDPV12</stp>
        <stp>912828LS Govt</stp>
        <stp>DAY_CNT_DES</stp>
        <stp>[TREASURY.xlsx]Sheet1!R858C17</stp>
        <tr r="Q858" s="1"/>
      </tp>
      <tp t="s">
        <v>ACT/ACT</v>
        <stp/>
        <stp>##V3_BDPV12</stp>
        <stp>912827J2 Govt</stp>
        <stp>DAY_CNT_DES</stp>
        <stp>[TREASURY.xlsx]Sheet1!R706C17</stp>
        <tr r="Q706" s="1"/>
      </tp>
      <tp t="s">
        <v>ACT/ACT</v>
        <stp/>
        <stp>##V3_BDPV12</stp>
        <stp>912827J3 Govt</stp>
        <stp>DAY_CNT_DES</stp>
        <stp>[TREASURY.xlsx]Sheet1!R707C17</stp>
        <tr r="Q707" s="1"/>
      </tp>
      <tp t="s">
        <v>ACT/ACT</v>
        <stp/>
        <stp>##V3_BDPV12</stp>
        <stp>912827KZ Govt</stp>
        <stp>DAY_CNT_DES</stp>
        <stp>[TREASURY.xlsx]Sheet1!R713C17</stp>
        <tr r="Q713" s="1"/>
      </tp>
      <tp t="s">
        <v>ACT/ACT</v>
        <stp/>
        <stp>##V3_BDPV12</stp>
        <stp>912827KY Govt</stp>
        <stp>DAY_CNT_DES</stp>
        <stp>[TREASURY.xlsx]Sheet1!R712C17</stp>
        <tr r="Q712" s="1"/>
      </tp>
      <tp t="s">
        <v>ACT/ACT</v>
        <stp/>
        <stp>##V3_BDPV12</stp>
        <stp>912828KU Govt</stp>
        <stp>DAY_CNT_DES</stp>
        <stp>[TREASURY.xlsx]Sheet1!R813C17</stp>
        <tr r="Q813" s="1"/>
      </tp>
      <tp t="s">
        <v>ACT/ACT</v>
        <stp/>
        <stp>##V3_BDPV12</stp>
        <stp>912827KV Govt</stp>
        <stp>DAY_CNT_DES</stp>
        <stp>[TREASURY.xlsx]Sheet1!R711C17</stp>
        <tr r="Q711" s="1"/>
      </tp>
      <tp t="s">
        <v>ACT/ACT</v>
        <stp/>
        <stp>##V3_BDPV12</stp>
        <stp>912827KQ Govt</stp>
        <stp>DAY_CNT_DES</stp>
        <stp>[TREASURY.xlsx]Sheet1!R710C17</stp>
        <tr r="Q710" s="1"/>
      </tp>
      <tp t="s">
        <v>ACT/ACT</v>
        <stp/>
        <stp>##V3_BDPV12</stp>
        <stp>912828KF Govt</stp>
        <stp>DAY_CNT_DES</stp>
        <stp>[TREASURY.xlsx]Sheet1!R812C17</stp>
        <tr r="Q812" s="1"/>
      </tp>
      <tp t="s">
        <v>ACT/ACT</v>
        <stp/>
        <stp>##V3_BDPV12</stp>
        <stp>912828JQ Govt</stp>
        <stp>DAY_CNT_DES</stp>
        <stp>[TREASURY.xlsx]Sheet1!R811C17</stp>
        <tr r="Q811" s="1"/>
      </tp>
      <tp t="s">
        <v>ACT/ACT</v>
        <stp/>
        <stp>##V3_BDPV12</stp>
        <stp>912828MS Govt</stp>
        <stp>DAY_CNT_DES</stp>
        <stp>[TREASURY.xlsx]Sheet1!R861C17</stp>
        <tr r="Q861" s="1"/>
      </tp>
      <tp t="s">
        <v>ACT/ACT</v>
        <stp/>
        <stp>##V3_BDPV12</stp>
        <stp>912828JM Govt</stp>
        <stp>DAY_CNT_DES</stp>
        <stp>[TREASURY.xlsx]Sheet1!R810C17</stp>
        <tr r="Q810" s="1"/>
      </tp>
      <tp t="s">
        <v>ACT/ACT</v>
        <stp/>
        <stp>##V3_BDPV12</stp>
        <stp>912827KM Govt</stp>
        <stp>DAY_CNT_DES</stp>
        <stp>[TREASURY.xlsx]Sheet1!R709C17</stp>
        <tr r="Q709" s="1"/>
      </tp>
      <tp t="s">
        <v>ACT/ACT</v>
        <stp/>
        <stp>##V3_BDPV12</stp>
        <stp>912828MG Govt</stp>
        <stp>DAY_CNT_DES</stp>
        <stp>[TREASURY.xlsx]Sheet1!R860C17</stp>
        <tr r="Q860" s="1"/>
      </tp>
      <tp t="s">
        <v>ACT/ACT</v>
        <stp/>
        <stp>##V3_BDPV12</stp>
        <stp>912827KK Govt</stp>
        <stp>DAY_CNT_DES</stp>
        <stp>[TREASURY.xlsx]Sheet1!R708C17</stp>
        <tr r="Q708" s="1"/>
      </tp>
      <tp t="s">
        <v>ACT/ACT</v>
        <stp/>
        <stp>##V3_BDPV12</stp>
        <stp>912827M5 Govt</stp>
        <stp>DAY_CNT_DES</stp>
        <stp>[TREASURY.xlsx]Sheet1!R718C17</stp>
        <tr r="Q718" s="1"/>
      </tp>
      <tp t="s">
        <v>ACT/ACT</v>
        <stp/>
        <stp>##V3_BDPV12</stp>
        <stp>912827N6 Govt</stp>
        <stp>DAY_CNT_DES</stp>
        <stp>[TREASURY.xlsx]Sheet1!R728C17</stp>
        <tr r="Q728" s="1"/>
      </tp>
      <tp t="s">
        <v>ACT/ACT</v>
        <stp/>
        <stp>##V3_BDPV12</stp>
        <stp>912827M6 Govt</stp>
        <stp>DAY_CNT_DES</stp>
        <stp>[TREASURY.xlsx]Sheet1!R719C17</stp>
        <tr r="Q719" s="1"/>
      </tp>
      <tp t="s">
        <v>ACT/ACT</v>
        <stp/>
        <stp>##V3_BDPV12</stp>
        <stp>912827N3 Govt</stp>
        <stp>DAY_CNT_DES</stp>
        <stp>[TREASURY.xlsx]Sheet1!R726C17</stp>
        <tr r="Q726" s="1"/>
      </tp>
      <tp t="s">
        <v>ACT/ACT</v>
        <stp/>
        <stp>##V3_BDPV12</stp>
        <stp>912827N8 Govt</stp>
        <stp>DAY_CNT_DES</stp>
        <stp>[TREASURY.xlsx]Sheet1!R729C17</stp>
        <tr r="Q729" s="1"/>
      </tp>
      <tp t="s">
        <v>ACT/ACT</v>
        <stp/>
        <stp>##V3_BDPV12</stp>
        <stp>912827N5 Govt</stp>
        <stp>DAY_CNT_DES</stp>
        <stp>[TREASURY.xlsx]Sheet1!R727C17</stp>
        <tr r="Q727" s="1"/>
      </tp>
      <tp t="s">
        <v>ACT/ACT</v>
        <stp/>
        <stp>##V3_BDPV12</stp>
        <stp>912828HB Govt</stp>
        <stp>DAY_CNT_DES</stp>
        <stp>[TREASURY.xlsx]Sheet1!R849C17</stp>
        <tr r="Q849" s="1"/>
      </tp>
      <tp t="s">
        <v>ACT/ACT</v>
        <stp/>
        <stp>##V3_BDPV12</stp>
        <stp>912828MB Govt</stp>
        <stp>DAY_CNT_DES</stp>
        <stp>[TREASURY.xlsx]Sheet1!R819C17</stp>
        <tr r="Q819" s="1"/>
      </tp>
      <tp t="s">
        <v>ACT/ACT</v>
        <stp/>
        <stp>##V3_BDPV12</stp>
        <stp>912827L9 Govt</stp>
        <stp>DAY_CNT_DES</stp>
        <stp>[TREASURY.xlsx]Sheet1!R714C17</stp>
        <tr r="Q714" s="1"/>
      </tp>
      <tp t="s">
        <v>ACT/ACT</v>
        <stp/>
        <stp>##V3_BDPV12</stp>
        <stp>912828LU Govt</stp>
        <stp>DAY_CNT_DES</stp>
        <stp>[TREASURY.xlsx]Sheet1!R818C17</stp>
        <tr r="Q818" s="1"/>
      </tp>
      <tp t="s">
        <v>ACT/ACT</v>
        <stp/>
        <stp>##V3_BDPV12</stp>
        <stp>912828HT Govt</stp>
        <stp>DAY_CNT_DES</stp>
        <stp>[TREASURY.xlsx]Sheet1!R851C17</stp>
        <tr r="Q851" s="1"/>
      </tp>
      <tp t="s">
        <v>ACT/ACT</v>
        <stp/>
        <stp>##V3_BDPV12</stp>
        <stp>912828LR Govt</stp>
        <stp>DAY_CNT_DES</stp>
        <stp>[TREASURY.xlsx]Sheet1!R817C17</stp>
        <tr r="Q817" s="1"/>
      </tp>
      <tp t="s">
        <v>ACT/ACT</v>
        <stp/>
        <stp>##V3_BDPV12</stp>
        <stp>912828LP Govt</stp>
        <stp>DAY_CNT_DES</stp>
        <stp>[TREASURY.xlsx]Sheet1!R816C17</stp>
        <tr r="Q816" s="1"/>
      </tp>
      <tp t="s">
        <v>ACT/ACT</v>
        <stp/>
        <stp>##V3_BDPV12</stp>
        <stp>912827LV Govt</stp>
        <stp>DAY_CNT_DES</stp>
        <stp>[TREASURY.xlsx]Sheet1!R717C17</stp>
        <tr r="Q717" s="1"/>
      </tp>
      <tp t="s">
        <v>ACT/ACT</v>
        <stp/>
        <stp>##V3_BDPV12</stp>
        <stp>912827NV Govt</stp>
        <stp>DAY_CNT_DES</stp>
        <stp>[TREASURY.xlsx]Sheet1!R734C17</stp>
        <tr r="Q734" s="1"/>
      </tp>
      <tp t="s">
        <v>ACT/ACT</v>
        <stp/>
        <stp>##V3_BDPV12</stp>
        <stp>912827NP Govt</stp>
        <stp>DAY_CNT_DES</stp>
        <stp>[TREASURY.xlsx]Sheet1!R733C17</stp>
        <tr r="Q733" s="1"/>
      </tp>
      <tp t="s">
        <v>ACT/ACT</v>
        <stp/>
        <stp>##V3_BDPV12</stp>
        <stp>912827NM Govt</stp>
        <stp>DAY_CNT_DES</stp>
        <stp>[TREASURY.xlsx]Sheet1!R732C17</stp>
        <tr r="Q732" s="1"/>
      </tp>
      <tp t="s">
        <v>ACT/ACT</v>
        <stp/>
        <stp>##V3_BDPV12</stp>
        <stp>912827LM Govt</stp>
        <stp>DAY_CNT_DES</stp>
        <stp>[TREASURY.xlsx]Sheet1!R715C17</stp>
        <tr r="Q715" s="1"/>
      </tp>
      <tp t="s">
        <v>ACT/ACT</v>
        <stp/>
        <stp>##V3_BDPV12</stp>
        <stp>912827LN Govt</stp>
        <stp>DAY_CNT_DES</stp>
        <stp>[TREASURY.xlsx]Sheet1!R716C17</stp>
        <tr r="Q716" s="1"/>
      </tp>
      <tp t="s">
        <v>ACT/ACT</v>
        <stp/>
        <stp>##V3_BDPV12</stp>
        <stp>912827ND Govt</stp>
        <stp>DAY_CNT_DES</stp>
        <stp>[TREASURY.xlsx]Sheet1!R731C17</stp>
        <tr r="Q731" s="1"/>
      </tp>
      <tp t="s">
        <v>ACT/ACT</v>
        <stp/>
        <stp>##V3_BDPV12</stp>
        <stp>912828HE Govt</stp>
        <stp>DAY_CNT_DES</stp>
        <stp>[TREASURY.xlsx]Sheet1!R850C17</stp>
        <tr r="Q850" s="1"/>
      </tp>
      <tp t="s">
        <v>ACT/ACT</v>
        <stp/>
        <stp>##V3_BDPV12</stp>
        <stp>912828LD Govt</stp>
        <stp>DAY_CNT_DES</stp>
        <stp>[TREASURY.xlsx]Sheet1!R814C17</stp>
        <tr r="Q814" s="1"/>
      </tp>
      <tp t="s">
        <v>ACT/ACT</v>
        <stp/>
        <stp>##V3_BDPV12</stp>
        <stp>912828LG Govt</stp>
        <stp>DAY_CNT_DES</stp>
        <stp>[TREASURY.xlsx]Sheet1!R815C17</stp>
        <tr r="Q815" s="1"/>
      </tp>
      <tp t="s">
        <v>ACT/ACT</v>
        <stp/>
        <stp>##V3_BDPV12</stp>
        <stp>912827NC Govt</stp>
        <stp>DAY_CNT_DES</stp>
        <stp>[TREASURY.xlsx]Sheet1!R730C17</stp>
        <tr r="Q730" s="1"/>
      </tp>
      <tp t="s">
        <v>ACT/ACT</v>
        <stp/>
        <stp>##V3_BDPV12</stp>
        <stp>912828KL Govt</stp>
        <stp>DAY_CNT_DES</stp>
        <stp>[TREASURY.xlsx]Sheet1!R857C17</stp>
        <tr r="Q857" s="1"/>
      </tp>
      <tp t="s">
        <v>ACT/ACT</v>
        <stp/>
        <stp>##V3_BDPV12</stp>
        <stp>912828KA Govt</stp>
        <stp>DAY_CNT_DES</stp>
        <stp>[TREASURY.xlsx]Sheet1!R856C17</stp>
        <tr r="Q856" s="1"/>
      </tp>
      <tp t="s">
        <v>ACT/ACT</v>
        <stp/>
        <stp>##V3_BDPV12</stp>
        <stp>912828J9 Govt</stp>
        <stp>DAY_CNT_DES</stp>
        <stp>[TREASURY.xlsx]Sheet1!R852C17</stp>
        <tr r="Q852" s="1"/>
      </tp>
      <tp t="s">
        <v>ACT/ACT</v>
        <stp/>
        <stp>##V3_BDPV12</stp>
        <stp>912827MY Govt</stp>
        <stp>DAY_CNT_DES</stp>
        <stp>[TREASURY.xlsx]Sheet1!R725C17</stp>
        <tr r="Q725" s="1"/>
      </tp>
      <tp t="s">
        <v>ACT/ACT</v>
        <stp/>
        <stp>##V3_BDPV12</stp>
        <stp>912828MX Govt</stp>
        <stp>DAY_CNT_DES</stp>
        <stp>[TREASURY.xlsx]Sheet1!R825C17</stp>
        <tr r="Q825" s="1"/>
      </tp>
      <tp t="s">
        <v>ACT/ACT</v>
        <stp/>
        <stp>##V3_BDPV12</stp>
        <stp>912827MT Govt</stp>
        <stp>DAY_CNT_DES</stp>
        <stp>[TREASURY.xlsx]Sheet1!R724C17</stp>
        <tr r="Q724" s="1"/>
      </tp>
      <tp t="s">
        <v>ACT/ACT</v>
        <stp/>
        <stp>##V3_BDPV12</stp>
        <stp>912828JU Govt</stp>
        <stp>DAY_CNT_DES</stp>
        <stp>[TREASURY.xlsx]Sheet1!R855C17</stp>
        <tr r="Q855" s="1"/>
      </tp>
      <tp t="s">
        <v>ACT/ACT</v>
        <stp/>
        <stp>##V3_BDPV12</stp>
        <stp>912828MR Govt</stp>
        <stp>DAY_CNT_DES</stp>
        <stp>[TREASURY.xlsx]Sheet1!R823C17</stp>
        <tr r="Q823" s="1"/>
      </tp>
      <tp t="s">
        <v>ACT/ACT</v>
        <stp/>
        <stp>##V3_BDPV12</stp>
        <stp>912827MQ Govt</stp>
        <stp>DAY_CNT_DES</stp>
        <stp>[TREASURY.xlsx]Sheet1!R723C17</stp>
        <tr r="Q723" s="1"/>
      </tp>
      <tp t="s">
        <v>ACT/ACT</v>
        <stp/>
        <stp>##V3_BDPV12</stp>
        <stp>912828MV Govt</stp>
        <stp>DAY_CNT_DES</stp>
        <stp>[TREASURY.xlsx]Sheet1!R824C17</stp>
        <tr r="Q824" s="1"/>
      </tp>
      <tp t="s">
        <v>ACT/ACT</v>
        <stp/>
        <stp>##V3_BDPV12</stp>
        <stp>912828MM Govt</stp>
        <stp>DAY_CNT_DES</stp>
        <stp>[TREASURY.xlsx]Sheet1!R821C17</stp>
        <tr r="Q821" s="1"/>
      </tp>
      <tp t="s">
        <v>ACT/ACT</v>
        <stp/>
        <stp>##V3_BDPV12</stp>
        <stp>912828MN Govt</stp>
        <stp>DAY_CNT_DES</stp>
        <stp>[TREASURY.xlsx]Sheet1!R822C17</stp>
        <tr r="Q822" s="1"/>
      </tp>
      <tp t="s">
        <v>ACT/ACT</v>
        <stp/>
        <stp>##V3_BDPV12</stp>
        <stp>912828JK Govt</stp>
        <stp>DAY_CNT_DES</stp>
        <stp>[TREASURY.xlsx]Sheet1!R854C17</stp>
        <tr r="Q854" s="1"/>
      </tp>
      <tp t="s">
        <v>ACT/ACT</v>
        <stp/>
        <stp>##V3_BDPV12</stp>
        <stp>912828MJ Govt</stp>
        <stp>DAY_CNT_DES</stp>
        <stp>[TREASURY.xlsx]Sheet1!R820C17</stp>
        <tr r="Q820" s="1"/>
      </tp>
      <tp t="s">
        <v>ACT/ACT</v>
        <stp/>
        <stp>##V3_BDPV12</stp>
        <stp>912827MF Govt</stp>
        <stp>DAY_CNT_DES</stp>
        <stp>[TREASURY.xlsx]Sheet1!R722C17</stp>
        <tr r="Q722" s="1"/>
      </tp>
      <tp t="s">
        <v>ACT/ACT</v>
        <stp/>
        <stp>##V3_BDPV12</stp>
        <stp>912828JC Govt</stp>
        <stp>DAY_CNT_DES</stp>
        <stp>[TREASURY.xlsx]Sheet1!R853C17</stp>
        <tr r="Q853" s="1"/>
      </tp>
      <tp t="s">
        <v>ACT/ACT</v>
        <stp/>
        <stp>##V3_BDPV12</stp>
        <stp>912827MA Govt</stp>
        <stp>DAY_CNT_DES</stp>
        <stp>[TREASURY.xlsx]Sheet1!R720C17</stp>
        <tr r="Q720" s="1"/>
      </tp>
      <tp t="s">
        <v>ACT/ACT</v>
        <stp/>
        <stp>##V3_BDPV12</stp>
        <stp>912827MB Govt</stp>
        <stp>DAY_CNT_DES</stp>
        <stp>[TREASURY.xlsx]Sheet1!R721C17</stp>
        <tr r="Q721" s="1"/>
      </tp>
      <tp t="s">
        <v>#N/A Field Not Applicable</v>
        <stp/>
        <stp>##V3_BDPV12</stp>
        <stp>912828FC Govt</stp>
        <stp>IDX_RATIO</stp>
        <stp>[TREASURY.xlsx]Sheet1!R798C20</stp>
        <tr r="T798" s="1"/>
      </tp>
      <tp t="s">
        <v>#N/A Field Not Applicable</v>
        <stp/>
        <stp>##V3_BDPV12</stp>
        <stp>912810FF Govt</stp>
        <stp>IDX_RATIO</stp>
        <stp>[TREASURY.xlsx]Sheet1!R292C20</stp>
        <tr r="T292" s="1"/>
      </tp>
      <tp t="s">
        <v>ACT/ACT</v>
        <stp/>
        <stp>##V3_BDPV12</stp>
        <stp>912827UW Govt</stp>
        <stp>DAY_CNT_DES</stp>
        <stp>[TREASURY.xlsx]Sheet1!R460C17</stp>
        <tr r="Q460" s="1"/>
      </tp>
      <tp t="s">
        <v>ACT/ACT</v>
        <stp/>
        <stp>##V3_BDPV12</stp>
        <stp>912827PH Govt</stp>
        <stp>DAY_CNT_DES</stp>
        <stp>[TREASURY.xlsx]Sheet1!R499C17</stp>
        <tr r="Q499" s="1"/>
      </tp>
      <tp t="s">
        <v>ACT/ACT</v>
        <stp/>
        <stp>##V3_BDPV12</stp>
        <stp>912827KH Govt</stp>
        <stp>DAY_CNT_DES</stp>
        <stp>[TREASURY.xlsx]Sheet1!R455C17</stp>
        <tr r="Q455" s="1"/>
      </tp>
      <tp t="s">
        <v>ACT/ACT</v>
        <stp/>
        <stp>##V3_BDPV12</stp>
        <stp>9128276P Govt</stp>
        <stp>DAY_CNT_DES</stp>
        <stp>[TREASURY.xlsx]Sheet1!R441C17</stp>
        <tr r="Q441" s="1"/>
      </tp>
      <tp t="s">
        <v>ACT/ACT</v>
        <stp/>
        <stp>##V3_BDPV12</stp>
        <stp>9128276J Govt</stp>
        <stp>DAY_CNT_DES</stp>
        <stp>[TREASURY.xlsx]Sheet1!R438C17</stp>
        <tr r="Q438" s="1"/>
      </tp>
      <tp t="s">
        <v>ACT/ACT</v>
        <stp/>
        <stp>##V3_BDPV12</stp>
        <stp>9128275Z Govt</stp>
        <stp>DAY_CNT_DES</stp>
        <stp>[TREASURY.xlsx]Sheet1!R428C17</stp>
        <tr r="Q428" s="1"/>
      </tp>
      <tp t="s">
        <v>#N/A Field Not Applicable</v>
        <stp/>
        <stp>##V3_BDPV12</stp>
        <stp>912810FE Govt</stp>
        <stp>IDX_RATIO</stp>
        <stp>[TREASURY.xlsx]Sheet1!R253C20</stp>
        <tr r="T253" s="1"/>
      </tp>
      <tp t="s">
        <v>ACT/ACT</v>
        <stp/>
        <stp>##V3_BDPV12</stp>
        <stp>912827XE Govt</stp>
        <stp>DAY_CNT_DES</stp>
        <stp>[TREASURY.xlsx]Sheet1!R570C17</stp>
        <tr r="Q570" s="1"/>
      </tp>
      <tp t="s">
        <v>ACT/ACT</v>
        <stp/>
        <stp>##V3_BDPV12</stp>
        <stp>912827E5 Govt</stp>
        <stp>DAY_CNT_DES</stp>
        <stp>[TREASURY.xlsx]Sheet1!R579C17</stp>
        <tr r="Q579" s="1"/>
      </tp>
      <tp t="s">
        <v>ACT/ACT</v>
        <stp/>
        <stp>##V3_BDPV12</stp>
        <stp>912827MH Govt</stp>
        <stp>DAY_CNT_DES</stp>
        <stp>[TREASURY.xlsx]Sheet1!R544C17</stp>
        <tr r="Q544" s="1"/>
      </tp>
      <tp t="s">
        <v>ACT/ACT</v>
        <stp/>
        <stp>##V3_BDPV12</stp>
        <stp>912827E7 Govt</stp>
        <stp>DAY_CNT_DES</stp>
        <stp>[TREASURY.xlsx]Sheet1!R590C17</stp>
        <tr r="Q590" s="1"/>
      </tp>
      <tp t="s">
        <v>ACT/ACT</v>
        <stp/>
        <stp>##V3_BDPV12</stp>
        <stp>912827K4 Govt</stp>
        <stp>DAY_CNT_DES</stp>
        <stp>[TREASURY.xlsx]Sheet1!R568C17</stp>
        <tr r="Q568" s="1"/>
      </tp>
      <tp t="s">
        <v>ACT/ACT</v>
        <stp/>
        <stp>##V3_BDPV12</stp>
        <stp>912827KN Govt</stp>
        <stp>DAY_CNT_DES</stp>
        <stp>[TREASURY.xlsx]Sheet1!R569C17</stp>
        <tr r="Q569" s="1"/>
      </tp>
      <tp t="s">
        <v>ACT/ACT</v>
        <stp/>
        <stp>##V3_BDPV12</stp>
        <stp>9128275E Govt</stp>
        <stp>DAY_CNT_DES</stp>
        <stp>[TREASURY.xlsx]Sheet1!R553C17</stp>
        <tr r="Q553" s="1"/>
      </tp>
      <tp t="s">
        <v>ACT/ACT</v>
        <stp/>
        <stp>##V3_BDPV12</stp>
        <stp>9128273X Govt</stp>
        <stp>DAY_CNT_DES</stp>
        <stp>[TREASURY.xlsx]Sheet1!R500C17</stp>
        <tr r="Q500" s="1"/>
      </tp>
      <tp t="s">
        <v>ACT/ACT</v>
        <stp/>
        <stp>##V3_BDPV12</stp>
        <stp>9128274F Govt</stp>
        <stp>DAY_CNT_DES</stp>
        <stp>[TREASURY.xlsx]Sheet1!R578C17</stp>
        <tr r="Q578" s="1"/>
      </tp>
      <tp t="s">
        <v>ACT/ACT</v>
        <stp/>
        <stp>##V3_BDPV12</stp>
        <stp>9128277K Govt</stp>
        <stp>DAY_CNT_DES</stp>
        <stp>[TREASURY.xlsx]Sheet1!R528C17</stp>
        <tr r="Q528" s="1"/>
      </tp>
      <tp t="s">
        <v>ACT/ACT</v>
        <stp/>
        <stp>##V3_BDPV12</stp>
        <stp>9128274W Govt</stp>
        <stp>DAY_CNT_DES</stp>
        <stp>[TREASURY.xlsx]Sheet1!R522C17</stp>
        <tr r="Q522" s="1"/>
      </tp>
      <tp t="s">
        <v>#N/A Field Not Applicable</v>
        <stp/>
        <stp>##V3_BDPV12</stp>
        <stp>912810FB Govt</stp>
        <stp>IDX_RATIO</stp>
        <stp>[TREASURY.xlsx]Sheet1!R320C20</stp>
        <tr r="T320" s="1"/>
      </tp>
      <tp t="s">
        <v>ACT/ACT</v>
        <stp/>
        <stp>##V3_BDPV12</stp>
        <stp>912827KW Govt</stp>
        <stp>DAY_CNT_DES</stp>
        <stp>[TREASURY.xlsx]Sheet1!R392C17</stp>
        <tr r="Q392" s="1"/>
      </tp>
      <tp t="s">
        <v>ACT/ACT</v>
        <stp/>
        <stp>##V3_BDPV12</stp>
        <stp>9128277B Govt</stp>
        <stp>DAY_CNT_DES</stp>
        <stp>[TREASURY.xlsx]Sheet1!R354C17</stp>
        <tr r="Q354" s="1"/>
      </tp>
      <tp t="s">
        <v>#N/A Field Not Applicable</v>
        <stp/>
        <stp>##V3_BDPV12</stp>
        <stp>912828FH Govt</stp>
        <stp>IDX_RATIO</stp>
        <stp>[TREASURY.xlsx]Sheet1!R843C20</stp>
        <tr r="T843" s="1"/>
      </tp>
      <tp t="s">
        <v>#N/A Field Not Applicable</v>
        <stp/>
        <stp>##V3_BDPV12</stp>
        <stp>912828FK Govt</stp>
        <stp>IDX_RATIO</stp>
        <stp>[TREASURY.xlsx]Sheet1!R844C20</stp>
        <tr r="T844" s="1"/>
      </tp>
      <tp t="s">
        <v>#N/A Field Not Applicable</v>
        <stp/>
        <stp>##V3_BDPV12</stp>
        <stp>912828FD Govt</stp>
        <stp>IDX_RATIO</stp>
        <stp>[TREASURY.xlsx]Sheet1!R650C20</stp>
        <tr r="T650" s="1"/>
      </tp>
      <tp t="s">
        <v>#N/A Field Not Applicable</v>
        <stp/>
        <stp>##V3_BDPV12</stp>
        <stp>912828FF Govt</stp>
        <stp>IDX_RATIO</stp>
        <stp>[TREASURY.xlsx]Sheet1!R475C20</stp>
        <tr r="T475" s="1"/>
      </tp>
      <tp t="s">
        <v>#N/A Field Not Applicable</v>
        <stp/>
        <stp>##V3_BDPV12</stp>
        <stp>912810FA Govt</stp>
        <stp>IDX_RATIO</stp>
        <stp>[TREASURY.xlsx]Sheet1!R314C20</stp>
        <tr r="T314" s="1"/>
      </tp>
      <tp t="s">
        <v>ACT/ACT</v>
        <stp/>
        <stp>##V3_BDPV12</stp>
        <stp>912828YT Govt</stp>
        <stp>DAY_CNT_DES</stp>
        <stp>[TREASURY.xlsx]Sheet1!R198C17</stp>
        <tr r="Q198" s="1"/>
      </tp>
      <tp t="s">
        <v>ACT/ACT</v>
        <stp/>
        <stp>##V3_BDPV12</stp>
        <stp>912828XD Govt</stp>
        <stp>DAY_CNT_DES</stp>
        <stp>[TREASURY.xlsx]Sheet1!R189C17</stp>
        <tr r="Q189" s="1"/>
      </tp>
      <tp t="s">
        <v>ACT/ACT</v>
        <stp/>
        <stp>##V3_BDPV12</stp>
        <stp>912828SF Govt</stp>
        <stp>DAY_CNT_DES</stp>
        <stp>[TREASURY.xlsx]Sheet1!R138C17</stp>
        <tr r="Q138" s="1"/>
      </tp>
      <tp t="s">
        <v>ACT/ACT</v>
        <stp/>
        <stp>##V3_BDPV12</stp>
        <stp>912828VB Govt</stp>
        <stp>DAY_CNT_DES</stp>
        <stp>[TREASURY.xlsx]Sheet1!R168C17</stp>
        <tr r="Q168" s="1"/>
      </tp>
      <tp t="s">
        <v>ACT/ACT</v>
        <stp/>
        <stp>##V3_BDPV12</stp>
        <stp>912828R3 Govt</stp>
        <stp>DAY_CNT_DES</stp>
        <stp>[TREASURY.xlsx]Sheet1!R130C17</stp>
        <tr r="Q130" s="1"/>
      </tp>
      <tp t="s">
        <v>ACT/ACT</v>
        <stp/>
        <stp>##V3_BDPV12</stp>
        <stp>912828UN Govt</stp>
        <stp>DAY_CNT_DES</stp>
        <stp>[TREASURY.xlsx]Sheet1!R147C17</stp>
        <tr r="Q147" s="1"/>
      </tp>
      <tp t="s">
        <v>ACT/ACT</v>
        <stp/>
        <stp>##V3_BDPV12</stp>
        <stp>912828XG Govt</stp>
        <stp>DAY_CNT_DES</stp>
        <stp>[TREASURY.xlsx]Sheet1!R196C17</stp>
        <tr r="Q196" s="1"/>
      </tp>
      <tp t="s">
        <v>ACT/ACT</v>
        <stp/>
        <stp>##V3_BDPV12</stp>
        <stp>912828YA Govt</stp>
        <stp>DAY_CNT_DES</stp>
        <stp>[TREASURY.xlsx]Sheet1!R183C17</stp>
        <tr r="Q183" s="1"/>
      </tp>
      <tp t="s">
        <v>ACT/ACT</v>
        <stp/>
        <stp>##V3_BDPV12</stp>
        <stp>912828ZY Govt</stp>
        <stp>DAY_CNT_DES</stp>
        <stp>[TREASURY.xlsx]Sheet1!R184C17</stp>
        <tr r="Q184" s="1"/>
      </tp>
      <tp t="s">
        <v>ACT/ACT</v>
        <stp/>
        <stp>##V3_BDPV12</stp>
        <stp>912828RR Govt</stp>
        <stp>DAY_CNT_DES</stp>
        <stp>[TREASURY.xlsx]Sheet1!R119C17</stp>
        <tr r="Q119" s="1"/>
      </tp>
      <tp t="s">
        <v>ACT/ACT</v>
        <stp/>
        <stp>##V3_BDPV12</stp>
        <stp>912828ZA Govt</stp>
        <stp>DAY_CNT_DES</stp>
        <stp>[TREASURY.xlsx]Sheet1!R190C17</stp>
        <tr r="Q190" s="1"/>
      </tp>
      <tp t="s">
        <v>ACT/ACT</v>
        <stp/>
        <stp>##V3_BDPV12</stp>
        <stp>912828V9 Govt</stp>
        <stp>DAY_CNT_DES</stp>
        <stp>[TREASURY.xlsx]Sheet1!R127C17</stp>
        <tr r="Q127" s="1"/>
      </tp>
      <tp t="s">
        <v>ACT/ACT</v>
        <stp/>
        <stp>##V3_BDPV12</stp>
        <stp>912828T6 Govt</stp>
        <stp>DAY_CNT_DES</stp>
        <stp>[TREASURY.xlsx]Sheet1!R105C17</stp>
        <tr r="Q105" s="1"/>
      </tp>
      <tp t="s">
        <v>ACT/ACT</v>
        <stp/>
        <stp>##V3_BDPV12</stp>
        <stp>912828W7 Govt</stp>
        <stp>DAY_CNT_DES</stp>
        <stp>[TREASURY.xlsx]Sheet1!R125C17</stp>
        <tr r="Q125" s="1"/>
      </tp>
      <tp t="s">
        <v>ACT/ACT</v>
        <stp/>
        <stp>##V3_BDPV12</stp>
        <stp>912828VS Govt</stp>
        <stp>DAY_CNT_DES</stp>
        <stp>[TREASURY.xlsx]Sheet1!R134C17</stp>
        <tr r="Q134" s="1"/>
      </tp>
      <tp t="s">
        <v>ACT/ACT</v>
        <stp/>
        <stp>##V3_BDPV12</stp>
        <stp>912828TY Govt</stp>
        <stp>DAY_CNT_DES</stp>
        <stp>[TREASURY.xlsx]Sheet1!R118C17</stp>
        <tr r="Q118" s="1"/>
      </tp>
      <tp t="s">
        <v>ACT/ACT</v>
        <stp/>
        <stp>##V3_BDPV12</stp>
        <stp>912828SV Govt</stp>
        <stp>DAY_CNT_DES</stp>
        <stp>[TREASURY.xlsx]Sheet1!R164C17</stp>
        <tr r="Q164" s="1"/>
      </tp>
      <tp t="s">
        <v>ACT/ACT</v>
        <stp/>
        <stp>##V3_BDPV12</stp>
        <stp>912828T3 Govt</stp>
        <stp>DAY_CNT_DES</stp>
        <stp>[TREASURY.xlsx]Sheet1!R124C17</stp>
        <tr r="Q124" s="1"/>
      </tp>
      <tp t="s">
        <v>ACT/ACT</v>
        <stp/>
        <stp>##V3_BDPV12</stp>
        <stp>912828WE Govt</stp>
        <stp>DAY_CNT_DES</stp>
        <stp>[TREASURY.xlsx]Sheet1!R108C17</stp>
        <tr r="Q108" s="1"/>
      </tp>
      <tp t="s">
        <v>ACT/ACT</v>
        <stp/>
        <stp>##V3_BDPV12</stp>
        <stp>912828YM Govt</stp>
        <stp>DAY_CNT_DES</stp>
        <stp>[TREASURY.xlsx]Sheet1!R113C17</stp>
        <tr r="Q113" s="1"/>
      </tp>
      <tp t="s">
        <v>ACT/ACT</v>
        <stp/>
        <stp>##V3_BDPV12</stp>
        <stp>912828ZD Govt</stp>
        <stp>DAY_CNT_DES</stp>
        <stp>[TREASURY.xlsx]Sheet1!R121C17</stp>
        <tr r="Q121" s="1"/>
      </tp>
      <tp t="s">
        <v>ACT/ACT</v>
        <stp/>
        <stp>##V3_BDPV12</stp>
        <stp>912828Q2 Govt</stp>
        <stp>DAY_CNT_DES</stp>
        <stp>[TREASURY.xlsx]Sheet1!R187C17</stp>
        <tr r="Q187" s="1"/>
      </tp>
      <tp t="s">
        <v>ACT/ACT</v>
        <stp/>
        <stp>##V3_BDPV12</stp>
        <stp>912828YX Govt</stp>
        <stp>DAY_CNT_DES</stp>
        <stp>[TREASURY.xlsx]Sheet1!R104C17</stp>
        <tr r="Q104" s="1"/>
      </tp>
      <tp t="s">
        <v>ACT/ACT</v>
        <stp/>
        <stp>##V3_BDPV12</stp>
        <stp>912828ZR Govt</stp>
        <stp>DAY_CNT_DES</stp>
        <stp>[TREASURY.xlsx]Sheet1!R136C17</stp>
        <tr r="Q136" s="1"/>
      </tp>
      <tp t="s">
        <v>ACT/ACT</v>
        <stp/>
        <stp>##V3_BDPV12</stp>
        <stp>912828YV Govt</stp>
        <stp>DAY_CNT_DES</stp>
        <stp>[TREASURY.xlsx]Sheet1!R139C17</stp>
        <tr r="Q139" s="1"/>
      </tp>
      <tp t="s">
        <v>ACT/ACT</v>
        <stp/>
        <stp>##V3_BDPV12</stp>
        <stp>912828ZW Govt</stp>
        <stp>DAY_CNT_DES</stp>
        <stp>[TREASURY.xlsx]Sheet1!R101C17</stp>
        <tr r="Q101" s="1"/>
      </tp>
      <tp t="s">
        <v>ACT/ACT</v>
        <stp/>
        <stp>##V3_BDPV12</stp>
        <stp>912828YH Govt</stp>
        <stp>DAY_CNT_DES</stp>
        <stp>[TREASURY.xlsx]Sheet1!R135C17</stp>
        <tr r="Q135" s="1"/>
      </tp>
      <tp t="s">
        <v>ACT/ACT</v>
        <stp/>
        <stp>##V3_BDPV12</stp>
        <stp>912828YK Govt</stp>
        <stp>DAY_CNT_DES</stp>
        <stp>[TREASURY.xlsx]Sheet1!R131C17</stp>
        <tr r="Q131" s="1"/>
      </tp>
      <tp t="s">
        <v>ACT/ACT</v>
        <stp/>
        <stp>##V3_BDPV12</stp>
        <stp>912828XB Govt</stp>
        <stp>DAY_CNT_DES</stp>
        <stp>[TREASURY.xlsx]Sheet1!R122C17</stp>
        <tr r="Q122" s="1"/>
      </tp>
      <tp t="s">
        <v>ACT/ACT</v>
        <stp/>
        <stp>##V3_BDPV12</stp>
        <stp>912828ZX Govt</stp>
        <stp>DAY_CNT_DES</stp>
        <stp>[TREASURY.xlsx]Sheet1!R111C17</stp>
        <tr r="Q111" s="1"/>
      </tp>
      <tp t="s">
        <v>ACT/ACT</v>
        <stp/>
        <stp>##V3_BDPV12</stp>
        <stp>912828ZN Govt</stp>
        <stp>DAY_CNT_DES</stp>
        <stp>[TREASURY.xlsx]Sheet1!R117C17</stp>
        <tr r="Q117" s="1"/>
      </tp>
      <tp t="s">
        <v>ACT/ACT</v>
        <stp/>
        <stp>##V3_BDPV12</stp>
        <stp>912828ZE Govt</stp>
        <stp>DAY_CNT_DES</stp>
        <stp>[TREASURY.xlsx]Sheet1!R112C17</stp>
        <tr r="Q112" s="1"/>
      </tp>
      <tp t="s">
        <v>ACT/ACT</v>
        <stp/>
        <stp>##V3_BDPV12</stp>
        <stp>912828Y9 Govt</stp>
        <stp>DAY_CNT_DES</stp>
        <stp>[TREASURY.xlsx]Sheet1!R157C17</stp>
        <tr r="Q157" s="1"/>
      </tp>
      <tp t="s">
        <v>ACT/ACT</v>
        <stp/>
        <stp>##V3_BDPV12</stp>
        <stp>912828Z7 Govt</stp>
        <stp>DAY_CNT_DES</stp>
        <stp>[TREASURY.xlsx]Sheet1!R169C17</stp>
        <tr r="Q169" s="1"/>
      </tp>
      <tp t="s">
        <v>ACT/ACT</v>
        <stp/>
        <stp>##V3_BDPV12</stp>
        <stp>912828ZU Govt</stp>
        <stp>DAY_CNT_DES</stp>
        <stp>[TREASURY.xlsx]Sheet1!R162C17</stp>
        <tr r="Q162" s="1"/>
      </tp>
      <tp t="s">
        <v>ACT/ACT</v>
        <stp/>
        <stp>##V3_BDPV12</stp>
        <stp>912828YY Govt</stp>
        <stp>DAY_CNT_DES</stp>
        <stp>[TREASURY.xlsx]Sheet1!R158C17</stp>
        <tr r="Q158" s="1"/>
      </tp>
      <tp t="s">
        <v>ACT/ACT</v>
        <stp/>
        <stp>##V3_BDPV12</stp>
        <stp>912828ZH Govt</stp>
        <stp>DAY_CNT_DES</stp>
        <stp>[TREASURY.xlsx]Sheet1!R165C17</stp>
        <tr r="Q165" s="1"/>
      </tp>
      <tp t="s">
        <v>ACT/ACT</v>
        <stp/>
        <stp>##V3_BDPV12</stp>
        <stp>912828T2 Govt</stp>
        <stp>DAY_CNT_DES</stp>
        <stp>[TREASURY.xlsx]Sheet1!R192C17</stp>
        <tr r="Q192" s="1"/>
      </tp>
      <tp t="s">
        <v>ACT/ACT</v>
        <stp/>
        <stp>##V3_BDPV12</stp>
        <stp>912828YP Govt</stp>
        <stp>DAY_CNT_DES</stp>
        <stp>[TREASURY.xlsx]Sheet1!R149C17</stp>
        <tr r="Q149" s="1"/>
      </tp>
      <tp t="s">
        <v>ACT/ACT</v>
        <stp/>
        <stp>##V3_BDPV12</stp>
        <stp>912828YW Govt</stp>
        <stp>DAY_CNT_DES</stp>
        <stp>[TREASURY.xlsx]Sheet1!R141C17</stp>
        <tr r="Q141" s="1"/>
      </tp>
      <tp t="s">
        <v>ACT/ACT</v>
        <stp/>
        <stp>##V3_BDPV12</stp>
        <stp>912828XT Govt</stp>
        <stp>DAY_CNT_DES</stp>
        <stp>[TREASURY.xlsx]Sheet1!R155C17</stp>
        <tr r="Q155" s="1"/>
      </tp>
      <tp t="s">
        <v>ACT/ACT</v>
        <stp/>
        <stp>##V3_BDPV12</stp>
        <stp>912828ZS Govt</stp>
        <stp>DAY_CNT_DES</stp>
        <stp>[TREASURY.xlsx]Sheet1!R171C17</stp>
        <tr r="Q171" s="1"/>
      </tp>
      <tp t="s">
        <v>ACT/ACT</v>
        <stp/>
        <stp>##V3_BDPV12</stp>
        <stp>912828TJ Govt</stp>
        <stp>DAY_CNT_DES</stp>
        <stp>[TREASURY.xlsx]Sheet1!R194C17</stp>
        <tr r="Q194" s="1"/>
      </tp>
      <tp t="s">
        <v>ACT/ACT</v>
        <stp/>
        <stp>##V3_BDPV12</stp>
        <stp>912828ZM Govt</stp>
        <stp>DAY_CNT_DES</stp>
        <stp>[TREASURY.xlsx]Sheet1!R175C17</stp>
        <tr r="Q175" s="1"/>
      </tp>
      <tp t="s">
        <v>ACT/ACT</v>
        <stp/>
        <stp>##V3_BDPV12</stp>
        <stp>912828YE Govt</stp>
        <stp>DAY_CNT_DES</stp>
        <stp>[TREASURY.xlsx]Sheet1!R143C17</stp>
        <tr r="Q143" s="1"/>
      </tp>
      <tp t="s">
        <v>ACT/ACT</v>
        <stp/>
        <stp>##V3_BDPV12</stp>
        <stp>912828YZ Govt</stp>
        <stp>DAY_CNT_DES</stp>
        <stp>[TREASURY.xlsx]Sheet1!R170C17</stp>
        <tr r="Q170" s="1"/>
      </tp>
      <tp t="s">
        <v>ACT/ACT</v>
        <stp/>
        <stp>##V3_BDPV12</stp>
        <stp>912828YU Govt</stp>
        <stp>DAY_CNT_DES</stp>
        <stp>[TREASURY.xlsx]Sheet1!R174C17</stp>
        <tr r="Q174" s="1"/>
      </tp>
      <tp t="s">
        <v>ACT/ACT</v>
        <stp/>
        <stp>##V3_BDPV12</stp>
        <stp>912828YD Govt</stp>
        <stp>DAY_CNT_DES</stp>
        <stp>[TREASURY.xlsx]Sheet1!R178C17</stp>
        <tr r="Q178" s="1"/>
      </tp>
      <tp t="s">
        <v>ACT/ACT</v>
        <stp/>
        <stp>##V3_BDPV12</stp>
        <stp>912828ZB Govt</stp>
        <stp>DAY_CNT_DES</stp>
        <stp>[TREASURY.xlsx]Sheet1!R148C17</stp>
        <tr r="Q148" s="1"/>
      </tp>
      <tp t="s">
        <v>ACT/ACT</v>
        <stp/>
        <stp>##V3_BDPV12</stp>
        <stp>912828ZV Govt</stp>
        <stp>DAY_CNT_DES</stp>
        <stp>[TREASURY.xlsx]Sheet1!R159C17</stp>
        <tr r="Q159" s="1"/>
      </tp>
      <tp t="s">
        <v>ACT/ACT</v>
        <stp/>
        <stp>##V3_BDPV12</stp>
        <stp>912828ZP Govt</stp>
        <stp>DAY_CNT_DES</stp>
        <stp>[TREASURY.xlsx]Sheet1!R153C17</stp>
        <tr r="Q153" s="1"/>
      </tp>
      <tp t="s">
        <v>ACT/ACT</v>
        <stp/>
        <stp>##V3_BDPV12</stp>
        <stp>912828WJ Govt</stp>
        <stp>DAY_CNT_DES</stp>
        <stp>[TREASURY.xlsx]Sheet1!R182C17</stp>
        <tr r="Q182" s="1"/>
      </tp>
      <tp t="s">
        <v>ACT/ACT</v>
        <stp/>
        <stp>##V3_BDPV12</stp>
        <stp>912828B6 Govt</stp>
        <stp>DAY_CNT_DES</stp>
        <stp>[TREASURY.xlsx]Sheet1!R110C17</stp>
        <tr r="Q110" s="1"/>
      </tp>
      <tp t="s">
        <v>ACT/ACT</v>
        <stp/>
        <stp>##V3_BDPV12</stp>
        <stp>912828G3 Govt</stp>
        <stp>DAY_CNT_DES</stp>
        <stp>[TREASURY.xlsx]Sheet1!R137C17</stp>
        <tr r="Q137" s="1"/>
      </tp>
      <tp t="s">
        <v>ACT/ACT</v>
        <stp/>
        <stp>##V3_BDPV12</stp>
        <stp>912828M8 Govt</stp>
        <stp>DAY_CNT_DES</stp>
        <stp>[TREASURY.xlsx]Sheet1!R150C17</stp>
        <tr r="Q150" s="1"/>
      </tp>
      <tp t="s">
        <v>ACT/ACT</v>
        <stp/>
        <stp>##V3_BDPV12</stp>
        <stp>912828L5 Govt</stp>
        <stp>DAY_CNT_DES</stp>
        <stp>[TREASURY.xlsx]Sheet1!R161C17</stp>
        <tr r="Q161" s="1"/>
      </tp>
      <tp t="s">
        <v>ACT/ACT</v>
        <stp/>
        <stp>##V3_BDPV12</stp>
        <stp>912828L2 Govt</stp>
        <stp>DAY_CNT_DES</stp>
        <stp>[TREASURY.xlsx]Sheet1!R173C17</stp>
        <tr r="Q173" s="1"/>
      </tp>
      <tp t="s">
        <v>ACT/ACT</v>
        <stp/>
        <stp>##V3_BDPV12</stp>
        <stp>912828N3 Govt</stp>
        <stp>DAY_CNT_DES</stp>
        <stp>[TREASURY.xlsx]Sheet1!R129C17</stp>
        <tr r="Q129" s="1"/>
      </tp>
      <tp t="s">
        <v>ACT/ACT</v>
        <stp/>
        <stp>##V3_BDPV12</stp>
        <stp>912828M5 Govt</stp>
        <stp>DAY_CNT_DES</stp>
        <stp>[TREASURY.xlsx]Sheet1!R116C17</stp>
        <tr r="Q116" s="1"/>
      </tp>
      <tp t="s">
        <v>ACT/ACT</v>
        <stp/>
        <stp>##V3_BDPV12</stp>
        <stp>912828F9 Govt</stp>
        <stp>DAY_CNT_DES</stp>
        <stp>[TREASURY.xlsx]Sheet1!R199C17</stp>
        <tr r="Q199" s="1"/>
      </tp>
      <tp t="s">
        <v>ACT/ACT</v>
        <stp/>
        <stp>##V3_BDPV12</stp>
        <stp>9128285R Govt</stp>
        <stp>DAY_CNT_DES</stp>
        <stp>[TREASURY.xlsx]Sheet1!R140C17</stp>
        <tr r="Q140" s="1"/>
      </tp>
      <tp t="s">
        <v>ACT/ACT</v>
        <stp/>
        <stp>##V3_BDPV12</stp>
        <stp>9128285V Govt</stp>
        <stp>DAY_CNT_DES</stp>
        <stp>[TREASURY.xlsx]Sheet1!R179C17</stp>
        <tr r="Q179" s="1"/>
      </tp>
      <tp t="s">
        <v>ACT/ACT</v>
        <stp/>
        <stp>##V3_BDPV12</stp>
        <stp>9128285U Govt</stp>
        <stp>DAY_CNT_DES</stp>
        <stp>[TREASURY.xlsx]Sheet1!R160C17</stp>
        <tr r="Q160" s="1"/>
      </tp>
      <tp t="s">
        <v>ACT/ACT</v>
        <stp/>
        <stp>##V3_BDPV12</stp>
        <stp>9128282W Govt</stp>
        <stp>DAY_CNT_DES</stp>
        <stp>[TREASURY.xlsx]Sheet1!R166C17</stp>
        <tr r="Q166" s="1"/>
      </tp>
      <tp t="s">
        <v>ACT/ACT</v>
        <stp/>
        <stp>##V3_BDPV12</stp>
        <stp>9128285F Govt</stp>
        <stp>DAY_CNT_DES</stp>
        <stp>[TREASURY.xlsx]Sheet1!R106C17</stp>
        <tr r="Q106" s="1"/>
      </tp>
      <tp t="s">
        <v>ACT/ACT</v>
        <stp/>
        <stp>##V3_BDPV12</stp>
        <stp>9128282Y Govt</stp>
        <stp>DAY_CNT_DES</stp>
        <stp>[TREASURY.xlsx]Sheet1!R145C17</stp>
        <tr r="Q145" s="1"/>
      </tp>
      <tp t="s">
        <v>ACT/ACT</v>
        <stp/>
        <stp>##V3_BDPV12</stp>
        <stp>9128284U Govt</stp>
        <stp>DAY_CNT_DES</stp>
        <stp>[TREASURY.xlsx]Sheet1!R128C17</stp>
        <tr r="Q128" s="1"/>
      </tp>
      <tp t="s">
        <v>ACT/ACT</v>
        <stp/>
        <stp>##V3_BDPV12</stp>
        <stp>9128283P Govt</stp>
        <stp>DAY_CNT_DES</stp>
        <stp>[TREASURY.xlsx]Sheet1!R185C17</stp>
        <tr r="Q185" s="1"/>
      </tp>
      <tp t="s">
        <v>ACT/ACT</v>
        <stp/>
        <stp>##V3_BDPV12</stp>
        <stp>9128283C Govt</stp>
        <stp>DAY_CNT_DES</stp>
        <stp>[TREASURY.xlsx]Sheet1!R186C17</stp>
        <tr r="Q186" s="1"/>
      </tp>
      <tp t="s">
        <v>ACT/ACT</v>
        <stp/>
        <stp>##V3_BDPV12</stp>
        <stp>9128285L Govt</stp>
        <stp>DAY_CNT_DES</stp>
        <stp>[TREASURY.xlsx]Sheet1!R193C17</stp>
        <tr r="Q193" s="1"/>
      </tp>
      <tp t="s">
        <v>#N/A Field Not Applicable</v>
        <stp/>
        <stp>##V3_BDPV12</stp>
        <stp>912828FJ Govt</stp>
        <stp>IDX_RATIO</stp>
        <stp>[TREASURY.xlsx]Sheet1!R799C20</stp>
        <tr r="T799" s="1"/>
      </tp>
      <tp t="s">
        <v>#N/A Field Not Applicable</v>
        <stp/>
        <stp>##V3_BDPV12</stp>
        <stp>912810FM Govt</stp>
        <stp>IDX_RATIO</stp>
        <stp>[TREASURY.xlsx]Sheet1!R188C20</stp>
        <tr r="T188" s="1"/>
      </tp>
      <tp t="s">
        <v>ACT/ACT</v>
        <stp/>
        <stp>##V3_BDPV12</stp>
        <stp>912828P7 Govt</stp>
        <stp>DAY_CNT_DES</stp>
        <stp>[TREASURY.xlsx]Sheet1!R309C17</stp>
        <tr r="Q309" s="1"/>
      </tp>
      <tp t="s">
        <v>ACT/ACT</v>
        <stp/>
        <stp>##V3_BDPV12</stp>
        <stp>912828WG Govt</stp>
        <stp>DAY_CNT_DES</stp>
        <stp>[TREASURY.xlsx]Sheet1!R370C17</stp>
        <tr r="Q370" s="1"/>
      </tp>
      <tp t="s">
        <v>ACT/ACT</v>
        <stp/>
        <stp>##V3_BDPV12</stp>
        <stp>912828W9 Govt</stp>
        <stp>DAY_CNT_DES</stp>
        <stp>[TREASURY.xlsx]Sheet1!R363C17</stp>
        <tr r="Q363" s="1"/>
      </tp>
      <tp t="s">
        <v>ACT/ACT</v>
        <stp/>
        <stp>##V3_BDPV12</stp>
        <stp>912828RC Govt</stp>
        <stp>DAY_CNT_DES</stp>
        <stp>[TREASURY.xlsx]Sheet1!R333C17</stp>
        <tr r="Q333" s="1"/>
      </tp>
      <tp t="s">
        <v>ACT/ACT</v>
        <stp/>
        <stp>##V3_BDPV12</stp>
        <stp>912828TW Govt</stp>
        <stp>DAY_CNT_DES</stp>
        <stp>[TREASURY.xlsx]Sheet1!R361C17</stp>
        <tr r="Q361" s="1"/>
      </tp>
      <tp t="s">
        <v>ACT/ACT</v>
        <stp/>
        <stp>##V3_BDPV12</stp>
        <stp>912828WY Govt</stp>
        <stp>DAY_CNT_DES</stp>
        <stp>[TREASURY.xlsx]Sheet1!R359C17</stp>
        <tr r="Q359" s="1"/>
      </tp>
      <tp t="s">
        <v>ACT/ACT</v>
        <stp/>
        <stp>##V3_BDPV12</stp>
        <stp>912828QN Govt</stp>
        <stp>DAY_CNT_DES</stp>
        <stp>[TREASURY.xlsx]Sheet1!R334C17</stp>
        <tr r="Q334" s="1"/>
      </tp>
      <tp t="s">
        <v>ACT/ACT</v>
        <stp/>
        <stp>##V3_BDPV12</stp>
        <stp>912828S9 Govt</stp>
        <stp>DAY_CNT_DES</stp>
        <stp>[TREASURY.xlsx]Sheet1!R301C17</stp>
        <tr r="Q301" s="1"/>
      </tp>
      <tp t="s">
        <v>ACT/ACT</v>
        <stp/>
        <stp>##V3_BDPV12</stp>
        <stp>912828S3 Govt</stp>
        <stp>DAY_CNT_DES</stp>
        <stp>[TREASURY.xlsx]Sheet1!R305C17</stp>
        <tr r="Q305" s="1"/>
      </tp>
      <tp t="s">
        <v>ACT/ACT</v>
        <stp/>
        <stp>##V3_BDPV12</stp>
        <stp>912828WW Govt</stp>
        <stp>DAY_CNT_DES</stp>
        <stp>[TREASURY.xlsx]Sheet1!R340C17</stp>
        <tr r="Q340" s="1"/>
      </tp>
      <tp t="s">
        <v>ACT/ACT</v>
        <stp/>
        <stp>##V3_BDPV12</stp>
        <stp>912828WR Govt</stp>
        <stp>DAY_CNT_DES</stp>
        <stp>[TREASURY.xlsx]Sheet1!R341C17</stp>
        <tr r="Q341" s="1"/>
      </tp>
      <tp t="s">
        <v>ACT/ACT</v>
        <stp/>
        <stp>##V3_BDPV12</stp>
        <stp>912828WN Govt</stp>
        <stp>DAY_CNT_DES</stp>
        <stp>[TREASURY.xlsx]Sheet1!R338C17</stp>
        <tr r="Q338" s="1"/>
      </tp>
      <tp t="s">
        <v>ACT/ACT</v>
        <stp/>
        <stp>##V3_BDPV12</stp>
        <stp>912828RX Govt</stp>
        <stp>DAY_CNT_DES</stp>
        <stp>[TREASURY.xlsx]Sheet1!R374C17</stp>
        <tr r="Q374" s="1"/>
      </tp>
      <tp t="s">
        <v>ACT/ACT</v>
        <stp/>
        <stp>##V3_BDPV12</stp>
        <stp>912828PX Govt</stp>
        <stp>DAY_CNT_DES</stp>
        <stp>[TREASURY.xlsx]Sheet1!R355C17</stp>
        <tr r="Q355" s="1"/>
      </tp>
      <tp t="s">
        <v>ACT/ACT</v>
        <stp/>
        <stp>##V3_BDPV12</stp>
        <stp>912828SH Govt</stp>
        <stp>DAY_CNT_DES</stp>
        <stp>[TREASURY.xlsx]Sheet1!R360C17</stp>
        <tr r="Q360" s="1"/>
      </tp>
      <tp t="s">
        <v>ACT/ACT</v>
        <stp/>
        <stp>##V3_BDPV12</stp>
        <stp>912828Q7 Govt</stp>
        <stp>DAY_CNT_DES</stp>
        <stp>[TREASURY.xlsx]Sheet1!R378C17</stp>
        <tr r="Q378" s="1"/>
      </tp>
      <tp t="s">
        <v>ACT/ACT</v>
        <stp/>
        <stp>##V3_BDPV12</stp>
        <stp>912828V8 Govt</stp>
        <stp>DAY_CNT_DES</stp>
        <stp>[TREASURY.xlsx]Sheet1!R307C17</stp>
        <tr r="Q307" s="1"/>
      </tp>
      <tp t="s">
        <v>ACT/ACT</v>
        <stp/>
        <stp>##V3_BDPV12</stp>
        <stp>912828PC Govt</stp>
        <stp>DAY_CNT_DES</stp>
        <stp>[TREASURY.xlsx]Sheet1!R365C17</stp>
        <tr r="Q365" s="1"/>
      </tp>
      <tp t="s">
        <v>ACT/ACT</v>
        <stp/>
        <stp>##V3_BDPV12</stp>
        <stp>912828S7 Govt</stp>
        <stp>DAY_CNT_DES</stp>
        <stp>[TREASURY.xlsx]Sheet1!R346C17</stp>
        <tr r="Q346" s="1"/>
      </tp>
      <tp t="s">
        <v>ACT/ACT</v>
        <stp/>
        <stp>##V3_BDPV12</stp>
        <stp>912828X7 Govt</stp>
        <stp>DAY_CNT_DES</stp>
        <stp>[TREASURY.xlsx]Sheet1!R300C17</stp>
        <tr r="Q300" s="1"/>
      </tp>
      <tp t="s">
        <v>ACT/ACT</v>
        <stp/>
        <stp>##V3_BDPV12</stp>
        <stp>912828P8 Govt</stp>
        <stp>DAY_CNT_DES</stp>
        <stp>[TREASURY.xlsx]Sheet1!R389C17</stp>
        <tr r="Q389" s="1"/>
      </tp>
      <tp t="s">
        <v>ACT/ACT</v>
        <stp/>
        <stp>##V3_BDPV12</stp>
        <stp>912828R7 Govt</stp>
        <stp>DAY_CNT_DES</stp>
        <stp>[TREASURY.xlsx]Sheet1!R383C17</stp>
        <tr r="Q383" s="1"/>
      </tp>
      <tp t="s">
        <v>ACT/ACT</v>
        <stp/>
        <stp>##V3_BDPV12</stp>
        <stp>912828Y2 Govt</stp>
        <stp>DAY_CNT_DES</stp>
        <stp>[TREASURY.xlsx]Sheet1!R336C17</stp>
        <tr r="Q336" s="1"/>
      </tp>
      <tp t="s">
        <v>ACT/ACT</v>
        <stp/>
        <stp>##V3_BDPV12</stp>
        <stp>912828S2 Govt</stp>
        <stp>DAY_CNT_DES</stp>
        <stp>[TREASURY.xlsx]Sheet1!R391C17</stp>
        <tr r="Q391" s="1"/>
      </tp>
      <tp t="s">
        <v>ACT/ACT</v>
        <stp/>
        <stp>##V3_BDPV12</stp>
        <stp>912828YC Govt</stp>
        <stp>DAY_CNT_DES</stp>
        <stp>[TREASURY.xlsx]Sheet1!R335C17</stp>
        <tr r="Q335" s="1"/>
      </tp>
      <tp t="s">
        <v>ACT/ACT</v>
        <stp/>
        <stp>##V3_BDPV12</stp>
        <stp>912828TC Govt</stp>
        <stp>DAY_CNT_DES</stp>
        <stp>[TREASURY.xlsx]Sheet1!R385C17</stp>
        <tr r="Q385" s="1"/>
      </tp>
      <tp t="s">
        <v>ACT/ACT</v>
        <stp/>
        <stp>##V3_BDPV12</stp>
        <stp>912828UA Govt</stp>
        <stp>DAY_CNT_DES</stp>
        <stp>[TREASURY.xlsx]Sheet1!R387C17</stp>
        <tr r="Q387" s="1"/>
      </tp>
      <tp t="s">
        <v>ACT/ACT</v>
        <stp/>
        <stp>##V3_BDPV12</stp>
        <stp>912828XA Govt</stp>
        <stp>DAY_CNT_DES</stp>
        <stp>[TREASURY.xlsx]Sheet1!R377C17</stp>
        <tr r="Q377" s="1"/>
      </tp>
      <tp t="s">
        <v>ACT/ACT</v>
        <stp/>
        <stp>##V3_BDPV12</stp>
        <stp>912828GM Govt</stp>
        <stp>DAY_CNT_DES</stp>
        <stp>[TREASURY.xlsx]Sheet1!R379C17</stp>
        <tr r="Q379" s="1"/>
      </tp>
      <tp t="s">
        <v>ACT/ACT</v>
        <stp/>
        <stp>##V3_BDPV12</stp>
        <stp>912828CA Govt</stp>
        <stp>DAY_CNT_DES</stp>
        <stp>[TREASURY.xlsx]Sheet1!R337C17</stp>
        <tr r="Q337" s="1"/>
      </tp>
      <tp t="s">
        <v>ACT/ACT</v>
        <stp/>
        <stp>##V3_BDPV12</stp>
        <stp>912828CB Govt</stp>
        <stp>DAY_CNT_DES</stp>
        <stp>[TREASURY.xlsx]Sheet1!R331C17</stp>
        <tr r="Q331" s="1"/>
      </tp>
      <tp t="s">
        <v>ACT/ACT</v>
        <stp/>
        <stp>##V3_BDPV12</stp>
        <stp>912828CC Govt</stp>
        <stp>DAY_CNT_DES</stp>
        <stp>[TREASURY.xlsx]Sheet1!R325C17</stp>
        <tr r="Q325" s="1"/>
      </tp>
      <tp t="s">
        <v>ACT/ACT</v>
        <stp/>
        <stp>##V3_BDPV12</stp>
        <stp>912828DC Govt</stp>
        <stp>DAY_CNT_DES</stp>
        <stp>[TREASURY.xlsx]Sheet1!R352C17</stp>
        <tr r="Q352" s="1"/>
      </tp>
      <tp t="s">
        <v>ACT/ACT</v>
        <stp/>
        <stp>##V3_BDPV12</stp>
        <stp>912828KB Govt</stp>
        <stp>DAY_CNT_DES</stp>
        <stp>[TREASURY.xlsx]Sheet1!R398C17</stp>
        <tr r="Q398" s="1"/>
      </tp>
      <tp t="s">
        <v>ACT/ACT</v>
        <stp/>
        <stp>##V3_BDPV12</stp>
        <stp>912828JR Govt</stp>
        <stp>DAY_CNT_DES</stp>
        <stp>[TREASURY.xlsx]Sheet1!R396C17</stp>
        <tr r="Q396" s="1"/>
      </tp>
      <tp t="s">
        <v>ACT/ACT</v>
        <stp/>
        <stp>##V3_BDPV12</stp>
        <stp>912828B9 Govt</stp>
        <stp>DAY_CNT_DES</stp>
        <stp>[TREASURY.xlsx]Sheet1!R371C17</stp>
        <tr r="Q371" s="1"/>
      </tp>
      <tp t="s">
        <v>ACT/ACT</v>
        <stp/>
        <stp>##V3_BDPV12</stp>
        <stp>912828MP Govt</stp>
        <stp>DAY_CNT_DES</stp>
        <stp>[TREASURY.xlsx]Sheet1!R386C17</stp>
        <tr r="Q386" s="1"/>
      </tp>
      <tp t="s">
        <v>ACT/ACT</v>
        <stp/>
        <stp>##V3_BDPV12</stp>
        <stp>912828NV Govt</stp>
        <stp>DAY_CNT_DES</stp>
        <stp>[TREASURY.xlsx]Sheet1!R382C17</stp>
        <tr r="Q382" s="1"/>
      </tp>
      <tp t="s">
        <v>ACT/ACT</v>
        <stp/>
        <stp>##V3_BDPV12</stp>
        <stp>912828NB Govt</stp>
        <stp>DAY_CNT_DES</stp>
        <stp>[TREASURY.xlsx]Sheet1!R388C17</stp>
        <tr r="Q388" s="1"/>
      </tp>
      <tp t="s">
        <v>ACT/ACT</v>
        <stp/>
        <stp>##V3_BDPV12</stp>
        <stp>912828C6 Govt</stp>
        <stp>DAY_CNT_DES</stp>
        <stp>[TREASURY.xlsx]Sheet1!R349C17</stp>
        <tr r="Q349" s="1"/>
      </tp>
      <tp t="s">
        <v>ACT/ACT</v>
        <stp/>
        <stp>##V3_BDPV12</stp>
        <stp>912828D7 Govt</stp>
        <stp>DAY_CNT_DES</stp>
        <stp>[TREASURY.xlsx]Sheet1!R332C17</stp>
        <tr r="Q332" s="1"/>
      </tp>
      <tp t="s">
        <v>ACT/ACT</v>
        <stp/>
        <stp>##V3_BDPV12</stp>
        <stp>912828C5 Govt</stp>
        <stp>DAY_CNT_DES</stp>
        <stp>[TREASURY.xlsx]Sheet1!R342C17</stp>
        <tr r="Q342" s="1"/>
      </tp>
      <tp t="s">
        <v>ACT/ACT</v>
        <stp/>
        <stp>##V3_BDPV12</stp>
        <stp>912828L9 Govt</stp>
        <stp>DAY_CNT_DES</stp>
        <stp>[TREASURY.xlsx]Sheet1!R358C17</stp>
        <tr r="Q358" s="1"/>
      </tp>
      <tp t="s">
        <v>ACT/ACT</v>
        <stp/>
        <stp>##V3_BDPV12</stp>
        <stp>912828LY Govt</stp>
        <stp>DAY_CNT_DES</stp>
        <stp>[TREASURY.xlsx]Sheet1!R353C17</stp>
        <tr r="Q353" s="1"/>
      </tp>
      <tp t="s">
        <v>ACT/ACT</v>
        <stp/>
        <stp>##V3_BDPV12</stp>
        <stp>912828J4 Govt</stp>
        <stp>DAY_CNT_DES</stp>
        <stp>[TREASURY.xlsx]Sheet1!R308C17</stp>
        <tr r="Q308" s="1"/>
      </tp>
      <tp t="s">
        <v>ACT/ACT</v>
        <stp/>
        <stp>##V3_BDPV12</stp>
        <stp>912828N8 Govt</stp>
        <stp>DAY_CNT_DES</stp>
        <stp>[TREASURY.xlsx]Sheet1!R343C17</stp>
        <tr r="Q343" s="1"/>
      </tp>
      <tp t="s">
        <v>ACT/ACT</v>
        <stp/>
        <stp>##V3_BDPV12</stp>
        <stp>912828CJ Govt</stp>
        <stp>DAY_CNT_DES</stp>
        <stp>[TREASURY.xlsx]Sheet1!R393C17</stp>
        <tr r="Q393" s="1"/>
      </tp>
      <tp t="s">
        <v>ACT/ACT</v>
        <stp/>
        <stp>##V3_BDPV12</stp>
        <stp>912828NT Govt</stp>
        <stp>DAY_CNT_DES</stp>
        <stp>[TREASURY.xlsx]Sheet1!R351C17</stp>
        <tr r="Q351" s="1"/>
      </tp>
      <tp t="s">
        <v>ACT/ACT</v>
        <stp/>
        <stp>##V3_BDPV12</stp>
        <stp>912828CD Govt</stp>
        <stp>DAY_CNT_DES</stp>
        <stp>[TREASURY.xlsx]Sheet1!R384C17</stp>
        <tr r="Q384" s="1"/>
      </tp>
      <tp t="s">
        <v>ACT/ACT</v>
        <stp/>
        <stp>##V3_BDPV12</stp>
        <stp>912828EX Govt</stp>
        <stp>DAY_CNT_DES</stp>
        <stp>[TREASURY.xlsx]Sheet1!R397C17</stp>
        <tr r="Q397" s="1"/>
      </tp>
      <tp t="s">
        <v>ACT/ACT</v>
        <stp/>
        <stp>##V3_BDPV12</stp>
        <stp>912828K8 Govt</stp>
        <stp>DAY_CNT_DES</stp>
        <stp>[TREASURY.xlsx]Sheet1!R369C17</stp>
        <tr r="Q369" s="1"/>
      </tp>
      <tp t="s">
        <v>ACT/ACT</v>
        <stp/>
        <stp>##V3_BDPV12</stp>
        <stp>912828HZ Govt</stp>
        <stp>DAY_CNT_DES</stp>
        <stp>[TREASURY.xlsx]Sheet1!R356C17</stp>
        <tr r="Q356" s="1"/>
      </tp>
      <tp t="s">
        <v>ACT/ACT</v>
        <stp/>
        <stp>##V3_BDPV12</stp>
        <stp>912828KD Govt</stp>
        <stp>DAY_CNT_DES</stp>
        <stp>[TREASURY.xlsx]Sheet1!R364C17</stp>
        <tr r="Q364" s="1"/>
      </tp>
      <tp t="s">
        <v>ACT/ACT</v>
        <stp/>
        <stp>##V3_BDPV12</stp>
        <stp>912828L3 Govt</stp>
        <stp>DAY_CNT_DES</stp>
        <stp>[TREASURY.xlsx]Sheet1!R327C17</stp>
        <tr r="Q327" s="1"/>
      </tp>
      <tp t="s">
        <v>ACT/ACT</v>
        <stp/>
        <stp>##V3_BDPV12</stp>
        <stp>912828FY Govt</stp>
        <stp>DAY_CNT_DES</stp>
        <stp>[TREASURY.xlsx]Sheet1!R394C17</stp>
        <tr r="Q394" s="1"/>
      </tp>
      <tp t="s">
        <v>ACT/ACT</v>
        <stp/>
        <stp>##V3_BDPV12</stp>
        <stp>9128284T Govt</stp>
        <stp>DAY_CNT_DES</stp>
        <stp>[TREASURY.xlsx]Sheet1!R344C17</stp>
        <tr r="Q344" s="1"/>
      </tp>
      <tp t="s">
        <v>ACT/ACT</v>
        <stp/>
        <stp>##V3_BDPV12</stp>
        <stp>9128284W Govt</stp>
        <stp>DAY_CNT_DES</stp>
        <stp>[TREASURY.xlsx]Sheet1!R347C17</stp>
        <tr r="Q347" s="1"/>
      </tp>
      <tp t="s">
        <v>ACT/ACT</v>
        <stp/>
        <stp>##V3_BDPV12</stp>
        <stp>9128282T Govt</stp>
        <stp>DAY_CNT_DES</stp>
        <stp>[TREASURY.xlsx]Sheet1!R330C17</stp>
        <tr r="Q330" s="1"/>
      </tp>
      <tp t="s">
        <v>ACT/ACT</v>
        <stp/>
        <stp>##V3_BDPV12</stp>
        <stp>9128285X Govt</stp>
        <stp>DAY_CNT_DES</stp>
        <stp>[TREASURY.xlsx]Sheet1!R372C17</stp>
        <tr r="Q372" s="1"/>
      </tp>
      <tp t="s">
        <v>ACT/ACT</v>
        <stp/>
        <stp>##V3_BDPV12</stp>
        <stp>9128284P Govt</stp>
        <stp>DAY_CNT_DES</stp>
        <stp>[TREASURY.xlsx]Sheet1!R367C17</stp>
        <tr r="Q367" s="1"/>
      </tp>
      <tp t="s">
        <v>ACT/ACT</v>
        <stp/>
        <stp>##V3_BDPV12</stp>
        <stp>9128286D Govt</stp>
        <stp>DAY_CNT_DES</stp>
        <stp>[TREASURY.xlsx]Sheet1!R348C17</stp>
        <tr r="Q348" s="1"/>
      </tp>
      <tp t="s">
        <v>ACT/ACT</v>
        <stp/>
        <stp>##V3_BDPV12</stp>
        <stp>9128284Y Govt</stp>
        <stp>DAY_CNT_DES</stp>
        <stp>[TREASURY.xlsx]Sheet1!R376C17</stp>
        <tr r="Q376" s="1"/>
      </tp>
      <tp t="s">
        <v>ACT/ACT</v>
        <stp/>
        <stp>##V3_BDPV12</stp>
        <stp>9128285G Govt</stp>
        <stp>DAY_CNT_DES</stp>
        <stp>[TREASURY.xlsx]Sheet1!R368C17</stp>
        <tr r="Q368" s="1"/>
      </tp>
      <tp t="s">
        <v>ACT/ACT</v>
        <stp/>
        <stp>##V3_BDPV12</stp>
        <stp>9128282V Govt</stp>
        <stp>DAY_CNT_DES</stp>
        <stp>[TREASURY.xlsx]Sheet1!R362C17</stp>
        <tr r="Q362" s="1"/>
      </tp>
      <tp t="s">
        <v>ACT/ACT</v>
        <stp/>
        <stp>##V3_BDPV12</stp>
        <stp>9128283Q Govt</stp>
        <stp>DAY_CNT_DES</stp>
        <stp>[TREASURY.xlsx]Sheet1!R375C17</stp>
        <tr r="Q375" s="1"/>
      </tp>
      <tp t="s">
        <v>ACT/ACT</v>
        <stp/>
        <stp>##V3_BDPV12</stp>
        <stp>9128286S Govt</stp>
        <stp>DAY_CNT_DES</stp>
        <stp>[TREASURY.xlsx]Sheet1!R322C17</stp>
        <tr r="Q322" s="1"/>
      </tp>
      <tp t="s">
        <v>ACT/ACT</v>
        <stp/>
        <stp>##V3_BDPV12</stp>
        <stp>9128287A Govt</stp>
        <stp>DAY_CNT_DES</stp>
        <stp>[TREASURY.xlsx]Sheet1!R339C17</stp>
        <tr r="Q339" s="1"/>
      </tp>
      <tp t="s">
        <v>ACT/ACT</v>
        <stp/>
        <stp>##V3_BDPV12</stp>
        <stp>9128287F Govt</stp>
        <stp>DAY_CNT_DES</stp>
        <stp>[TREASURY.xlsx]Sheet1!R329C17</stp>
        <tr r="Q329" s="1"/>
      </tp>
      <tp t="s">
        <v>ACT/ACT</v>
        <stp/>
        <stp>##V3_BDPV12</stp>
        <stp>9128283N Govt</stp>
        <stp>DAY_CNT_DES</stp>
        <stp>[TREASURY.xlsx]Sheet1!R366C17</stp>
        <tr r="Q366" s="1"/>
      </tp>
      <tp t="s">
        <v>ACT/ACT</v>
        <stp/>
        <stp>##V3_BDPV12</stp>
        <stp>9128282B Govt</stp>
        <stp>DAY_CNT_DES</stp>
        <stp>[TREASURY.xlsx]Sheet1!R373C17</stp>
        <tr r="Q373" s="1"/>
      </tp>
      <tp t="s">
        <v>ACT/ACT</v>
        <stp/>
        <stp>##V3_BDPV12</stp>
        <stp>9128283L Govt</stp>
        <stp>DAY_CNT_DES</stp>
        <stp>[TREASURY.xlsx]Sheet1!R350C17</stp>
        <tr r="Q350" s="1"/>
      </tp>
      <tp t="s">
        <v>ACT/ACT</v>
        <stp/>
        <stp>##V3_BDPV12</stp>
        <stp>9128282F Govt</stp>
        <stp>DAY_CNT_DES</stp>
        <stp>[TREASURY.xlsx]Sheet1!R345C17</stp>
        <tr r="Q345" s="1"/>
      </tp>
      <tp t="s">
        <v>ACT/ACT</v>
        <stp/>
        <stp>##V3_BDPV12</stp>
        <stp>9128287B Govt</stp>
        <stp>DAY_CNT_DES</stp>
        <stp>[TREASURY.xlsx]Sheet1!R306C17</stp>
        <tr r="Q306" s="1"/>
      </tp>
      <tp t="s">
        <v>ACT/ACT</v>
        <stp/>
        <stp>##V3_BDPV12</stp>
        <stp>9128283Y Govt</stp>
        <stp>DAY_CNT_DES</stp>
        <stp>[TREASURY.xlsx]Sheet1!R395C17</stp>
        <tr r="Q395" s="1"/>
      </tp>
      <tp t="s">
        <v>ACT/ACT</v>
        <stp/>
        <stp>##V3_BDPV12</stp>
        <stp>9128283G Govt</stp>
        <stp>DAY_CNT_DES</stp>
        <stp>[TREASURY.xlsx]Sheet1!R380C17</stp>
        <tr r="Q380" s="1"/>
      </tp>
      <tp t="s">
        <v>ACT/ACT</v>
        <stp/>
        <stp>##V3_BDPV12</stp>
        <stp>9128284J Govt</stp>
        <stp>DAY_CNT_DES</stp>
        <stp>[TREASURY.xlsx]Sheet1!R381C17</stp>
        <tr r="Q381" s="1"/>
      </tp>
      <tp t="s">
        <v>ACT/ACT</v>
        <stp/>
        <stp>##V3_BDPV12</stp>
        <stp>9128284G Govt</stp>
        <stp>DAY_CNT_DES</stp>
        <stp>[TREASURY.xlsx]Sheet1!R390C17</stp>
        <tr r="Q390" s="1"/>
      </tp>
      <tp t="s">
        <v>ACT/ACT</v>
        <stp/>
        <stp>##V3_BDPV12</stp>
        <stp>912828V7 Govt</stp>
        <stp>DAY_CNT_DES</stp>
        <stp>[TREASURY.xlsx]Sheet1!R262C17</stp>
        <tr r="Q262" s="1"/>
      </tp>
      <tp t="s">
        <v>ACT/ACT</v>
        <stp/>
        <stp>##V3_BDPV12</stp>
        <stp>912828Y6 Govt</stp>
        <stp>DAY_CNT_DES</stp>
        <stp>[TREASURY.xlsx]Sheet1!R297C17</stp>
        <tr r="Q297" s="1"/>
      </tp>
      <tp t="s">
        <v>ACT/ACT</v>
        <stp/>
        <stp>##V3_BDPV12</stp>
        <stp>912828U5 Govt</stp>
        <stp>DAY_CNT_DES</stp>
        <stp>[TREASURY.xlsx]Sheet1!R246C17</stp>
        <tr r="Q246" s="1"/>
      </tp>
      <tp t="s">
        <v>ACT/ACT</v>
        <stp/>
        <stp>##V3_BDPV12</stp>
        <stp>912828P3 Govt</stp>
        <stp>DAY_CNT_DES</stp>
        <stp>[TREASURY.xlsx]Sheet1!R222C17</stp>
        <tr r="Q222" s="1"/>
      </tp>
      <tp t="s">
        <v>ACT/ACT</v>
        <stp/>
        <stp>##V3_BDPV12</stp>
        <stp>912828V2 Govt</stp>
        <stp>DAY_CNT_DES</stp>
        <stp>[TREASURY.xlsx]Sheet1!R250C17</stp>
        <tr r="Q250" s="1"/>
      </tp>
      <tp t="s">
        <v>ACT/ACT</v>
        <stp/>
        <stp>##V3_BDPV12</stp>
        <stp>912828WZ Govt</stp>
        <stp>DAY_CNT_DES</stp>
        <stp>[TREASURY.xlsx]Sheet1!R244C17</stp>
        <tr r="Q244" s="1"/>
      </tp>
      <tp t="s">
        <v>ACT/ACT</v>
        <stp/>
        <stp>##V3_BDPV12</stp>
        <stp>912828U8 Govt</stp>
        <stp>DAY_CNT_DES</stp>
        <stp>[TREASURY.xlsx]Sheet1!R213C17</stp>
        <tr r="Q213" s="1"/>
      </tp>
      <tp t="s">
        <v>ACT/ACT</v>
        <stp/>
        <stp>##V3_BDPV12</stp>
        <stp>912828R6 Govt</stp>
        <stp>DAY_CNT_DES</stp>
        <stp>[TREASURY.xlsx]Sheet1!R266C17</stp>
        <tr r="Q266" s="1"/>
      </tp>
      <tp t="s">
        <v>ACT/ACT</v>
        <stp/>
        <stp>##V3_BDPV12</stp>
        <stp>912828T9 Govt</stp>
        <stp>DAY_CNT_DES</stp>
        <stp>[TREASURY.xlsx]Sheet1!R215C17</stp>
        <tr r="Q215" s="1"/>
      </tp>
      <tp t="s">
        <v>ACT/ACT</v>
        <stp/>
        <stp>##V3_BDPV12</stp>
        <stp>912828W8 Govt</stp>
        <stp>DAY_CNT_DES</stp>
        <stp>[TREASURY.xlsx]Sheet1!R221C17</stp>
        <tr r="Q221" s="1"/>
      </tp>
      <tp t="s">
        <v>ACT/ACT</v>
        <stp/>
        <stp>##V3_BDPV12</stp>
        <stp>912828U6 Govt</stp>
        <stp>DAY_CNT_DES</stp>
        <stp>[TREASURY.xlsx]Sheet1!R232C17</stp>
        <tr r="Q232" s="1"/>
      </tp>
      <tp t="s">
        <v>ACT/ACT</v>
        <stp/>
        <stp>##V3_BDPV12</stp>
        <stp>912828R2 Govt</stp>
        <stp>DAY_CNT_DES</stp>
        <stp>[TREASURY.xlsx]Sheet1!R245C17</stp>
        <tr r="Q245" s="1"/>
      </tp>
      <tp t="s">
        <v>ACT/ACT</v>
        <stp/>
        <stp>##V3_BDPV12</stp>
        <stp>912828XQ Govt</stp>
        <stp>DAY_CNT_DES</stp>
        <stp>[TREASURY.xlsx]Sheet1!R206C17</stp>
        <tr r="Q206" s="1"/>
      </tp>
      <tp t="s">
        <v>ACT/ACT</v>
        <stp/>
        <stp>##V3_BDPV12</stp>
        <stp>912828XR Govt</stp>
        <stp>DAY_CNT_DES</stp>
        <stp>[TREASURY.xlsx]Sheet1!R203C17</stp>
        <tr r="Q203" s="1"/>
      </tp>
      <tp t="s">
        <v>ACT/ACT</v>
        <stp/>
        <stp>##V3_BDPV12</stp>
        <stp>912828Z8 Govt</stp>
        <stp>DAY_CNT_DES</stp>
        <stp>[TREASURY.xlsx]Sheet1!R236C17</stp>
        <tr r="Q236" s="1"/>
      </tp>
      <tp t="s">
        <v>ACT/ACT</v>
        <stp/>
        <stp>##V3_BDPV12</stp>
        <stp>912828Y8 Govt</stp>
        <stp>DAY_CNT_DES</stp>
        <stp>[TREASURY.xlsx]Sheet1!R208C17</stp>
        <tr r="Q208" s="1"/>
      </tp>
      <tp t="s">
        <v>ACT/ACT</v>
        <stp/>
        <stp>##V3_BDPV12</stp>
        <stp>912828Z6 Govt</stp>
        <stp>DAY_CNT_DES</stp>
        <stp>[TREASURY.xlsx]Sheet1!R234C17</stp>
        <tr r="Q234" s="1"/>
      </tp>
      <tp t="s">
        <v>ACT/ACT</v>
        <stp/>
        <stp>##V3_BDPV12</stp>
        <stp>912828XW Govt</stp>
        <stp>DAY_CNT_DES</stp>
        <stp>[TREASURY.xlsx]Sheet1!R217C17</stp>
        <tr r="Q217" s="1"/>
      </tp>
      <tp t="s">
        <v>ACT/ACT</v>
        <stp/>
        <stp>##V3_BDPV12</stp>
        <stp>912828X4 Govt</stp>
        <stp>DAY_CNT_DES</stp>
        <stp>[TREASURY.xlsx]Sheet1!R224C17</stp>
        <tr r="Q224" s="1"/>
      </tp>
      <tp t="s">
        <v>ACT/ACT</v>
        <stp/>
        <stp>##V3_BDPV12</stp>
        <stp>912828Z2 Govt</stp>
        <stp>DAY_CNT_DES</stp>
        <stp>[TREASURY.xlsx]Sheet1!R210C17</stp>
        <tr r="Q210" s="1"/>
      </tp>
      <tp t="s">
        <v>ACT/ACT</v>
        <stp/>
        <stp>##V3_BDPV12</stp>
        <stp>912828Y7 Govt</stp>
        <stp>DAY_CNT_DES</stp>
        <stp>[TREASURY.xlsx]Sheet1!R255C17</stp>
        <tr r="Q255" s="1"/>
      </tp>
      <tp t="s">
        <v>ACT/ACT</v>
        <stp/>
        <stp>##V3_BDPV12</stp>
        <stp>912828XX Govt</stp>
        <stp>DAY_CNT_DES</stp>
        <stp>[TREASURY.xlsx]Sheet1!R249C17</stp>
        <tr r="Q249" s="1"/>
      </tp>
      <tp t="s">
        <v>ACT/ACT</v>
        <stp/>
        <stp>##V3_BDPV12</stp>
        <stp>912828W4 Govt</stp>
        <stp>DAY_CNT_DES</stp>
        <stp>[TREASURY.xlsx]Sheet1!R296C17</stp>
        <tr r="Q296" s="1"/>
      </tp>
      <tp t="s">
        <v>ACT/ACT</v>
        <stp/>
        <stp>##V3_BDPV12</stp>
        <stp>912828W5 Govt</stp>
        <stp>DAY_CNT_DES</stp>
        <stp>[TREASURY.xlsx]Sheet1!R281C17</stp>
        <tr r="Q281" s="1"/>
      </tp>
      <tp t="s">
        <v>ACT/ACT</v>
        <stp/>
        <stp>##V3_BDPV12</stp>
        <stp>912828XZ Govt</stp>
        <stp>DAY_CNT_DES</stp>
        <stp>[TREASURY.xlsx]Sheet1!R279C17</stp>
        <tr r="Q279" s="1"/>
      </tp>
      <tp t="s">
        <v>ACT/ACT</v>
        <stp/>
        <stp>##V3_BDPV12</stp>
        <stp>912828G5 Govt</stp>
        <stp>DAY_CNT_DES</stp>
        <stp>[TREASURY.xlsx]Sheet1!R230C17</stp>
        <tr r="Q230" s="1"/>
      </tp>
      <tp t="s">
        <v>ACT/ACT</v>
        <stp/>
        <stp>##V3_BDPV12</stp>
        <stp>912828F2 Govt</stp>
        <stp>DAY_CNT_DES</stp>
        <stp>[TREASURY.xlsx]Sheet1!R207C17</stp>
        <tr r="Q207" s="1"/>
      </tp>
      <tp t="s">
        <v>ACT/ACT</v>
        <stp/>
        <stp>##V3_BDPV12</stp>
        <stp>912828G8 Govt</stp>
        <stp>DAY_CNT_DES</stp>
        <stp>[TREASURY.xlsx]Sheet1!R209C17</stp>
        <tr r="Q209" s="1"/>
      </tp>
      <tp t="s">
        <v>ACT/ACT</v>
        <stp/>
        <stp>##V3_BDPV12</stp>
        <stp>912828M4 Govt</stp>
        <stp>DAY_CNT_DES</stp>
        <stp>[TREASURY.xlsx]Sheet1!R254C17</stp>
        <tr r="Q254" s="1"/>
      </tp>
      <tp t="s">
        <v>ACT/ACT</v>
        <stp/>
        <stp>##V3_BDPV12</stp>
        <stp>912828J7 Govt</stp>
        <stp>DAY_CNT_DES</stp>
        <stp>[TREASURY.xlsx]Sheet1!R204C17</stp>
        <tr r="Q204" s="1"/>
      </tp>
      <tp t="s">
        <v>ACT/ACT</v>
        <stp/>
        <stp>##V3_BDPV12</stp>
        <stp>912828H8 Govt</stp>
        <stp>DAY_CNT_DES</stp>
        <stp>[TREASURY.xlsx]Sheet1!R247C17</stp>
        <tr r="Q247" s="1"/>
      </tp>
      <tp t="s">
        <v>ACT/ACT</v>
        <stp/>
        <stp>##V3_BDPV12</stp>
        <stp>9128286X Govt</stp>
        <stp>DAY_CNT_DES</stp>
        <stp>[TREASURY.xlsx]Sheet1!R264C17</stp>
        <tr r="Q264" s="1"/>
      </tp>
      <tp t="s">
        <v>ACT/ACT</v>
        <stp/>
        <stp>##V3_BDPV12</stp>
        <stp>9128286A Govt</stp>
        <stp>DAY_CNT_DES</stp>
        <stp>[TREASURY.xlsx]Sheet1!R265C17</stp>
        <tr r="Q265" s="1"/>
      </tp>
      <tp t="s">
        <v>ACT/ACT</v>
        <stp/>
        <stp>##V3_BDPV12</stp>
        <stp>9128283D Govt</stp>
        <stp>DAY_CNT_DES</stp>
        <stp>[TREASURY.xlsx]Sheet1!R231C17</stp>
        <tr r="Q231" s="1"/>
      </tp>
      <tp t="s">
        <v>ACT/ACT</v>
        <stp/>
        <stp>##V3_BDPV12</stp>
        <stp>9128284X Govt</stp>
        <stp>DAY_CNT_DES</stp>
        <stp>[TREASURY.xlsx]Sheet1!R256C17</stp>
        <tr r="Q256" s="1"/>
      </tp>
      <tp t="s">
        <v>ACT/ACT</v>
        <stp/>
        <stp>##V3_BDPV12</stp>
        <stp>9128284Z Govt</stp>
        <stp>DAY_CNT_DES</stp>
        <stp>[TREASURY.xlsx]Sheet1!R251C17</stp>
        <tr r="Q251" s="1"/>
      </tp>
      <tp t="s">
        <v>ACT/ACT</v>
        <stp/>
        <stp>##V3_BDPV12</stp>
        <stp>9128284R Govt</stp>
        <stp>DAY_CNT_DES</stp>
        <stp>[TREASURY.xlsx]Sheet1!R257C17</stp>
        <tr r="Q257" s="1"/>
      </tp>
      <tp t="s">
        <v>ACT/ACT</v>
        <stp/>
        <stp>##V3_BDPV12</stp>
        <stp>9128286L Govt</stp>
        <stp>DAY_CNT_DES</stp>
        <stp>[TREASURY.xlsx]Sheet1!R276C17</stp>
        <tr r="Q276" s="1"/>
      </tp>
      <tp t="s">
        <v>ACT/ACT</v>
        <stp/>
        <stp>##V3_BDPV12</stp>
        <stp>9128286C Govt</stp>
        <stp>DAY_CNT_DES</stp>
        <stp>[TREASURY.xlsx]Sheet1!R272C17</stp>
        <tr r="Q272" s="1"/>
      </tp>
      <tp t="s">
        <v>ACT/ACT</v>
        <stp/>
        <stp>##V3_BDPV12</stp>
        <stp>9128285J Govt</stp>
        <stp>DAY_CNT_DES</stp>
        <stp>[TREASURY.xlsx]Sheet1!R248C17</stp>
        <tr r="Q248" s="1"/>
      </tp>
      <tp t="s">
        <v>ACT/ACT</v>
        <stp/>
        <stp>##V3_BDPV12</stp>
        <stp>9128286Y Govt</stp>
        <stp>DAY_CNT_DES</stp>
        <stp>[TREASURY.xlsx]Sheet1!R241C17</stp>
        <tr r="Q241" s="1"/>
      </tp>
      <tp t="s">
        <v>ACT/ACT</v>
        <stp/>
        <stp>##V3_BDPV12</stp>
        <stp>9128285P Govt</stp>
        <stp>DAY_CNT_DES</stp>
        <stp>[TREASURY.xlsx]Sheet1!R271C17</stp>
        <tr r="Q271" s="1"/>
      </tp>
      <tp t="s">
        <v>ACT/ACT</v>
        <stp/>
        <stp>##V3_BDPV12</stp>
        <stp>9128283J Govt</stp>
        <stp>DAY_CNT_DES</stp>
        <stp>[TREASURY.xlsx]Sheet1!R216C17</stp>
        <tr r="Q216" s="1"/>
      </tp>
      <tp t="s">
        <v>ACT/ACT</v>
        <stp/>
        <stp>##V3_BDPV12</stp>
        <stp>9128286G Govt</stp>
        <stp>DAY_CNT_DES</stp>
        <stp>[TREASURY.xlsx]Sheet1!R240C17</stp>
        <tr r="Q240" s="1"/>
      </tp>
      <tp t="s">
        <v>ACT/ACT</v>
        <stp/>
        <stp>##V3_BDPV12</stp>
        <stp>9128282P Govt</stp>
        <stp>DAY_CNT_DES</stp>
        <stp>[TREASURY.xlsx]Sheet1!R214C17</stp>
        <tr r="Q214" s="1"/>
      </tp>
      <tp t="s">
        <v>ACT/ACT</v>
        <stp/>
        <stp>##V3_BDPV12</stp>
        <stp>9128282S Govt</stp>
        <stp>DAY_CNT_DES</stp>
        <stp>[TREASURY.xlsx]Sheet1!R212C17</stp>
        <tr r="Q212" s="1"/>
      </tp>
      <tp t="s">
        <v>ACT/ACT</v>
        <stp/>
        <stp>##V3_BDPV12</stp>
        <stp>9128282D Govt</stp>
        <stp>DAY_CNT_DES</stp>
        <stp>[TREASURY.xlsx]Sheet1!R260C17</stp>
        <tr r="Q260" s="1"/>
      </tp>
      <tp t="s">
        <v>ACT/ACT</v>
        <stp/>
        <stp>##V3_BDPV12</stp>
        <stp>9128284D Govt</stp>
        <stp>DAY_CNT_DES</stp>
        <stp>[TREASURY.xlsx]Sheet1!R202C17</stp>
        <tr r="Q202" s="1"/>
      </tp>
      <tp t="s">
        <v>ACT/ACT</v>
        <stp/>
        <stp>##V3_BDPV12</stp>
        <stp>9128286H Govt</stp>
        <stp>DAY_CNT_DES</stp>
        <stp>[TREASURY.xlsx]Sheet1!R228C17</stp>
        <tr r="Q228" s="1"/>
      </tp>
      <tp t="s">
        <v>ACT/ACT</v>
        <stp/>
        <stp>##V3_BDPV12</stp>
        <stp>9128286F Govt</stp>
        <stp>DAY_CNT_DES</stp>
        <stp>[TREASURY.xlsx]Sheet1!R225C17</stp>
        <tr r="Q225" s="1"/>
      </tp>
      <tp t="s">
        <v>ACT/ACT</v>
        <stp/>
        <stp>##V3_BDPV12</stp>
        <stp>9128283U Govt</stp>
        <stp>DAY_CNT_DES</stp>
        <stp>[TREASURY.xlsx]Sheet1!R268C17</stp>
        <tr r="Q268" s="1"/>
      </tp>
      <tp t="s">
        <v>ACT/ACT</v>
        <stp/>
        <stp>##V3_BDPV12</stp>
        <stp>9128283Z Govt</stp>
        <stp>DAY_CNT_DES</stp>
        <stp>[TREASURY.xlsx]Sheet1!R261C17</stp>
        <tr r="Q261" s="1"/>
      </tp>
      <tp t="s">
        <v>ACT/ACT</v>
        <stp/>
        <stp>##V3_BDPV12</stp>
        <stp>9128286U Govt</stp>
        <stp>DAY_CNT_DES</stp>
        <stp>[TREASURY.xlsx]Sheet1!R233C17</stp>
        <tr r="Q233" s="1"/>
      </tp>
      <tp t="s">
        <v>ACT/ACT</v>
        <stp/>
        <stp>##V3_BDPV12</stp>
        <stp>9128285C Govt</stp>
        <stp>DAY_CNT_DES</stp>
        <stp>[TREASURY.xlsx]Sheet1!R205C17</stp>
        <tr r="Q205" s="1"/>
      </tp>
      <tp t="s">
        <v>ACT/ACT</v>
        <stp/>
        <stp>##V3_BDPV12</stp>
        <stp>9128285T Govt</stp>
        <stp>DAY_CNT_DES</stp>
        <stp>[TREASURY.xlsx]Sheet1!R239C17</stp>
        <tr r="Q239" s="1"/>
      </tp>
      <tp t="s">
        <v>ACT/ACT</v>
        <stp/>
        <stp>##V3_BDPV12</stp>
        <stp>9128286Z Govt</stp>
        <stp>DAY_CNT_DES</stp>
        <stp>[TREASURY.xlsx]Sheet1!R200C17</stp>
        <tr r="Q200" s="1"/>
      </tp>
      <tp t="s">
        <v>ACT/ACT</v>
        <stp/>
        <stp>##V3_BDPV12</stp>
        <stp>9128286R Govt</stp>
        <stp>DAY_CNT_DES</stp>
        <stp>[TREASURY.xlsx]Sheet1!R201C17</stp>
        <tr r="Q201" s="1"/>
      </tp>
      <tp t="s">
        <v>ACT/ACT</v>
        <stp/>
        <stp>##V3_BDPV12</stp>
        <stp>9128284M Govt</stp>
        <stp>DAY_CNT_DES</stp>
        <stp>[TREASURY.xlsx]Sheet1!R227C17</stp>
        <tr r="Q227" s="1"/>
      </tp>
      <tp t="s">
        <v>ACT/ACT</v>
        <stp/>
        <stp>##V3_BDPV12</stp>
        <stp>9128287C Govt</stp>
        <stp>DAY_CNT_DES</stp>
        <stp>[TREASURY.xlsx]Sheet1!R219C17</stp>
        <tr r="Q219" s="1"/>
      </tp>
      <tp t="s">
        <v>ACT/ACT</v>
        <stp/>
        <stp>##V3_BDPV12</stp>
        <stp>9128285Z Govt</stp>
        <stp>DAY_CNT_DES</stp>
        <stp>[TREASURY.xlsx]Sheet1!R220C17</stp>
        <tr r="Q220" s="1"/>
      </tp>
      <tp t="s">
        <v>ACT/ACT</v>
        <stp/>
        <stp>##V3_BDPV12</stp>
        <stp>9128283V Govt</stp>
        <stp>DAY_CNT_DES</stp>
        <stp>[TREASURY.xlsx]Sheet1!R242C17</stp>
        <tr r="Q242" s="1"/>
      </tp>
      <tp t="s">
        <v>ACT/ACT</v>
        <stp/>
        <stp>##V3_BDPV12</stp>
        <stp>9128282U Govt</stp>
        <stp>DAY_CNT_DES</stp>
        <stp>[TREASURY.xlsx]Sheet1!R252C17</stp>
        <tr r="Q252" s="1"/>
      </tp>
      <tp t="s">
        <v>ACT/ACT</v>
        <stp/>
        <stp>##V3_BDPV12</stp>
        <stp>9128286M Govt</stp>
        <stp>DAY_CNT_DES</stp>
        <stp>[TREASURY.xlsx]Sheet1!R218C17</stp>
        <tr r="Q218" s="1"/>
      </tp>
      <tp t="s">
        <v>ACT/ACT</v>
        <stp/>
        <stp>##V3_BDPV12</stp>
        <stp>9128282N Govt</stp>
        <stp>DAY_CNT_DES</stp>
        <stp>[TREASURY.xlsx]Sheet1!R258C17</stp>
        <tr r="Q258" s="1"/>
      </tp>
      <tp t="s">
        <v>ACT/ACT</v>
        <stp/>
        <stp>##V3_BDPV12</stp>
        <stp>9128285K Govt</stp>
        <stp>DAY_CNT_DES</stp>
        <stp>[TREASURY.xlsx]Sheet1!R229C17</stp>
        <tr r="Q229" s="1"/>
      </tp>
      <tp t="s">
        <v>ACT/ACT</v>
        <stp/>
        <stp>##V3_BDPV12</stp>
        <stp>9128285N Govt</stp>
        <stp>DAY_CNT_DES</stp>
        <stp>[TREASURY.xlsx]Sheet1!R290C17</stp>
        <tr r="Q290" s="1"/>
      </tp>
      <tp t="s">
        <v>ACT/ACT</v>
        <stp/>
        <stp>##V3_BDPV12</stp>
        <stp>9128284A Govt</stp>
        <stp>DAY_CNT_DES</stp>
        <stp>[TREASURY.xlsx]Sheet1!R288C17</stp>
        <tr r="Q288" s="1"/>
      </tp>
      <tp t="s">
        <v>ACT/ACT</v>
        <stp/>
        <stp>##V3_BDPV12</stp>
        <stp>9128284F Govt</stp>
        <stp>DAY_CNT_DES</stp>
        <stp>[TREASURY.xlsx]Sheet1!R285C17</stp>
        <tr r="Q285" s="1"/>
      </tp>
      <tp t="s">
        <v>ACT/ACT</v>
        <stp/>
        <stp>##V3_BDPV12</stp>
        <stp>9128284S Govt</stp>
        <stp>DAY_CNT_DES</stp>
        <stp>[TREASURY.xlsx]Sheet1!R294C17</stp>
        <tr r="Q294" s="1"/>
      </tp>
      <tp t="s">
        <v>ACT/ACT</v>
        <stp/>
        <stp>##V3_BDPV12</stp>
        <stp>9128284L Govt</stp>
        <stp>DAY_CNT_DES</stp>
        <stp>[TREASURY.xlsx]Sheet1!R299C17</stp>
        <tr r="Q299" s="1"/>
      </tp>
      <tp t="s">
        <v>ACT/ACT</v>
        <stp/>
        <stp>##V3_BDPV12</stp>
        <stp>9128285A Govt</stp>
        <stp>DAY_CNT_DES</stp>
        <stp>[TREASURY.xlsx]Sheet1!R283C17</stp>
        <tr r="Q283" s="1"/>
      </tp>
      <tp t="s">
        <v>ACT/ACT</v>
        <stp/>
        <stp>##V3_BDPV12</stp>
        <stp>912828XP Govt</stp>
        <stp>DAY_CNT_DES</stp>
        <stp>[TREASURY.xlsx]Sheet1!R588C17</stp>
        <tr r="Q588" s="1"/>
      </tp>
      <tp t="s">
        <v>ACT/ACT</v>
        <stp/>
        <stp>##V3_BDPV12</stp>
        <stp>912828VR Govt</stp>
        <stp>DAY_CNT_DES</stp>
        <stp>[TREASURY.xlsx]Sheet1!R566C17</stp>
        <tr r="Q566" s="1"/>
      </tp>
      <tp t="s">
        <v>ACT/ACT</v>
        <stp/>
        <stp>##V3_BDPV12</stp>
        <stp>912828UT Govt</stp>
        <stp>DAY_CNT_DES</stp>
        <stp>[TREASURY.xlsx]Sheet1!R552C17</stp>
        <tr r="Q552" s="1"/>
      </tp>
      <tp t="s">
        <v>ACT/ACT</v>
        <stp/>
        <stp>##V3_BDPV12</stp>
        <stp>912828QX Govt</stp>
        <stp>DAY_CNT_DES</stp>
        <stp>[TREASURY.xlsx]Sheet1!R519C17</stp>
        <tr r="Q519" s="1"/>
      </tp>
      <tp t="s">
        <v>ACT/ACT</v>
        <stp/>
        <stp>##V3_BDPV12</stp>
        <stp>912828Y4 Govt</stp>
        <stp>DAY_CNT_DES</stp>
        <stp>[TREASURY.xlsx]Sheet1!R589C17</stp>
        <tr r="Q589" s="1"/>
      </tp>
      <tp t="s">
        <v>ACT/ACT</v>
        <stp/>
        <stp>##V3_BDPV12</stp>
        <stp>912828QA Govt</stp>
        <stp>DAY_CNT_DES</stp>
        <stp>[TREASURY.xlsx]Sheet1!R509C17</stp>
        <tr r="Q509" s="1"/>
      </tp>
      <tp t="s">
        <v>ACT/ACT</v>
        <stp/>
        <stp>##V3_BDPV12</stp>
        <stp>912828WM Govt</stp>
        <stp>DAY_CNT_DES</stp>
        <stp>[TREASURY.xlsx]Sheet1!R567C17</stp>
        <tr r="Q567" s="1"/>
      </tp>
      <tp t="s">
        <v>ACT/ACT</v>
        <stp/>
        <stp>##V3_BDPV12</stp>
        <stp>912828VC Govt</stp>
        <stp>DAY_CNT_DES</stp>
        <stp>[TREASURY.xlsx]Sheet1!R577C17</stp>
        <tr r="Q577" s="1"/>
      </tp>
      <tp t="s">
        <v>ACT/ACT</v>
        <stp/>
        <stp>##V3_BDPV12</stp>
        <stp>912828UB Govt</stp>
        <stp>DAY_CNT_DES</stp>
        <stp>[TREASURY.xlsx]Sheet1!R540C17</stp>
        <tr r="Q540" s="1"/>
      </tp>
      <tp t="s">
        <v>ACT/ACT</v>
        <stp/>
        <stp>##V3_BDPV12</stp>
        <stp>912828SL Govt</stp>
        <stp>DAY_CNT_DES</stp>
        <stp>[TREASURY.xlsx]Sheet1!R511C17</stp>
        <tr r="Q511" s="1"/>
      </tp>
      <tp t="s">
        <v>ACT/ACT</v>
        <stp/>
        <stp>##V3_BDPV12</stp>
        <stp>912828TK Govt</stp>
        <stp>DAY_CNT_DES</stp>
        <stp>[TREASURY.xlsx]Sheet1!R565C17</stp>
        <tr r="Q565" s="1"/>
      </tp>
      <tp t="s">
        <v>ACT/ACT</v>
        <stp/>
        <stp>##V3_BDPV12</stp>
        <stp>912828SM Govt</stp>
        <stp>DAY_CNT_DES</stp>
        <stp>[TREASURY.xlsx]Sheet1!R516C17</stp>
        <tr r="Q516" s="1"/>
      </tp>
      <tp t="s">
        <v>ACT/ACT</v>
        <stp/>
        <stp>##V3_BDPV12</stp>
        <stp>912828WS Govt</stp>
        <stp>DAY_CNT_DES</stp>
        <stp>[TREASURY.xlsx]Sheet1!R543C17</stp>
        <tr r="Q543" s="1"/>
      </tp>
      <tp t="s">
        <v>ACT/ACT</v>
        <stp/>
        <stp>##V3_BDPV12</stp>
        <stp>912828QP Govt</stp>
        <stp>DAY_CNT_DES</stp>
        <stp>[TREASURY.xlsx]Sheet1!R550C17</stp>
        <tr r="Q550" s="1"/>
      </tp>
      <tp t="s">
        <v>ACT/ACT</v>
        <stp/>
        <stp>##V3_BDPV12</stp>
        <stp>912828PE Govt</stp>
        <stp>DAY_CNT_DES</stp>
        <stp>[TREASURY.xlsx]Sheet1!R548C17</stp>
        <tr r="Q548" s="1"/>
      </tp>
      <tp t="s">
        <v>ACT/ACT</v>
        <stp/>
        <stp>##V3_BDPV12</stp>
        <stp>912828RM Govt</stp>
        <stp>DAY_CNT_DES</stp>
        <stp>[TREASURY.xlsx]Sheet1!R563C17</stp>
        <tr r="Q563" s="1"/>
      </tp>
      <tp t="s">
        <v>ACT/ACT</v>
        <stp/>
        <stp>##V3_BDPV12</stp>
        <stp>912828SB Govt</stp>
        <stp>DAY_CNT_DES</stp>
        <stp>[TREASURY.xlsx]Sheet1!R564C17</stp>
        <tr r="Q564" s="1"/>
      </tp>
      <tp t="s">
        <v>ACT/ACT</v>
        <stp/>
        <stp>##V3_BDPV12</stp>
        <stp>912828RP Govt</stp>
        <stp>DAY_CNT_DES</stp>
        <stp>[TREASURY.xlsx]Sheet1!R549C17</stp>
        <tr r="Q549" s="1"/>
      </tp>
      <tp t="s">
        <v>ACT/ACT</v>
        <stp/>
        <stp>##V3_BDPV12</stp>
        <stp>912828SZ Govt</stp>
        <stp>DAY_CNT_DES</stp>
        <stp>[TREASURY.xlsx]Sheet1!R551C17</stp>
        <tr r="Q551" s="1"/>
      </tp>
      <tp t="s">
        <v>ACT/ACT</v>
        <stp/>
        <stp>##V3_BDPV12</stp>
        <stp>912828QF Govt</stp>
        <stp>DAY_CNT_DES</stp>
        <stp>[TREASURY.xlsx]Sheet1!R576C17</stp>
        <tr r="Q576" s="1"/>
      </tp>
      <tp t="s">
        <v>ACT/ACT</v>
        <stp/>
        <stp>##V3_BDPV12</stp>
        <stp>912828TA Govt</stp>
        <stp>DAY_CNT_DES</stp>
        <stp>[TREASURY.xlsx]Sheet1!R520C17</stp>
        <tr r="Q520" s="1"/>
      </tp>
      <tp t="s">
        <v>ACT/ACT</v>
        <stp/>
        <stp>##V3_BDPV12</stp>
        <stp>912828TU Govt</stp>
        <stp>DAY_CNT_DES</stp>
        <stp>[TREASURY.xlsx]Sheet1!R539C17</stp>
        <tr r="Q539" s="1"/>
      </tp>
      <tp t="s">
        <v>ACT/ACT</v>
        <stp/>
        <stp>##V3_BDPV12</stp>
        <stp>912828PZ Govt</stp>
        <stp>DAY_CNT_DES</stp>
        <stp>[TREASURY.xlsx]Sheet1!R575C17</stp>
        <tr r="Q575" s="1"/>
      </tp>
      <tp t="s">
        <v>ACT/ACT</v>
        <stp/>
        <stp>##V3_BDPV12</stp>
        <stp>912828QH Govt</stp>
        <stp>DAY_CNT_DES</stp>
        <stp>[TREASURY.xlsx]Sheet1!R595C17</stp>
        <tr r="Q595" s="1"/>
      </tp>
      <tp t="s">
        <v>ACT/ACT</v>
        <stp/>
        <stp>##V3_BDPV12</stp>
        <stp>912828PY Govt</stp>
        <stp>DAY_CNT_DES</stp>
        <stp>[TREASURY.xlsx]Sheet1!R594C17</stp>
        <tr r="Q594" s="1"/>
      </tp>
      <tp t="s">
        <v>ACT/ACT</v>
        <stp/>
        <stp>##V3_BDPV12</stp>
        <stp>912828PM Govt</stp>
        <stp>DAY_CNT_DES</stp>
        <stp>[TREASURY.xlsx]Sheet1!R593C17</stp>
        <tr r="Q593" s="1"/>
      </tp>
      <tp t="s">
        <v>ACT/ACT</v>
        <stp/>
        <stp>##V3_BDPV12</stp>
        <stp>912828XM Govt</stp>
        <stp>DAY_CNT_DES</stp>
        <stp>[TREASURY.xlsx]Sheet1!R536C17</stp>
        <tr r="Q536" s="1"/>
      </tp>
      <tp t="s">
        <v>ACT/ACT</v>
        <stp/>
        <stp>##V3_BDPV12</stp>
        <stp>912828TH Govt</stp>
        <stp>DAY_CNT_DES</stp>
        <stp>[TREASURY.xlsx]Sheet1!R585C17</stp>
        <tr r="Q585" s="1"/>
      </tp>
      <tp t="s">
        <v>ACT/ACT</v>
        <stp/>
        <stp>##V3_BDPV12</stp>
        <stp>912828UD Govt</stp>
        <stp>DAY_CNT_DES</stp>
        <stp>[TREASURY.xlsx]Sheet1!R586C17</stp>
        <tr r="Q586" s="1"/>
      </tp>
      <tp t="s">
        <v>ACT/ACT</v>
        <stp/>
        <stp>##V3_BDPV12</stp>
        <stp>912828VG Govt</stp>
        <stp>DAY_CNT_DES</stp>
        <stp>[TREASURY.xlsx]Sheet1!R587C17</stp>
        <tr r="Q587" s="1"/>
      </tp>
      <tp t="s">
        <v>ACT/ACT</v>
        <stp/>
        <stp>##V3_BDPV12</stp>
        <stp>912828D8 Govt</stp>
        <stp>DAY_CNT_DES</stp>
        <stp>[TREASURY.xlsx]Sheet1!R545C17</stp>
        <tr r="Q545" s="1"/>
      </tp>
      <tp t="s">
        <v>ACT/ACT</v>
        <stp/>
        <stp>##V3_BDPV12</stp>
        <stp>912828H2 Govt</stp>
        <stp>DAY_CNT_DES</stp>
        <stp>[TREASURY.xlsx]Sheet1!R581C17</stp>
        <tr r="Q581" s="1"/>
      </tp>
      <tp t="s">
        <v>ACT/ACT</v>
        <stp/>
        <stp>##V3_BDPV12</stp>
        <stp>912828AQ Govt</stp>
        <stp>DAY_CNT_DES</stp>
        <stp>[TREASURY.xlsx]Sheet1!R512C17</stp>
        <tr r="Q512" s="1"/>
      </tp>
      <tp t="s">
        <v>ACT/ACT</v>
        <stp/>
        <stp>##V3_BDPV12</stp>
        <stp>912828G7 Govt</stp>
        <stp>DAY_CNT_DES</stp>
        <stp>[TREASURY.xlsx]Sheet1!R560C17</stp>
        <tr r="Q560" s="1"/>
      </tp>
      <tp t="s">
        <v>ACT/ACT</v>
        <stp/>
        <stp>##V3_BDPV12</stp>
        <stp>912828AY Govt</stp>
        <stp>DAY_CNT_DES</stp>
        <stp>[TREASURY.xlsx]Sheet1!R507C17</stp>
        <tr r="Q507" s="1"/>
      </tp>
      <tp t="s">
        <v>ACT/ACT</v>
        <stp/>
        <stp>##V3_BDPV12</stp>
        <stp>912828AX Govt</stp>
        <stp>DAY_CNT_DES</stp>
        <stp>[TREASURY.xlsx]Sheet1!R502C17</stp>
        <tr r="Q502" s="1"/>
      </tp>
      <tp t="s">
        <v>ACT/ACT</v>
        <stp/>
        <stp>##V3_BDPV12</stp>
        <stp>912828BU Govt</stp>
        <stp>DAY_CNT_DES</stp>
        <stp>[TREASURY.xlsx]Sheet1!R533C17</stp>
        <tr r="Q533" s="1"/>
      </tp>
      <tp t="s">
        <v>ACT/ACT</v>
        <stp/>
        <stp>##V3_BDPV12</stp>
        <stp>912828BY Govt</stp>
        <stp>DAY_CNT_DES</stp>
        <stp>[TREASURY.xlsx]Sheet1!R506C17</stp>
        <tr r="Q506" s="1"/>
      </tp>
      <tp t="s">
        <v>ACT/ACT</v>
        <stp/>
        <stp>##V3_BDPV12</stp>
        <stp>912828EZ Govt</stp>
        <stp>DAY_CNT_DES</stp>
        <stp>[TREASURY.xlsx]Sheet1!R572C17</stp>
        <tr r="Q572" s="1"/>
      </tp>
      <tp t="s">
        <v>ACT/ACT</v>
        <stp/>
        <stp>##V3_BDPV12</stp>
        <stp>912828CT Govt</stp>
        <stp>DAY_CNT_DES</stp>
        <stp>[TREASURY.xlsx]Sheet1!R514C17</stp>
        <tr r="Q514" s="1"/>
      </tp>
      <tp t="s">
        <v>ACT/ACT</v>
        <stp/>
        <stp>##V3_BDPV12</stp>
        <stp>912828CR Govt</stp>
        <stp>DAY_CNT_DES</stp>
        <stp>[TREASURY.xlsx]Sheet1!R510C17</stp>
        <tr r="Q510" s="1"/>
      </tp>
      <tp t="s">
        <v>ACT/ACT</v>
        <stp/>
        <stp>##V3_BDPV12</stp>
        <stp>912828AJ Govt</stp>
        <stp>DAY_CNT_DES</stp>
        <stp>[TREASURY.xlsx]Sheet1!R531C17</stp>
        <tr r="Q531" s="1"/>
      </tp>
      <tp t="s">
        <v>ACT/ACT</v>
        <stp/>
        <stp>##V3_BDPV12</stp>
        <stp>912828AE Govt</stp>
        <stp>DAY_CNT_DES</stp>
        <stp>[TREASURY.xlsx]Sheet1!R530C17</stp>
        <tr r="Q530" s="1"/>
      </tp>
      <tp t="s">
        <v>ACT/ACT</v>
        <stp/>
        <stp>##V3_BDPV12</stp>
        <stp>912828CV Govt</stp>
        <stp>DAY_CNT_DES</stp>
        <stp>[TREASURY.xlsx]Sheet1!R508C17</stp>
        <tr r="Q508" s="1"/>
      </tp>
      <tp t="s">
        <v>ACT/ACT</v>
        <stp/>
        <stp>##V3_BDPV12</stp>
        <stp>912828KQ Govt</stp>
        <stp>DAY_CNT_DES</stp>
        <stp>[TREASURY.xlsx]Sheet1!R583C17</stp>
        <tr r="Q583" s="1"/>
      </tp>
      <tp t="s">
        <v>ACT/ACT</v>
        <stp/>
        <stp>##V3_BDPV12</stp>
        <stp>912828BL Govt</stp>
        <stp>DAY_CNT_DES</stp>
        <stp>[TREASURY.xlsx]Sheet1!R513C17</stp>
        <tr r="Q513" s="1"/>
      </tp>
      <tp t="s">
        <v>ACT/ACT</v>
        <stp/>
        <stp>##V3_BDPV12</stp>
        <stp>912828JB Govt</stp>
        <stp>DAY_CNT_DES</stp>
        <stp>[TREASURY.xlsx]Sheet1!R598C17</stp>
        <tr r="Q598" s="1"/>
      </tp>
      <tp t="s">
        <v>ACT/ACT</v>
        <stp/>
        <stp>##V3_BDPV12</stp>
        <stp>912828KE Govt</stp>
        <stp>DAY_CNT_DES</stp>
        <stp>[TREASURY.xlsx]Sheet1!R582C17</stp>
        <tr r="Q582" s="1"/>
      </tp>
      <tp t="s">
        <v>ACT/ACT</v>
        <stp/>
        <stp>##V3_BDPV12</stp>
        <stp>912828M9 Govt</stp>
        <stp>DAY_CNT_DES</stp>
        <stp>[TREASURY.xlsx]Sheet1!R592C17</stp>
        <tr r="Q592" s="1"/>
      </tp>
      <tp t="s">
        <v>ACT/ACT</v>
        <stp/>
        <stp>##V3_BDPV12</stp>
        <stp>912828A4 Govt</stp>
        <stp>DAY_CNT_DES</stp>
        <stp>[TREASURY.xlsx]Sheet1!R555C17</stp>
        <tr r="Q555" s="1"/>
      </tp>
      <tp t="s">
        <v>ACT/ACT</v>
        <stp/>
        <stp>##V3_BDPV12</stp>
        <stp>912828MW Govt</stp>
        <stp>DAY_CNT_DES</stp>
        <stp>[TREASURY.xlsx]Sheet1!R599C17</stp>
        <tr r="Q599" s="1"/>
      </tp>
      <tp t="s">
        <v>ACT/ACT</v>
        <stp/>
        <stp>##V3_BDPV12</stp>
        <stp>912828LF Govt</stp>
        <stp>DAY_CNT_DES</stp>
        <stp>[TREASURY.xlsx]Sheet1!R584C17</stp>
        <tr r="Q584" s="1"/>
      </tp>
      <tp t="s">
        <v>ACT/ACT</v>
        <stp/>
        <stp>##V3_BDPV12</stp>
        <stp>912828B8 Govt</stp>
        <stp>DAY_CNT_DES</stp>
        <stp>[TREASURY.xlsx]Sheet1!R571C17</stp>
        <tr r="Q571" s="1"/>
      </tp>
      <tp t="s">
        <v>ACT/ACT</v>
        <stp/>
        <stp>##V3_BDPV12</stp>
        <stp>912828FQ Govt</stp>
        <stp>DAY_CNT_DES</stp>
        <stp>[TREASURY.xlsx]Sheet1!R534C17</stp>
        <tr r="Q534" s="1"/>
      </tp>
      <tp t="s">
        <v>ACT/ACT</v>
        <stp/>
        <stp>##V3_BDPV12</stp>
        <stp>912828DP Govt</stp>
        <stp>DAY_CNT_DES</stp>
        <stp>[TREASURY.xlsx]Sheet1!R517C17</stp>
        <tr r="Q517" s="1"/>
      </tp>
      <tp t="s">
        <v>ACT/ACT</v>
        <stp/>
        <stp>##V3_BDPV12</stp>
        <stp>912828FM Govt</stp>
        <stp>DAY_CNT_DES</stp>
        <stp>[TREASURY.xlsx]Sheet1!R532C17</stp>
        <tr r="Q532" s="1"/>
      </tp>
      <tp t="s">
        <v>ACT/ACT</v>
        <stp/>
        <stp>##V3_BDPV12</stp>
        <stp>912828BR Govt</stp>
        <stp>DAY_CNT_DES</stp>
        <stp>[TREASURY.xlsx]Sheet1!R541C17</stp>
        <tr r="Q541" s="1"/>
      </tp>
      <tp t="s">
        <v>ACT/ACT</v>
        <stp/>
        <stp>##V3_BDPV12</stp>
        <stp>912828CL Govt</stp>
        <stp>DAY_CNT_DES</stp>
        <stp>[TREASURY.xlsx]Sheet1!R557C17</stp>
        <tr r="Q557" s="1"/>
      </tp>
      <tp t="s">
        <v>ACT/ACT</v>
        <stp/>
        <stp>##V3_BDPV12</stp>
        <stp>912828CH Govt</stp>
        <stp>DAY_CNT_DES</stp>
        <stp>[TREASURY.xlsx]Sheet1!R559C17</stp>
        <tr r="Q559" s="1"/>
      </tp>
      <tp t="s">
        <v>ACT/ACT</v>
        <stp/>
        <stp>##V3_BDPV12</stp>
        <stp>912828BX Govt</stp>
        <stp>DAY_CNT_DES</stp>
        <stp>[TREASURY.xlsx]Sheet1!R556C17</stp>
        <tr r="Q556" s="1"/>
      </tp>
      <tp t="s">
        <v>ACT/ACT</v>
        <stp/>
        <stp>##V3_BDPV12</stp>
        <stp>912828EQ Govt</stp>
        <stp>DAY_CNT_DES</stp>
        <stp>[TREASURY.xlsx]Sheet1!R524C17</stp>
        <tr r="Q524" s="1"/>
      </tp>
      <tp t="s">
        <v>ACT/ACT</v>
        <stp/>
        <stp>##V3_BDPV12</stp>
        <stp>912828GR Govt</stp>
        <stp>DAY_CNT_DES</stp>
        <stp>[TREASURY.xlsx]Sheet1!R504C17</stp>
        <tr r="Q504" s="1"/>
      </tp>
      <tp t="s">
        <v>ACT/ACT</v>
        <stp/>
        <stp>##V3_BDPV12</stp>
        <stp>912828LK Govt</stp>
        <stp>DAY_CNT_DES</stp>
        <stp>[TREASURY.xlsx]Sheet1!R546C17</stp>
        <tr r="Q546" s="1"/>
      </tp>
      <tp t="s">
        <v>ACT/ACT</v>
        <stp/>
        <stp>##V3_BDPV12</stp>
        <stp>912828NG Govt</stp>
        <stp>DAY_CNT_DES</stp>
        <stp>[TREASURY.xlsx]Sheet1!R562C17</stp>
        <tr r="Q562" s="1"/>
      </tp>
      <tp t="s">
        <v>ACT/ACT</v>
        <stp/>
        <stp>##V3_BDPV12</stp>
        <stp>912828A6 Govt</stp>
        <stp>DAY_CNT_DES</stp>
        <stp>[TREASURY.xlsx]Sheet1!R580C17</stp>
        <tr r="Q580" s="1"/>
      </tp>
      <tp t="s">
        <v>ACT/ACT</v>
        <stp/>
        <stp>##V3_BDPV12</stp>
        <stp>912828LB Govt</stp>
        <stp>DAY_CNT_DES</stp>
        <stp>[TREASURY.xlsx]Sheet1!R558C17</stp>
        <tr r="Q558" s="1"/>
      </tp>
      <tp t="s">
        <v>ACT/ACT</v>
        <stp/>
        <stp>##V3_BDPV12</stp>
        <stp>912828JF Govt</stp>
        <stp>DAY_CNT_DES</stp>
        <stp>[TREASURY.xlsx]Sheet1!R537C17</stp>
        <tr r="Q537" s="1"/>
      </tp>
      <tp t="s">
        <v>ACT/ACT</v>
        <stp/>
        <stp>##V3_BDPV12</stp>
        <stp>912828K5 Govt</stp>
        <stp>DAY_CNT_DES</stp>
        <stp>[TREASURY.xlsx]Sheet1!R518C17</stp>
        <tr r="Q518" s="1"/>
      </tp>
      <tp t="s">
        <v>ACT/ACT</v>
        <stp/>
        <stp>##V3_BDPV12</stp>
        <stp>912828NU Govt</stp>
        <stp>DAY_CNT_DES</stp>
        <stp>[TREASURY.xlsx]Sheet1!R547C17</stp>
        <tr r="Q547" s="1"/>
      </tp>
      <tp t="s">
        <v>ACT/ACT</v>
        <stp/>
        <stp>##V3_BDPV12</stp>
        <stp>912828HK Govt</stp>
        <stp>DAY_CNT_DES</stp>
        <stp>[TREASURY.xlsx]Sheet1!R525C17</stp>
        <tr r="Q525" s="1"/>
      </tp>
      <tp t="s">
        <v>ACT/ACT</v>
        <stp/>
        <stp>##V3_BDPV12</stp>
        <stp>912828ME Govt</stp>
        <stp>DAY_CNT_DES</stp>
        <stp>[TREASURY.xlsx]Sheet1!R574C17</stp>
        <tr r="Q574" s="1"/>
      </tp>
      <tp t="s">
        <v>ACT/ACT</v>
        <stp/>
        <stp>##V3_BDPV12</stp>
        <stp>912828EG Govt</stp>
        <stp>DAY_CNT_DES</stp>
        <stp>[TREASURY.xlsx]Sheet1!R596C17</stp>
        <tr r="Q596" s="1"/>
      </tp>
      <tp t="s">
        <v>ACT/ACT</v>
        <stp/>
        <stp>##V3_BDPV12</stp>
        <stp>912828LZ Govt</stp>
        <stp>DAY_CNT_DES</stp>
        <stp>[TREASURY.xlsx]Sheet1!R515C17</stp>
        <tr r="Q515" s="1"/>
      </tp>
      <tp t="s">
        <v>ACT/ACT</v>
        <stp/>
        <stp>##V3_BDPV12</stp>
        <stp>912828KJ Govt</stp>
        <stp>DAY_CNT_DES</stp>
        <stp>[TREASURY.xlsx]Sheet1!R561C17</stp>
        <tr r="Q561" s="1"/>
      </tp>
      <tp t="s">
        <v>ACT/ACT</v>
        <stp/>
        <stp>##V3_BDPV12</stp>
        <stp>912828DB Govt</stp>
        <stp>DAY_CNT_DES</stp>
        <stp>[TREASURY.xlsx]Sheet1!R591C17</stp>
        <tr r="Q591" s="1"/>
      </tp>
      <tp t="s">
        <v>ACT/ACT</v>
        <stp/>
        <stp>##V3_BDPV12</stp>
        <stp>912828JH Govt</stp>
        <stp>DAY_CNT_DES</stp>
        <stp>[TREASURY.xlsx]Sheet1!R542C17</stp>
        <tr r="Q542" s="1"/>
      </tp>
      <tp t="s">
        <v>ACT/ACT</v>
        <stp/>
        <stp>##V3_BDPV12</stp>
        <stp>912828MK Govt</stp>
        <stp>DAY_CNT_DES</stp>
        <stp>[TREASURY.xlsx]Sheet1!R538C17</stp>
        <tr r="Q538" s="1"/>
      </tp>
      <tp t="s">
        <v>ACT/ACT</v>
        <stp/>
        <stp>##V3_BDPV12</stp>
        <stp>912828LX Govt</stp>
        <stp>DAY_CNT_DES</stp>
        <stp>[TREASURY.xlsx]Sheet1!R535C17</stp>
        <tr r="Q535" s="1"/>
      </tp>
      <tp t="s">
        <v>ACT/ACT</v>
        <stp/>
        <stp>##V3_BDPV12</stp>
        <stp>912828FT Govt</stp>
        <stp>DAY_CNT_DES</stp>
        <stp>[TREASURY.xlsx]Sheet1!R597C17</stp>
        <tr r="Q597" s="1"/>
      </tp>
      <tp t="s">
        <v>ACT/ACT</v>
        <stp/>
        <stp>##V3_BDPV12</stp>
        <stp>912828HM Govt</stp>
        <stp>DAY_CNT_DES</stp>
        <stp>[TREASURY.xlsx]Sheet1!R573C17</stp>
        <tr r="Q573" s="1"/>
      </tp>
      <tp t="s">
        <v>ACT/ACT</v>
        <stp/>
        <stp>##V3_BDPV12</stp>
        <stp>9128286V Govt</stp>
        <stp>DAY_CNT_DES</stp>
        <stp>[TREASURY.xlsx]Sheet1!R523C17</stp>
        <tr r="Q523" s="1"/>
      </tp>
      <tp t="s">
        <v>ACT/ACT</v>
        <stp/>
        <stp>##V3_BDPV12</stp>
        <stp>9128284C Govt</stp>
        <stp>DAY_CNT_DES</stp>
        <stp>[TREASURY.xlsx]Sheet1!R505C17</stp>
        <tr r="Q505" s="1"/>
      </tp>
      <tp t="s">
        <v>ACT/ACT</v>
        <stp/>
        <stp>##V3_BDPV12</stp>
        <stp>9128282X Govt</stp>
        <stp>DAY_CNT_DES</stp>
        <stp>[TREASURY.xlsx]Sheet1!R554C17</stp>
        <tr r="Q554" s="1"/>
      </tp>
      <tp t="s">
        <v>ACT/ACT</v>
        <stp/>
        <stp>##V3_BDPV12</stp>
        <stp>912828Q3 Govt</stp>
        <stp>DAY_CNT_DES</stp>
        <stp>[TREASURY.xlsx]Sheet1!R413C17</stp>
        <tr r="Q413" s="1"/>
      </tp>
      <tp t="s">
        <v>ACT/ACT</v>
        <stp/>
        <stp>##V3_BDPV12</stp>
        <stp>912828RT Govt</stp>
        <stp>DAY_CNT_DES</stp>
        <stp>[TREASURY.xlsx]Sheet1!R420C17</stp>
        <tr r="Q420" s="1"/>
      </tp>
      <tp t="s">
        <v>ACT/ACT</v>
        <stp/>
        <stp>##V3_BDPV12</stp>
        <stp>912828R9 Govt</stp>
        <stp>DAY_CNT_DES</stp>
        <stp>[TREASURY.xlsx]Sheet1!R437C17</stp>
        <tr r="Q437" s="1"/>
      </tp>
      <tp t="s">
        <v>ACT/ACT</v>
        <stp/>
        <stp>##V3_BDPV12</stp>
        <stp>912828UZ Govt</stp>
        <stp>DAY_CNT_DES</stp>
        <stp>[TREASURY.xlsx]Sheet1!R445C17</stp>
        <tr r="Q445" s="1"/>
      </tp>
      <tp t="s">
        <v>ACT/ACT</v>
        <stp/>
        <stp>##V3_BDPV12</stp>
        <stp>912828VP Govt</stp>
        <stp>DAY_CNT_DES</stp>
        <stp>[TREASURY.xlsx]Sheet1!R479C17</stp>
        <tr r="Q479" s="1"/>
      </tp>
      <tp t="s">
        <v>ACT/ACT</v>
        <stp/>
        <stp>##V3_BDPV12</stp>
        <stp>912828QJ Govt</stp>
        <stp>DAY_CNT_DES</stp>
        <stp>[TREASURY.xlsx]Sheet1!R407C17</stp>
        <tr r="Q407" s="1"/>
      </tp>
      <tp t="s">
        <v>ACT/ACT</v>
        <stp/>
        <stp>##V3_BDPV12</stp>
        <stp>912828QL Govt</stp>
        <stp>DAY_CNT_DES</stp>
        <stp>[TREASURY.xlsx]Sheet1!R401C17</stp>
        <tr r="Q401" s="1"/>
      </tp>
      <tp t="s">
        <v>ACT/ACT</v>
        <stp/>
        <stp>##V3_BDPV12</stp>
        <stp>912828UE Govt</stp>
        <stp>DAY_CNT_DES</stp>
        <stp>[TREASURY.xlsx]Sheet1!R446C17</stp>
        <tr r="Q446" s="1"/>
      </tp>
      <tp t="s">
        <v>ACT/ACT</v>
        <stp/>
        <stp>##V3_BDPV12</stp>
        <stp>912828TX Govt</stp>
        <stp>DAY_CNT_DES</stp>
        <stp>[TREASURY.xlsx]Sheet1!R467C17</stp>
        <tr r="Q467" s="1"/>
      </tp>
      <tp t="s">
        <v>ACT/ACT</v>
        <stp/>
        <stp>##V3_BDPV12</stp>
        <stp>912828VJ Govt</stp>
        <stp>DAY_CNT_DES</stp>
        <stp>[TREASURY.xlsx]Sheet1!R447C17</stp>
        <tr r="Q447" s="1"/>
      </tp>
      <tp t="s">
        <v>ACT/ACT</v>
        <stp/>
        <stp>##V3_BDPV12</stp>
        <stp>912828UM Govt</stp>
        <stp>DAY_CNT_DES</stp>
        <stp>[TREASURY.xlsx]Sheet1!R472C17</stp>
        <tr r="Q472" s="1"/>
      </tp>
      <tp t="s">
        <v>ACT/ACT</v>
        <stp/>
        <stp>##V3_BDPV12</stp>
        <stp>912828WB Govt</stp>
        <stp>DAY_CNT_DES</stp>
        <stp>[TREASURY.xlsx]Sheet1!R457C17</stp>
        <tr r="Q457" s="1"/>
      </tp>
      <tp t="s">
        <v>ACT/ACT</v>
        <stp/>
        <stp>##V3_BDPV12</stp>
        <stp>912828Q9 Govt</stp>
        <stp>DAY_CNT_DES</stp>
        <stp>[TREASURY.xlsx]Sheet1!R425C17</stp>
        <tr r="Q425" s="1"/>
      </tp>
      <tp t="s">
        <v>ACT/ACT</v>
        <stp/>
        <stp>##V3_BDPV12</stp>
        <stp>912828P9 Govt</stp>
        <stp>DAY_CNT_DES</stp>
        <stp>[TREASURY.xlsx]Sheet1!R431C17</stp>
        <tr r="Q431" s="1"/>
      </tp>
      <tp t="s">
        <v>ACT/ACT</v>
        <stp/>
        <stp>##V3_BDPV12</stp>
        <stp>912828Q4 Govt</stp>
        <stp>DAY_CNT_DES</stp>
        <stp>[TREASURY.xlsx]Sheet1!R423C17</stp>
        <tr r="Q423" s="1"/>
      </tp>
      <tp t="s">
        <v>ACT/ACT</v>
        <stp/>
        <stp>##V3_BDPV12</stp>
        <stp>912828SU Govt</stp>
        <stp>DAY_CNT_DES</stp>
        <stp>[TREASURY.xlsx]Sheet1!R404C17</stp>
        <tr r="Q404" s="1"/>
      </tp>
      <tp t="s">
        <v>ACT/ACT</v>
        <stp/>
        <stp>##V3_BDPV12</stp>
        <stp>912828TR Govt</stp>
        <stp>DAY_CNT_DES</stp>
        <stp>[TREASURY.xlsx]Sheet1!R402C17</stp>
        <tr r="Q402" s="1"/>
      </tp>
      <tp t="s">
        <v>ACT/ACT</v>
        <stp/>
        <stp>##V3_BDPV12</stp>
        <stp>912828TL Govt</stp>
        <stp>DAY_CNT_DES</stp>
        <stp>[TREASURY.xlsx]Sheet1!R409C17</stp>
        <tr r="Q409" s="1"/>
      </tp>
      <tp t="s">
        <v>ACT/ACT</v>
        <stp/>
        <stp>##V3_BDPV12</stp>
        <stp>912828QZ Govt</stp>
        <stp>DAY_CNT_DES</stp>
        <stp>[TREASURY.xlsx]Sheet1!R449C17</stp>
        <tr r="Q449" s="1"/>
      </tp>
      <tp t="s">
        <v>ACT/ACT</v>
        <stp/>
        <stp>##V3_BDPV12</stp>
        <stp>912828RS Govt</stp>
        <stp>DAY_CNT_DES</stp>
        <stp>[TREASURY.xlsx]Sheet1!R444C17</stp>
        <tr r="Q444" s="1"/>
      </tp>
      <tp t="s">
        <v>ACT/ACT</v>
        <stp/>
        <stp>##V3_BDPV12</stp>
        <stp>912828PH Govt</stp>
        <stp>DAY_CNT_DES</stp>
        <stp>[TREASURY.xlsx]Sheet1!R464C17</stp>
        <tr r="Q464" s="1"/>
      </tp>
      <tp t="s">
        <v>ACT/ACT</v>
        <stp/>
        <stp>##V3_BDPV12</stp>
        <stp>912828UQ Govt</stp>
        <stp>DAY_CNT_DES</stp>
        <stp>[TREASURY.xlsx]Sheet1!R421C17</stp>
        <tr r="Q421" s="1"/>
      </tp>
      <tp t="s">
        <v>ACT/ACT</v>
        <stp/>
        <stp>##V3_BDPV12</stp>
        <stp>912828RH Govt</stp>
        <stp>DAY_CNT_DES</stp>
        <stp>[TREASURY.xlsx]Sheet1!R456C17</stp>
        <tr r="Q456" s="1"/>
      </tp>
      <tp t="s">
        <v>ACT/ACT</v>
        <stp/>
        <stp>##V3_BDPV12</stp>
        <stp>912828RB Govt</stp>
        <stp>DAY_CNT_DES</stp>
        <stp>[TREASURY.xlsx]Sheet1!R459C17</stp>
        <tr r="Q459" s="1"/>
      </tp>
      <tp t="s">
        <v>ACT/ACT</v>
        <stp/>
        <stp>##V3_BDPV12</stp>
        <stp>912828ST Govt</stp>
        <stp>DAY_CNT_DES</stp>
        <stp>[TREASURY.xlsx]Sheet1!R497C17</stp>
        <tr r="Q497" s="1"/>
      </tp>
      <tp t="s">
        <v>ACT/ACT</v>
        <stp/>
        <stp>##V3_BDPV12</stp>
        <stp>912828SG Govt</stp>
        <stp>DAY_CNT_DES</stp>
        <stp>[TREASURY.xlsx]Sheet1!R496C17</stp>
        <tr r="Q496" s="1"/>
      </tp>
      <tp t="s">
        <v>ACT/ACT</v>
        <stp/>
        <stp>##V3_BDPV12</stp>
        <stp>912828S4 Govt</stp>
        <stp>DAY_CNT_DES</stp>
        <stp>[TREASURY.xlsx]Sheet1!R487C17</stp>
        <tr r="Q487" s="1"/>
      </tp>
      <tp t="s">
        <v>ACT/ACT</v>
        <stp/>
        <stp>##V3_BDPV12</stp>
        <stp>912828SJ Govt</stp>
        <stp>DAY_CNT_DES</stp>
        <stp>[TREASURY.xlsx]Sheet1!R489C17</stp>
        <tr r="Q489" s="1"/>
      </tp>
      <tp t="s">
        <v>ACT/ACT</v>
        <stp/>
        <stp>##V3_BDPV12</stp>
        <stp>912828U3 Govt</stp>
        <stp>DAY_CNT_DES</stp>
        <stp>[TREASURY.xlsx]Sheet1!R491C17</stp>
        <tr r="Q491" s="1"/>
      </tp>
      <tp t="s">
        <v>ACT/ACT</v>
        <stp/>
        <stp>##V3_BDPV12</stp>
        <stp>912828XE Govt</stp>
        <stp>DAY_CNT_DES</stp>
        <stp>[TREASURY.xlsx]Sheet1!R448C17</stp>
        <tr r="Q448" s="1"/>
      </tp>
      <tp t="s">
        <v>ACT/ACT</v>
        <stp/>
        <stp>##V3_BDPV12</stp>
        <stp>912828U7 Govt</stp>
        <stp>DAY_CNT_DES</stp>
        <stp>[TREASURY.xlsx]Sheet1!R484C17</stp>
        <tr r="Q484" s="1"/>
      </tp>
      <tp t="s">
        <v>ACT/ACT</v>
        <stp/>
        <stp>##V3_BDPV12</stp>
        <stp>912828TV Govt</stp>
        <stp>DAY_CNT_DES</stp>
        <stp>[TREASURY.xlsx]Sheet1!R498C17</stp>
        <tr r="Q498" s="1"/>
      </tp>
      <tp t="s">
        <v>ACT/ACT</v>
        <stp/>
        <stp>##V3_BDPV12</stp>
        <stp>912828TS Govt</stp>
        <stp>DAY_CNT_DES</stp>
        <stp>[TREASURY.xlsx]Sheet1!R490C17</stp>
        <tr r="Q490" s="1"/>
      </tp>
      <tp t="s">
        <v>ACT/ACT</v>
        <stp/>
        <stp>##V3_BDPV12</stp>
        <stp>912828XH Govt</stp>
        <stp>DAY_CNT_DES</stp>
        <stp>[TREASURY.xlsx]Sheet1!R468C17</stp>
        <tr r="Q468" s="1"/>
      </tp>
      <tp t="s">
        <v>ACT/ACT</v>
        <stp/>
        <stp>##V3_BDPV12</stp>
        <stp>912828W6 Govt</stp>
        <stp>DAY_CNT_DES</stp>
        <stp>[TREASURY.xlsx]Sheet1!R480C17</stp>
        <tr r="Q480" s="1"/>
      </tp>
      <tp t="s">
        <v>ACT/ACT</v>
        <stp/>
        <stp>##V3_BDPV12</stp>
        <stp>912828WP Govt</stp>
        <stp>DAY_CNT_DES</stp>
        <stp>[TREASURY.xlsx]Sheet1!R488C17</stp>
        <tr r="Q488" s="1"/>
      </tp>
      <tp t="s">
        <v>ACT/ACT</v>
        <stp/>
        <stp>##V3_BDPV12</stp>
        <stp>912828XY Govt</stp>
        <stp>DAY_CNT_DES</stp>
        <stp>[TREASURY.xlsx]Sheet1!R473C17</stp>
        <tr r="Q473" s="1"/>
      </tp>
      <tp t="s">
        <v>ACT/ACT</v>
        <stp/>
        <stp>##V3_BDPV12</stp>
        <stp>912828AZ Govt</stp>
        <stp>DAY_CNT_DES</stp>
        <stp>[TREASURY.xlsx]Sheet1!R415C17</stp>
        <tr r="Q415" s="1"/>
      </tp>
      <tp t="s">
        <v>ACT/ACT</v>
        <stp/>
        <stp>##V3_BDPV12</stp>
        <stp>912828AD Govt</stp>
        <stp>DAY_CNT_DES</stp>
        <stp>[TREASURY.xlsx]Sheet1!R412C17</stp>
        <tr r="Q412" s="1"/>
      </tp>
      <tp t="s">
        <v>ACT/ACT</v>
        <stp/>
        <stp>##V3_BDPV12</stp>
        <stp>912828BG Govt</stp>
        <stp>DAY_CNT_DES</stp>
        <stp>[TREASURY.xlsx]Sheet1!R427C17</stp>
        <tr r="Q427" s="1"/>
      </tp>
      <tp t="s">
        <v>ACT/ACT</v>
        <stp/>
        <stp>##V3_BDPV12</stp>
        <stp>912828BZ Govt</stp>
        <stp>DAY_CNT_DES</stp>
        <stp>[TREASURY.xlsx]Sheet1!R436C17</stp>
        <tr r="Q436" s="1"/>
      </tp>
      <tp t="s">
        <v>ACT/ACT</v>
        <stp/>
        <stp>##V3_BDPV12</stp>
        <stp>912828BQ Govt</stp>
        <stp>DAY_CNT_DES</stp>
        <stp>[TREASURY.xlsx]Sheet1!R435C17</stp>
        <tr r="Q435" s="1"/>
      </tp>
      <tp t="s">
        <v>ACT/ACT</v>
        <stp/>
        <stp>##V3_BDPV12</stp>
        <stp>912828FF Govt</stp>
        <stp>DAY_CNT_DES</stp>
        <stp>[TREASURY.xlsx]Sheet1!R475C17</stp>
        <tr r="Q475" s="1"/>
      </tp>
      <tp t="s">
        <v>ACT/ACT</v>
        <stp/>
        <stp>##V3_BDPV12</stp>
        <stp>912828A8 Govt</stp>
        <stp>DAY_CNT_DES</stp>
        <stp>[TREASURY.xlsx]Sheet1!R434C17</stp>
        <tr r="Q434" s="1"/>
      </tp>
      <tp t="s">
        <v>ACT/ACT</v>
        <stp/>
        <stp>##V3_BDPV12</stp>
        <stp>912828C7 Govt</stp>
        <stp>DAY_CNT_DES</stp>
        <stp>[TREASURY.xlsx]Sheet1!R416C17</stp>
        <tr r="Q416" s="1"/>
      </tp>
      <tp t="s">
        <v>ACT/ACT</v>
        <stp/>
        <stp>##V3_BDPV12</stp>
        <stp>912828BA Govt</stp>
        <stp>DAY_CNT_DES</stp>
        <stp>[TREASURY.xlsx]Sheet1!R408C17</stp>
        <tr r="Q408" s="1"/>
      </tp>
      <tp t="s">
        <v>ACT/ACT</v>
        <stp/>
        <stp>##V3_BDPV12</stp>
        <stp>912828EU Govt</stp>
        <stp>DAY_CNT_DES</stp>
        <stp>[TREASURY.xlsx]Sheet1!R466C17</stp>
        <tr r="Q466" s="1"/>
      </tp>
      <tp t="s">
        <v>ACT/ACT</v>
        <stp/>
        <stp>##V3_BDPV12</stp>
        <stp>912828AA Govt</stp>
        <stp>DAY_CNT_DES</stp>
        <stp>[TREASURY.xlsx]Sheet1!R426C17</stp>
        <tr r="Q426" s="1"/>
      </tp>
      <tp t="s">
        <v>ACT/ACT</v>
        <stp/>
        <stp>##V3_BDPV12</stp>
        <stp>912828CY Govt</stp>
        <stp>DAY_CNT_DES</stp>
        <stp>[TREASURY.xlsx]Sheet1!R477C17</stp>
        <tr r="Q477" s="1"/>
      </tp>
      <tp t="s">
        <v>ACT/ACT</v>
        <stp/>
        <stp>##V3_BDPV12</stp>
        <stp>912828LQ Govt</stp>
        <stp>DAY_CNT_DES</stp>
        <stp>[TREASURY.xlsx]Sheet1!R486C17</stp>
        <tr r="Q486" s="1"/>
      </tp>
      <tp t="s">
        <v>ACT/ACT</v>
        <stp/>
        <stp>##V3_BDPV12</stp>
        <stp>912828MU Govt</stp>
        <stp>DAY_CNT_DES</stp>
        <stp>[TREASURY.xlsx]Sheet1!R494C17</stp>
        <tr r="Q494" s="1"/>
      </tp>
      <tp t="s">
        <v>ACT/ACT</v>
        <stp/>
        <stp>##V3_BDPV12</stp>
        <stp>912828LJ Govt</stp>
        <stp>DAY_CNT_DES</stp>
        <stp>[TREASURY.xlsx]Sheet1!R485C17</stp>
        <tr r="Q485" s="1"/>
      </tp>
      <tp t="s">
        <v>ACT/ACT</v>
        <stp/>
        <stp>##V3_BDPV12</stp>
        <stp>912828G9 Govt</stp>
        <stp>DAY_CNT_DES</stp>
        <stp>[TREASURY.xlsx]Sheet1!R422C17</stp>
        <tr r="Q422" s="1"/>
      </tp>
      <tp t="s">
        <v>ACT/ACT</v>
        <stp/>
        <stp>##V3_BDPV12</stp>
        <stp>912828CS Govt</stp>
        <stp>DAY_CNT_DES</stp>
        <stp>[TREASURY.xlsx]Sheet1!R462C17</stp>
        <tr r="Q462" s="1"/>
      </tp>
      <tp t="s">
        <v>ACT/ACT</v>
        <stp/>
        <stp>##V3_BDPV12</stp>
        <stp>912828MQ Govt</stp>
        <stp>DAY_CNT_DES</stp>
        <stp>[TREASURY.xlsx]Sheet1!R483C17</stp>
        <tr r="Q483" s="1"/>
      </tp>
      <tp t="s">
        <v>ACT/ACT</v>
        <stp/>
        <stp>##V3_BDPV12</stp>
        <stp>912828CF Govt</stp>
        <stp>DAY_CNT_DES</stp>
        <stp>[TREASURY.xlsx]Sheet1!R465C17</stp>
        <tr r="Q465" s="1"/>
      </tp>
      <tp t="s">
        <v>ACT/ACT</v>
        <stp/>
        <stp>##V3_BDPV12</stp>
        <stp>912828F3 Govt</stp>
        <stp>DAY_CNT_DES</stp>
        <stp>[TREASURY.xlsx]Sheet1!R406C17</stp>
        <tr r="Q406" s="1"/>
      </tp>
      <tp t="s">
        <v>ACT/ACT</v>
        <stp/>
        <stp>##V3_BDPV12</stp>
        <stp>912828AU Govt</stp>
        <stp>DAY_CNT_DES</stp>
        <stp>[TREASURY.xlsx]Sheet1!R474C17</stp>
        <tr r="Q474" s="1"/>
      </tp>
      <tp t="s">
        <v>ACT/ACT</v>
        <stp/>
        <stp>##V3_BDPV12</stp>
        <stp>912828B4 Govt</stp>
        <stp>DAY_CNT_DES</stp>
        <stp>[TREASURY.xlsx]Sheet1!R458C17</stp>
        <tr r="Q458" s="1"/>
      </tp>
      <tp t="s">
        <v>ACT/ACT</v>
        <stp/>
        <stp>##V3_BDPV12</stp>
        <stp>912828F6 Govt</stp>
        <stp>DAY_CNT_DES</stp>
        <stp>[TREASURY.xlsx]Sheet1!R411C17</stp>
        <tr r="Q411" s="1"/>
      </tp>
      <tp t="s">
        <v>ACT/ACT</v>
        <stp/>
        <stp>##V3_BDPV12</stp>
        <stp>912828BM Govt</stp>
        <stp>DAY_CNT_DES</stp>
        <stp>[TREASURY.xlsx]Sheet1!R453C17</stp>
        <tr r="Q453" s="1"/>
      </tp>
      <tp t="s">
        <v>ACT/ACT</v>
        <stp/>
        <stp>##V3_BDPV12</stp>
        <stp>912828BH Govt</stp>
        <stp>DAY_CNT_DES</stp>
        <stp>[TREASURY.xlsx]Sheet1!R452C17</stp>
        <tr r="Q452" s="1"/>
      </tp>
      <tp t="s">
        <v>ACT/ACT</v>
        <stp/>
        <stp>##V3_BDPV12</stp>
        <stp>912828N4 Govt</stp>
        <stp>DAY_CNT_DES</stp>
        <stp>[TREASURY.xlsx]Sheet1!R463C17</stp>
        <tr r="Q463" s="1"/>
      </tp>
      <tp t="s">
        <v>ACT/ACT</v>
        <stp/>
        <stp>##V3_BDPV12</stp>
        <stp>912828H5 Govt</stp>
        <stp>DAY_CNT_DES</stp>
        <stp>[TREASURY.xlsx]Sheet1!R419C17</stp>
        <tr r="Q419" s="1"/>
      </tp>
      <tp t="s">
        <v>ACT/ACT</v>
        <stp/>
        <stp>##V3_BDPV12</stp>
        <stp>912828M7 Govt</stp>
        <stp>DAY_CNT_DES</stp>
        <stp>[TREASURY.xlsx]Sheet1!R443C17</stp>
        <tr r="Q443" s="1"/>
      </tp>
      <tp t="s">
        <v>ACT/ACT</v>
        <stp/>
        <stp>##V3_BDPV12</stp>
        <stp>912828A7 Govt</stp>
        <stp>DAY_CNT_DES</stp>
        <stp>[TREASURY.xlsx]Sheet1!R481C17</stp>
        <tr r="Q481" s="1"/>
      </tp>
      <tp t="s">
        <v>ACT/ACT</v>
        <stp/>
        <stp>##V3_BDPV12</stp>
        <stp>912828C4 Govt</stp>
        <stp>DAY_CNT_DES</stp>
        <stp>[TREASURY.xlsx]Sheet1!R492C17</stp>
        <tr r="Q492" s="1"/>
      </tp>
      <tp t="s">
        <v>ACT/ACT</v>
        <stp/>
        <stp>##V3_BDPV12</stp>
        <stp>912828J5 Govt</stp>
        <stp>DAY_CNT_DES</stp>
        <stp>[TREASURY.xlsx]Sheet1!R403C17</stp>
        <tr r="Q403" s="1"/>
      </tp>
      <tp t="s">
        <v>ACT/ACT</v>
        <stp/>
        <stp>##V3_BDPV12</stp>
        <stp>912828N2 Govt</stp>
        <stp>DAY_CNT_DES</stp>
        <stp>[TREASURY.xlsx]Sheet1!R440C17</stp>
        <tr r="Q440" s="1"/>
      </tp>
      <tp t="s">
        <v>ACT/ACT</v>
        <stp/>
        <stp>##V3_BDPV12</stp>
        <stp>912828KS Govt</stp>
        <stp>DAY_CNT_DES</stp>
        <stp>[TREASURY.xlsx]Sheet1!R418C17</stp>
        <tr r="Q418" s="1"/>
      </tp>
      <tp t="s">
        <v>ACT/ACT</v>
        <stp/>
        <stp>##V3_BDPV12</stp>
        <stp>912828CM Govt</stp>
        <stp>DAY_CNT_DES</stp>
        <stp>[TREASURY.xlsx]Sheet1!R493C17</stp>
        <tr r="Q493" s="1"/>
      </tp>
      <tp t="s">
        <v>ACT/ACT</v>
        <stp/>
        <stp>##V3_BDPV12</stp>
        <stp>912828HL Govt</stp>
        <stp>DAY_CNT_DES</stp>
        <stp>[TREASURY.xlsx]Sheet1!R424C17</stp>
        <tr r="Q424" s="1"/>
      </tp>
      <tp t="s">
        <v>ACT/ACT</v>
        <stp/>
        <stp>##V3_BDPV12</stp>
        <stp>912828BB Govt</stp>
        <stp>DAY_CNT_DES</stp>
        <stp>[TREASURY.xlsx]Sheet1!R482C17</stp>
        <tr r="Q482" s="1"/>
      </tp>
      <tp t="s">
        <v>ACT/ACT</v>
        <stp/>
        <stp>##V3_BDPV12</stp>
        <stp>912828BV Govt</stp>
        <stp>DAY_CNT_DES</stp>
        <stp>[TREASURY.xlsx]Sheet1!R495C17</stp>
        <tr r="Q495" s="1"/>
      </tp>
      <tp t="s">
        <v>ACT/ACT</v>
        <stp/>
        <stp>##V3_BDPV12</stp>
        <stp>912828JG Govt</stp>
        <stp>DAY_CNT_DES</stp>
        <stp>[TREASURY.xlsx]Sheet1!R417C17</stp>
        <tr r="Q417" s="1"/>
      </tp>
      <tp t="s">
        <v>ACT/ACT</v>
        <stp/>
        <stp>##V3_BDPV12</stp>
        <stp>912828HY Govt</stp>
        <stp>DAY_CNT_DES</stp>
        <stp>[TREASURY.xlsx]Sheet1!R450C17</stp>
        <tr r="Q450" s="1"/>
      </tp>
      <tp t="s">
        <v>ACT/ACT</v>
        <stp/>
        <stp>##V3_BDPV12</stp>
        <stp>912828JT Govt</stp>
        <stp>DAY_CNT_DES</stp>
        <stp>[TREASURY.xlsx]Sheet1!R471C17</stp>
        <tr r="Q471" s="1"/>
      </tp>
      <tp t="s">
        <v>ACT/ACT</v>
        <stp/>
        <stp>##V3_BDPV12</stp>
        <stp>912828JZ Govt</stp>
        <stp>DAY_CNT_DES</stp>
        <stp>[TREASURY.xlsx]Sheet1!R478C17</stp>
        <tr r="Q478" s="1"/>
      </tp>
      <tp t="s">
        <v>ACT/ACT</v>
        <stp/>
        <stp>##V3_BDPV12</stp>
        <stp>912828J8 Govt</stp>
        <stp>DAY_CNT_DES</stp>
        <stp>[TREASURY.xlsx]Sheet1!R451C17</stp>
        <tr r="Q451" s="1"/>
      </tp>
      <tp t="s">
        <v>ACT/ACT</v>
        <stp/>
        <stp>##V3_BDPV12</stp>
        <stp>912828L6 Govt</stp>
        <stp>DAY_CNT_DES</stp>
        <stp>[TREASURY.xlsx]Sheet1!R430C17</stp>
        <tr r="Q430" s="1"/>
      </tp>
      <tp t="s">
        <v>ACT/ACT</v>
        <stp/>
        <stp>##V3_BDPV12</stp>
        <stp>912828HR Govt</stp>
        <stp>DAY_CNT_DES</stp>
        <stp>[TREASURY.xlsx]Sheet1!R476C17</stp>
        <tr r="Q476" s="1"/>
      </tp>
      <tp t="s">
        <v>ACT/ACT</v>
        <stp/>
        <stp>##V3_BDPV12</stp>
        <stp>912828HH Govt</stp>
        <stp>DAY_CNT_DES</stp>
        <stp>[TREASURY.xlsx]Sheet1!R470C17</stp>
        <tr r="Q470" s="1"/>
      </tp>
      <tp t="s">
        <v>ACT/ACT</v>
        <stp/>
        <stp>##V3_BDPV12</stp>
        <stp>9128283S Govt</stp>
        <stp>DAY_CNT_DES</stp>
        <stp>[TREASURY.xlsx]Sheet1!R433C17</stp>
        <tr r="Q433" s="1"/>
      </tp>
      <tp t="s">
        <v>ACT/ACT</v>
        <stp/>
        <stp>##V3_BDPV12</stp>
        <stp>9128282C Govt</stp>
        <stp>DAY_CNT_DES</stp>
        <stp>[TREASURY.xlsx]Sheet1!R439C17</stp>
        <tr r="Q439" s="1"/>
      </tp>
      <tp t="s">
        <v>ACT/ACT</v>
        <stp/>
        <stp>##V3_BDPV12</stp>
        <stp>9128285B Govt</stp>
        <stp>DAY_CNT_DES</stp>
        <stp>[TREASURY.xlsx]Sheet1!R442C17</stp>
        <tr r="Q442" s="1"/>
      </tp>
      <tp t="s">
        <v>ACT/ACT</v>
        <stp/>
        <stp>##V3_BDPV12</stp>
        <stp>9128282Q Govt</stp>
        <stp>DAY_CNT_DES</stp>
        <stp>[TREASURY.xlsx]Sheet1!R469C17</stp>
        <tr r="Q469" s="1"/>
      </tp>
      <tp t="s">
        <v>ACT/ACT</v>
        <stp/>
        <stp>##V3_BDPV12</stp>
        <stp>9128285Q Govt</stp>
        <stp>DAY_CNT_DES</stp>
        <stp>[TREASURY.xlsx]Sheet1!R410C17</stp>
        <tr r="Q410" s="1"/>
      </tp>
      <tp t="s">
        <v>ACT/ACT</v>
        <stp/>
        <stp>##V3_BDPV12</stp>
        <stp>9128285S Govt</stp>
        <stp>DAY_CNT_DES</stp>
        <stp>[TREASURY.xlsx]Sheet1!R429C17</stp>
        <tr r="Q429" s="1"/>
      </tp>
      <tp t="s">
        <v>#N/A Field Not Applicable</v>
        <stp/>
        <stp>##V3_BDPV12</stp>
        <stp>912810FJ Govt</stp>
        <stp>IDX_RATIO</stp>
        <stp>[TREASURY.xlsx]Sheet1!R267C20</stp>
        <tr r="T267" s="1"/>
      </tp>
      <tp t="s">
        <v>#N/A Field Not Applicable</v>
        <stp/>
        <stp>##V3_BDPV12</stp>
        <stp>912828FM Govt</stp>
        <stp>IDX_RATIO</stp>
        <stp>[TREASURY.xlsx]Sheet1!R532C20</stp>
        <tr r="T532" s="1"/>
      </tp>
      <tp t="s">
        <v>ACT/ACT</v>
        <stp/>
        <stp>##V3_BDPV12</stp>
        <stp>912827S5 Govt</stp>
        <stp>DAY_CNT_DES</stp>
        <stp>[TREASURY.xlsx]Sheet1!R831C17</stp>
        <tr r="Q831" s="1"/>
      </tp>
      <tp t="s">
        <v>ACT/ACT</v>
        <stp/>
        <stp>##V3_BDPV12</stp>
        <stp>912827RR Govt</stp>
        <stp>DAY_CNT_DES</stp>
        <stp>[TREASURY.xlsx]Sheet1!R829C17</stp>
        <tr r="Q829" s="1"/>
      </tp>
      <tp t="s">
        <v>ACT/ACT</v>
        <stp/>
        <stp>##V3_BDPV12</stp>
        <stp>912827SU Govt</stp>
        <stp>DAY_CNT_DES</stp>
        <stp>[TREASURY.xlsx]Sheet1!R832C17</stp>
        <tr r="Q832" s="1"/>
      </tp>
      <tp t="s">
        <v>ACT/ACT</v>
        <stp/>
        <stp>##V3_BDPV12</stp>
        <stp>912827RW Govt</stp>
        <stp>DAY_CNT_DES</stp>
        <stp>[TREASURY.xlsx]Sheet1!R830C17</stp>
        <tr r="Q830" s="1"/>
      </tp>
      <tp t="s">
        <v>ACT/ACT</v>
        <stp/>
        <stp>##V3_BDPV12</stp>
        <stp>912827U2 Govt</stp>
        <stp>DAY_CNT_DES</stp>
        <stp>[TREASURY.xlsx]Sheet1!R835C17</stp>
        <tr r="Q835" s="1"/>
      </tp>
      <tp t="s">
        <v>ACT/ACT</v>
        <stp/>
        <stp>##V3_BDPV12</stp>
        <stp>912827UA Govt</stp>
        <stp>DAY_CNT_DES</stp>
        <stp>[TREASURY.xlsx]Sheet1!R836C17</stp>
        <tr r="Q836" s="1"/>
      </tp>
      <tp t="s">
        <v>ACT/ACT</v>
        <stp/>
        <stp>##V3_BDPV12</stp>
        <stp>912827T2 Govt</stp>
        <stp>DAY_CNT_DES</stp>
        <stp>[TREASURY.xlsx]Sheet1!R833C17</stp>
        <tr r="Q833" s="1"/>
      </tp>
      <tp t="s">
        <v>ACT/ACT</v>
        <stp/>
        <stp>##V3_BDPV12</stp>
        <stp>912827TA Govt</stp>
        <stp>DAY_CNT_DES</stp>
        <stp>[TREASURY.xlsx]Sheet1!R834C17</stp>
        <tr r="Q834" s="1"/>
      </tp>
      <tp t="s">
        <v>ACT/ACT</v>
        <stp/>
        <stp>##V3_BDPV12</stp>
        <stp>912827KP Govt</stp>
        <stp>DAY_CNT_DES</stp>
        <stp>[TREASURY.xlsx]Sheet1!R885C17</stp>
        <tr r="Q885" s="1"/>
      </tp>
      <tp t="s">
        <v>ACT/ACT</v>
        <stp/>
        <stp>##V3_BDPV12</stp>
        <stp>912827KJ Govt</stp>
        <stp>DAY_CNT_DES</stp>
        <stp>[TREASURY.xlsx]Sheet1!R884C17</stp>
        <tr r="Q884" s="1"/>
      </tp>
      <tp t="s">
        <v>ACT/ACT</v>
        <stp/>
        <stp>##V3_BDPV12</stp>
        <stp>912827L5 Govt</stp>
        <stp>DAY_CNT_DES</stp>
        <stp>[TREASURY.xlsx]Sheet1!R886C17</stp>
        <tr r="Q886" s="1"/>
      </tp>
      <tp t="s">
        <v>ACT/ACT</v>
        <stp/>
        <stp>##V3_BDPV12</stp>
        <stp>912827MP Govt</stp>
        <stp>DAY_CNT_DES</stp>
        <stp>[TREASURY.xlsx]Sheet1!R899C17</stp>
        <tr r="Q899" s="1"/>
      </tp>
      <tp t="s">
        <v>ACT/ACT</v>
        <stp/>
        <stp>##V3_BDPV12</stp>
        <stp>912827LE Govt</stp>
        <stp>DAY_CNT_DES</stp>
        <stp>[TREASURY.xlsx]Sheet1!R889C17</stp>
        <tr r="Q889" s="1"/>
      </tp>
      <tp t="s">
        <v>ACT/ACT</v>
        <stp/>
        <stp>##V3_BDPV12</stp>
        <stp>912827MJ Govt</stp>
        <stp>DAY_CNT_DES</stp>
        <stp>[TREASURY.xlsx]Sheet1!R897C17</stp>
        <tr r="Q897" s="1"/>
      </tp>
      <tp t="s">
        <v>ACT/ACT</v>
        <stp/>
        <stp>##V3_BDPV12</stp>
        <stp>912827LC Govt</stp>
        <stp>DAY_CNT_DES</stp>
        <stp>[TREASURY.xlsx]Sheet1!R888C17</stp>
        <tr r="Q888" s="1"/>
      </tp>
      <tp t="s">
        <v>ACT/ACT</v>
        <stp/>
        <stp>##V3_BDPV12</stp>
        <stp>912827LA Govt</stp>
        <stp>DAY_CNT_DES</stp>
        <stp>[TREASURY.xlsx]Sheet1!R887C17</stp>
        <tr r="Q887" s="1"/>
      </tp>
      <tp t="s">
        <v>ACT/ACT</v>
        <stp/>
        <stp>##V3_BDPV12</stp>
        <stp>912827ME Govt</stp>
        <stp>DAY_CNT_DES</stp>
        <stp>[TREASURY.xlsx]Sheet1!R895C17</stp>
        <tr r="Q895" s="1"/>
      </tp>
      <tp t="s">
        <v>ACT/ACT</v>
        <stp/>
        <stp>##V3_BDPV12</stp>
        <stp>912827MG Govt</stp>
        <stp>DAY_CNT_DES</stp>
        <stp>[TREASURY.xlsx]Sheet1!R896C17</stp>
        <tr r="Q896" s="1"/>
      </tp>
      <tp t="s">
        <v>ACT/ACT</v>
        <stp/>
        <stp>##V3_BDPV12</stp>
        <stp>912827MK Govt</stp>
        <stp>DAY_CNT_DES</stp>
        <stp>[TREASURY.xlsx]Sheet1!R898C17</stp>
        <tr r="Q898" s="1"/>
      </tp>
      <tp t="s">
        <v>ACT/ACT</v>
        <stp/>
        <stp>##V3_BDPV12</stp>
        <stp>912827LY Govt</stp>
        <stp>DAY_CNT_DES</stp>
        <stp>[TREASURY.xlsx]Sheet1!R894C17</stp>
        <tr r="Q894" s="1"/>
      </tp>
      <tp t="s">
        <v>ACT/ACT</v>
        <stp/>
        <stp>##V3_BDPV12</stp>
        <stp>912827LX Govt</stp>
        <stp>DAY_CNT_DES</stp>
        <stp>[TREASURY.xlsx]Sheet1!R893C17</stp>
        <tr r="Q893" s="1"/>
      </tp>
      <tp t="s">
        <v>ACT/ACT</v>
        <stp/>
        <stp>##V3_BDPV12</stp>
        <stp>912827LU Govt</stp>
        <stp>DAY_CNT_DES</stp>
        <stp>[TREASURY.xlsx]Sheet1!R892C17</stp>
        <tr r="Q892" s="1"/>
      </tp>
      <tp t="s">
        <v>ACT/ACT</v>
        <stp/>
        <stp>##V3_BDPV12</stp>
        <stp>912827LL Govt</stp>
        <stp>DAY_CNT_DES</stp>
        <stp>[TREASURY.xlsx]Sheet1!R891C17</stp>
        <tr r="Q891" s="1"/>
      </tp>
      <tp t="s">
        <v>ACT/ACT</v>
        <stp/>
        <stp>##V3_BDPV12</stp>
        <stp>912827LJ Govt</stp>
        <stp>DAY_CNT_DES</stp>
        <stp>[TREASURY.xlsx]Sheet1!R890C17</stp>
        <tr r="Q890" s="1"/>
      </tp>
      <tp t="s">
        <v>ACT/ACT</v>
        <stp/>
        <stp>##V3_BDPV12</stp>
        <stp>912828AS Govt</stp>
        <stp>DAY_CNT_DES</stp>
        <stp>[TREASURY.xlsx]Sheet1!R785C17</stp>
        <tr r="Q785" s="1"/>
      </tp>
      <tp t="s">
        <v>ACT/ACT</v>
        <stp/>
        <stp>##V3_BDPV12</stp>
        <stp>912828BT Govt</stp>
        <stp>DAY_CNT_DES</stp>
        <stp>[TREASURY.xlsx]Sheet1!R787C17</stp>
        <tr r="Q787" s="1"/>
      </tp>
      <tp t="s">
        <v>ACT/ACT</v>
        <stp/>
        <stp>##V3_BDPV12</stp>
        <stp>912828BK Govt</stp>
        <stp>DAY_CNT_DES</stp>
        <stp>[TREASURY.xlsx]Sheet1!R786C17</stp>
        <tr r="Q786" s="1"/>
      </tp>
      <tp t="s">
        <v>ACT/ACT</v>
        <stp/>
        <stp>##V3_BDPV12</stp>
        <stp>912828CK Govt</stp>
        <stp>DAY_CNT_DES</stp>
        <stp>[TREASURY.xlsx]Sheet1!R790C17</stp>
        <tr r="Q790" s="1"/>
      </tp>
      <tp t="s">
        <v>ACT/ACT</v>
        <stp/>
        <stp>##V3_BDPV12</stp>
        <stp>912828C8 Govt</stp>
        <stp>DAY_CNT_DES</stp>
        <stp>[TREASURY.xlsx]Sheet1!R788C17</stp>
        <tr r="Q788" s="1"/>
      </tp>
      <tp t="s">
        <v>ACT/ACT</v>
        <stp/>
        <stp>##V3_BDPV12</stp>
        <stp>912828CG Govt</stp>
        <stp>DAY_CNT_DES</stp>
        <stp>[TREASURY.xlsx]Sheet1!R789C17</stp>
        <tr r="Q789" s="1"/>
      </tp>
      <tp t="s">
        <v>ACT/ACT</v>
        <stp/>
        <stp>##V3_BDPV12</stp>
        <stp>912828EK Govt</stp>
        <stp>DAY_CNT_DES</stp>
        <stp>[TREASURY.xlsx]Sheet1!R796C17</stp>
        <tr r="Q796" s="1"/>
      </tp>
      <tp t="s">
        <v>ACT/ACT</v>
        <stp/>
        <stp>##V3_BDPV12</stp>
        <stp>912828EL Govt</stp>
        <stp>DAY_CNT_DES</stp>
        <stp>[TREASURY.xlsx]Sheet1!R797C17</stp>
        <tr r="Q797" s="1"/>
      </tp>
      <tp t="s">
        <v>ACT/ACT</v>
        <stp/>
        <stp>##V3_BDPV12</stp>
        <stp>912828EC Govt</stp>
        <stp>DAY_CNT_DES</stp>
        <stp>[TREASURY.xlsx]Sheet1!R794C17</stp>
        <tr r="Q794" s="1"/>
      </tp>
      <tp t="s">
        <v>ACT/ACT</v>
        <stp/>
        <stp>##V3_BDPV12</stp>
        <stp>912828EE Govt</stp>
        <stp>DAY_CNT_DES</stp>
        <stp>[TREASURY.xlsx]Sheet1!R795C17</stp>
        <tr r="Q795" s="1"/>
      </tp>
      <tp t="s">
        <v>ACT/ACT</v>
        <stp/>
        <stp>##V3_BDPV12</stp>
        <stp>912828DW Govt</stp>
        <stp>DAY_CNT_DES</stp>
        <stp>[TREASURY.xlsx]Sheet1!R793C17</stp>
        <tr r="Q793" s="1"/>
      </tp>
      <tp t="s">
        <v>ACT/ACT</v>
        <stp/>
        <stp>##V3_BDPV12</stp>
        <stp>912828DR Govt</stp>
        <stp>DAY_CNT_DES</stp>
        <stp>[TREASURY.xlsx]Sheet1!R792C17</stp>
        <tr r="Q792" s="1"/>
      </tp>
      <tp t="s">
        <v>ACT/ACT</v>
        <stp/>
        <stp>##V3_BDPV12</stp>
        <stp>912828DD Govt</stp>
        <stp>DAY_CNT_DES</stp>
        <stp>[TREASURY.xlsx]Sheet1!R791C17</stp>
        <tr r="Q791" s="1"/>
      </tp>
      <tp t="s">
        <v>ACT/ACT</v>
        <stp/>
        <stp>##V3_BDPV12</stp>
        <stp>912828FC Govt</stp>
        <stp>DAY_CNT_DES</stp>
        <stp>[TREASURY.xlsx]Sheet1!R798C17</stp>
        <tr r="Q798" s="1"/>
      </tp>
      <tp t="s">
        <v>ACT/ACT</v>
        <stp/>
        <stp>##V3_BDPV12</stp>
        <stp>912828FJ Govt</stp>
        <stp>DAY_CNT_DES</stp>
        <stp>[TREASURY.xlsx]Sheet1!R799C17</stp>
        <tr r="Q799" s="1"/>
      </tp>
      <tp t="s">
        <v>ACT/ACT</v>
        <stp/>
        <stp>##V3_BDPV12</stp>
        <stp>9128283H Govt</stp>
        <stp>DAY_CNT_DES</stp>
        <stp>[TREASURY.xlsx]Sheet1!R784C17</stp>
        <tr r="Q784" s="1"/>
      </tp>
      <tp t="s">
        <v>ACT/ACT</v>
        <stp/>
        <stp>##V3_BDPV12</stp>
        <stp>912828W2 Govt</stp>
        <stp>DAY_CNT_DES</stp>
        <stp>[TREASURY.xlsx]Sheet1!R679C17</stp>
        <tr r="Q679" s="1"/>
      </tp>
      <tp t="s">
        <v>ACT/ACT</v>
        <stp/>
        <stp>##V3_BDPV12</stp>
        <stp>912827PP Govt</stp>
        <stp>DAY_CNT_DES</stp>
        <stp>[TREASURY.xlsx]Sheet1!R904C17</stp>
        <tr r="Q904" s="1"/>
      </tp>
      <tp t="s">
        <v>ACT/ACT</v>
        <stp/>
        <stp>##V3_BDPV12</stp>
        <stp>912827PN Govt</stp>
        <stp>DAY_CNT_DES</stp>
        <stp>[TREASURY.xlsx]Sheet1!R903C17</stp>
        <tr r="Q903" s="1"/>
      </tp>
      <tp t="s">
        <v>ACT/ACT</v>
        <stp/>
        <stp>##V3_BDPV12</stp>
        <stp>912827Q5 Govt</stp>
        <stp>DAY_CNT_DES</stp>
        <stp>[TREASURY.xlsx]Sheet1!R905C17</stp>
        <tr r="Q905" s="1"/>
      </tp>
      <tp t="s">
        <v>ACT/ACT</v>
        <stp/>
        <stp>##V3_BDPV12</stp>
        <stp>912827QR Govt</stp>
        <stp>DAY_CNT_DES</stp>
        <stp>[TREASURY.xlsx]Sheet1!R908C17</stp>
        <tr r="Q908" s="1"/>
      </tp>
      <tp t="s">
        <v>ACT/ACT</v>
        <stp/>
        <stp>##V3_BDPV12</stp>
        <stp>912827QJ Govt</stp>
        <stp>DAY_CNT_DES</stp>
        <stp>[TREASURY.xlsx]Sheet1!R907C17</stp>
        <tr r="Q907" s="1"/>
      </tp>
      <tp t="s">
        <v>ACT/ACT</v>
        <stp/>
        <stp>##V3_BDPV12</stp>
        <stp>912828VE Govt</stp>
        <stp>DAY_CNT_DES</stp>
        <stp>[TREASURY.xlsx]Sheet1!R673C17</stp>
        <tr r="Q673" s="1"/>
      </tp>
      <tp t="s">
        <v>ACT/ACT</v>
        <stp/>
        <stp>##V3_BDPV12</stp>
        <stp>912828SD Govt</stp>
        <stp>DAY_CNT_DES</stp>
        <stp>[TREASURY.xlsx]Sheet1!R623C17</stp>
        <tr r="Q623" s="1"/>
      </tp>
      <tp t="s">
        <v>ACT/ACT</v>
        <stp/>
        <stp>##V3_BDPV12</stp>
        <stp>912827QG Govt</stp>
        <stp>DAY_CNT_DES</stp>
        <stp>[TREASURY.xlsx]Sheet1!R906C17</stp>
        <tr r="Q906" s="1"/>
      </tp>
      <tp t="s">
        <v>ACT/ACT</v>
        <stp/>
        <stp>##V3_BDPV12</stp>
        <stp>912828TG Govt</stp>
        <stp>DAY_CNT_DES</stp>
        <stp>[TREASURY.xlsx]Sheet1!R654C17</stp>
        <tr r="Q654" s="1"/>
      </tp>
      <tp t="s">
        <v>ACT/ACT</v>
        <stp/>
        <stp>##V3_BDPV12</stp>
        <stp>912827R8 Govt</stp>
        <stp>DAY_CNT_DES</stp>
        <stp>[TREASURY.xlsx]Sheet1!R909C17</stp>
        <tr r="Q909" s="1"/>
      </tp>
      <tp t="s">
        <v>ACT/ACT</v>
        <stp/>
        <stp>##V3_BDPV12</stp>
        <stp>912828U9 Govt</stp>
        <stp>DAY_CNT_DES</stp>
        <stp>[TREASURY.xlsx]Sheet1!R678C17</stp>
        <tr r="Q678" s="1"/>
      </tp>
      <tp t="s">
        <v>ACT/ACT</v>
        <stp/>
        <stp>##V3_BDPV12</stp>
        <stp>912827SV Govt</stp>
        <stp>DAY_CNT_DES</stp>
        <stp>[TREASURY.xlsx]Sheet1!R918C17</stp>
        <tr r="Q918" s="1"/>
      </tp>
      <tp t="s">
        <v>ACT/ACT</v>
        <stp/>
        <stp>##V3_BDPV12</stp>
        <stp>912828SE Govt</stp>
        <stp>DAY_CNT_DES</stp>
        <stp>[TREASURY.xlsx]Sheet1!R618C17</stp>
        <tr r="Q618" s="1"/>
      </tp>
      <tp t="s">
        <v>ACT/ACT</v>
        <stp/>
        <stp>##V3_BDPV12</stp>
        <stp>912827SL Govt</stp>
        <stp>DAY_CNT_DES</stp>
        <stp>[TREASURY.xlsx]Sheet1!R917C17</stp>
        <tr r="Q917" s="1"/>
      </tp>
      <tp t="s">
        <v>ACT/ACT</v>
        <stp/>
        <stp>##V3_BDPV12</stp>
        <stp>912828UF Govt</stp>
        <stp>DAY_CNT_DES</stp>
        <stp>[TREASURY.xlsx]Sheet1!R671C17</stp>
        <tr r="Q671" s="1"/>
      </tp>
      <tp t="s">
        <v>ACT/ACT</v>
        <stp/>
        <stp>##V3_BDPV12</stp>
        <stp>912827SD Govt</stp>
        <stp>DAY_CNT_DES</stp>
        <stp>[TREASURY.xlsx]Sheet1!R916C17</stp>
        <tr r="Q916" s="1"/>
      </tp>
      <tp t="s">
        <v>ACT/ACT</v>
        <stp/>
        <stp>##V3_BDPV12</stp>
        <stp>912828V5 Govt</stp>
        <stp>DAY_CNT_DES</stp>
        <stp>[TREASURY.xlsx]Sheet1!R655C17</stp>
        <tr r="Q655" s="1"/>
      </tp>
      <tp t="s">
        <v>ACT/ACT</v>
        <stp/>
        <stp>##V3_BDPV12</stp>
        <stp>912827RX Govt</stp>
        <stp>DAY_CNT_DES</stp>
        <stp>[TREASURY.xlsx]Sheet1!R915C17</stp>
        <tr r="Q915" s="1"/>
      </tp>
      <tp t="s">
        <v>ACT/ACT</v>
        <stp/>
        <stp>##V3_BDPV12</stp>
        <stp>912827RS Govt</stp>
        <stp>DAY_CNT_DES</stp>
        <stp>[TREASURY.xlsx]Sheet1!R913C17</stp>
        <tr r="Q913" s="1"/>
      </tp>
      <tp t="s">
        <v>ACT/ACT</v>
        <stp/>
        <stp>##V3_BDPV12</stp>
        <stp>912827RU Govt</stp>
        <stp>DAY_CNT_DES</stp>
        <stp>[TREASURY.xlsx]Sheet1!R914C17</stp>
        <tr r="Q914" s="1"/>
      </tp>
      <tp t="s">
        <v>ACT/ACT</v>
        <stp/>
        <stp>##V3_BDPV12</stp>
        <stp>912827RP Govt</stp>
        <stp>DAY_CNT_DES</stp>
        <stp>[TREASURY.xlsx]Sheet1!R912C17</stp>
        <tr r="Q912" s="1"/>
      </tp>
      <tp t="s">
        <v>ACT/ACT</v>
        <stp/>
        <stp>##V3_BDPV12</stp>
        <stp>912827RK Govt</stp>
        <stp>DAY_CNT_DES</stp>
        <stp>[TREASURY.xlsx]Sheet1!R911C17</stp>
        <tr r="Q911" s="1"/>
      </tp>
      <tp t="s">
        <v>ACT/ACT</v>
        <stp/>
        <stp>##V3_BDPV12</stp>
        <stp>912828PJ Govt</stp>
        <stp>DAY_CNT_DES</stp>
        <stp>[TREASURY.xlsx]Sheet1!R630C17</stp>
        <tr r="Q630" s="1"/>
      </tp>
      <tp t="s">
        <v>ACT/ACT</v>
        <stp/>
        <stp>##V3_BDPV12</stp>
        <stp>912827RD Govt</stp>
        <stp>DAY_CNT_DES</stp>
        <stp>[TREASURY.xlsx]Sheet1!R910C17</stp>
        <tr r="Q910" s="1"/>
      </tp>
      <tp t="s">
        <v>ACT/ACT</v>
        <stp/>
        <stp>##V3_BDPV12</stp>
        <stp>912827W8 Govt</stp>
        <stp>DAY_CNT_DES</stp>
        <stp>[TREASURY.xlsx]Sheet1!R930C17</stp>
        <tr r="Q930" s="1"/>
      </tp>
      <tp t="s">
        <v>ACT/ACT</v>
        <stp/>
        <stp>##V3_BDPV12</stp>
        <stp>912827V9 Govt</stp>
        <stp>DAY_CNT_DES</stp>
        <stp>[TREASURY.xlsx]Sheet1!R923C17</stp>
        <tr r="Q923" s="1"/>
      </tp>
      <tp t="s">
        <v>ACT/ACT</v>
        <stp/>
        <stp>##V3_BDPV12</stp>
        <stp>912827VX Govt</stp>
        <stp>DAY_CNT_DES</stp>
        <stp>[TREASURY.xlsx]Sheet1!R927C17</stp>
        <tr r="Q927" s="1"/>
      </tp>
      <tp t="s">
        <v>ACT/ACT</v>
        <stp/>
        <stp>##V3_BDPV12</stp>
        <stp>912827VV Govt</stp>
        <stp>DAY_CNT_DES</stp>
        <stp>[TREASURY.xlsx]Sheet1!R926C17</stp>
        <tr r="Q926" s="1"/>
      </tp>
      <tp t="s">
        <v>ACT/ACT</v>
        <stp/>
        <stp>##V3_BDPV12</stp>
        <stp>912827WR Govt</stp>
        <stp>DAY_CNT_DES</stp>
        <stp>[TREASURY.xlsx]Sheet1!R933C17</stp>
        <tr r="Q933" s="1"/>
      </tp>
      <tp t="s">
        <v>ACT/ACT</v>
        <stp/>
        <stp>##V3_BDPV12</stp>
        <stp>912827VH Govt</stp>
        <stp>DAY_CNT_DES</stp>
        <stp>[TREASURY.xlsx]Sheet1!R924C17</stp>
        <tr r="Q924" s="1"/>
      </tp>
      <tp t="s">
        <v>ACT/ACT</v>
        <stp/>
        <stp>##V3_BDPV12</stp>
        <stp>912828SN Govt</stp>
        <stp>DAY_CNT_DES</stp>
        <stp>[TREASURY.xlsx]Sheet1!R670C17</stp>
        <tr r="Q670" s="1"/>
      </tp>
      <tp t="s">
        <v>ACT/ACT</v>
        <stp/>
        <stp>##V3_BDPV12</stp>
        <stp>912827WK Govt</stp>
        <stp>DAY_CNT_DES</stp>
        <stp>[TREASURY.xlsx]Sheet1!R932C17</stp>
        <tr r="Q932" s="1"/>
      </tp>
      <tp t="s">
        <v>ACT/ACT</v>
        <stp/>
        <stp>##V3_BDPV12</stp>
        <stp>912827VN Govt</stp>
        <stp>DAY_CNT_DES</stp>
        <stp>[TREASURY.xlsx]Sheet1!R925C17</stp>
        <tr r="Q925" s="1"/>
      </tp>
      <tp t="s">
        <v>ACT/ACT</v>
        <stp/>
        <stp>##V3_BDPV12</stp>
        <stp>912827WB Govt</stp>
        <stp>DAY_CNT_DES</stp>
        <stp>[TREASURY.xlsx]Sheet1!R931C17</stp>
        <tr r="Q931" s="1"/>
      </tp>
      <tp t="s">
        <v>ACT/ACT</v>
        <stp/>
        <stp>##V3_BDPV12</stp>
        <stp>912827T5 Govt</stp>
        <stp>DAY_CNT_DES</stp>
        <stp>[TREASURY.xlsx]Sheet1!R919C17</stp>
        <tr r="Q919" s="1"/>
      </tp>
      <tp t="s">
        <v>ACT/ACT</v>
        <stp/>
        <stp>##V3_BDPV12</stp>
        <stp>912827W4 Govt</stp>
        <stp>DAY_CNT_DES</stp>
        <stp>[TREASURY.xlsx]Sheet1!R929C17</stp>
        <tr r="Q929" s="1"/>
      </tp>
      <tp t="s">
        <v>ACT/ACT</v>
        <stp/>
        <stp>##V3_BDPV12</stp>
        <stp>912827W3 Govt</stp>
        <stp>DAY_CNT_DES</stp>
        <stp>[TREASURY.xlsx]Sheet1!R928C17</stp>
        <tr r="Q928" s="1"/>
      </tp>
      <tp t="s">
        <v>ACT/ACT</v>
        <stp/>
        <stp>##V3_BDPV12</stp>
        <stp>912828PV Govt</stp>
        <stp>DAY_CNT_DES</stp>
        <stp>[TREASURY.xlsx]Sheet1!R652C17</stp>
        <tr r="Q652" s="1"/>
      </tp>
      <tp t="s">
        <v>ACT/ACT</v>
        <stp/>
        <stp>##V3_BDPV12</stp>
        <stp>912828QW Govt</stp>
        <stp>DAY_CNT_DES</stp>
        <stp>[TREASURY.xlsx]Sheet1!R646C17</stp>
        <tr r="Q646" s="1"/>
      </tp>
      <tp t="s">
        <v>ACT/ACT</v>
        <stp/>
        <stp>##V3_BDPV12</stp>
        <stp>912828VA Govt</stp>
        <stp>DAY_CNT_DES</stp>
        <stp>[TREASURY.xlsx]Sheet1!R638C17</stp>
        <tr r="Q638" s="1"/>
      </tp>
      <tp t="s">
        <v>ACT/ACT</v>
        <stp/>
        <stp>##V3_BDPV12</stp>
        <stp>912828VH Govt</stp>
        <stp>DAY_CNT_DES</stp>
        <stp>[TREASURY.xlsx]Sheet1!R632C17</stp>
        <tr r="Q632" s="1"/>
      </tp>
      <tp t="s">
        <v>ACT/ACT</v>
        <stp/>
        <stp>##V3_BDPV12</stp>
        <stp>912828RA Govt</stp>
        <stp>DAY_CNT_DES</stp>
        <stp>[TREASURY.xlsx]Sheet1!R677C17</stp>
        <tr r="Q677" s="1"/>
      </tp>
      <tp t="s">
        <v>ACT/ACT</v>
        <stp/>
        <stp>##V3_BDPV12</stp>
        <stp>912827TZ Govt</stp>
        <stp>DAY_CNT_DES</stp>
        <stp>[TREASURY.xlsx]Sheet1!R920C17</stp>
        <tr r="Q920" s="1"/>
      </tp>
      <tp t="s">
        <v>ACT/ACT</v>
        <stp/>
        <stp>##V3_BDPV12</stp>
        <stp>912828SW Govt</stp>
        <stp>DAY_CNT_DES</stp>
        <stp>[TREASURY.xlsx]Sheet1!R653C17</stp>
        <tr r="Q653" s="1"/>
      </tp>
      <tp t="s">
        <v>ACT/ACT</v>
        <stp/>
        <stp>##V3_BDPV12</stp>
        <stp>912828T5 Govt</stp>
        <stp>DAY_CNT_DES</stp>
        <stp>[TREASURY.xlsx]Sheet1!R631C17</stp>
        <tr r="Q631" s="1"/>
      </tp>
      <tp t="s">
        <v>ACT/ACT</v>
        <stp/>
        <stp>##V3_BDPV12</stp>
        <stp>912827U3 Govt</stp>
        <stp>DAY_CNT_DES</stp>
        <stp>[TREASURY.xlsx]Sheet1!R921C17</stp>
        <tr r="Q921" s="1"/>
      </tp>
      <tp t="s">
        <v>ACT/ACT</v>
        <stp/>
        <stp>##V3_BDPV12</stp>
        <stp>912827UV Govt</stp>
        <stp>DAY_CNT_DES</stp>
        <stp>[TREASURY.xlsx]Sheet1!R922C17</stp>
        <tr r="Q922" s="1"/>
      </tp>
      <tp t="s">
        <v>ACT/ACT</v>
        <stp/>
        <stp>##V3_BDPV12</stp>
        <stp>912828TB Govt</stp>
        <stp>DAY_CNT_DES</stp>
        <stp>[TREASURY.xlsx]Sheet1!R637C17</stp>
        <tr r="Q637" s="1"/>
      </tp>
      <tp t="s">
        <v>ACT/ACT</v>
        <stp/>
        <stp>##V3_BDPV12</stp>
        <stp>912828S6 Govt</stp>
        <stp>DAY_CNT_DES</stp>
        <stp>[TREASURY.xlsx]Sheet1!R692C17</stp>
        <tr r="Q692" s="1"/>
      </tp>
      <tp t="s">
        <v>ACT/ACT</v>
        <stp/>
        <stp>##V3_BDPV12</stp>
        <stp>912828X2 Govt</stp>
        <stp>DAY_CNT_DES</stp>
        <stp>[TREASURY.xlsx]Sheet1!R624C17</stp>
        <tr r="Q624" s="1"/>
      </tp>
      <tp t="s">
        <v>ACT/ACT</v>
        <stp/>
        <stp>##V3_BDPV12</stp>
        <stp>912828R8 Govt</stp>
        <stp>DAY_CNT_DES</stp>
        <stp>[TREASURY.xlsx]Sheet1!R689C17</stp>
        <tr r="Q689" s="1"/>
      </tp>
      <tp t="s">
        <v>ACT/ACT</v>
        <stp/>
        <stp>##V3_BDPV12</stp>
        <stp>912828RV Govt</stp>
        <stp>DAY_CNT_DES</stp>
        <stp>[TREASURY.xlsx]Sheet1!R687C17</stp>
        <tr r="Q687" s="1"/>
      </tp>
      <tp t="s">
        <v>ACT/ACT</v>
        <stp/>
        <stp>##V3_BDPV12</stp>
        <stp>912828XK Govt</stp>
        <stp>DAY_CNT_DES</stp>
        <stp>[TREASURY.xlsx]Sheet1!R625C17</stp>
        <tr r="Q625" s="1"/>
      </tp>
      <tp t="s">
        <v>ACT/ACT</v>
        <stp/>
        <stp>##V3_BDPV12</stp>
        <stp>912827X5 Govt</stp>
        <stp>DAY_CNT_DES</stp>
        <stp>[TREASURY.xlsx]Sheet1!R934C17</stp>
        <tr r="Q934" s="1"/>
      </tp>
      <tp t="s">
        <v>ACT/ACT</v>
        <stp/>
        <stp>##V3_BDPV12</stp>
        <stp>912828XU Govt</stp>
        <stp>DAY_CNT_DES</stp>
        <stp>[TREASURY.xlsx]Sheet1!R639C17</stp>
        <tr r="Q639" s="1"/>
      </tp>
      <tp t="s">
        <v>ACT/ACT</v>
        <stp/>
        <stp>##V3_BDPV12</stp>
        <stp>912827XS Govt</stp>
        <stp>DAY_CNT_DES</stp>
        <stp>[TREASURY.xlsx]Sheet1!R938C17</stp>
        <tr r="Q938" s="1"/>
      </tp>
      <tp t="s">
        <v>ACT/ACT</v>
        <stp/>
        <stp>##V3_BDPV12</stp>
        <stp>912827XP Govt</stp>
        <stp>DAY_CNT_DES</stp>
        <stp>[TREASURY.xlsx]Sheet1!R937C17</stp>
        <tr r="Q937" s="1"/>
      </tp>
      <tp t="s">
        <v>ACT/ACT</v>
        <stp/>
        <stp>##V3_BDPV12</stp>
        <stp>912827XX Govt</stp>
        <stp>DAY_CNT_DES</stp>
        <stp>[TREASURY.xlsx]Sheet1!R939C17</stp>
        <tr r="Q939" s="1"/>
      </tp>
      <tp t="s">
        <v>ACT/ACT</v>
        <stp/>
        <stp>##V3_BDPV12</stp>
        <stp>912827XJ Govt</stp>
        <stp>DAY_CNT_DES</stp>
        <stp>[TREASURY.xlsx]Sheet1!R936C17</stp>
        <tr r="Q936" s="1"/>
      </tp>
      <tp t="s">
        <v>ACT/ACT</v>
        <stp/>
        <stp>##V3_BDPV12</stp>
        <stp>912827XD Govt</stp>
        <stp>DAY_CNT_DES</stp>
        <stp>[TREASURY.xlsx]Sheet1!R935C17</stp>
        <tr r="Q935" s="1"/>
      </tp>
      <tp t="s">
        <v>ACT/ACT</v>
        <stp/>
        <stp>##V3_BDPV12</stp>
        <stp>912827YZ Govt</stp>
        <stp>DAY_CNT_DES</stp>
        <stp>[TREASURY.xlsx]Sheet1!R950C17</stp>
        <tr r="Q950" s="1"/>
      </tp>
      <tp t="s">
        <v>ACT/ACT</v>
        <stp/>
        <stp>##V3_BDPV12</stp>
        <stp>912828UV Govt</stp>
        <stp>DAY_CNT_DES</stp>
        <stp>[TREASURY.xlsx]Sheet1!R693C17</stp>
        <tr r="Q693" s="1"/>
      </tp>
      <tp t="s">
        <v>ACT/ACT</v>
        <stp/>
        <stp>##V3_BDPV12</stp>
        <stp>912827Y8 Govt</stp>
        <stp>DAY_CNT_DES</stp>
        <stp>[TREASURY.xlsx]Sheet1!R941C17</stp>
        <tr r="Q941" s="1"/>
      </tp>
      <tp t="s">
        <v>ACT/ACT</v>
        <stp/>
        <stp>##V3_BDPV12</stp>
        <stp>912827Y5 Govt</stp>
        <stp>DAY_CNT_DES</stp>
        <stp>[TREASURY.xlsx]Sheet1!R940C17</stp>
        <tr r="Q940" s="1"/>
      </tp>
      <tp t="s">
        <v>ACT/ACT</v>
        <stp/>
        <stp>##V3_BDPV12</stp>
        <stp>912827YS Govt</stp>
        <stp>DAY_CNT_DES</stp>
        <stp>[TREASURY.xlsx]Sheet1!R946C17</stp>
        <tr r="Q946" s="1"/>
      </tp>
      <tp t="s">
        <v>ACT/ACT</v>
        <stp/>
        <stp>##V3_BDPV12</stp>
        <stp>912827YX Govt</stp>
        <stp>DAY_CNT_DES</stp>
        <stp>[TREASURY.xlsx]Sheet1!R948C17</stp>
        <tr r="Q948" s="1"/>
      </tp>
      <tp t="s">
        <v>ACT/ACT</v>
        <stp/>
        <stp>##V3_BDPV12</stp>
        <stp>912827YY Govt</stp>
        <stp>DAY_CNT_DES</stp>
        <stp>[TREASURY.xlsx]Sheet1!R949C17</stp>
        <tr r="Q949" s="1"/>
      </tp>
      <tp t="s">
        <v>ACT/ACT</v>
        <stp/>
        <stp>##V3_BDPV12</stp>
        <stp>912827YV Govt</stp>
        <stp>DAY_CNT_DES</stp>
        <stp>[TREASURY.xlsx]Sheet1!R947C17</stp>
        <tr r="Q947" s="1"/>
      </tp>
      <tp t="s">
        <v>ACT/ACT</v>
        <stp/>
        <stp>##V3_BDPV12</stp>
        <stp>912827YM Govt</stp>
        <stp>DAY_CNT_DES</stp>
        <stp>[TREASURY.xlsx]Sheet1!R945C17</stp>
        <tr r="Q945" s="1"/>
      </tp>
      <tp t="s">
        <v>ACT/ACT</v>
        <stp/>
        <stp>##V3_BDPV12</stp>
        <stp>912827YE Govt</stp>
        <stp>DAY_CNT_DES</stp>
        <stp>[TREASURY.xlsx]Sheet1!R943C17</stp>
        <tr r="Q943" s="1"/>
      </tp>
      <tp t="s">
        <v>ACT/ACT</v>
        <stp/>
        <stp>##V3_BDPV12</stp>
        <stp>912827YA Govt</stp>
        <stp>DAY_CNT_DES</stp>
        <stp>[TREASURY.xlsx]Sheet1!R942C17</stp>
        <tr r="Q942" s="1"/>
      </tp>
      <tp t="s">
        <v>ACT/ACT</v>
        <stp/>
        <stp>##V3_BDPV12</stp>
        <stp>912827YG Govt</stp>
        <stp>DAY_CNT_DES</stp>
        <stp>[TREASURY.xlsx]Sheet1!R944C17</stp>
        <tr r="Q944" s="1"/>
      </tp>
      <tp t="s">
        <v>ACT/ACT</v>
        <stp/>
        <stp>##V3_BDPV12</stp>
        <stp>912828W3 Govt</stp>
        <stp>DAY_CNT_DES</stp>
        <stp>[TREASURY.xlsx]Sheet1!R681C17</stp>
        <tr r="Q681" s="1"/>
      </tp>
      <tp t="s">
        <v>ACT/ACT</v>
        <stp/>
        <stp>##V3_BDPV12</stp>
        <stp>912827Z2 Govt</stp>
        <stp>DAY_CNT_DES</stp>
        <stp>[TREASURY.xlsx]Sheet1!R951C17</stp>
        <tr r="Q951" s="1"/>
      </tp>
      <tp t="s">
        <v>ACT/ACT</v>
        <stp/>
        <stp>##V3_BDPV12</stp>
        <stp>912827ZX Govt</stp>
        <stp>DAY_CNT_DES</stp>
        <stp>[TREASURY.xlsx]Sheet1!R956C17</stp>
        <tr r="Q956" s="1"/>
      </tp>
      <tp t="s">
        <v>ACT/ACT</v>
        <stp/>
        <stp>##V3_BDPV12</stp>
        <stp>912828VZ Govt</stp>
        <stp>DAY_CNT_DES</stp>
        <stp>[TREASURY.xlsx]Sheet1!R695C17</stp>
        <tr r="Q695" s="1"/>
      </tp>
      <tp t="s">
        <v>ACT/ACT</v>
        <stp/>
        <stp>##V3_BDPV12</stp>
        <stp>912827ZS Govt</stp>
        <stp>DAY_CNT_DES</stp>
        <stp>[TREASURY.xlsx]Sheet1!R954C17</stp>
        <tr r="Q954" s="1"/>
      </tp>
      <tp t="s">
        <v>ACT/ACT</v>
        <stp/>
        <stp>##V3_BDPV12</stp>
        <stp>912827ZU Govt</stp>
        <stp>DAY_CNT_DES</stp>
        <stp>[TREASURY.xlsx]Sheet1!R955C17</stp>
        <tr r="Q955" s="1"/>
      </tp>
      <tp t="s">
        <v>ACT/ACT</v>
        <stp/>
        <stp>##V3_BDPV12</stp>
        <stp>912827ZP Govt</stp>
        <stp>DAY_CNT_DES</stp>
        <stp>[TREASURY.xlsx]Sheet1!R953C17</stp>
        <tr r="Q953" s="1"/>
      </tp>
      <tp t="s">
        <v>ACT/ACT</v>
        <stp/>
        <stp>##V3_BDPV12</stp>
        <stp>912827ZK Govt</stp>
        <stp>DAY_CNT_DES</stp>
        <stp>[TREASURY.xlsx]Sheet1!R952C17</stp>
        <tr r="Q952" s="1"/>
      </tp>
      <tp t="s">
        <v>ACT/ACT</v>
        <stp/>
        <stp>##V3_BDPV12</stp>
        <stp>912828WD Govt</stp>
        <stp>DAY_CNT_DES</stp>
        <stp>[TREASURY.xlsx]Sheet1!R682C17</stp>
        <tr r="Q682" s="1"/>
      </tp>
      <tp t="s">
        <v>ACT/ACT</v>
        <stp/>
        <stp>##V3_BDPV12</stp>
        <stp>912828WF Govt</stp>
        <stp>DAY_CNT_DES</stp>
        <stp>[TREASURY.xlsx]Sheet1!R680C17</stp>
        <tr r="Q680" s="1"/>
      </tp>
      <tp t="s">
        <v>ACT/ACT</v>
        <stp/>
        <stp>##V3_BDPV12</stp>
        <stp>912828VF Govt</stp>
        <stp>DAY_CNT_DES</stp>
        <stp>[TREASURY.xlsx]Sheet1!R694C17</stp>
        <tr r="Q694" s="1"/>
      </tp>
      <tp t="s">
        <v>ACT/ACT</v>
        <stp/>
        <stp>##V3_BDPV12</stp>
        <stp>912828BS Govt</stp>
        <stp>DAY_CNT_DES</stp>
        <stp>[TREASURY.xlsx]Sheet1!R628C17</stp>
        <tr r="Q628" s="1"/>
      </tp>
      <tp t="s">
        <v>ACT/ACT</v>
        <stp/>
        <stp>##V3_BDPV12</stp>
        <stp>912828CU Govt</stp>
        <stp>DAY_CNT_DES</stp>
        <stp>[TREASURY.xlsx]Sheet1!R636C17</stp>
        <tr r="Q636" s="1"/>
      </tp>
      <tp t="s">
        <v>ACT/ACT</v>
        <stp/>
        <stp>##V3_BDPV12</stp>
        <stp>912828GQ Govt</stp>
        <stp>DAY_CNT_DES</stp>
        <stp>[TREASURY.xlsx]Sheet1!R672C17</stp>
        <tr r="Q672" s="1"/>
      </tp>
      <tp t="s">
        <v>ACT/ACT</v>
        <stp/>
        <stp>##V3_BDPV12</stp>
        <stp>912828AV Govt</stp>
        <stp>DAY_CNT_DES</stp>
        <stp>[TREASURY.xlsx]Sheet1!R602C17</stp>
        <tr r="Q602" s="1"/>
      </tp>
      <tp t="s">
        <v>ACT/ACT</v>
        <stp/>
        <stp>##V3_BDPV12</stp>
        <stp>912828EN Govt</stp>
        <stp>DAY_CNT_DES</stp>
        <stp>[TREASURY.xlsx]Sheet1!R649C17</stp>
        <tr r="Q649" s="1"/>
      </tp>
      <tp t="s">
        <v>ACT/ACT</v>
        <stp/>
        <stp>##V3_BDPV12</stp>
        <stp>912828J6 Govt</stp>
        <stp>DAY_CNT_DES</stp>
        <stp>[TREASURY.xlsx]Sheet1!R686C17</stp>
        <tr r="Q686" s="1"/>
      </tp>
      <tp t="s">
        <v>ACT/ACT</v>
        <stp/>
        <stp>##V3_BDPV12</stp>
        <stp>912828AT Govt</stp>
        <stp>DAY_CNT_DES</stp>
        <stp>[TREASURY.xlsx]Sheet1!R635C17</stp>
        <tr r="Q635" s="1"/>
      </tp>
      <tp t="s">
        <v>ACT/ACT</v>
        <stp/>
        <stp>##V3_BDPV12</stp>
        <stp>912828A3 Govt</stp>
        <stp>DAY_CNT_DES</stp>
        <stp>[TREASURY.xlsx]Sheet1!R627C17</stp>
        <tr r="Q627" s="1"/>
      </tp>
      <tp t="s">
        <v>ACT/ACT</v>
        <stp/>
        <stp>##V3_BDPV12</stp>
        <stp>912828JY Govt</stp>
        <stp>DAY_CNT_DES</stp>
        <stp>[TREASURY.xlsx]Sheet1!R691C17</stp>
        <tr r="Q691" s="1"/>
      </tp>
      <tp t="s">
        <v>ACT/ACT</v>
        <stp/>
        <stp>##V3_BDPV12</stp>
        <stp>912828CW Govt</stp>
        <stp>DAY_CNT_DES</stp>
        <stp>[TREASURY.xlsx]Sheet1!R603C17</stp>
        <tr r="Q603" s="1"/>
      </tp>
      <tp t="s">
        <v>ACT/ACT</v>
        <stp/>
        <stp>##V3_BDPV12</stp>
        <stp>912828JJ Govt</stp>
        <stp>DAY_CNT_DES</stp>
        <stp>[TREASURY.xlsx]Sheet1!R690C17</stp>
        <tr r="Q690" s="1"/>
      </tp>
      <tp t="s">
        <v>ACT/ACT</v>
        <stp/>
        <stp>##V3_BDPV12</stp>
        <stp>912828FD Govt</stp>
        <stp>DAY_CNT_DES</stp>
        <stp>[TREASURY.xlsx]Sheet1!R650C17</stp>
        <tr r="Q650" s="1"/>
      </tp>
      <tp t="s">
        <v>ACT/ACT</v>
        <stp/>
        <stp>##V3_BDPV12</stp>
        <stp>912828AR Govt</stp>
        <stp>DAY_CNT_DES</stp>
        <stp>[TREASURY.xlsx]Sheet1!R658C17</stp>
        <tr r="Q658" s="1"/>
      </tp>
      <tp t="s">
        <v>ACT/ACT</v>
        <stp/>
        <stp>##V3_BDPV12</stp>
        <stp>912828AN Govt</stp>
        <stp>DAY_CNT_DES</stp>
        <stp>[TREASURY.xlsx]Sheet1!R657C17</stp>
        <tr r="Q657" s="1"/>
      </tp>
      <tp t="s">
        <v>ACT/ACT</v>
        <stp/>
        <stp>##V3_BDPV12</stp>
        <stp>912828A9 Govt</stp>
        <stp>DAY_CNT_DES</stp>
        <stp>[TREASURY.xlsx]Sheet1!R640C17</stp>
        <tr r="Q640" s="1"/>
      </tp>
      <tp t="s">
        <v>ACT/ACT</v>
        <stp/>
        <stp>##V3_BDPV12</stp>
        <stp>912828D2 Govt</stp>
        <stp>DAY_CNT_DES</stp>
        <stp>[TREASURY.xlsx]Sheet1!R619C17</stp>
        <tr r="Q619" s="1"/>
      </tp>
      <tp t="s">
        <v>ACT/ACT</v>
        <stp/>
        <stp>##V3_BDPV12</stp>
        <stp>912828D6 Govt</stp>
        <stp>DAY_CNT_DES</stp>
        <stp>[TREASURY.xlsx]Sheet1!R613C17</stp>
        <tr r="Q613" s="1"/>
      </tp>
      <tp t="s">
        <v>ACT/ACT</v>
        <stp/>
        <stp>##V3_BDPV12</stp>
        <stp>912828ER Govt</stp>
        <stp>DAY_CNT_DES</stp>
        <stp>[TREASURY.xlsx]Sheet1!R604C17</stp>
        <tr r="Q604" s="1"/>
      </tp>
      <tp t="s">
        <v>ACT/ACT</v>
        <stp/>
        <stp>##V3_BDPV12</stp>
        <stp>912828B5 Govt</stp>
        <stp>DAY_CNT_DES</stp>
        <stp>[TREASURY.xlsx]Sheet1!R647C17</stp>
        <tr r="Q647" s="1"/>
      </tp>
      <tp t="s">
        <v>ACT/ACT</v>
        <stp/>
        <stp>##V3_BDPV12</stp>
        <stp>912828BP Govt</stp>
        <stp>DAY_CNT_DES</stp>
        <stp>[TREASURY.xlsx]Sheet1!R648C17</stp>
        <tr r="Q648" s="1"/>
      </tp>
      <tp t="s">
        <v>ACT/ACT</v>
        <stp/>
        <stp>##V3_BDPV12</stp>
        <stp>912828DV Govt</stp>
        <stp>DAY_CNT_DES</stp>
        <stp>[TREASURY.xlsx]Sheet1!R620C17</stp>
        <tr r="Q620" s="1"/>
      </tp>
      <tp t="s">
        <v>ACT/ACT</v>
        <stp/>
        <stp>##V3_BDPV12</stp>
        <stp>912828GS Govt</stp>
        <stp>DAY_CNT_DES</stp>
        <stp>[TREASURY.xlsx]Sheet1!R615C17</stp>
        <tr r="Q615" s="1"/>
      </tp>
      <tp t="s">
        <v>ACT/ACT</v>
        <stp/>
        <stp>##V3_BDPV12</stp>
        <stp>912828CX Govt</stp>
        <stp>DAY_CNT_DES</stp>
        <stp>[TREASURY.xlsx]Sheet1!R659C17</stp>
        <tr r="Q659" s="1"/>
      </tp>
      <tp t="s">
        <v>ACT/ACT</v>
        <stp/>
        <stp>##V3_BDPV12</stp>
        <stp>912828BJ Govt</stp>
        <stp>DAY_CNT_DES</stp>
        <stp>[TREASURY.xlsx]Sheet1!R642C17</stp>
        <tr r="Q642" s="1"/>
      </tp>
      <tp t="s">
        <v>ACT/ACT</v>
        <stp/>
        <stp>##V3_BDPV12</stp>
        <stp>912828BC Govt</stp>
        <stp>DAY_CNT_DES</stp>
        <stp>[TREASURY.xlsx]Sheet1!R641C17</stp>
        <tr r="Q641" s="1"/>
      </tp>
      <tp t="s">
        <v>ACT/ACT</v>
        <stp/>
        <stp>##V3_BDPV12</stp>
        <stp>912828AW Govt</stp>
        <stp>DAY_CNT_DES</stp>
        <stp>[TREASURY.xlsx]Sheet1!R667C17</stp>
        <tr r="Q667" s="1"/>
      </tp>
      <tp t="s">
        <v>ACT/ACT</v>
        <stp/>
        <stp>##V3_BDPV12</stp>
        <stp>912828FU Govt</stp>
        <stp>DAY_CNT_DES</stp>
        <stp>[TREASURY.xlsx]Sheet1!R614C17</stp>
        <tr r="Q614" s="1"/>
      </tp>
      <tp t="s">
        <v>ACT/ACT</v>
        <stp/>
        <stp>##V3_BDPV12</stp>
        <stp>912828AL Govt</stp>
        <stp>DAY_CNT_DES</stp>
        <stp>[TREASURY.xlsx]Sheet1!R666C17</stp>
        <tr r="Q666" s="1"/>
      </tp>
      <tp t="s">
        <v>ACT/ACT</v>
        <stp/>
        <stp>##V3_BDPV12</stp>
        <stp>912828H7 Govt</stp>
        <stp>DAY_CNT_DES</stp>
        <stp>[TREASURY.xlsx]Sheet1!R605C17</stp>
        <tr r="Q605" s="1"/>
      </tp>
      <tp t="s">
        <v>ACT/ACT</v>
        <stp/>
        <stp>##V3_BDPV12</stp>
        <stp>912828L4 Govt</stp>
        <stp>DAY_CNT_DES</stp>
        <stp>[TREASURY.xlsx]Sheet1!R669C17</stp>
        <tr r="Q669" s="1"/>
      </tp>
      <tp t="s">
        <v>ACT/ACT</v>
        <stp/>
        <stp>##V3_BDPV12</stp>
        <stp>912828KV Govt</stp>
        <stp>DAY_CNT_DES</stp>
        <stp>[TREASURY.xlsx]Sheet1!R616C17</stp>
        <tr r="Q616" s="1"/>
      </tp>
      <tp t="s">
        <v>ACT/ACT</v>
        <stp/>
        <stp>##V3_BDPV12</stp>
        <stp>912828KW Govt</stp>
        <stp>DAY_CNT_DES</stp>
        <stp>[TREASURY.xlsx]Sheet1!R617C17</stp>
        <tr r="Q617" s="1"/>
      </tp>
      <tp t="s">
        <v>ACT/ACT</v>
        <stp/>
        <stp>##V3_BDPV12</stp>
        <stp>912828CN Govt</stp>
        <stp>DAY_CNT_DES</stp>
        <stp>[TREASURY.xlsx]Sheet1!R696C17</stp>
        <tr r="Q696" s="1"/>
      </tp>
      <tp t="s">
        <v>ACT/ACT</v>
        <stp/>
        <stp>##V3_BDPV12</stp>
        <stp>912828ND Govt</stp>
        <stp>DAY_CNT_DES</stp>
        <stp>[TREASURY.xlsx]Sheet1!R645C17</stp>
        <tr r="Q645" s="1"/>
      </tp>
      <tp t="s">
        <v>ACT/ACT</v>
        <stp/>
        <stp>##V3_BDPV12</stp>
        <stp>912828C2 Govt</stp>
        <stp>DAY_CNT_DES</stp>
        <stp>[TREASURY.xlsx]Sheet1!R688C17</stp>
        <tr r="Q688" s="1"/>
      </tp>
      <tp t="s">
        <v>ACT/ACT</v>
        <stp/>
        <stp>##V3_BDPV12</stp>
        <stp>912828N6 Govt</stp>
        <stp>DAY_CNT_DES</stp>
        <stp>[TREASURY.xlsx]Sheet1!R621C17</stp>
        <tr r="Q621" s="1"/>
      </tp>
      <tp t="s">
        <v>ACT/ACT</v>
        <stp/>
        <stp>##V3_BDPV12</stp>
        <stp>912828KR Govt</stp>
        <stp>DAY_CNT_DES</stp>
        <stp>[TREASURY.xlsx]Sheet1!R676C17</stp>
        <tr r="Q676" s="1"/>
      </tp>
      <tp t="s">
        <v>ACT/ACT</v>
        <stp/>
        <stp>##V3_BDPV12</stp>
        <stp>912828NH Govt</stp>
        <stp>DAY_CNT_DES</stp>
        <stp>[TREASURY.xlsx]Sheet1!R622C17</stp>
        <tr r="Q622" s="1"/>
      </tp>
      <tp t="s">
        <v>ACT/ACT</v>
        <stp/>
        <stp>##V3_BDPV12</stp>
        <stp>912828HV Govt</stp>
        <stp>DAY_CNT_DES</stp>
        <stp>[TREASURY.xlsx]Sheet1!R651C17</stp>
        <tr r="Q651" s="1"/>
      </tp>
      <tp t="s">
        <v>ACT/ACT</v>
        <stp/>
        <stp>##V3_BDPV12</stp>
        <stp>912828N5 Govt</stp>
        <stp>DAY_CNT_DES</stp>
        <stp>[TREASURY.xlsx]Sheet1!R600C17</stp>
        <tr r="Q600" s="1"/>
      </tp>
      <tp t="s">
        <v>ACT/ACT</v>
        <stp/>
        <stp>##V3_BDPV12</stp>
        <stp>912827N7 Govt</stp>
        <stp>DAY_CNT_DES</stp>
        <stp>[TREASURY.xlsx]Sheet1!R900C17</stp>
        <tr r="Q900" s="1"/>
      </tp>
      <tp t="s">
        <v>ACT/ACT</v>
        <stp/>
        <stp>##V3_BDPV12</stp>
        <stp>912828LW Govt</stp>
        <stp>DAY_CNT_DES</stp>
        <stp>[TREASURY.xlsx]Sheet1!R629C17</stp>
        <tr r="Q629" s="1"/>
      </tp>
      <tp t="s">
        <v>ACT/ACT</v>
        <stp/>
        <stp>##V3_BDPV12</stp>
        <stp>912828JW Govt</stp>
        <stp>DAY_CNT_DES</stp>
        <stp>[TREASURY.xlsx]Sheet1!R643C17</stp>
        <tr r="Q643" s="1"/>
      </tp>
      <tp t="s">
        <v>ACT/ACT</v>
        <stp/>
        <stp>##V3_BDPV12</stp>
        <stp>912827NL Govt</stp>
        <stp>DAY_CNT_DES</stp>
        <stp>[TREASURY.xlsx]Sheet1!R902C17</stp>
        <tr r="Q902" s="1"/>
      </tp>
      <tp t="s">
        <v>ACT/ACT</v>
        <stp/>
        <stp>##V3_BDPV12</stp>
        <stp>912827NK Govt</stp>
        <stp>DAY_CNT_DES</stp>
        <stp>[TREASURY.xlsx]Sheet1!R901C17</stp>
        <tr r="Q901" s="1"/>
      </tp>
      <tp t="s">
        <v>ACT/ACT</v>
        <stp/>
        <stp>##V3_BDPV12</stp>
        <stp>912828KY Govt</stp>
        <stp>DAY_CNT_DES</stp>
        <stp>[TREASURY.xlsx]Sheet1!R644C17</stp>
        <tr r="Q644" s="1"/>
      </tp>
      <tp t="s">
        <v>ACT/ACT</v>
        <stp/>
        <stp>##V3_BDPV12</stp>
        <stp>9128284Q Govt</stp>
        <stp>DAY_CNT_DES</stp>
        <stp>[TREASURY.xlsx]Sheet1!R675C17</stp>
        <tr r="Q675" s="1"/>
      </tp>
      <tp t="s">
        <v>ACT/ACT</v>
        <stp/>
        <stp>##V3_BDPV12</stp>
        <stp>9128282J Govt</stp>
        <stp>DAY_CNT_DES</stp>
        <stp>[TREASURY.xlsx]Sheet1!R611C17</stp>
        <tr r="Q611" s="1"/>
      </tp>
      <tp t="s">
        <v>ACT/ACT</v>
        <stp/>
        <stp>##V3_BDPV12</stp>
        <stp>912810RV Govt</stp>
        <stp>DAY_CNT_DES</stp>
        <stp>[TREASURY.xlsx]Sheet1!R28C17</stp>
        <tr r="Q28" s="1"/>
      </tp>
      <tp t="s">
        <v>ACT/ACT</v>
        <stp/>
        <stp>##V3_BDPV12</stp>
        <stp>91282CAV Govt</stp>
        <stp>DAY_CNT_DES</stp>
        <stp>[TREASURY.xlsx]Sheet1!R17C17</stp>
        <tr r="Q17" s="1"/>
      </tp>
      <tp t="s">
        <v>ACT/ACT</v>
        <stp/>
        <stp>##V3_BDPV12</stp>
        <stp>91282CBV Govt</stp>
        <stp>DAY_CNT_DES</stp>
        <stp>[TREASURY.xlsx]Sheet1!R89C17</stp>
        <tr r="Q89" s="1"/>
      </tp>
      <tp t="s">
        <v>ACT/ACT</v>
        <stp/>
        <stp>##V3_BDPV12</stp>
        <stp>9128284V Govt</stp>
        <stp>DAY_CNT_DES</stp>
        <stp>[TREASURY.xlsx]Sheet1!R23C17</stp>
        <tr r="Q23" s="1"/>
      </tp>
      <tp>
        <v>1.0878636480802513</v>
        <stp/>
        <stp>##V3_BDPV12</stp>
        <stp>912828X8 Govt</stp>
        <stp>YLD_YTM_BID</stp>
        <stp>[TREASURY.xlsx]Sheet1!R97C4</stp>
        <tr r="D97" s="1"/>
      </tp>
      <tp>
        <v>1.4223501209726575</v>
        <stp/>
        <stp>##V3_BDPV12</stp>
        <stp>912828Z9 Govt</stp>
        <stp>YLD_YTM_BID</stp>
        <stp>[TREASURY.xlsx]Sheet1!R25C4</stp>
        <tr r="D25" s="1"/>
      </tp>
      <tp>
        <v>0.375</v>
        <stp/>
        <stp>##V3_BDPV12</stp>
        <stp>91282CCX Govt</stp>
        <stp>CPN</stp>
        <stp>[TREASURY.xlsx]Sheet1!R5C3</stp>
        <tr r="C5" s="1"/>
      </tp>
      <tp>
        <v>1.625</v>
        <stp/>
        <stp>##V3_BDPV12</stp>
        <stp>912828T9 Govt</stp>
        <stp>CPN</stp>
        <stp>[TREASURY.xlsx]Sheet1!R215C3</stp>
        <tr r="C215" s="1"/>
      </tp>
      <tp>
        <v>1.75</v>
        <stp/>
        <stp>##V3_BDPV12</stp>
        <stp>912828J4 Govt</stp>
        <stp>CPN</stp>
        <stp>[TREASURY.xlsx]Sheet1!R308C3</stp>
        <tr r="C308" s="1"/>
      </tp>
      <tp>
        <v>6.5</v>
        <stp/>
        <stp>##V3_BDPV12</stp>
        <stp>912827T5 Govt</stp>
        <stp>CPN</stp>
        <stp>[TREASURY.xlsx]Sheet1!R919C3</stp>
        <tr r="C919" s="1"/>
      </tp>
      <tp>
        <v>0.375</v>
        <stp/>
        <stp>##V3_BDPV12</stp>
        <stp>912828B4 Govt</stp>
        <stp>CPN</stp>
        <stp>[TREASURY.xlsx]Sheet1!R458C3</stp>
        <tr r="C458" s="1"/>
      </tp>
      <tp>
        <v>2.375</v>
        <stp/>
        <stp>##V3_BDPV12</stp>
        <stp>912828A8 Govt</stp>
        <stp>CPN</stp>
        <stp>[TREASURY.xlsx]Sheet1!R434C3</stp>
        <tr r="C434" s="1"/>
      </tp>
      <tp>
        <v>1.25</v>
        <stp/>
        <stp>##V3_BDPV12</stp>
        <stp>912828H5 Govt</stp>
        <stp>CPN</stp>
        <stp>[TREASURY.xlsx]Sheet1!R419C3</stp>
        <tr r="C419" s="1"/>
      </tp>
      <tp>
        <v>0.75</v>
        <stp/>
        <stp>##V3_BDPV12</stp>
        <stp>912828Q9 Govt</stp>
        <stp>CPN</stp>
        <stp>[TREASURY.xlsx]Sheet1!R425C3</stp>
        <tr r="C425" s="1"/>
      </tp>
      <tp>
        <v>6.75</v>
        <stp/>
        <stp>##V3_BDPV12</stp>
        <stp>912827E5 Govt</stp>
        <stp>CPN</stp>
        <stp>[TREASURY.xlsx]Sheet1!R579C3</stp>
        <tr r="C579" s="1"/>
      </tp>
      <tp>
        <v>5.5</v>
        <stp/>
        <stp>##V3_BDPV12</stp>
        <stp>912827K4 Govt</stp>
        <stp>CPN</stp>
        <stp>[TREASURY.xlsx]Sheet1!R568C3</stp>
        <tr r="C568" s="1"/>
      </tp>
      <tp t="s">
        <v>#N/A N/A</v>
        <stp/>
        <stp>##V3_BDPV12</stp>
        <stp>912827M5 Govt</stp>
        <stp>YLD_YTM_BID</stp>
        <stp>[TREASURY.xlsx]Sheet1!R718C4</stp>
        <tr r="D718" s="1"/>
      </tp>
      <tp t="s">
        <v>#N/A N/A</v>
        <stp/>
        <stp>##V3_BDPV12</stp>
        <stp>912827L9 Govt</stp>
        <stp>YLD_YTM_BID</stp>
        <stp>[TREASURY.xlsx]Sheet1!R714C4</stp>
        <tr r="D714" s="1"/>
      </tp>
      <tp t="s">
        <v>#N/A N/A</v>
        <stp/>
        <stp>##V3_BDPV12</stp>
        <stp>912827X4 Govt</stp>
        <stp>YLD_YTM_BID</stp>
        <stp>[TREASURY.xlsx]Sheet1!R769C4</stp>
        <tr r="D769" s="1"/>
      </tp>
      <tp t="s">
        <v>#N/A N/A</v>
        <stp/>
        <stp>##V3_BDPV12</stp>
        <stp>912828D8 Govt</stp>
        <stp>YLD_YTM_BID</stp>
        <stp>[TREASURY.xlsx]Sheet1!R545C4</stp>
        <tr r="D545" s="1"/>
      </tp>
      <tp t="s">
        <v>#N/A N/A</v>
        <stp/>
        <stp>##V3_BDPV12</stp>
        <stp>912828K5 Govt</stp>
        <stp>YLD_YTM_BID</stp>
        <stp>[TREASURY.xlsx]Sheet1!R518C4</stp>
        <tr r="D518" s="1"/>
      </tp>
      <tp t="s">
        <v>#N/A N/A</v>
        <stp/>
        <stp>##V3_BDPV12</stp>
        <stp>912828Y4 Govt</stp>
        <stp>YLD_YTM_BID</stp>
        <stp>[TREASURY.xlsx]Sheet1!R589C4</stp>
        <tr r="D589" s="1"/>
      </tp>
      <tp t="s">
        <v>#N/A N/A</v>
        <stp/>
        <stp>##V3_BDPV12</stp>
        <stp>912828L4 Govt</stp>
        <stp>YLD_YTM_BID</stp>
        <stp>[TREASURY.xlsx]Sheet1!R669C4</stp>
        <tr r="D669" s="1"/>
      </tp>
      <tp t="s">
        <v>#N/A N/A</v>
        <stp/>
        <stp>##V3_BDPV12</stp>
        <stp>912827W4 Govt</stp>
        <stp>YLD_YTM_BID</stp>
        <stp>[TREASURY.xlsx]Sheet1!R929C4</stp>
        <tr r="D929" s="1"/>
      </tp>
      <tp t="s">
        <v>1/31/2022</v>
        <stp/>
        <stp>##V3_BDPV12</stp>
        <stp>91282CCP Govt</stp>
        <stp>FIRST_CPN_DT</stp>
        <stp>[TREASURY.xlsx]Sheet1!R19C9</stp>
        <tr r="I19" s="1"/>
      </tp>
      <tp>
        <v>0.68359619499325042</v>
        <stp/>
        <stp>##V3_BDPV12</stp>
        <stp>912828ZL Govt</stp>
        <stp>YLD_YTM_BID</stp>
        <stp>[TREASURY.xlsx]Sheet1!R66C4</stp>
        <tr r="D66" s="1"/>
      </tp>
      <tp t="s">
        <v>#N/A Field Not Applicable</v>
        <stp/>
        <stp>##V3_BDPV12</stp>
        <stp>912827E5 Govt</stp>
        <stp>IDX_RATIO</stp>
        <stp>[TREASURY.xlsx]Sheet1!R579C20</stp>
        <tr r="T579" s="1"/>
      </tp>
      <tp t="s">
        <v>#N/A Field Not Applicable</v>
        <stp/>
        <stp>##V3_BDPV12</stp>
        <stp>912827E7 Govt</stp>
        <stp>IDX_RATIO</stp>
        <stp>[TREASURY.xlsx]Sheet1!R590C20</stp>
        <tr r="T590" s="1"/>
      </tp>
      <tp t="s">
        <v>#N/A Field Not Applicable</v>
        <stp/>
        <stp>##V3_BDPV12</stp>
        <stp>912810EW Govt</stp>
        <stp>IDX_RATIO</stp>
        <stp>[TREASURY.xlsx]Sheet1!R277C20</stp>
        <tr r="T277" s="1"/>
      </tp>
      <tp t="s">
        <v>#N/A Field Not Applicable</v>
        <stp/>
        <stp>##V3_BDPV12</stp>
        <stp>912810EV Govt</stp>
        <stp>IDX_RATIO</stp>
        <stp>[TREASURY.xlsx]Sheet1!R326C20</stp>
        <tr r="T326" s="1"/>
      </tp>
      <tp t="s">
        <v>#N/A Field Not Applicable</v>
        <stp/>
        <stp>##V3_BDPV12</stp>
        <stp>912828ER Govt</stp>
        <stp>IDX_RATIO</stp>
        <stp>[TREASURY.xlsx]Sheet1!R604C20</stp>
        <tr r="T604" s="1"/>
      </tp>
      <tp t="s">
        <v>#N/A Field Not Applicable</v>
        <stp/>
        <stp>##V3_BDPV12</stp>
        <stp>912828EQ Govt</stp>
        <stp>IDX_RATIO</stp>
        <stp>[TREASURY.xlsx]Sheet1!R524C20</stp>
        <tr r="T524" s="1"/>
      </tp>
      <tp t="s">
        <v>#N/A Field Not Applicable</v>
        <stp/>
        <stp>##V3_BDPV12</stp>
        <stp>912810ET Govt</stp>
        <stp>IDX_RATIO</stp>
        <stp>[TREASURY.xlsx]Sheet1!R313C20</stp>
        <tr r="T313" s="1"/>
      </tp>
      <tp t="s">
        <v>#N/A Field Not Applicable</v>
        <stp/>
        <stp>##V3_BDPV12</stp>
        <stp>912828EU Govt</stp>
        <stp>IDX_RATIO</stp>
        <stp>[TREASURY.xlsx]Sheet1!R466C20</stp>
        <tr r="T466" s="1"/>
      </tp>
      <tp t="s">
        <v>#N/A Field Not Applicable</v>
        <stp/>
        <stp>##V3_BDPV12</stp>
        <stp>912810ES Govt</stp>
        <stp>IDX_RATIO</stp>
        <stp>[TREASURY.xlsx]Sheet1!R312C20</stp>
        <tr r="T312" s="1"/>
      </tp>
      <tp t="s">
        <v>#N/A Field Not Applicable</v>
        <stp/>
        <stp>##V3_BDPV12</stp>
        <stp>912810EP Govt</stp>
        <stp>IDX_RATIO</stp>
        <stp>[TREASURY.xlsx]Sheet1!R317C20</stp>
        <tr r="T317" s="1"/>
      </tp>
      <tp t="s">
        <v>#N/A Field Not Applicable</v>
        <stp/>
        <stp>##V3_BDPV12</stp>
        <stp>912810EQ Govt</stp>
        <stp>IDX_RATIO</stp>
        <stp>[TREASURY.xlsx]Sheet1!R298C20</stp>
        <tr r="T298" s="1"/>
      </tp>
      <tp t="s">
        <v>#N/A Field Not Applicable</v>
        <stp/>
        <stp>##V3_BDPV12</stp>
        <stp>912828EW Govt</stp>
        <stp>IDX_RATIO</stp>
        <stp>[TREASURY.xlsx]Sheet1!R842C20</stp>
        <tr r="T842" s="1"/>
      </tp>
      <tp t="s">
        <v>#N/A Field Not Applicable</v>
        <stp/>
        <stp>##V3_BDPV12</stp>
        <stp>912828EZ Govt</stp>
        <stp>IDX_RATIO</stp>
        <stp>[TREASURY.xlsx]Sheet1!R572C20</stp>
        <tr r="T572" s="1"/>
      </tp>
      <tp t="s">
        <v>#N/A Field Not Applicable</v>
        <stp/>
        <stp>##V3_BDPV12</stp>
        <stp>912828EV Govt</stp>
        <stp>IDX_RATIO</stp>
        <stp>[TREASURY.xlsx]Sheet1!R841C20</stp>
        <tr r="T841" s="1"/>
      </tp>
      <tp t="s">
        <v>#N/A Field Not Applicable</v>
        <stp/>
        <stp>##V3_BDPV12</stp>
        <stp>912828EP Govt</stp>
        <stp>IDX_RATIO</stp>
        <stp>[TREASURY.xlsx]Sheet1!R965C20</stp>
        <tr r="T965" s="1"/>
      </tp>
      <tp t="s">
        <v>#N/A Field Not Applicable</v>
        <stp/>
        <stp>##V3_BDPV12</stp>
        <stp>912810EZ Govt</stp>
        <stp>IDX_RATIO</stp>
        <stp>[TREASURY.xlsx]Sheet1!R323C20</stp>
        <tr r="T323" s="1"/>
      </tp>
      <tp t="s">
        <v>#N/A Field Not Applicable</v>
        <stp/>
        <stp>##V3_BDPV12</stp>
        <stp>912810EX Govt</stp>
        <stp>IDX_RATIO</stp>
        <stp>[TREASURY.xlsx]Sheet1!R324C20</stp>
        <tr r="T324" s="1"/>
      </tp>
      <tp t="s">
        <v>#N/A Field Not Applicable</v>
        <stp/>
        <stp>##V3_BDPV12</stp>
        <stp>912828EX Govt</stp>
        <stp>IDX_RATIO</stp>
        <stp>[TREASURY.xlsx]Sheet1!R397C20</stp>
        <tr r="T397" s="1"/>
      </tp>
      <tp t="s">
        <v>#N/A Field Not Applicable</v>
        <stp/>
        <stp>##V3_BDPV12</stp>
        <stp>912810EY Govt</stp>
        <stp>IDX_RATIO</stp>
        <stp>[TREASURY.xlsx]Sheet1!R328C20</stp>
        <tr r="T328" s="1"/>
      </tp>
      <tp t="s">
        <v>ACT/ACT</v>
        <stp/>
        <stp>##V3_BDPV12</stp>
        <stp>912810RK Govt</stp>
        <stp>DAY_CNT_DES</stp>
        <stp>[TREASURY.xlsx]Sheet1!R103C17</stp>
        <tr r="Q103" s="1"/>
      </tp>
      <tp t="s">
        <v>ACT/ACT</v>
        <stp/>
        <stp>##V3_BDPV12</stp>
        <stp>912810SR Govt</stp>
        <stp>DAY_CNT_DES</stp>
        <stp>[TREASURY.xlsx]Sheet1!R100C17</stp>
        <tr r="Q100" s="1"/>
      </tp>
      <tp t="s">
        <v>ACT/ACT</v>
        <stp/>
        <stp>##V3_BDPV12</stp>
        <stp>912810RS Govt</stp>
        <stp>DAY_CNT_DES</stp>
        <stp>[TREASURY.xlsx]Sheet1!R163C17</stp>
        <tr r="Q163" s="1"/>
      </tp>
      <tp t="s">
        <v>ACT/ACT</v>
        <stp/>
        <stp>##V3_BDPV12</stp>
        <stp>912810SF Govt</stp>
        <stp>DAY_CNT_DES</stp>
        <stp>[TREASURY.xlsx]Sheet1!R177C17</stp>
        <tr r="Q177" s="1"/>
      </tp>
      <tp t="s">
        <v>ACT/ACT</v>
        <stp/>
        <stp>##V3_BDPV12</stp>
        <stp>912810RQ Govt</stp>
        <stp>DAY_CNT_DES</stp>
        <stp>[TREASURY.xlsx]Sheet1!R172C17</stp>
        <tr r="Q172" s="1"/>
      </tp>
      <tp t="s">
        <v>ACT/ACT</v>
        <stp/>
        <stp>##V3_BDPV12</stp>
        <stp>912810RM Govt</stp>
        <stp>DAY_CNT_DES</stp>
        <stp>[TREASURY.xlsx]Sheet1!R176C17</stp>
        <tr r="Q176" s="1"/>
      </tp>
      <tp t="s">
        <v>ACT/ACT</v>
        <stp/>
        <stp>##V3_BDPV12</stp>
        <stp>912810SH Govt</stp>
        <stp>DAY_CNT_DES</stp>
        <stp>[TREASURY.xlsx]Sheet1!R156C17</stp>
        <tr r="Q156" s="1"/>
      </tp>
      <tp t="s">
        <v>ACT/ACT</v>
        <stp/>
        <stp>##V3_BDPV12</stp>
        <stp>912810SE Govt</stp>
        <stp>DAY_CNT_DES</stp>
        <stp>[TREASURY.xlsx]Sheet1!R152C17</stp>
        <tr r="Q152" s="1"/>
      </tp>
      <tp t="s">
        <v>ACT/ACT</v>
        <stp/>
        <stp>##V3_BDPV12</stp>
        <stp>912810RU Govt</stp>
        <stp>DAY_CNT_DES</stp>
        <stp>[TREASURY.xlsx]Sheet1!R154C17</stp>
        <tr r="Q154" s="1"/>
      </tp>
      <tp t="s">
        <v>ACT/ACT</v>
        <stp/>
        <stp>##V3_BDPV12</stp>
        <stp>912810SA Govt</stp>
        <stp>DAY_CNT_DES</stp>
        <stp>[TREASURY.xlsx]Sheet1!R146C17</stp>
        <tr r="Q146" s="1"/>
      </tp>
      <tp t="s">
        <v>ACT/ACT</v>
        <stp/>
        <stp>##V3_BDPV12</stp>
        <stp>912810RJ Govt</stp>
        <stp>DAY_CNT_DES</stp>
        <stp>[TREASURY.xlsx]Sheet1!R180C17</stp>
        <tr r="Q180" s="1"/>
      </tp>
      <tp t="s">
        <v>ACT/ACT</v>
        <stp/>
        <stp>##V3_BDPV12</stp>
        <stp>912810RX Govt</stp>
        <stp>DAY_CNT_DES</stp>
        <stp>[TREASURY.xlsx]Sheet1!R197C17</stp>
        <tr r="Q197" s="1"/>
      </tp>
      <tp t="s">
        <v>ACT/ACT</v>
        <stp/>
        <stp>##V3_BDPV12</stp>
        <stp>912810RY Govt</stp>
        <stp>DAY_CNT_DES</stp>
        <stp>[TREASURY.xlsx]Sheet1!R191C17</stp>
        <tr r="Q191" s="1"/>
      </tp>
      <tp t="s">
        <v>ACT/ACT</v>
        <stp/>
        <stp>##V3_BDPV12</stp>
        <stp>912810SD Govt</stp>
        <stp>DAY_CNT_DES</stp>
        <stp>[TREASURY.xlsx]Sheet1!R181C17</stp>
        <tr r="Q181" s="1"/>
      </tp>
      <tp t="s">
        <v>ACT/ACT</v>
        <stp/>
        <stp>##V3_BDPV12</stp>
        <stp>912810FM Govt</stp>
        <stp>DAY_CNT_DES</stp>
        <stp>[TREASURY.xlsx]Sheet1!R188C17</stp>
        <tr r="Q188" s="1"/>
      </tp>
      <tp t="s">
        <v>#N/A Field Not Applicable</v>
        <stp/>
        <stp>##V3_BDPV12</stp>
        <stp>912810EC Govt</stp>
        <stp>IDX_RATIO</stp>
        <stp>[TREASURY.xlsx]Sheet1!R612C20</stp>
        <tr r="T612" s="1"/>
      </tp>
      <tp t="s">
        <v>#N/A Field Not Applicable</v>
        <stp/>
        <stp>##V3_BDPV12</stp>
        <stp>912828EC Govt</stp>
        <stp>IDX_RATIO</stp>
        <stp>[TREASURY.xlsx]Sheet1!R794C20</stp>
        <tr r="T794" s="1"/>
      </tp>
      <tp t="s">
        <v>ACT/ACT</v>
        <stp/>
        <stp>##V3_BDPV12</stp>
        <stp>912810QZ Govt</stp>
        <stp>DAY_CNT_DES</stp>
        <stp>[TREASURY.xlsx]Sheet1!R310C17</stp>
        <tr r="Q310" s="1"/>
      </tp>
      <tp t="s">
        <v>ACT/ACT</v>
        <stp/>
        <stp>##V3_BDPV12</stp>
        <stp>912810QQ Govt</stp>
        <stp>DAY_CNT_DES</stp>
        <stp>[TREASURY.xlsx]Sheet1!R315C17</stp>
        <tr r="Q315" s="1"/>
      </tp>
      <tp t="s">
        <v>ACT/ACT</v>
        <stp/>
        <stp>##V3_BDPV12</stp>
        <stp>912810QH Govt</stp>
        <stp>DAY_CNT_DES</stp>
        <stp>[TREASURY.xlsx]Sheet1!R316C17</stp>
        <tr r="Q316" s="1"/>
      </tp>
      <tp t="s">
        <v>ACT/ACT</v>
        <stp/>
        <stp>##V3_BDPV12</stp>
        <stp>912810QC Govt</stp>
        <stp>DAY_CNT_DES</stp>
        <stp>[TREASURY.xlsx]Sheet1!R318C17</stp>
        <tr r="Q318" s="1"/>
      </tp>
      <tp t="s">
        <v>ACT/ACT</v>
        <stp/>
        <stp>##V3_BDPV12</stp>
        <stp>912810QD Govt</stp>
        <stp>DAY_CNT_DES</stp>
        <stp>[TREASURY.xlsx]Sheet1!R311C17</stp>
        <tr r="Q311" s="1"/>
      </tp>
      <tp t="s">
        <v>ACT/ACT</v>
        <stp/>
        <stp>##V3_BDPV12</stp>
        <stp>912810QS Govt</stp>
        <stp>DAY_CNT_DES</stp>
        <stp>[TREASURY.xlsx]Sheet1!R303C17</stp>
        <tr r="Q303" s="1"/>
      </tp>
      <tp t="s">
        <v>ACT/ACT</v>
        <stp/>
        <stp>##V3_BDPV12</stp>
        <stp>912810QE Govt</stp>
        <stp>DAY_CNT_DES</stp>
        <stp>[TREASURY.xlsx]Sheet1!R302C17</stp>
        <tr r="Q302" s="1"/>
      </tp>
      <tp t="s">
        <v>ACT/ACT</v>
        <stp/>
        <stp>##V3_BDPV12</stp>
        <stp>912810QL Govt</stp>
        <stp>DAY_CNT_DES</stp>
        <stp>[TREASURY.xlsx]Sheet1!R321C17</stp>
        <tr r="Q321" s="1"/>
      </tp>
      <tp t="s">
        <v>ACT/ACT</v>
        <stp/>
        <stp>##V3_BDPV12</stp>
        <stp>912810EK Govt</stp>
        <stp>DAY_CNT_DES</stp>
        <stp>[TREASURY.xlsx]Sheet1!R357C17</stp>
        <tr r="Q357" s="1"/>
      </tp>
      <tp t="s">
        <v>ACT/ACT</v>
        <stp/>
        <stp>##V3_BDPV12</stp>
        <stp>912810EP Govt</stp>
        <stp>DAY_CNT_DES</stp>
        <stp>[TREASURY.xlsx]Sheet1!R317C17</stp>
        <tr r="Q317" s="1"/>
      </tp>
      <tp t="s">
        <v>ACT/ACT</v>
        <stp/>
        <stp>##V3_BDPV12</stp>
        <stp>912810ET Govt</stp>
        <stp>DAY_CNT_DES</stp>
        <stp>[TREASURY.xlsx]Sheet1!R313C17</stp>
        <tr r="Q313" s="1"/>
      </tp>
      <tp t="s">
        <v>ACT/ACT</v>
        <stp/>
        <stp>##V3_BDPV12</stp>
        <stp>912810ES Govt</stp>
        <stp>DAY_CNT_DES</stp>
        <stp>[TREASURY.xlsx]Sheet1!R312C17</stp>
        <tr r="Q312" s="1"/>
      </tp>
      <tp t="s">
        <v>ACT/ACT</v>
        <stp/>
        <stp>##V3_BDPV12</stp>
        <stp>912810EN Govt</stp>
        <stp>DAY_CNT_DES</stp>
        <stp>[TREASURY.xlsx]Sheet1!R319C17</stp>
        <tr r="Q319" s="1"/>
      </tp>
      <tp t="s">
        <v>ACT/ACT</v>
        <stp/>
        <stp>##V3_BDPV12</stp>
        <stp>912810FB Govt</stp>
        <stp>DAY_CNT_DES</stp>
        <stp>[TREASURY.xlsx]Sheet1!R320C17</stp>
        <tr r="Q320" s="1"/>
      </tp>
      <tp t="s">
        <v>ACT/ACT</v>
        <stp/>
        <stp>##V3_BDPV12</stp>
        <stp>912810EM Govt</stp>
        <stp>DAY_CNT_DES</stp>
        <stp>[TREASURY.xlsx]Sheet1!R304C17</stp>
        <tr r="Q304" s="1"/>
      </tp>
      <tp t="s">
        <v>ACT/ACT</v>
        <stp/>
        <stp>##V3_BDPV12</stp>
        <stp>912810EX Govt</stp>
        <stp>DAY_CNT_DES</stp>
        <stp>[TREASURY.xlsx]Sheet1!R324C17</stp>
        <tr r="Q324" s="1"/>
      </tp>
      <tp t="s">
        <v>ACT/ACT</v>
        <stp/>
        <stp>##V3_BDPV12</stp>
        <stp>912810EZ Govt</stp>
        <stp>DAY_CNT_DES</stp>
        <stp>[TREASURY.xlsx]Sheet1!R323C17</stp>
        <tr r="Q323" s="1"/>
      </tp>
      <tp t="s">
        <v>ACT/ACT</v>
        <stp/>
        <stp>##V3_BDPV12</stp>
        <stp>912810EV Govt</stp>
        <stp>DAY_CNT_DES</stp>
        <stp>[TREASURY.xlsx]Sheet1!R326C17</stp>
        <tr r="Q326" s="1"/>
      </tp>
      <tp t="s">
        <v>ACT/ACT</v>
        <stp/>
        <stp>##V3_BDPV12</stp>
        <stp>912810EY Govt</stp>
        <stp>DAY_CNT_DES</stp>
        <stp>[TREASURY.xlsx]Sheet1!R328C17</stp>
        <tr r="Q328" s="1"/>
      </tp>
      <tp t="s">
        <v>ACT/ACT</v>
        <stp/>
        <stp>##V3_BDPV12</stp>
        <stp>912810FA Govt</stp>
        <stp>DAY_CNT_DES</stp>
        <stp>[TREASURY.xlsx]Sheet1!R314C17</stp>
        <tr r="Q314" s="1"/>
      </tp>
      <tp t="s">
        <v>ACT/ACT</v>
        <stp/>
        <stp>##V3_BDPV12</stp>
        <stp>912810DJ Govt</stp>
        <stp>DAY_CNT_DES</stp>
        <stp>[TREASURY.xlsx]Sheet1!R399C17</stp>
        <tr r="Q399" s="1"/>
      </tp>
      <tp t="s">
        <v>ACT/ACT</v>
        <stp/>
        <stp>##V3_BDPV12</stp>
        <stp>912810RD Govt</stp>
        <stp>DAY_CNT_DES</stp>
        <stp>[TREASURY.xlsx]Sheet1!R235C17</stp>
        <tr r="Q235" s="1"/>
      </tp>
      <tp t="s">
        <v>ACT/ACT</v>
        <stp/>
        <stp>##V3_BDPV12</stp>
        <stp>912810PT Govt</stp>
        <stp>DAY_CNT_DES</stp>
        <stp>[TREASURY.xlsx]Sheet1!R226C17</stp>
        <tr r="Q226" s="1"/>
      </tp>
      <tp t="s">
        <v>ACT/ACT</v>
        <stp/>
        <stp>##V3_BDPV12</stp>
        <stp>912810QT Govt</stp>
        <stp>DAY_CNT_DES</stp>
        <stp>[TREASURY.xlsx]Sheet1!R237C17</stp>
        <tr r="Q237" s="1"/>
      </tp>
      <tp t="s">
        <v>ACT/ACT</v>
        <stp/>
        <stp>##V3_BDPV12</stp>
        <stp>912810QK Govt</stp>
        <stp>DAY_CNT_DES</stp>
        <stp>[TREASURY.xlsx]Sheet1!R238C17</stp>
        <tr r="Q238" s="1"/>
      </tp>
      <tp t="s">
        <v>ACT/ACT</v>
        <stp/>
        <stp>##V3_BDPV12</stp>
        <stp>912810RB Govt</stp>
        <stp>DAY_CNT_DES</stp>
        <stp>[TREASURY.xlsx]Sheet1!R269C17</stp>
        <tr r="Q269" s="1"/>
      </tp>
      <tp t="s">
        <v>ACT/ACT</v>
        <stp/>
        <stp>##V3_BDPV12</stp>
        <stp>912810RC Govt</stp>
        <stp>DAY_CNT_DES</stp>
        <stp>[TREASURY.xlsx]Sheet1!R263C17</stp>
        <tr r="Q263" s="1"/>
      </tp>
      <tp t="s">
        <v>ACT/ACT</v>
        <stp/>
        <stp>##V3_BDPV12</stp>
        <stp>912810RP Govt</stp>
        <stp>DAY_CNT_DES</stp>
        <stp>[TREASURY.xlsx]Sheet1!R278C17</stp>
        <tr r="Q278" s="1"/>
      </tp>
      <tp t="s">
        <v>ACT/ACT</v>
        <stp/>
        <stp>##V3_BDPV12</stp>
        <stp>912810RZ Govt</stp>
        <stp>DAY_CNT_DES</stp>
        <stp>[TREASURY.xlsx]Sheet1!R273C17</stp>
        <tr r="Q273" s="1"/>
      </tp>
      <tp t="s">
        <v>ACT/ACT</v>
        <stp/>
        <stp>##V3_BDPV12</stp>
        <stp>912810QX Govt</stp>
        <stp>DAY_CNT_DES</stp>
        <stp>[TREASURY.xlsx]Sheet1!R275C17</stp>
        <tr r="Q275" s="1"/>
      </tp>
      <tp t="s">
        <v>ACT/ACT</v>
        <stp/>
        <stp>##V3_BDPV12</stp>
        <stp>912810QY Govt</stp>
        <stp>DAY_CNT_DES</stp>
        <stp>[TREASURY.xlsx]Sheet1!R270C17</stp>
        <tr r="Q270" s="1"/>
      </tp>
      <tp t="s">
        <v>ACT/ACT</v>
        <stp/>
        <stp>##V3_BDPV12</stp>
        <stp>912810QB Govt</stp>
        <stp>DAY_CNT_DES</stp>
        <stp>[TREASURY.xlsx]Sheet1!R274C17</stp>
        <tr r="Q274" s="1"/>
      </tp>
      <tp t="s">
        <v>ACT/ACT</v>
        <stp/>
        <stp>##V3_BDPV12</stp>
        <stp>912810SC Govt</stp>
        <stp>DAY_CNT_DES</stp>
        <stp>[TREASURY.xlsx]Sheet1!R243C17</stp>
        <tr r="Q243" s="1"/>
      </tp>
      <tp t="s">
        <v>ACT/ACT</v>
        <stp/>
        <stp>##V3_BDPV12</stp>
        <stp>912810RH Govt</stp>
        <stp>DAY_CNT_DES</stp>
        <stp>[TREASURY.xlsx]Sheet1!R259C17</stp>
        <tr r="Q259" s="1"/>
      </tp>
      <tp t="s">
        <v>ACT/ACT</v>
        <stp/>
        <stp>##V3_BDPV12</stp>
        <stp>912810PW Govt</stp>
        <stp>DAY_CNT_DES</stp>
        <stp>[TREASURY.xlsx]Sheet1!R289C17</stp>
        <tr r="Q289" s="1"/>
      </tp>
      <tp t="s">
        <v>ACT/ACT</v>
        <stp/>
        <stp>##V3_BDPV12</stp>
        <stp>912810PX Govt</stp>
        <stp>DAY_CNT_DES</stp>
        <stp>[TREASURY.xlsx]Sheet1!R282C17</stp>
        <tr r="Q282" s="1"/>
      </tp>
      <tp t="s">
        <v>ACT/ACT</v>
        <stp/>
        <stp>##V3_BDPV12</stp>
        <stp>912810QN Govt</stp>
        <stp>DAY_CNT_DES</stp>
        <stp>[TREASURY.xlsx]Sheet1!R291C17</stp>
        <tr r="Q291" s="1"/>
      </tp>
      <tp t="s">
        <v>ACT/ACT</v>
        <stp/>
        <stp>##V3_BDPV12</stp>
        <stp>912810QW Govt</stp>
        <stp>DAY_CNT_DES</stp>
        <stp>[TREASURY.xlsx]Sheet1!R286C17</stp>
        <tr r="Q286" s="1"/>
      </tp>
      <tp t="s">
        <v>ACT/ACT</v>
        <stp/>
        <stp>##V3_BDPV12</stp>
        <stp>912810QU Govt</stp>
        <stp>DAY_CNT_DES</stp>
        <stp>[TREASURY.xlsx]Sheet1!R287C17</stp>
        <tr r="Q287" s="1"/>
      </tp>
      <tp t="s">
        <v>ACT/ACT</v>
        <stp/>
        <stp>##V3_BDPV12</stp>
        <stp>912810QA Govt</stp>
        <stp>DAY_CNT_DES</stp>
        <stp>[TREASURY.xlsx]Sheet1!R280C17</stp>
        <tr r="Q280" s="1"/>
      </tp>
      <tp t="s">
        <v>ACT/ACT</v>
        <stp/>
        <stp>##V3_BDPV12</stp>
        <stp>912810RG Govt</stp>
        <stp>DAY_CNT_DES</stp>
        <stp>[TREASURY.xlsx]Sheet1!R284C17</stp>
        <tr r="Q284" s="1"/>
      </tp>
      <tp t="s">
        <v>ACT/ACT</v>
        <stp/>
        <stp>##V3_BDPV12</stp>
        <stp>912810RN Govt</stp>
        <stp>DAY_CNT_DES</stp>
        <stp>[TREASURY.xlsx]Sheet1!R293C17</stp>
        <tr r="Q293" s="1"/>
      </tp>
      <tp t="s">
        <v>ACT/ACT</v>
        <stp/>
        <stp>##V3_BDPV12</stp>
        <stp>912810RE Govt</stp>
        <stp>DAY_CNT_DES</stp>
        <stp>[TREASURY.xlsx]Sheet1!R295C17</stp>
        <tr r="Q295" s="1"/>
      </tp>
      <tp t="s">
        <v>ACT/ACT</v>
        <stp/>
        <stp>##V3_BDPV12</stp>
        <stp>912810FJ Govt</stp>
        <stp>DAY_CNT_DES</stp>
        <stp>[TREASURY.xlsx]Sheet1!R267C17</stp>
        <tr r="Q267" s="1"/>
      </tp>
      <tp t="s">
        <v>ACT/ACT</v>
        <stp/>
        <stp>##V3_BDPV12</stp>
        <stp>912810EW Govt</stp>
        <stp>DAY_CNT_DES</stp>
        <stp>[TREASURY.xlsx]Sheet1!R277C17</stp>
        <tr r="Q277" s="1"/>
      </tp>
      <tp t="s">
        <v>ACT/ACT</v>
        <stp/>
        <stp>##V3_BDPV12</stp>
        <stp>912810FE Govt</stp>
        <stp>DAY_CNT_DES</stp>
        <stp>[TREASURY.xlsx]Sheet1!R253C17</stp>
        <tr r="Q253" s="1"/>
      </tp>
      <tp t="s">
        <v>ACT/ACT</v>
        <stp/>
        <stp>##V3_BDPV12</stp>
        <stp>912810EL Govt</stp>
        <stp>DAY_CNT_DES</stp>
        <stp>[TREASURY.xlsx]Sheet1!R211C17</stp>
        <tr r="Q211" s="1"/>
      </tp>
      <tp t="s">
        <v>ACT/ACT</v>
        <stp/>
        <stp>##V3_BDPV12</stp>
        <stp>912810FG Govt</stp>
        <stp>DAY_CNT_DES</stp>
        <stp>[TREASURY.xlsx]Sheet1!R223C17</stp>
        <tr r="Q223" s="1"/>
      </tp>
      <tp t="s">
        <v>ACT/ACT</v>
        <stp/>
        <stp>##V3_BDPV12</stp>
        <stp>912810EQ Govt</stp>
        <stp>DAY_CNT_DES</stp>
        <stp>[TREASURY.xlsx]Sheet1!R298C17</stp>
        <tr r="Q298" s="1"/>
      </tp>
      <tp t="s">
        <v>ACT/ACT</v>
        <stp/>
        <stp>##V3_BDPV12</stp>
        <stp>912810FF Govt</stp>
        <stp>DAY_CNT_DES</stp>
        <stp>[TREASURY.xlsx]Sheet1!R292C17</stp>
        <tr r="Q292" s="1"/>
      </tp>
      <tp t="s">
        <v>ACT/ACT</v>
        <stp/>
        <stp>##V3_BDPV12</stp>
        <stp>912810CC Govt</stp>
        <stp>DAY_CNT_DES</stp>
        <stp>[TREASURY.xlsx]Sheet1!R526C17</stp>
        <tr r="Q526" s="1"/>
      </tp>
      <tp t="s">
        <v>ACT/ACT</v>
        <stp/>
        <stp>##V3_BDPV12</stp>
        <stp>912810CT Govt</stp>
        <stp>DAY_CNT_DES</stp>
        <stp>[TREASURY.xlsx]Sheet1!R501C17</stp>
        <tr r="Q501" s="1"/>
      </tp>
      <tp t="s">
        <v>ACT/ACT</v>
        <stp/>
        <stp>##V3_BDPV12</stp>
        <stp>912810EE Govt</stp>
        <stp>DAY_CNT_DES</stp>
        <stp>[TREASURY.xlsx]Sheet1!R503C17</stp>
        <tr r="Q503" s="1"/>
      </tp>
      <tp t="s">
        <v>ACT/ACT</v>
        <stp/>
        <stp>##V3_BDPV12</stp>
        <stp>912810DV Govt</stp>
        <stp>DAY_CNT_DES</stp>
        <stp>[TREASURY.xlsx]Sheet1!R527C17</stp>
        <tr r="Q527" s="1"/>
      </tp>
      <tp t="s">
        <v>ACT/ACT</v>
        <stp/>
        <stp>##V3_BDPV12</stp>
        <stp>912810DA Govt</stp>
        <stp>DAY_CNT_DES</stp>
        <stp>[TREASURY.xlsx]Sheet1!R529C17</stp>
        <tr r="Q529" s="1"/>
      </tp>
      <tp t="s">
        <v>ACT/ACT</v>
        <stp/>
        <stp>##V3_BDPV12</stp>
        <stp>912810EJ Govt</stp>
        <stp>DAY_CNT_DES</stp>
        <stp>[TREASURY.xlsx]Sheet1!R521C17</stp>
        <tr r="Q521" s="1"/>
      </tp>
      <tp t="s">
        <v>ACT/ACT</v>
        <stp/>
        <stp>##V3_BDPV12</stp>
        <stp>912810DS Govt</stp>
        <stp>DAY_CNT_DES</stp>
        <stp>[TREASURY.xlsx]Sheet1!R454C17</stp>
        <tr r="Q454" s="1"/>
      </tp>
      <tp t="s">
        <v>ACT/ACT</v>
        <stp/>
        <stp>##V3_BDPV12</stp>
        <stp>912810CY Govt</stp>
        <stp>DAY_CNT_DES</stp>
        <stp>[TREASURY.xlsx]Sheet1!R414C17</stp>
        <tr r="Q414" s="1"/>
      </tp>
      <tp t="s">
        <v>ACT/ACT</v>
        <stp/>
        <stp>##V3_BDPV12</stp>
        <stp>912810DX Govt</stp>
        <stp>DAY_CNT_DES</stp>
        <stp>[TREASURY.xlsx]Sheet1!R461C17</stp>
        <tr r="Q461" s="1"/>
      </tp>
      <tp t="s">
        <v>ACT/ACT</v>
        <stp/>
        <stp>##V3_BDPV12</stp>
        <stp>912810CP Govt</stp>
        <stp>DAY_CNT_DES</stp>
        <stp>[TREASURY.xlsx]Sheet1!R405C17</stp>
        <tr r="Q405" s="1"/>
      </tp>
      <tp t="s">
        <v>ACT/ACT</v>
        <stp/>
        <stp>##V3_BDPV12</stp>
        <stp>912810EH Govt</stp>
        <stp>DAY_CNT_DES</stp>
        <stp>[TREASURY.xlsx]Sheet1!R400C17</stp>
        <tr r="Q400" s="1"/>
      </tp>
      <tp t="s">
        <v>ACT/ACT</v>
        <stp/>
        <stp>##V3_BDPV12</stp>
        <stp>912810DU Govt</stp>
        <stp>DAY_CNT_DES</stp>
        <stp>[TREASURY.xlsx]Sheet1!R432C17</stp>
        <tr r="Q432" s="1"/>
      </tp>
      <tp t="s">
        <v>#N/A Field Not Applicable</v>
        <stp/>
        <stp>##V3_BDPV12</stp>
        <stp>912810EE Govt</stp>
        <stp>IDX_RATIO</stp>
        <stp>[TREASURY.xlsx]Sheet1!R503C20</stp>
        <tr r="T503" s="1"/>
      </tp>
      <tp t="s">
        <v>#N/A Field Not Applicable</v>
        <stp/>
        <stp>##V3_BDPV12</stp>
        <stp>912810EF Govt</stp>
        <stp>IDX_RATIO</stp>
        <stp>[TREASURY.xlsx]Sheet1!R606C20</stp>
        <tr r="T606" s="1"/>
      </tp>
      <tp t="s">
        <v>ACT/ACT</v>
        <stp/>
        <stp>##V3_BDPV12</stp>
        <stp>912810ED Govt</stp>
        <stp>DAY_CNT_DES</stp>
        <stp>[TREASURY.xlsx]Sheet1!R664C17</stp>
        <tr r="Q664" s="1"/>
      </tp>
      <tp t="s">
        <v>ACT/ACT</v>
        <stp/>
        <stp>##V3_BDPV12</stp>
        <stp>912810DW Govt</stp>
        <stp>DAY_CNT_DES</stp>
        <stp>[TREASURY.xlsx]Sheet1!R609C17</stp>
        <tr r="Q609" s="1"/>
      </tp>
      <tp t="s">
        <v>ACT/ACT</v>
        <stp/>
        <stp>##V3_BDPV12</stp>
        <stp>912810EC Govt</stp>
        <stp>DAY_CNT_DES</stp>
        <stp>[TREASURY.xlsx]Sheet1!R612C17</stp>
        <tr r="Q612" s="1"/>
      </tp>
      <tp t="s">
        <v>ACT/ACT</v>
        <stp/>
        <stp>##V3_BDPV12</stp>
        <stp>912810CX Govt</stp>
        <stp>DAY_CNT_DES</stp>
        <stp>[TREASURY.xlsx]Sheet1!R661C17</stp>
        <tr r="Q661" s="1"/>
      </tp>
      <tp t="s">
        <v>ACT/ACT</v>
        <stp/>
        <stp>##V3_BDPV12</stp>
        <stp>912810CS Govt</stp>
        <stp>DAY_CNT_DES</stp>
        <stp>[TREASURY.xlsx]Sheet1!R660C17</stp>
        <tr r="Q660" s="1"/>
      </tp>
      <tp t="s">
        <v>ACT/ACT</v>
        <stp/>
        <stp>##V3_BDPV12</stp>
        <stp>912810EF Govt</stp>
        <stp>DAY_CNT_DES</stp>
        <stp>[TREASURY.xlsx]Sheet1!R606C17</stp>
        <tr r="Q606" s="1"/>
      </tp>
      <tp t="s">
        <v>ACT/ACT</v>
        <stp/>
        <stp>##V3_BDPV12</stp>
        <stp>912810DP Govt</stp>
        <stp>DAY_CNT_DES</stp>
        <stp>[TREASURY.xlsx]Sheet1!R698C17</stp>
        <tr r="Q698" s="1"/>
      </tp>
      <tp t="s">
        <v>ACT/ACT</v>
        <stp/>
        <stp>##V3_BDPV12</stp>
        <stp>912810DZ Govt</stp>
        <stp>DAY_CNT_DES</stp>
        <stp>[TREASURY.xlsx]Sheet1!R699C17</stp>
        <tr r="Q699" s="1"/>
      </tp>
      <tp t="s">
        <v>ACT/ACT</v>
        <stp/>
        <stp>##V3_BDPV12</stp>
        <stp>912810DM Govt</stp>
        <stp>DAY_CNT_DES</stp>
        <stp>[TREASURY.xlsx]Sheet1!R697C17</stp>
        <tr r="Q697" s="1"/>
      </tp>
      <tp t="s">
        <v>#N/A Field Not Applicable</v>
        <stp/>
        <stp>##V3_BDPV12</stp>
        <stp>912810ED Govt</stp>
        <stp>IDX_RATIO</stp>
        <stp>[TREASURY.xlsx]Sheet1!R664C20</stp>
        <tr r="T664" s="1"/>
      </tp>
      <tp t="s">
        <v>#N/A Field Not Applicable</v>
        <stp/>
        <stp>##V3_BDPV12</stp>
        <stp>912828EE Govt</stp>
        <stp>IDX_RATIO</stp>
        <stp>[TREASURY.xlsx]Sheet1!R795C20</stp>
        <tr r="T795" s="1"/>
      </tp>
      <tp t="s">
        <v>#N/A Field Not Applicable</v>
        <stp/>
        <stp>##V3_BDPV12</stp>
        <stp>912828EG Govt</stp>
        <stp>IDX_RATIO</stp>
        <stp>[TREASURY.xlsx]Sheet1!R596C20</stp>
        <tr r="T596" s="1"/>
      </tp>
      <tp t="s">
        <v>#N/A Field Not Applicable</v>
        <stp/>
        <stp>##V3_BDPV12</stp>
        <stp>912828ED Govt</stp>
        <stp>IDX_RATIO</stp>
        <stp>[TREASURY.xlsx]Sheet1!R964C20</stp>
        <tr r="T964" s="1"/>
      </tp>
      <tp t="s">
        <v>#N/A Field Not Applicable</v>
        <stp/>
        <stp>##V3_BDPV12</stp>
        <stp>912810EN Govt</stp>
        <stp>IDX_RATIO</stp>
        <stp>[TREASURY.xlsx]Sheet1!R319C20</stp>
        <tr r="T319" s="1"/>
      </tp>
      <tp t="s">
        <v>#N/A Field Not Applicable</v>
        <stp/>
        <stp>##V3_BDPV12</stp>
        <stp>912810EH Govt</stp>
        <stp>IDX_RATIO</stp>
        <stp>[TREASURY.xlsx]Sheet1!R400C20</stp>
        <tr r="T400" s="1"/>
      </tp>
      <tp t="s">
        <v>#N/A Field Not Applicable</v>
        <stp/>
        <stp>##V3_BDPV12</stp>
        <stp>912828EK Govt</stp>
        <stp>IDX_RATIO</stp>
        <stp>[TREASURY.xlsx]Sheet1!R796C20</stp>
        <tr r="T796" s="1"/>
      </tp>
      <tp t="s">
        <v>#N/A Field Not Applicable</v>
        <stp/>
        <stp>##V3_BDPV12</stp>
        <stp>912810EJ Govt</stp>
        <stp>IDX_RATIO</stp>
        <stp>[TREASURY.xlsx]Sheet1!R521C20</stp>
        <tr r="T521" s="1"/>
      </tp>
      <tp t="s">
        <v>#N/A Field Not Applicable</v>
        <stp/>
        <stp>##V3_BDPV12</stp>
        <stp>912810EL Govt</stp>
        <stp>IDX_RATIO</stp>
        <stp>[TREASURY.xlsx]Sheet1!R211C20</stp>
        <tr r="T211" s="1"/>
      </tp>
      <tp t="s">
        <v>#N/A Field Not Applicable</v>
        <stp/>
        <stp>##V3_BDPV12</stp>
        <stp>912810EM Govt</stp>
        <stp>IDX_RATIO</stp>
        <stp>[TREASURY.xlsx]Sheet1!R304C20</stp>
        <tr r="T304" s="1"/>
      </tp>
      <tp t="s">
        <v>#N/A Field Not Applicable</v>
        <stp/>
        <stp>##V3_BDPV12</stp>
        <stp>912828EN Govt</stp>
        <stp>IDX_RATIO</stp>
        <stp>[TREASURY.xlsx]Sheet1!R649C20</stp>
        <tr r="T649" s="1"/>
      </tp>
      <tp t="s">
        <v>#N/A Field Not Applicable</v>
        <stp/>
        <stp>##V3_BDPV12</stp>
        <stp>912810EK Govt</stp>
        <stp>IDX_RATIO</stp>
        <stp>[TREASURY.xlsx]Sheet1!R357C20</stp>
        <tr r="T357" s="1"/>
      </tp>
      <tp t="s">
        <v>#N/A Field Not Applicable</v>
        <stp/>
        <stp>##V3_BDPV12</stp>
        <stp>912828EL Govt</stp>
        <stp>IDX_RATIO</stp>
        <stp>[TREASURY.xlsx]Sheet1!R797C20</stp>
        <tr r="T797" s="1"/>
      </tp>
      <tp t="s">
        <v>ACT/ACT</v>
        <stp/>
        <stp>##V3_BDPV12</stp>
        <stp>912810PU Govt</stp>
        <stp>DAY_CNT_DES</stp>
        <stp>[TREASURY.xlsx]Sheet1!R63C17</stp>
        <tr r="Q63" s="1"/>
      </tp>
      <tp t="s">
        <v>ACT/ACT</v>
        <stp/>
        <stp>##V3_BDPV12</stp>
        <stp>912810SU Govt</stp>
        <stp>DAY_CNT_DES</stp>
        <stp>[TREASURY.xlsx]Sheet1!R15C17</stp>
        <tr r="Q15" s="1"/>
      </tp>
      <tp t="s">
        <v>ACT/ACT</v>
        <stp/>
        <stp>##V3_BDPV12</stp>
        <stp>91282CBU Govt</stp>
        <stp>DAY_CNT_DES</stp>
        <stp>[TREASURY.xlsx]Sheet1!R53C17</stp>
        <tr r="Q53" s="1"/>
      </tp>
      <tp>
        <v>0.125</v>
        <stp/>
        <stp>##V3_BDPV12</stp>
        <stp>91282CCU Govt</stp>
        <stp>CPN</stp>
        <stp>[TREASURY.xlsx]Sheet1!R6C3</stp>
        <tr r="C6" s="1"/>
      </tp>
      <tp>
        <v>1</v>
        <stp/>
        <stp>##V3_BDPV12</stp>
        <stp>912828L4 Govt</stp>
        <stp>CPN</stp>
        <stp>[TREASURY.xlsx]Sheet1!R669C3</stp>
        <tr r="C669" s="1"/>
      </tp>
      <tp>
        <v>5.5</v>
        <stp/>
        <stp>##V3_BDPV12</stp>
        <stp>912827W4 Govt</stp>
        <stp>CPN</stp>
        <stp>[TREASURY.xlsx]Sheet1!R929C3</stp>
        <tr r="C929" s="1"/>
      </tp>
      <tp>
        <v>1.625</v>
        <stp/>
        <stp>##V3_BDPV12</stp>
        <stp>912828D8 Govt</stp>
        <stp>CPN</stp>
        <stp>[TREASURY.xlsx]Sheet1!R545C3</stp>
        <tr r="C545" s="1"/>
      </tp>
      <tp>
        <v>1.375</v>
        <stp/>
        <stp>##V3_BDPV12</stp>
        <stp>912828K5 Govt</stp>
        <stp>CPN</stp>
        <stp>[TREASURY.xlsx]Sheet1!R518C3</stp>
        <tr r="C518" s="1"/>
      </tp>
      <tp>
        <v>2.625</v>
        <stp/>
        <stp>##V3_BDPV12</stp>
        <stp>912828Y4 Govt</stp>
        <stp>CPN</stp>
        <stp>[TREASURY.xlsx]Sheet1!R589C3</stp>
        <tr r="C589" s="1"/>
      </tp>
      <tp>
        <v>3.875</v>
        <stp/>
        <stp>##V3_BDPV12</stp>
        <stp>912827L9 Govt</stp>
        <stp>CPN</stp>
        <stp>[TREASURY.xlsx]Sheet1!R714C3</stp>
        <tr r="C714" s="1"/>
      </tp>
      <tp>
        <v>3.875</v>
        <stp/>
        <stp>##V3_BDPV12</stp>
        <stp>912827M5 Govt</stp>
        <stp>CPN</stp>
        <stp>[TREASURY.xlsx]Sheet1!R718C3</stp>
        <tr r="C718" s="1"/>
      </tp>
      <tp>
        <v>6.375</v>
        <stp/>
        <stp>##V3_BDPV12</stp>
        <stp>912827X4 Govt</stp>
        <stp>CPN</stp>
        <stp>[TREASURY.xlsx]Sheet1!R769C3</stp>
        <tr r="C769" s="1"/>
      </tp>
      <tp t="s">
        <v>#N/A N/A</v>
        <stp/>
        <stp>##V3_BDPV12</stp>
        <stp>912827E5 Govt</stp>
        <stp>YLD_YTM_BID</stp>
        <stp>[TREASURY.xlsx]Sheet1!R579C4</stp>
        <tr r="D579" s="1"/>
      </tp>
      <tp t="s">
        <v>#N/A N/A</v>
        <stp/>
        <stp>##V3_BDPV12</stp>
        <stp>912827K4 Govt</stp>
        <stp>YLD_YTM_BID</stp>
        <stp>[TREASURY.xlsx]Sheet1!R568C4</stp>
        <tr r="D568" s="1"/>
      </tp>
      <tp t="s">
        <v>#N/A N/A</v>
        <stp/>
        <stp>##V3_BDPV12</stp>
        <stp>912828B4 Govt</stp>
        <stp>YLD_YTM_BID</stp>
        <stp>[TREASURY.xlsx]Sheet1!R458C4</stp>
        <tr r="D458" s="1"/>
      </tp>
      <tp t="s">
        <v>#N/A N/A</v>
        <stp/>
        <stp>##V3_BDPV12</stp>
        <stp>912828A8 Govt</stp>
        <stp>YLD_YTM_BID</stp>
        <stp>[TREASURY.xlsx]Sheet1!R434C4</stp>
        <tr r="D434" s="1"/>
      </tp>
      <tp t="s">
        <v>#N/A N/A</v>
        <stp/>
        <stp>##V3_BDPV12</stp>
        <stp>912828H5 Govt</stp>
        <stp>YLD_YTM_BID</stp>
        <stp>[TREASURY.xlsx]Sheet1!R419C4</stp>
        <tr r="D419" s="1"/>
      </tp>
      <tp t="s">
        <v>#N/A N/A</v>
        <stp/>
        <stp>##V3_BDPV12</stp>
        <stp>912828Q9 Govt</stp>
        <stp>YLD_YTM_BID</stp>
        <stp>[TREASURY.xlsx]Sheet1!R425C4</stp>
        <tr r="D425" s="1"/>
      </tp>
      <tp t="s">
        <v>#N/A N/A</v>
        <stp/>
        <stp>##V3_BDPV12</stp>
        <stp>912827T5 Govt</stp>
        <stp>YLD_YTM_BID</stp>
        <stp>[TREASURY.xlsx]Sheet1!R919C4</stp>
        <tr r="D919" s="1"/>
      </tp>
      <tp>
        <v>6.2347318680781839E-2</v>
        <stp/>
        <stp>##V3_BDPV12</stp>
        <stp>912828J4 Govt</stp>
        <stp>YLD_YTM_BID</stp>
        <stp>[TREASURY.xlsx]Sheet1!R308C4</stp>
        <tr r="D308" s="1"/>
      </tp>
      <tp>
        <v>0.30509298186169465</v>
        <stp/>
        <stp>##V3_BDPV12</stp>
        <stp>912828T9 Govt</stp>
        <stp>YLD_YTM_BID</stp>
        <stp>[TREASURY.xlsx]Sheet1!R215C4</stp>
        <tr r="D215" s="1"/>
      </tp>
      <tp t="s">
        <v>11/15/2021</v>
        <stp/>
        <stp>##V3_BDPV12</stp>
        <stp>912810SY Govt</stp>
        <stp>FIRST_CPN_DT</stp>
        <stp>[TREASURY.xlsx]Sheet1!R21C9</stp>
        <tr r="I21" s="1"/>
      </tp>
      <tp>
        <v>0.375</v>
        <stp/>
        <stp>##V3_BDPV12</stp>
        <stp>912828ZL Govt</stp>
        <stp>CPN</stp>
        <stp>[TREASURY.xlsx]Sheet1!R66C3</stp>
        <tr r="C66" s="1"/>
      </tp>
      <tp t="s">
        <v>#N/A Field Not Applicable</v>
        <stp/>
        <stp>##V3_BDPV12</stp>
        <stp>912828D2 Govt</stp>
        <stp>IDX_RATIO</stp>
        <stp>[TREASURY.xlsx]Sheet1!R619C20</stp>
        <tr r="T619" s="1"/>
      </tp>
      <tp t="s">
        <v>#N/A Field Not Applicable</v>
        <stp/>
        <stp>##V3_BDPV12</stp>
        <stp>912828D7 Govt</stp>
        <stp>IDX_RATIO</stp>
        <stp>[TREASURY.xlsx]Sheet1!R332C20</stp>
        <tr r="T332" s="1"/>
      </tp>
      <tp t="s">
        <v>#N/A Field Not Applicable</v>
        <stp/>
        <stp>##V3_BDPV12</stp>
        <stp>912827D6 Govt</stp>
        <stp>IDX_RATIO</stp>
        <stp>[TREASURY.xlsx]Sheet1!R700C20</stp>
        <tr r="T700" s="1"/>
      </tp>
      <tp t="s">
        <v>#N/A Field Not Applicable</v>
        <stp/>
        <stp>##V3_BDPV12</stp>
        <stp>912828D9 Govt</stp>
        <stp>IDX_RATIO</stp>
        <stp>[TREASURY.xlsx]Sheet1!R839C20</stp>
        <tr r="T839" s="1"/>
      </tp>
      <tp t="s">
        <v>#N/A Field Not Applicable</v>
        <stp/>
        <stp>##V3_BDPV12</stp>
        <stp>912827D7 Govt</stp>
        <stp>IDX_RATIO</stp>
        <stp>[TREASURY.xlsx]Sheet1!R701C20</stp>
        <tr r="T701" s="1"/>
      </tp>
      <tp t="s">
        <v>#N/A Field Not Applicable</v>
        <stp/>
        <stp>##V3_BDPV12</stp>
        <stp>912828D6 Govt</stp>
        <stp>IDX_RATIO</stp>
        <stp>[TREASURY.xlsx]Sheet1!R613C20</stp>
        <tr r="T613" s="1"/>
      </tp>
      <tp t="s">
        <v>#N/A Field Not Applicable</v>
        <stp/>
        <stp>##V3_BDPV12</stp>
        <stp>912828D8 Govt</stp>
        <stp>IDX_RATIO</stp>
        <stp>[TREASURY.xlsx]Sheet1!R545C20</stp>
        <tr r="T545" s="1"/>
      </tp>
      <tp t="s">
        <v>#N/A Field Not Applicable</v>
        <stp/>
        <stp>##V3_BDPV12</stp>
        <stp>912828D4 Govt</stp>
        <stp>IDX_RATIO</stp>
        <stp>[TREASURY.xlsx]Sheet1!R961C20</stp>
        <tr r="T961" s="1"/>
      </tp>
      <tp t="s">
        <v>#N/A Field Not Applicable</v>
        <stp/>
        <stp>##V3_BDPV12</stp>
        <stp>912827D9 Govt</stp>
        <stp>IDX_RATIO</stp>
        <stp>[TREASURY.xlsx]Sheet1!R702C20</stp>
        <tr r="T702" s="1"/>
      </tp>
      <tp t="s">
        <v>#N/A Field Not Applicable</v>
        <stp/>
        <stp>##V3_BDPV12</stp>
        <stp>912828DP Govt</stp>
        <stp>IDX_RATIO</stp>
        <stp>[TREASURY.xlsx]Sheet1!R517C20</stp>
        <tr r="T517" s="1"/>
      </tp>
      <tp t="s">
        <v>#N/A Field Not Applicable</v>
        <stp/>
        <stp>##V3_BDPV12</stp>
        <stp>912828DR Govt</stp>
        <stp>IDX_RATIO</stp>
        <stp>[TREASURY.xlsx]Sheet1!R792C20</stp>
        <tr r="T792" s="1"/>
      </tp>
      <tp t="s">
        <v>#N/A Field Not Applicable</v>
        <stp/>
        <stp>##V3_BDPV12</stp>
        <stp>912810DS Govt</stp>
        <stp>IDX_RATIO</stp>
        <stp>[TREASURY.xlsx]Sheet1!R454C20</stp>
        <tr r="T454" s="1"/>
      </tp>
      <tp t="s">
        <v>#N/A Field Not Applicable</v>
        <stp/>
        <stp>##V3_BDPV12</stp>
        <stp>912810DP Govt</stp>
        <stp>IDX_RATIO</stp>
        <stp>[TREASURY.xlsx]Sheet1!R698C20</stp>
        <tr r="T698" s="1"/>
      </tp>
      <tp t="s">
        <v>#N/A Field Not Applicable</v>
        <stp/>
        <stp>##V3_BDPV12</stp>
        <stp>912810DU Govt</stp>
        <stp>IDX_RATIO</stp>
        <stp>[TREASURY.xlsx]Sheet1!R432C20</stp>
        <tr r="T432" s="1"/>
      </tp>
      <tp t="s">
        <v>#N/A Field Not Applicable</v>
        <stp/>
        <stp>##V3_BDPV12</stp>
        <stp>912810DW Govt</stp>
        <stp>IDX_RATIO</stp>
        <stp>[TREASURY.xlsx]Sheet1!R609C20</stp>
        <tr r="T609" s="1"/>
      </tp>
      <tp t="s">
        <v>#N/A Field Not Applicable</v>
        <stp/>
        <stp>##V3_BDPV12</stp>
        <stp>912828DV Govt</stp>
        <stp>IDX_RATIO</stp>
        <stp>[TREASURY.xlsx]Sheet1!R620C20</stp>
        <tr r="T620" s="1"/>
      </tp>
      <tp t="s">
        <v>#N/A Field Not Applicable</v>
        <stp/>
        <stp>##V3_BDPV12</stp>
        <stp>912828DW Govt</stp>
        <stp>IDX_RATIO</stp>
        <stp>[TREASURY.xlsx]Sheet1!R793C20</stp>
        <tr r="T793" s="1"/>
      </tp>
      <tp t="s">
        <v>#N/A Field Not Applicable</v>
        <stp/>
        <stp>##V3_BDPV12</stp>
        <stp>912810DV Govt</stp>
        <stp>IDX_RATIO</stp>
        <stp>[TREASURY.xlsx]Sheet1!R527C20</stp>
        <tr r="T527" s="1"/>
      </tp>
      <tp t="s">
        <v>#N/A Field Not Applicable</v>
        <stp/>
        <stp>##V3_BDPV12</stp>
        <stp>912810DX Govt</stp>
        <stp>IDX_RATIO</stp>
        <stp>[TREASURY.xlsx]Sheet1!R461C20</stp>
        <tr r="T461" s="1"/>
      </tp>
      <tp t="s">
        <v>#N/A Field Not Applicable</v>
        <stp/>
        <stp>##V3_BDPV12</stp>
        <stp>912810DZ Govt</stp>
        <stp>IDX_RATIO</stp>
        <stp>[TREASURY.xlsx]Sheet1!R699C20</stp>
        <tr r="T699" s="1"/>
      </tp>
      <tp t="s">
        <v>#N/A Field Not Applicable</v>
        <stp/>
        <stp>##V3_BDPV12</stp>
        <stp>912828DL Govt</stp>
        <stp>IDX_RATIO</stp>
        <stp>[TREASURY.xlsx]Sheet1!R962C20</stp>
        <tr r="T962" s="1"/>
      </tp>
      <tp t="s">
        <v>#N/A Field Not Applicable</v>
        <stp/>
        <stp>##V3_BDPV12</stp>
        <stp>912810DA Govt</stp>
        <stp>IDX_RATIO</stp>
        <stp>[TREASURY.xlsx]Sheet1!R529C20</stp>
        <tr r="T529" s="1"/>
      </tp>
      <tp t="s">
        <v>#N/A Field Not Applicable</v>
        <stp/>
        <stp>##V3_BDPV12</stp>
        <stp>912828DN Govt</stp>
        <stp>IDX_RATIO</stp>
        <stp>[TREASURY.xlsx]Sheet1!R963C20</stp>
        <tr r="T963" s="1"/>
      </tp>
      <tp t="s">
        <v>#N/A Field Not Applicable</v>
        <stp/>
        <stp>##V3_BDPV12</stp>
        <stp>912828DB Govt</stp>
        <stp>IDX_RATIO</stp>
        <stp>[TREASURY.xlsx]Sheet1!R591C20</stp>
        <tr r="T591" s="1"/>
      </tp>
      <tp t="s">
        <v>#N/A Field Not Applicable</v>
        <stp/>
        <stp>##V3_BDPV12</stp>
        <stp>912828DC Govt</stp>
        <stp>IDX_RATIO</stp>
        <stp>[TREASURY.xlsx]Sheet1!R352C20</stp>
        <tr r="T352" s="1"/>
      </tp>
      <tp t="s">
        <v>#N/A Field Not Applicable</v>
        <stp/>
        <stp>##V3_BDPV12</stp>
        <stp>912828DD Govt</stp>
        <stp>IDX_RATIO</stp>
        <stp>[TREASURY.xlsx]Sheet1!R791C20</stp>
        <tr r="T791" s="1"/>
      </tp>
      <tp t="s">
        <v>#N/A Field Not Applicable</v>
        <stp/>
        <stp>##V3_BDPV12</stp>
        <stp>912828DF Govt</stp>
        <stp>IDX_RATIO</stp>
        <stp>[TREASURY.xlsx]Sheet1!R840C20</stp>
        <tr r="T840" s="1"/>
      </tp>
      <tp t="s">
        <v>#N/A Field Not Applicable</v>
        <stp/>
        <stp>##V3_BDPV12</stp>
        <stp>912810DJ Govt</stp>
        <stp>IDX_RATIO</stp>
        <stp>[TREASURY.xlsx]Sheet1!R399C20</stp>
        <tr r="T399" s="1"/>
      </tp>
      <tp t="s">
        <v>#N/A Field Not Applicable</v>
        <stp/>
        <stp>##V3_BDPV12</stp>
        <stp>912810DM Govt</stp>
        <stp>IDX_RATIO</stp>
        <stp>[TREASURY.xlsx]Sheet1!R697C20</stp>
        <tr r="T697" s="1"/>
      </tp>
      <tp t="s">
        <v>ACT/ACT</v>
        <stp/>
        <stp>##V3_BDPV12</stp>
        <stp>912810FT Govt</stp>
        <stp>DAY_CNT_DES</stp>
        <stp>[TREASURY.xlsx]Sheet1!R79C17</stp>
        <tr r="Q79" s="1"/>
      </tp>
      <tp t="s">
        <v>ACT/ACT</v>
        <stp/>
        <stp>##V3_BDPV12</stp>
        <stp>912810RT Govt</stp>
        <stp>DAY_CNT_DES</stp>
        <stp>[TREASURY.xlsx]Sheet1!R96C17</stp>
        <tr r="Q96" s="1"/>
      </tp>
      <tp t="s">
        <v>ACT/ACT</v>
        <stp/>
        <stp>##V3_BDPV12</stp>
        <stp>912810ST Govt</stp>
        <stp>DAY_CNT_DES</stp>
        <stp>[TREASURY.xlsx]Sheet1!R90C17</stp>
        <tr r="Q90" s="1"/>
      </tp>
      <tp t="s">
        <v>ACT/ACT</v>
        <stp/>
        <stp>##V3_BDPV12</stp>
        <stp>91282CBT Govt</stp>
        <stp>DAY_CNT_DES</stp>
        <stp>[TREASURY.xlsx]Sheet1!R52C17</stp>
        <tr r="Q52" s="1"/>
      </tp>
      <tp t="s">
        <v>ACT/ACT</v>
        <stp/>
        <stp>##V3_BDPV12</stp>
        <stp>91282CCT Govt</stp>
        <stp>DAY_CNT_DES</stp>
        <stp>[TREASURY.xlsx]Sheet1!R16C17</stp>
        <tr r="Q16" s="1"/>
      </tp>
      <tp t="s">
        <v>ACT/ACT</v>
        <stp/>
        <stp>##V3_BDPV12</stp>
        <stp>91282CAT Govt</stp>
        <stp>DAY_CNT_DES</stp>
        <stp>[TREASURY.xlsx]Sheet1!R39C17</stp>
        <tr r="Q39" s="1"/>
      </tp>
      <tp t="s">
        <v>ACT/ACT</v>
        <stp/>
        <stp>##V3_BDPV12</stp>
        <stp>912828ZT Govt</stp>
        <stp>DAY_CNT_DES</stp>
        <stp>[TREASURY.xlsx]Sheet1!R85C17</stp>
        <tr r="Q85" s="1"/>
      </tp>
      <tp t="s">
        <v>ACT/ACT</v>
        <stp/>
        <stp>##V3_BDPV12</stp>
        <stp>9128286T Govt</stp>
        <stp>DAY_CNT_DES</stp>
        <stp>[TREASURY.xlsx]Sheet1!R48C17</stp>
        <tr r="Q48" s="1"/>
      </tp>
      <tp>
        <v>0.875</v>
        <stp/>
        <stp>##V3_BDPV12</stp>
        <stp>91282CCZ Govt</stp>
        <stp>CPN</stp>
        <stp>[TREASURY.xlsx]Sheet1!R7C3</stp>
        <tr r="C7" s="1"/>
      </tp>
      <tp>
        <v>2.0776086738637063</v>
        <stp/>
        <stp>##V3_BDPV12</stp>
        <stp>912810RV Govt</stp>
        <stp>YLD_YTM_BID</stp>
        <stp>[TREASURY.xlsx]Sheet1!R28C4</stp>
        <tr r="D28" s="1"/>
      </tp>
      <tp>
        <v>0.625</v>
        <stp/>
        <stp>##V3_BDPV12</stp>
        <stp>912828ZQ Govt</stp>
        <stp>CPN</stp>
        <stp>[TREASURY.xlsx]Sheet1!R31C3</stp>
        <tr r="C31" s="1"/>
      </tp>
      <tp t="s">
        <v>S/A</v>
        <stp/>
        <stp>##V3_BDPV12</stp>
        <stp>91282CBV Govt</stp>
        <stp>COUPON_FREQUENCY_DESCRIPTION</stp>
        <stp>[TREASURY.xlsx]Sheet1!R89C10</stp>
        <tr r="J89" s="1"/>
      </tp>
      <tp t="s">
        <v>S/A</v>
        <stp/>
        <stp>##V3_BDPV12</stp>
        <stp>91282CBP Govt</stp>
        <stp>COUPON_FREQUENCY_DESCRIPTION</stp>
        <stp>[TREASURY.xlsx]Sheet1!R86C10</stp>
        <tr r="J86" s="1"/>
      </tp>
      <tp t="s">
        <v>S/A</v>
        <stp/>
        <stp>##V3_BDPV12</stp>
        <stp>91282CBN Govt</stp>
        <stp>COUPON_FREQUENCY_DESCRIPTION</stp>
        <stp>[TREASURY.xlsx]Sheet1!R82C10</stp>
        <tr r="J82" s="1"/>
      </tp>
      <tp t="s">
        <v>S/A</v>
        <stp/>
        <stp>##V3_BDPV12</stp>
        <stp>91282CCC Govt</stp>
        <stp>COUPON_FREQUENCY_DESCRIPTION</stp>
        <stp>[TREASURY.xlsx]Sheet1!R88C10</stp>
        <tr r="J88" s="1"/>
      </tp>
      <tp t="s">
        <v>S/A</v>
        <stp/>
        <stp>##V3_BDPV12</stp>
        <stp>91282CAB Govt</stp>
        <stp>COUPON_FREQUENCY_DESCRIPTION</stp>
        <stp>[TREASURY.xlsx]Sheet1!R99C10</stp>
        <tr r="J99" s="1"/>
      </tp>
      <tp t="s">
        <v>S/A</v>
        <stp/>
        <stp>##V3_BDPV12</stp>
        <stp>91282CCD Govt</stp>
        <stp>COUPON_FREQUENCY_DESCRIPTION</stp>
        <stp>[TREASURY.xlsx]Sheet1!R58C10</stp>
        <tr r="J58" s="1"/>
      </tp>
      <tp t="s">
        <v>S/A</v>
        <stp/>
        <stp>##V3_BDPV12</stp>
        <stp>91282CBC Govt</stp>
        <stp>COUPON_FREQUENCY_DESCRIPTION</stp>
        <stp>[TREASURY.xlsx]Sheet1!R41C10</stp>
        <tr r="J41" s="1"/>
      </tp>
      <tp t="s">
        <v>S/A</v>
        <stp/>
        <stp>##V3_BDPV12</stp>
        <stp>91282CAX Govt</stp>
        <stp>COUPON_FREQUENCY_DESCRIPTION</stp>
        <stp>[TREASURY.xlsx]Sheet1!R67C10</stp>
        <tr r="J67" s="1"/>
      </tp>
      <tp t="s">
        <v>S/A</v>
        <stp/>
        <stp>##V3_BDPV12</stp>
        <stp>91282CBR Govt</stp>
        <stp>COUPON_FREQUENCY_DESCRIPTION</stp>
        <stp>[TREASURY.xlsx]Sheet1!R55C10</stp>
        <tr r="J55" s="1"/>
      </tp>
      <tp t="s">
        <v>S/A</v>
        <stp/>
        <stp>##V3_BDPV12</stp>
        <stp>91282CAR Govt</stp>
        <stp>COUPON_FREQUENCY_DESCRIPTION</stp>
        <stp>[TREASURY.xlsx]Sheet1!R64C10</stp>
        <tr r="J64" s="1"/>
      </tp>
      <tp t="s">
        <v>S/A</v>
        <stp/>
        <stp>##V3_BDPV12</stp>
        <stp>91282CBT Govt</stp>
        <stp>COUPON_FREQUENCY_DESCRIPTION</stp>
        <stp>[TREASURY.xlsx]Sheet1!R52C10</stp>
        <tr r="J52" s="1"/>
      </tp>
      <tp t="s">
        <v>S/A</v>
        <stp/>
        <stp>##V3_BDPV12</stp>
        <stp>91282CBU Govt</stp>
        <stp>COUPON_FREQUENCY_DESCRIPTION</stp>
        <stp>[TREASURY.xlsx]Sheet1!R53C10</stp>
        <tr r="J53" s="1"/>
      </tp>
      <tp t="s">
        <v>S/A</v>
        <stp/>
        <stp>##V3_BDPV12</stp>
        <stp>91282CAK Govt</stp>
        <stp>COUPON_FREQUENCY_DESCRIPTION</stp>
        <stp>[TREASURY.xlsx]Sheet1!R60C10</stp>
        <tr r="J60" s="1"/>
      </tp>
      <tp t="s">
        <v>S/A</v>
        <stp/>
        <stp>##V3_BDPV12</stp>
        <stp>91282CBD Govt</stp>
        <stp>COUPON_FREQUENCY_DESCRIPTION</stp>
        <stp>[TREASURY.xlsx]Sheet1!R50C10</stp>
        <tr r="J50" s="1"/>
      </tp>
      <tp t="s">
        <v>S/A</v>
        <stp/>
        <stp>##V3_BDPV12</stp>
        <stp>91282CBH Govt</stp>
        <stp>COUPON_FREQUENCY_DESCRIPTION</stp>
        <stp>[TREASURY.xlsx]Sheet1!R59C10</stp>
        <tr r="J59" s="1"/>
      </tp>
      <tp t="s">
        <v>S/A</v>
        <stp/>
        <stp>##V3_BDPV12</stp>
        <stp>91282CBG Govt</stp>
        <stp>COUPON_FREQUENCY_DESCRIPTION</stp>
        <stp>[TREASURY.xlsx]Sheet1!R57C10</stp>
        <tr r="J57" s="1"/>
      </tp>
      <tp t="s">
        <v>S/A</v>
        <stp/>
        <stp>##V3_BDPV12</stp>
        <stp>91282CCG Govt</stp>
        <stp>COUPON_FREQUENCY_DESCRIPTION</stp>
        <stp>[TREASURY.xlsx]Sheet1!R47C10</stp>
        <tr r="J47" s="1"/>
      </tp>
      <tp t="s">
        <v>S/A</v>
        <stp/>
        <stp>##V3_BDPV12</stp>
        <stp>91282CCE Govt</stp>
        <stp>COUPON_FREQUENCY_DESCRIPTION</stp>
        <stp>[TREASURY.xlsx]Sheet1!R77C10</stp>
        <tr r="J77" s="1"/>
      </tp>
      <tp t="s">
        <v>S/A</v>
        <stp/>
        <stp>##V3_BDPV12</stp>
        <stp>91282CAZ Govt</stp>
        <stp>COUPON_FREQUENCY_DESCRIPTION</stp>
        <stp>[TREASURY.xlsx]Sheet1!R45C10</stp>
        <tr r="J45" s="1"/>
      </tp>
      <tp t="s">
        <v>S/A</v>
        <stp/>
        <stp>##V3_BDPV12</stp>
        <stp>91282CBX Govt</stp>
        <stp>COUPON_FREQUENCY_DESCRIPTION</stp>
        <stp>[TREASURY.xlsx]Sheet1!R72C10</stp>
        <tr r="J72" s="1"/>
      </tp>
      <tp t="s">
        <v>S/A</v>
        <stp/>
        <stp>##V3_BDPV12</stp>
        <stp>91282CBS Govt</stp>
        <stp>COUPON_FREQUENCY_DESCRIPTION</stp>
        <stp>[TREASURY.xlsx]Sheet1!R75C10</stp>
        <tr r="J75" s="1"/>
      </tp>
      <tp t="s">
        <v>S/A</v>
        <stp/>
        <stp>##V3_BDPV12</stp>
        <stp>91282CAM Govt</stp>
        <stp>COUPON_FREQUENCY_DESCRIPTION</stp>
        <stp>[TREASURY.xlsx]Sheet1!R42C10</stp>
        <tr r="J42" s="1"/>
      </tp>
      <tp t="s">
        <v>S/A</v>
        <stp/>
        <stp>##V3_BDPV12</stp>
        <stp>91282CBA Govt</stp>
        <stp>COUPON_FREQUENCY_DESCRIPTION</stp>
        <stp>[TREASURY.xlsx]Sheet1!R78C10</stp>
        <tr r="J78" s="1"/>
      </tp>
      <tp t="s">
        <v>S/A</v>
        <stp/>
        <stp>##V3_BDPV12</stp>
        <stp>91282CAN Govt</stp>
        <stp>COUPON_FREQUENCY_DESCRIPTION</stp>
        <stp>[TREASURY.xlsx]Sheet1!R46C10</stp>
        <tr r="J46" s="1"/>
      </tp>
      <tp t="s">
        <v>S/A</v>
        <stp/>
        <stp>##V3_BDPV12</stp>
        <stp>91282CAJ Govt</stp>
        <stp>COUPON_FREQUENCY_DESCRIPTION</stp>
        <stp>[TREASURY.xlsx]Sheet1!R49C10</stp>
        <tr r="J49" s="1"/>
      </tp>
      <tp t="s">
        <v>S/A</v>
        <stp/>
        <stp>##V3_BDPV12</stp>
        <stp>91282CDA Govt</stp>
        <stp>COUPON_FREQUENCY_DESCRIPTION</stp>
        <stp>[TREASURY.xlsx]Sheet1!R11C10</stp>
        <tr r="J11" s="1"/>
      </tp>
      <tp t="s">
        <v>S/A</v>
        <stp/>
        <stp>##V3_BDPV12</stp>
        <stp>91282CAT Govt</stp>
        <stp>COUPON_FREQUENCY_DESCRIPTION</stp>
        <stp>[TREASURY.xlsx]Sheet1!R39C10</stp>
        <tr r="J39" s="1"/>
      </tp>
      <tp t="s">
        <v>S/A</v>
        <stp/>
        <stp>##V3_BDPV12</stp>
        <stp>91282CCY Govt</stp>
        <stp>COUPON_FREQUENCY_DESCRIPTION</stp>
        <stp>[TREASURY.xlsx]Sheet1!R13C10</stp>
        <tr r="J13" s="1"/>
      </tp>
      <tp t="s">
        <v>S/A</v>
        <stp/>
        <stp>##V3_BDPV12</stp>
        <stp>91282CCP Govt</stp>
        <stp>COUPON_FREQUENCY_DESCRIPTION</stp>
        <stp>[TREASURY.xlsx]Sheet1!R19C10</stp>
        <tr r="J19" s="1"/>
      </tp>
      <tp t="s">
        <v>S/A</v>
        <stp/>
        <stp>##V3_BDPV12</stp>
        <stp>91282CCT Govt</stp>
        <stp>COUPON_FREQUENCY_DESCRIPTION</stp>
        <stp>[TREASURY.xlsx]Sheet1!R16C10</stp>
        <tr r="J16" s="1"/>
      </tp>
      <tp t="s">
        <v>S/A</v>
        <stp/>
        <stp>##V3_BDPV12</stp>
        <stp>91282CCB Govt</stp>
        <stp>COUPON_FREQUENCY_DESCRIPTION</stp>
        <stp>[TREASURY.xlsx]Sheet1!R12C10</stp>
        <tr r="J12" s="1"/>
      </tp>
      <tp t="s">
        <v>S/A</v>
        <stp/>
        <stp>##V3_BDPV12</stp>
        <stp>91282CBL Govt</stp>
        <stp>COUPON_FREQUENCY_DESCRIPTION</stp>
        <stp>[TREASURY.xlsx]Sheet1!R14C10</stp>
        <tr r="J14" s="1"/>
      </tp>
      <tp t="s">
        <v>S/A</v>
        <stp/>
        <stp>##V3_BDPV12</stp>
        <stp>91282CBW Govt</stp>
        <stp>COUPON_FREQUENCY_DESCRIPTION</stp>
        <stp>[TREASURY.xlsx]Sheet1!R29C10</stp>
        <tr r="J29" s="1"/>
      </tp>
      <tp t="s">
        <v>S/A</v>
        <stp/>
        <stp>##V3_BDPV12</stp>
        <stp>91282CAV Govt</stp>
        <stp>COUPON_FREQUENCY_DESCRIPTION</stp>
        <stp>[TREASURY.xlsx]Sheet1!R17C10</stp>
        <tr r="J17" s="1"/>
      </tp>
      <tp t="s">
        <v>S/A</v>
        <stp/>
        <stp>##V3_BDPV12</stp>
        <stp>91282CCH Govt</stp>
        <stp>COUPON_FREQUENCY_DESCRIPTION</stp>
        <stp>[TREASURY.xlsx]Sheet1!R36C10</stp>
        <tr r="J36" s="1"/>
      </tp>
      <tp t="s">
        <v>S/A</v>
        <stp/>
        <stp>##V3_BDPV12</stp>
        <stp>91282CCL Govt</stp>
        <stp>COUPON_FREQUENCY_DESCRIPTION</stp>
        <stp>[TREASURY.xlsx]Sheet1!R32C10</stp>
        <tr r="J32" s="1"/>
      </tp>
      <tp t="s">
        <v>S/A</v>
        <stp/>
        <stp>##V3_BDPV12</stp>
        <stp>91282CAE Govt</stp>
        <stp>COUPON_FREQUENCY_DESCRIPTION</stp>
        <stp>[TREASURY.xlsx]Sheet1!R18C10</stp>
        <tr r="J18" s="1"/>
      </tp>
      <tp t="s">
        <v>S/A</v>
        <stp/>
        <stp>##V3_BDPV12</stp>
        <stp>91282CCK Govt</stp>
        <stp>COUPON_FREQUENCY_DESCRIPTION</stp>
        <stp>[TREASURY.xlsx]Sheet1!R33C10</stp>
        <tr r="J33" s="1"/>
      </tp>
      <tp t="s">
        <v>S/A</v>
        <stp/>
        <stp>##V3_BDPV12</stp>
        <stp>91282CCF Govt</stp>
        <stp>COUPON_FREQUENCY_DESCRIPTION</stp>
        <stp>[TREASURY.xlsx]Sheet1!R34C10</stp>
        <tr r="J34" s="1"/>
      </tp>
      <tp t="s">
        <v>S/A</v>
        <stp/>
        <stp>##V3_BDPV12</stp>
        <stp>91282CCR Govt</stp>
        <stp>COUPON_FREQUENCY_DESCRIPTION</stp>
        <stp>[TREASURY.xlsx]Sheet1!R20C10</stp>
        <tr r="J20" s="1"/>
      </tp>
      <tp t="s">
        <v>S/A</v>
        <stp/>
        <stp>##V3_BDPV12</stp>
        <stp>91282CBQ Govt</stp>
        <stp>COUPON_FREQUENCY_DESCRIPTION</stp>
        <stp>[TREASURY.xlsx]Sheet1!R30C10</stp>
        <tr r="J30" s="1"/>
      </tp>
      <tp t="s">
        <v>S/A</v>
        <stp/>
        <stp>##V3_BDPV12</stp>
        <stp>91282CCN Govt</stp>
        <stp>COUPON_FREQUENCY_DESCRIPTION</stp>
        <stp>[TREASURY.xlsx]Sheet1!R24C10</stp>
        <tr r="J24" s="1"/>
      </tp>
      <tp t="s">
        <v>S/A</v>
        <stp/>
        <stp>##V3_BDPV12</stp>
        <stp>91282CCJ Govt</stp>
        <stp>COUPON_FREQUENCY_DESCRIPTION</stp>
        <stp>[TREASURY.xlsx]Sheet1!R22C10</stp>
        <tr r="J22" s="1"/>
      </tp>
      <tp>
        <v>1.25</v>
        <stp/>
        <stp>##V3_BDPV12</stp>
        <stp>912828W9 Govt</stp>
        <stp>CPN</stp>
        <stp>[TREASURY.xlsx]Sheet1!R363C3</stp>
        <tr r="C363" s="1"/>
      </tp>
      <tp>
        <v>2.125</v>
        <stp/>
        <stp>##V3_BDPV12</stp>
        <stp>912828N3 Govt</stp>
        <stp>CPN</stp>
        <stp>[TREASURY.xlsx]Sheet1!R129C3</stp>
        <tr r="C129" s="1"/>
      </tp>
      <tp>
        <v>1.5</v>
        <stp/>
        <stp>##V3_BDPV12</stp>
        <stp>912828C2 Govt</stp>
        <stp>CPN</stp>
        <stp>[TREASURY.xlsx]Sheet1!R688C3</stp>
        <tr r="C688" s="1"/>
      </tp>
      <tp>
        <v>5.375</v>
        <stp/>
        <stp>##V3_BDPV12</stp>
        <stp>912827V9 Govt</stp>
        <stp>CPN</stp>
        <stp>[TREASURY.xlsx]Sheet1!R923C3</stp>
        <tr r="C923" s="1"/>
      </tp>
      <tp t="s">
        <v>#N/A N/A</v>
        <stp/>
        <stp>##V3_BDPV12</stp>
        <stp>912828H3 Govt</stp>
        <stp>YLD_YTM_BID</stp>
        <stp>[TREASURY.xlsx]Sheet1!R968C4</stp>
        <tr r="D968" s="1"/>
      </tp>
      <tp t="s">
        <v>#N/A N/A</v>
        <stp/>
        <stp>##V3_BDPV12</stp>
        <stp>912827D9 Govt</stp>
        <stp>YLD_YTM_BID</stp>
        <stp>[TREASURY.xlsx]Sheet1!R702C4</stp>
        <tr r="D702" s="1"/>
      </tp>
      <tp t="s">
        <v>#N/A N/A</v>
        <stp/>
        <stp>##V3_BDPV12</stp>
        <stp>912828C3 Govt</stp>
        <stp>YLD_YTM_BID</stp>
        <stp>[TREASURY.xlsx]Sheet1!R838C4</stp>
        <tr r="D838" s="1"/>
      </tp>
      <tp t="s">
        <v>#N/A N/A</v>
        <stp/>
        <stp>##V3_BDPV12</stp>
        <stp>912828J9 Govt</stp>
        <stp>YLD_YTM_BID</stp>
        <stp>[TREASURY.xlsx]Sheet1!R852C4</stp>
        <tr r="D852" s="1"/>
      </tp>
      <tp t="s">
        <v>#N/A N/A</v>
        <stp/>
        <stp>##V3_BDPV12</stp>
        <stp>912827U9 Govt</stp>
        <stp>YLD_YTM_BID</stp>
        <stp>[TREASURY.xlsx]Sheet1!R752C4</stp>
        <tr r="D752" s="1"/>
      </tp>
      <tp t="s">
        <v>#N/A N/A</v>
        <stp/>
        <stp>##V3_BDPV12</stp>
        <stp>912828X9 Govt</stp>
        <stp>YLD_YTM_BID</stp>
        <stp>[TREASURY.xlsx]Sheet1!R882C4</stp>
        <tr r="D882" s="1"/>
      </tp>
      <tp t="s">
        <v>#N/A N/A</v>
        <stp/>
        <stp>##V3_BDPV12</stp>
        <stp>912828M9 Govt</stp>
        <stp>YLD_YTM_BID</stp>
        <stp>[TREASURY.xlsx]Sheet1!R592C4</stp>
        <tr r="D592" s="1"/>
      </tp>
      <tp t="s">
        <v>#N/A N/A</v>
        <stp/>
        <stp>##V3_BDPV12</stp>
        <stp>912828G9 Govt</stp>
        <stp>YLD_YTM_BID</stp>
        <stp>[TREASURY.xlsx]Sheet1!R422C4</stp>
        <tr r="D422" s="1"/>
      </tp>
      <tp t="s">
        <v>#N/A N/A</v>
        <stp/>
        <stp>##V3_BDPV12</stp>
        <stp>912828D2 Govt</stp>
        <stp>YLD_YTM_BID</stp>
        <stp>[TREASURY.xlsx]Sheet1!R619C4</stp>
        <tr r="D619" s="1"/>
      </tp>
      <tp t="s">
        <v>#N/A N/A</v>
        <stp/>
        <stp>##V3_BDPV12</stp>
        <stp>912827W3 Govt</stp>
        <stp>YLD_YTM_BID</stp>
        <stp>[TREASURY.xlsx]Sheet1!R928C4</stp>
        <tr r="D928" s="1"/>
      </tp>
      <tp t="s">
        <v>#N/A N/A</v>
        <stp/>
        <stp>##V3_BDPV12</stp>
        <stp>912828W2 Govt</stp>
        <stp>YLD_YTM_BID</stp>
        <stp>[TREASURY.xlsx]Sheet1!R679C4</stp>
        <tr r="D679" s="1"/>
      </tp>
      <tp t="s">
        <v>#N/A N/A</v>
        <stp/>
        <stp>##V3_BDPV12</stp>
        <stp>912828N8 Govt</stp>
        <stp>YLD_YTM_BID</stp>
        <stp>[TREASURY.xlsx]Sheet1!R343C4</stp>
        <tr r="D343" s="1"/>
      </tp>
      <tp>
        <v>7.7005566124133631E-2</v>
        <stp/>
        <stp>##V3_BDPV12</stp>
        <stp>912828U8 Govt</stp>
        <stp>YLD_YTM_BID</stp>
        <stp>[TREASURY.xlsx]Sheet1!R213C4</stp>
        <tr r="D213" s="1"/>
      </tp>
      <tp t="s">
        <v>5/31/2021</v>
        <stp/>
        <stp>##V3_BDPV12</stp>
        <stp>91282CAX Govt</stp>
        <stp>FIRST_CPN_DT</stp>
        <stp>[TREASURY.xlsx]Sheet1!R67C9</stp>
        <tr r="I67" s="1"/>
      </tp>
      <tp t="s">
        <v>5/31/2021</v>
        <stp/>
        <stp>##V3_BDPV12</stp>
        <stp>91282CAZ Govt</stp>
        <stp>FIRST_CPN_DT</stp>
        <stp>[TREASURY.xlsx]Sheet1!R45C9</stp>
        <tr r="I45" s="1"/>
      </tp>
      <tp t="s">
        <v>10/15/2021</v>
        <stp/>
        <stp>##V3_BDPV12</stp>
        <stp>91282CBV Govt</stp>
        <stp>FIRST_CPN_DT</stp>
        <stp>[TREASURY.xlsx]Sheet1!R89C9</stp>
        <tr r="I89" s="1"/>
      </tp>
      <tp t="s">
        <v>8/15/2018</v>
        <stp/>
        <stp>##V3_BDPV12</stp>
        <stp>9128283W Govt</stp>
        <stp>FIRST_CPN_DT</stp>
        <stp>[TREASURY.xlsx]Sheet1!R68C9</stp>
        <tr r="I68" s="1"/>
      </tp>
      <tp>
        <v>0.5</v>
        <stp/>
        <stp>##V3_BDPV12</stp>
        <stp>912828ZF Govt</stp>
        <stp>CPN</stp>
        <stp>[TREASURY.xlsx]Sheet1!R61C3</stp>
        <tr r="C61" s="1"/>
      </tp>
      <tp t="s">
        <v>#N/A Field Not Applicable</v>
        <stp/>
        <stp>##V3_BDPV12</stp>
        <stp>912828C6 Govt</stp>
        <stp>IDX_RATIO</stp>
        <stp>[TREASURY.xlsx]Sheet1!R349C20</stp>
        <tr r="T349" s="1"/>
      </tp>
      <tp t="s">
        <v>#N/A Field Not Applicable</v>
        <stp/>
        <stp>##V3_BDPV12</stp>
        <stp>912828C2 Govt</stp>
        <stp>IDX_RATIO</stp>
        <stp>[TREASURY.xlsx]Sheet1!R688C20</stp>
        <tr r="T688" s="1"/>
      </tp>
      <tp t="s">
        <v>#N/A Field Not Applicable</v>
        <stp/>
        <stp>##V3_BDPV12</stp>
        <stp>912828C5 Govt</stp>
        <stp>IDX_RATIO</stp>
        <stp>[TREASURY.xlsx]Sheet1!R342C20</stp>
        <tr r="T342" s="1"/>
      </tp>
      <tp t="s">
        <v>#N/A Field Not Applicable</v>
        <stp/>
        <stp>##V3_BDPV12</stp>
        <stp>912828C4 Govt</stp>
        <stp>IDX_RATIO</stp>
        <stp>[TREASURY.xlsx]Sheet1!R492C20</stp>
        <tr r="T492" s="1"/>
      </tp>
      <tp t="s">
        <v>#N/A Field Not Applicable</v>
        <stp/>
        <stp>##V3_BDPV12</stp>
        <stp>912828C7 Govt</stp>
        <stp>IDX_RATIO</stp>
        <stp>[TREASURY.xlsx]Sheet1!R416C20</stp>
        <tr r="T416" s="1"/>
      </tp>
      <tp t="s">
        <v>#N/A Field Not Applicable</v>
        <stp/>
        <stp>##V3_BDPV12</stp>
        <stp>912828C8 Govt</stp>
        <stp>IDX_RATIO</stp>
        <stp>[TREASURY.xlsx]Sheet1!R788C20</stp>
        <tr r="T788" s="1"/>
      </tp>
      <tp t="s">
        <v>#N/A Field Not Applicable</v>
        <stp/>
        <stp>##V3_BDPV12</stp>
        <stp>912828C3 Govt</stp>
        <stp>IDX_RATIO</stp>
        <stp>[TREASURY.xlsx]Sheet1!R838C20</stp>
        <tr r="T838" s="1"/>
      </tp>
      <tp t="s">
        <v>#N/A Field Not Applicable</v>
        <stp/>
        <stp>##V3_BDPV12</stp>
        <stp>912810CS Govt</stp>
        <stp>IDX_RATIO</stp>
        <stp>[TREASURY.xlsx]Sheet1!R660C20</stp>
        <tr r="T660" s="1"/>
      </tp>
      <tp t="s">
        <v>#N/A Field Not Applicable</v>
        <stp/>
        <stp>##V3_BDPV12</stp>
        <stp>912810CP Govt</stp>
        <stp>IDX_RATIO</stp>
        <stp>[TREASURY.xlsx]Sheet1!R405C20</stp>
        <tr r="T405" s="1"/>
      </tp>
      <tp t="s">
        <v>#N/A Field Not Applicable</v>
        <stp/>
        <stp>##V3_BDPV12</stp>
        <stp>912828CS Govt</stp>
        <stp>IDX_RATIO</stp>
        <stp>[TREASURY.xlsx]Sheet1!R462C20</stp>
        <tr r="T462" s="1"/>
      </tp>
      <tp t="s">
        <v>#N/A Field Not Applicable</v>
        <stp/>
        <stp>##V3_BDPV12</stp>
        <stp>912828CR Govt</stp>
        <stp>IDX_RATIO</stp>
        <stp>[TREASURY.xlsx]Sheet1!R510C20</stp>
        <tr r="T510" s="1"/>
      </tp>
      <tp t="s">
        <v>#N/A Field Not Applicable</v>
        <stp/>
        <stp>##V3_BDPV12</stp>
        <stp>912828CW Govt</stp>
        <stp>IDX_RATIO</stp>
        <stp>[TREASURY.xlsx]Sheet1!R603C20</stp>
        <tr r="T603" s="1"/>
      </tp>
      <tp t="s">
        <v>#N/A Field Not Applicable</v>
        <stp/>
        <stp>##V3_BDPV12</stp>
        <stp>912828CT Govt</stp>
        <stp>IDX_RATIO</stp>
        <stp>[TREASURY.xlsx]Sheet1!R514C20</stp>
        <tr r="T514" s="1"/>
      </tp>
      <tp t="s">
        <v>#N/A Field Not Applicable</v>
        <stp/>
        <stp>##V3_BDPV12</stp>
        <stp>912810CT Govt</stp>
        <stp>IDX_RATIO</stp>
        <stp>[TREASURY.xlsx]Sheet1!R501C20</stp>
        <tr r="T501" s="1"/>
      </tp>
      <tp t="s">
        <v>#N/A Field Not Applicable</v>
        <stp/>
        <stp>##V3_BDPV12</stp>
        <stp>912828CV Govt</stp>
        <stp>IDX_RATIO</stp>
        <stp>[TREASURY.xlsx]Sheet1!R508C20</stp>
        <tr r="T508" s="1"/>
      </tp>
      <tp t="s">
        <v>#N/A Field Not Applicable</v>
        <stp/>
        <stp>##V3_BDPV12</stp>
        <stp>912828CU Govt</stp>
        <stp>IDX_RATIO</stp>
        <stp>[TREASURY.xlsx]Sheet1!R636C20</stp>
        <tr r="T636" s="1"/>
      </tp>
      <tp t="s">
        <v>#N/A Field Not Applicable</v>
        <stp/>
        <stp>##V3_BDPV12</stp>
        <stp>912828CY Govt</stp>
        <stp>IDX_RATIO</stp>
        <stp>[TREASURY.xlsx]Sheet1!R477C20</stp>
        <tr r="T477" s="1"/>
      </tp>
      <tp t="s">
        <v>#N/A Field Not Applicable</v>
        <stp/>
        <stp>##V3_BDPV12</stp>
        <stp>912810CY Govt</stp>
        <stp>IDX_RATIO</stp>
        <stp>[TREASURY.xlsx]Sheet1!R414C20</stp>
        <tr r="T414" s="1"/>
      </tp>
      <tp t="s">
        <v>#N/A Field Not Applicable</v>
        <stp/>
        <stp>##V3_BDPV12</stp>
        <stp>912810CX Govt</stp>
        <stp>IDX_RATIO</stp>
        <stp>[TREASURY.xlsx]Sheet1!R661C20</stp>
        <tr r="T661" s="1"/>
      </tp>
      <tp t="s">
        <v>#N/A Field Not Applicable</v>
        <stp/>
        <stp>##V3_BDPV12</stp>
        <stp>912828CX Govt</stp>
        <stp>IDX_RATIO</stp>
        <stp>[TREASURY.xlsx]Sheet1!R659C20</stp>
        <tr r="T659" s="1"/>
      </tp>
      <tp t="s">
        <v>#N/A Field Not Applicable</v>
        <stp/>
        <stp>##V3_BDPV12</stp>
        <stp>912828CD Govt</stp>
        <stp>IDX_RATIO</stp>
        <stp>[TREASURY.xlsx]Sheet1!R384C20</stp>
        <tr r="T384" s="1"/>
      </tp>
      <tp t="s">
        <v>#N/A Field Not Applicable</v>
        <stp/>
        <stp>##V3_BDPV12</stp>
        <stp>912810CC Govt</stp>
        <stp>IDX_RATIO</stp>
        <stp>[TREASURY.xlsx]Sheet1!R526C20</stp>
        <tr r="T526" s="1"/>
      </tp>
      <tp t="s">
        <v>#N/A Field Not Applicable</v>
        <stp/>
        <stp>##V3_BDPV12</stp>
        <stp>912828CB Govt</stp>
        <stp>IDX_RATIO</stp>
        <stp>[TREASURY.xlsx]Sheet1!R331C20</stp>
        <tr r="T331" s="1"/>
      </tp>
      <tp t="s">
        <v>#N/A Field Not Applicable</v>
        <stp/>
        <stp>##V3_BDPV12</stp>
        <stp>912828CC Govt</stp>
        <stp>IDX_RATIO</stp>
        <stp>[TREASURY.xlsx]Sheet1!R325C20</stp>
        <tr r="T325" s="1"/>
      </tp>
      <tp t="s">
        <v>#N/A Field Not Applicable</v>
        <stp/>
        <stp>##V3_BDPV12</stp>
        <stp>912828CG Govt</stp>
        <stp>IDX_RATIO</stp>
        <stp>[TREASURY.xlsx]Sheet1!R789C20</stp>
        <tr r="T789" s="1"/>
      </tp>
      <tp t="s">
        <v>#N/A Field Not Applicable</v>
        <stp/>
        <stp>##V3_BDPV12</stp>
        <stp>912828CF Govt</stp>
        <stp>IDX_RATIO</stp>
        <stp>[TREASURY.xlsx]Sheet1!R465C20</stp>
        <tr r="T465" s="1"/>
      </tp>
      <tp t="s">
        <v>#N/A Field Not Applicable</v>
        <stp/>
        <stp>##V3_BDPV12</stp>
        <stp>912828CA Govt</stp>
        <stp>IDX_RATIO</stp>
        <stp>[TREASURY.xlsx]Sheet1!R337C20</stp>
        <tr r="T337" s="1"/>
      </tp>
      <tp t="s">
        <v>#N/A Field Not Applicable</v>
        <stp/>
        <stp>##V3_BDPV12</stp>
        <stp>912828CH Govt</stp>
        <stp>IDX_RATIO</stp>
        <stp>[TREASURY.xlsx]Sheet1!R559C20</stp>
        <tr r="T559" s="1"/>
      </tp>
      <tp t="s">
        <v>#N/A Field Not Applicable</v>
        <stp/>
        <stp>##V3_BDPV12</stp>
        <stp>912828CK Govt</stp>
        <stp>IDX_RATIO</stp>
        <stp>[TREASURY.xlsx]Sheet1!R790C20</stp>
        <tr r="T790" s="1"/>
      </tp>
      <tp t="s">
        <v>#N/A Field Not Applicable</v>
        <stp/>
        <stp>##V3_BDPV12</stp>
        <stp>912828CL Govt</stp>
        <stp>IDX_RATIO</stp>
        <stp>[TREASURY.xlsx]Sheet1!R557C20</stp>
        <tr r="T557" s="1"/>
      </tp>
      <tp t="s">
        <v>#N/A Field Not Applicable</v>
        <stp/>
        <stp>##V3_BDPV12</stp>
        <stp>912828CJ Govt</stp>
        <stp>IDX_RATIO</stp>
        <stp>[TREASURY.xlsx]Sheet1!R393C20</stp>
        <tr r="T393" s="1"/>
      </tp>
      <tp t="s">
        <v>#N/A Field Not Applicable</v>
        <stp/>
        <stp>##V3_BDPV12</stp>
        <stp>912828CM Govt</stp>
        <stp>IDX_RATIO</stp>
        <stp>[TREASURY.xlsx]Sheet1!R493C20</stp>
        <tr r="T493" s="1"/>
      </tp>
      <tp t="s">
        <v>#N/A Field Not Applicable</v>
        <stp/>
        <stp>##V3_BDPV12</stp>
        <stp>912828CN Govt</stp>
        <stp>IDX_RATIO</stp>
        <stp>[TREASURY.xlsx]Sheet1!R696C20</stp>
        <tr r="T696" s="1"/>
      </tp>
      <tp t="s">
        <v>ACT/ACT</v>
        <stp/>
        <stp>##V3_BDPV12</stp>
        <stp>912810SS Govt</stp>
        <stp>DAY_CNT_DES</stp>
        <stp>[TREASURY.xlsx]Sheet1!R37C17</stp>
        <tr r="Q37" s="1"/>
      </tp>
      <tp t="s">
        <v>ACT/ACT</v>
        <stp/>
        <stp>##V3_BDPV12</stp>
        <stp>91282CBS Govt</stp>
        <stp>DAY_CNT_DES</stp>
        <stp>[TREASURY.xlsx]Sheet1!R75C17</stp>
        <tr r="Q75" s="1"/>
      </tp>
      <tp t="s">
        <v>ACT/ACT</v>
        <stp/>
        <stp>##V3_BDPV12</stp>
        <stp>912828YS Govt</stp>
        <stp>DAY_CNT_DES</stp>
        <stp>[TREASURY.xlsx]Sheet1!R38C17</stp>
        <tr r="Q38" s="1"/>
      </tp>
      <tp t="s">
        <v>S/A</v>
        <stp/>
        <stp>##V3_BDPV12</stp>
        <stp>912828J2 Govt</stp>
        <stp>COUPON_FREQUENCY_DESCRIPTION</stp>
        <stp>[TREASURY.xlsx]Sheet1!R94C10</stp>
        <tr r="J94" s="1"/>
      </tp>
      <tp t="s">
        <v>S/A</v>
        <stp/>
        <stp>##V3_BDPV12</stp>
        <stp>912828K7 Govt</stp>
        <stp>COUPON_FREQUENCY_DESCRIPTION</stp>
        <stp>[TREASURY.xlsx]Sheet1!R81C10</stp>
        <tr r="J81" s="1"/>
      </tp>
      <tp t="s">
        <v>S/A</v>
        <stp/>
        <stp>##V3_BDPV12</stp>
        <stp>912828D5 Govt</stp>
        <stp>COUPON_FREQUENCY_DESCRIPTION</stp>
        <stp>[TREASURY.xlsx]Sheet1!R70C10</stp>
        <tr r="J70" s="1"/>
      </tp>
      <tp t="s">
        <v>S/A</v>
        <stp/>
        <stp>##V3_BDPV12</stp>
        <stp>912828YF Govt</stp>
        <stp>COUPON_FREQUENCY_DESCRIPTION</stp>
        <stp>[TREASURY.xlsx]Sheet1!R76C10</stp>
        <tr r="J76" s="1"/>
      </tp>
      <tp t="s">
        <v>S/A</v>
        <stp/>
        <stp>##V3_BDPV12</stp>
        <stp>912828YG Govt</stp>
        <stp>COUPON_FREQUENCY_DESCRIPTION</stp>
        <stp>[TREASURY.xlsx]Sheet1!R69C10</stp>
        <tr r="J69" s="1"/>
      </tp>
      <tp t="s">
        <v>S/A</v>
        <stp/>
        <stp>##V3_BDPV12</stp>
        <stp>912828ZL Govt</stp>
        <stp>COUPON_FREQUENCY_DESCRIPTION</stp>
        <stp>[TREASURY.xlsx]Sheet1!R66C10</stp>
        <tr r="J66" s="1"/>
      </tp>
      <tp t="s">
        <v>S/A</v>
        <stp/>
        <stp>##V3_BDPV12</stp>
        <stp>912828ZF Govt</stp>
        <stp>COUPON_FREQUENCY_DESCRIPTION</stp>
        <stp>[TREASURY.xlsx]Sheet1!R61C10</stp>
        <tr r="J61" s="1"/>
      </tp>
      <tp t="s">
        <v>S/A</v>
        <stp/>
        <stp>##V3_BDPV12</stp>
        <stp>912828ZG Govt</stp>
        <stp>COUPON_FREQUENCY_DESCRIPTION</stp>
        <stp>[TREASURY.xlsx]Sheet1!R62C10</stp>
        <tr r="J62" s="1"/>
      </tp>
      <tp t="s">
        <v>S/A</v>
        <stp/>
        <stp>##V3_BDPV12</stp>
        <stp>912828ZC Govt</stp>
        <stp>COUPON_FREQUENCY_DESCRIPTION</stp>
        <stp>[TREASURY.xlsx]Sheet1!R74C10</stp>
        <tr r="J74" s="1"/>
      </tp>
      <tp t="s">
        <v>S/A</v>
        <stp/>
        <stp>##V3_BDPV12</stp>
        <stp>912828U2 Govt</stp>
        <stp>COUPON_FREQUENCY_DESCRIPTION</stp>
        <stp>[TREASURY.xlsx]Sheet1!R84C10</stp>
        <tr r="J84" s="1"/>
      </tp>
      <tp t="s">
        <v>S/A</v>
        <stp/>
        <stp>##V3_BDPV12</stp>
        <stp>912828YS Govt</stp>
        <stp>COUPON_FREQUENCY_DESCRIPTION</stp>
        <stp>[TREASURY.xlsx]Sheet1!R38C10</stp>
        <tr r="J38" s="1"/>
      </tp>
      <tp t="s">
        <v>S/A</v>
        <stp/>
        <stp>##V3_BDPV12</stp>
        <stp>912828YB Govt</stp>
        <stp>COUPON_FREQUENCY_DESCRIPTION</stp>
        <stp>[TREASURY.xlsx]Sheet1!R26C10</stp>
        <tr r="J26" s="1"/>
      </tp>
      <tp t="s">
        <v>S/A</v>
        <stp/>
        <stp>##V3_BDPV12</stp>
        <stp>912828Z9 Govt</stp>
        <stp>COUPON_FREQUENCY_DESCRIPTION</stp>
        <stp>[TREASURY.xlsx]Sheet1!R25C10</stp>
        <tr r="J25" s="1"/>
      </tp>
      <tp t="s">
        <v>S/A</v>
        <stp/>
        <stp>##V3_BDPV12</stp>
        <stp>912828ZQ Govt</stp>
        <stp>COUPON_FREQUENCY_DESCRIPTION</stp>
        <stp>[TREASURY.xlsx]Sheet1!R31C10</stp>
        <tr r="J31" s="1"/>
      </tp>
      <tp t="s">
        <v>S/A</v>
        <stp/>
        <stp>##V3_BDPV12</stp>
        <stp>912828P4 Govt</stp>
        <stp>COUPON_FREQUENCY_DESCRIPTION</stp>
        <stp>[TREASURY.xlsx]Sheet1!R91C10</stp>
        <tr r="J91" s="1"/>
      </tp>
      <tp t="s">
        <v>S/A</v>
        <stp/>
        <stp>##V3_BDPV12</stp>
        <stp>912828ZT Govt</stp>
        <stp>COUPON_FREQUENCY_DESCRIPTION</stp>
        <stp>[TREASURY.xlsx]Sheet1!R85C10</stp>
        <tr r="J85" s="1"/>
      </tp>
      <tp t="s">
        <v>S/A</v>
        <stp/>
        <stp>##V3_BDPV12</stp>
        <stp>912828Z5 Govt</stp>
        <stp>COUPON_FREQUENCY_DESCRIPTION</stp>
        <stp>[TREASURY.xlsx]Sheet1!R83C10</stp>
        <tr r="J83" s="1"/>
      </tp>
      <tp t="s">
        <v>S/A</v>
        <stp/>
        <stp>##V3_BDPV12</stp>
        <stp>912828YQ Govt</stp>
        <stp>COUPON_FREQUENCY_DESCRIPTION</stp>
        <stp>[TREASURY.xlsx]Sheet1!R87C10</stp>
        <tr r="J87" s="1"/>
      </tp>
      <tp t="s">
        <v>S/A</v>
        <stp/>
        <stp>##V3_BDPV12</stp>
        <stp>912828YJ Govt</stp>
        <stp>COUPON_FREQUENCY_DESCRIPTION</stp>
        <stp>[TREASURY.xlsx]Sheet1!R80C10</stp>
        <tr r="J80" s="1"/>
      </tp>
      <tp t="s">
        <v>S/A</v>
        <stp/>
        <stp>##V3_BDPV12</stp>
        <stp>912828X8 Govt</stp>
        <stp>COUPON_FREQUENCY_DESCRIPTION</stp>
        <stp>[TREASURY.xlsx]Sheet1!R97C10</stp>
        <tr r="J97" s="1"/>
      </tp>
      <tp t="s">
        <v>S/A</v>
        <stp/>
        <stp>##V3_BDPV12</stp>
        <stp>9128282R Govt</stp>
        <stp>COUPON_FREQUENCY_DESCRIPTION</stp>
        <stp>[TREASURY.xlsx]Sheet1!R98C10</stp>
        <tr r="J98" s="1"/>
      </tp>
      <tp t="s">
        <v>S/A</v>
        <stp/>
        <stp>##V3_BDPV12</stp>
        <stp>9128284V Govt</stp>
        <stp>COUPON_FREQUENCY_DESCRIPTION</stp>
        <stp>[TREASURY.xlsx]Sheet1!R23C10</stp>
        <tr r="J23" s="1"/>
      </tp>
      <tp t="s">
        <v>S/A</v>
        <stp/>
        <stp>##V3_BDPV12</stp>
        <stp>9128282A Govt</stp>
        <stp>COUPON_FREQUENCY_DESCRIPTION</stp>
        <stp>[TREASURY.xlsx]Sheet1!R56C10</stp>
        <tr r="J56" s="1"/>
      </tp>
      <tp t="s">
        <v>S/A</v>
        <stp/>
        <stp>##V3_BDPV12</stp>
        <stp>9128283W Govt</stp>
        <stp>COUPON_FREQUENCY_DESCRIPTION</stp>
        <stp>[TREASURY.xlsx]Sheet1!R68C10</stp>
        <tr r="J68" s="1"/>
      </tp>
      <tp t="s">
        <v>S/A</v>
        <stp/>
        <stp>##V3_BDPV12</stp>
        <stp>9128283F Govt</stp>
        <stp>COUPON_FREQUENCY_DESCRIPTION</stp>
        <stp>[TREASURY.xlsx]Sheet1!R65C10</stp>
        <tr r="J65" s="1"/>
      </tp>
      <tp t="s">
        <v>S/A</v>
        <stp/>
        <stp>##V3_BDPV12</stp>
        <stp>9128286T Govt</stp>
        <stp>COUPON_FREQUENCY_DESCRIPTION</stp>
        <stp>[TREASURY.xlsx]Sheet1!R48C10</stp>
        <tr r="J48" s="1"/>
      </tp>
      <tp t="s">
        <v>S/A</v>
        <stp/>
        <stp>##V3_BDPV12</stp>
        <stp>9128286B Govt</stp>
        <stp>COUPON_FREQUENCY_DESCRIPTION</stp>
        <stp>[TREASURY.xlsx]Sheet1!R43C10</stp>
        <tr r="J43" s="1"/>
      </tp>
      <tp t="s">
        <v>S/A</v>
        <stp/>
        <stp>##V3_BDPV12</stp>
        <stp>9128284N Govt</stp>
        <stp>COUPON_FREQUENCY_DESCRIPTION</stp>
        <stp>[TREASURY.xlsx]Sheet1!R71C10</stp>
        <tr r="J71" s="1"/>
      </tp>
      <tp t="s">
        <v>S/A</v>
        <stp/>
        <stp>##V3_BDPV12</stp>
        <stp>9128285M Govt</stp>
        <stp>COUPON_FREQUENCY_DESCRIPTION</stp>
        <stp>[TREASURY.xlsx]Sheet1!R51C10</stp>
        <tr r="J51" s="1"/>
      </tp>
      <tp t="s">
        <v>S/A</v>
        <stp/>
        <stp>##V3_BDPV12</stp>
        <stp>9128285D Govt</stp>
        <stp>COUPON_FREQUENCY_DESCRIPTION</stp>
        <stp>[TREASURY.xlsx]Sheet1!R54C10</stp>
        <tr r="J54" s="1"/>
      </tp>
      <tp>
        <v>3</v>
        <stp/>
        <stp>##V3_BDPV12</stp>
        <stp>912810RV Govt</stp>
        <stp>CPN</stp>
        <stp>[TREASURY.xlsx]Sheet1!R28C3</stp>
        <tr r="C28" s="1"/>
      </tp>
      <tp>
        <v>1.4562771776093719</v>
        <stp/>
        <stp>##V3_BDPV12</stp>
        <stp>912828ZQ Govt</stp>
        <stp>YLD_YTM_BID</stp>
        <stp>[TREASURY.xlsx]Sheet1!R31C4</stp>
        <tr r="D31" s="1"/>
      </tp>
      <tp>
        <v>2</v>
        <stp/>
        <stp>##V3_BDPV12</stp>
        <stp>912828U8 Govt</stp>
        <stp>CPN</stp>
        <stp>[TREASURY.xlsx]Sheet1!R213C3</stp>
        <tr r="C213" s="1"/>
      </tp>
      <tp>
        <v>1.375</v>
        <stp/>
        <stp>##V3_BDPV12</stp>
        <stp>912828N8 Govt</stp>
        <stp>CPN</stp>
        <stp>[TREASURY.xlsx]Sheet1!R343C3</stp>
        <tr r="C343" s="1"/>
      </tp>
      <tp>
        <v>1.625</v>
        <stp/>
        <stp>##V3_BDPV12</stp>
        <stp>912828D2 Govt</stp>
        <stp>CPN</stp>
        <stp>[TREASURY.xlsx]Sheet1!R619C3</stp>
        <tr r="C619" s="1"/>
      </tp>
      <tp>
        <v>5.25</v>
        <stp/>
        <stp>##V3_BDPV12</stp>
        <stp>912827W3 Govt</stp>
        <stp>CPN</stp>
        <stp>[TREASURY.xlsx]Sheet1!R928C3</stp>
        <tr r="C928" s="1"/>
      </tp>
      <tp>
        <v>1.375</v>
        <stp/>
        <stp>##V3_BDPV12</stp>
        <stp>912828W2 Govt</stp>
        <stp>CPN</stp>
        <stp>[TREASURY.xlsx]Sheet1!R679C3</stp>
        <tr r="C679" s="1"/>
      </tp>
      <tp>
        <v>1.625</v>
        <stp/>
        <stp>##V3_BDPV12</stp>
        <stp>912828G9 Govt</stp>
        <stp>CPN</stp>
        <stp>[TREASURY.xlsx]Sheet1!R422C3</stp>
        <tr r="C422" s="1"/>
      </tp>
      <tp>
        <v>1.625</v>
        <stp/>
        <stp>##V3_BDPV12</stp>
        <stp>912828M9 Govt</stp>
        <stp>CPN</stp>
        <stp>[TREASURY.xlsx]Sheet1!R592C3</stp>
        <tr r="C592" s="1"/>
      </tp>
      <tp>
        <v>6.25</v>
        <stp/>
        <stp>##V3_BDPV12</stp>
        <stp>912827D9 Govt</stp>
        <stp>CPN</stp>
        <stp>[TREASURY.xlsx]Sheet1!R702C3</stp>
        <tr r="C702" s="1"/>
      </tp>
      <tp>
        <v>0.75</v>
        <stp/>
        <stp>##V3_BDPV12</stp>
        <stp>912828C3 Govt</stp>
        <stp>CPN</stp>
        <stp>[TREASURY.xlsx]Sheet1!R838C3</stp>
        <tr r="C838" s="1"/>
      </tp>
      <tp>
        <v>0.5</v>
        <stp/>
        <stp>##V3_BDPV12</stp>
        <stp>912828J9 Govt</stp>
        <stp>CPN</stp>
        <stp>[TREASURY.xlsx]Sheet1!R852C3</stp>
        <tr r="C852" s="1"/>
      </tp>
      <tp>
        <v>6</v>
        <stp/>
        <stp>##V3_BDPV12</stp>
        <stp>912827U9 Govt</stp>
        <stp>CPN</stp>
        <stp>[TREASURY.xlsx]Sheet1!R752C3</stp>
        <tr r="C752" s="1"/>
      </tp>
      <tp>
        <v>1.5</v>
        <stp/>
        <stp>##V3_BDPV12</stp>
        <stp>912828X9 Govt</stp>
        <stp>CPN</stp>
        <stp>[TREASURY.xlsx]Sheet1!R882C3</stp>
        <tr r="C882" s="1"/>
      </tp>
      <tp>
        <v>0.875</v>
        <stp/>
        <stp>##V3_BDPV12</stp>
        <stp>912828H3 Govt</stp>
        <stp>CPN</stp>
        <stp>[TREASURY.xlsx]Sheet1!R968C3</stp>
        <tr r="C968" s="1"/>
      </tp>
      <tp t="s">
        <v>#N/A N/A</v>
        <stp/>
        <stp>##V3_BDPV12</stp>
        <stp>912828C2 Govt</stp>
        <stp>YLD_YTM_BID</stp>
        <stp>[TREASURY.xlsx]Sheet1!R688C4</stp>
        <tr r="D688" s="1"/>
      </tp>
      <tp t="s">
        <v>#N/A N/A</v>
        <stp/>
        <stp>##V3_BDPV12</stp>
        <stp>912827V9 Govt</stp>
        <stp>YLD_YTM_BID</stp>
        <stp>[TREASURY.xlsx]Sheet1!R923C4</stp>
        <tr r="D923" s="1"/>
      </tp>
      <tp>
        <v>0.15910094408329462</v>
        <stp/>
        <stp>##V3_BDPV12</stp>
        <stp>912828N3 Govt</stp>
        <stp>YLD_YTM_BID</stp>
        <stp>[TREASURY.xlsx]Sheet1!R129C4</stp>
        <tr r="D129" s="1"/>
      </tp>
      <tp t="s">
        <v>#N/A N/A</v>
        <stp/>
        <stp>##V3_BDPV12</stp>
        <stp>912828W9 Govt</stp>
        <stp>YLD_YTM_BID</stp>
        <stp>[TREASURY.xlsx]Sheet1!R363C4</stp>
        <tr r="D363" s="1"/>
      </tp>
      <tp t="s">
        <v>8/15/2017</v>
        <stp/>
        <stp>##V3_BDPV12</stp>
        <stp>912810RV Govt</stp>
        <stp>FIRST_CPN_DT</stp>
        <stp>[TREASURY.xlsx]Sheet1!R28C9</stp>
        <tr r="I28" s="1"/>
      </tp>
      <tp t="s">
        <v>10/31/2021</v>
        <stp/>
        <stp>##V3_BDPV12</stp>
        <stp>91282CBW Govt</stp>
        <stp>FIRST_CPN_DT</stp>
        <stp>[TREASURY.xlsx]Sheet1!R29C9</stp>
        <tr r="I29" s="1"/>
      </tp>
      <tp>
        <v>0.65905304317084812</v>
        <stp/>
        <stp>##V3_BDPV12</stp>
        <stp>912828ZF Govt</stp>
        <stp>YLD_YTM_BID</stp>
        <stp>[TREASURY.xlsx]Sheet1!R61C4</stp>
        <tr r="D61" s="1"/>
      </tp>
      <tp t="s">
        <v>#N/A Field Not Applicable</v>
        <stp/>
        <stp>##V3_BDPV12</stp>
        <stp>912828B6 Govt</stp>
        <stp>IDX_RATIO</stp>
        <stp>[TREASURY.xlsx]Sheet1!R110C20</stp>
        <tr r="T110" s="1"/>
      </tp>
      <tp t="s">
        <v>#N/A Field Not Applicable</v>
        <stp/>
        <stp>##V3_BDPV12</stp>
        <stp>912828B4 Govt</stp>
        <stp>IDX_RATIO</stp>
        <stp>[TREASURY.xlsx]Sheet1!R458C20</stp>
        <tr r="T458" s="1"/>
      </tp>
      <tp t="s">
        <v>#N/A Field Not Applicable</v>
        <stp/>
        <stp>##V3_BDPV12</stp>
        <stp>912828B5 Govt</stp>
        <stp>IDX_RATIO</stp>
        <stp>[TREASURY.xlsx]Sheet1!R647C20</stp>
        <tr r="T647" s="1"/>
      </tp>
      <tp t="s">
        <v>#N/A Field Not Applicable</v>
        <stp/>
        <stp>##V3_BDPV12</stp>
        <stp>912828B8 Govt</stp>
        <stp>IDX_RATIO</stp>
        <stp>[TREASURY.xlsx]Sheet1!R571C20</stp>
        <tr r="T571" s="1"/>
      </tp>
      <tp t="s">
        <v>#N/A Field Not Applicable</v>
        <stp/>
        <stp>##V3_BDPV12</stp>
        <stp>912828B9 Govt</stp>
        <stp>IDX_RATIO</stp>
        <stp>[TREASURY.xlsx]Sheet1!R371C20</stp>
        <tr r="T371" s="1"/>
      </tp>
      <tp t="s">
        <v>#N/A Field Not Applicable</v>
        <stp/>
        <stp>##V3_BDPV12</stp>
        <stp>912828BS Govt</stp>
        <stp>IDX_RATIO</stp>
        <stp>[TREASURY.xlsx]Sheet1!R628C20</stp>
        <tr r="T628" s="1"/>
      </tp>
      <tp t="s">
        <v>#N/A Field Not Applicable</v>
        <stp/>
        <stp>##V3_BDPV12</stp>
        <stp>912828BQ Govt</stp>
        <stp>IDX_RATIO</stp>
        <stp>[TREASURY.xlsx]Sheet1!R435C20</stp>
        <tr r="T435" s="1"/>
      </tp>
      <tp t="s">
        <v>#N/A Field Not Applicable</v>
        <stp/>
        <stp>##V3_BDPV12</stp>
        <stp>912828BR Govt</stp>
        <stp>IDX_RATIO</stp>
        <stp>[TREASURY.xlsx]Sheet1!R541C20</stp>
        <tr r="T541" s="1"/>
      </tp>
      <tp t="s">
        <v>#N/A Field Not Applicable</v>
        <stp/>
        <stp>##V3_BDPV12</stp>
        <stp>912828BP Govt</stp>
        <stp>IDX_RATIO</stp>
        <stp>[TREASURY.xlsx]Sheet1!R648C20</stp>
        <tr r="T648" s="1"/>
      </tp>
      <tp t="s">
        <v>#N/A Field Not Applicable</v>
        <stp/>
        <stp>##V3_BDPV12</stp>
        <stp>912828BU Govt</stp>
        <stp>IDX_RATIO</stp>
        <stp>[TREASURY.xlsx]Sheet1!R533C20</stp>
        <tr r="T533" s="1"/>
      </tp>
      <tp t="s">
        <v>#N/A Field Not Applicable</v>
        <stp/>
        <stp>##V3_BDPV12</stp>
        <stp>912828BT Govt</stp>
        <stp>IDX_RATIO</stp>
        <stp>[TREASURY.xlsx]Sheet1!R787C20</stp>
        <tr r="T787" s="1"/>
      </tp>
      <tp t="s">
        <v>#N/A Field Not Applicable</v>
        <stp/>
        <stp>##V3_BDPV12</stp>
        <stp>912828BV Govt</stp>
        <stp>IDX_RATIO</stp>
        <stp>[TREASURY.xlsx]Sheet1!R495C20</stp>
        <tr r="T495" s="1"/>
      </tp>
      <tp t="s">
        <v>#N/A Field Not Applicable</v>
        <stp/>
        <stp>##V3_BDPV12</stp>
        <stp>912828BX Govt</stp>
        <stp>IDX_RATIO</stp>
        <stp>[TREASURY.xlsx]Sheet1!R556C20</stp>
        <tr r="T556" s="1"/>
      </tp>
      <tp t="s">
        <v>#N/A Field Not Applicable</v>
        <stp/>
        <stp>##V3_BDPV12</stp>
        <stp>912828BY Govt</stp>
        <stp>IDX_RATIO</stp>
        <stp>[TREASURY.xlsx]Sheet1!R506C20</stp>
        <tr r="T506" s="1"/>
      </tp>
      <tp t="s">
        <v>#N/A Field Not Applicable</v>
        <stp/>
        <stp>##V3_BDPV12</stp>
        <stp>912828BZ Govt</stp>
        <stp>IDX_RATIO</stp>
        <stp>[TREASURY.xlsx]Sheet1!R436C20</stp>
        <tr r="T436" s="1"/>
      </tp>
      <tp t="s">
        <v>#N/A Field Not Applicable</v>
        <stp/>
        <stp>##V3_BDPV12</stp>
        <stp>91282CBZ Govt</stp>
        <stp>IDX_RATIO</stp>
        <stp>[TREASURY.xlsx]Sheet1!R126C20</stp>
        <tr r="T126" s="1"/>
      </tp>
      <tp t="s">
        <v>#N/A Field Not Applicable</v>
        <stp/>
        <stp>##V3_BDPV12</stp>
        <stp>912828BC Govt</stp>
        <stp>IDX_RATIO</stp>
        <stp>[TREASURY.xlsx]Sheet1!R641C20</stp>
        <tr r="T641" s="1"/>
      </tp>
      <tp t="s">
        <v>#N/A Field Not Applicable</v>
        <stp/>
        <stp>##V3_BDPV12</stp>
        <stp>912828BA Govt</stp>
        <stp>IDX_RATIO</stp>
        <stp>[TREASURY.xlsx]Sheet1!R408C20</stp>
        <tr r="T408" s="1"/>
      </tp>
      <tp t="s">
        <v>#N/A Field Not Applicable</v>
        <stp/>
        <stp>##V3_BDPV12</stp>
        <stp>91282CBE Govt</stp>
        <stp>IDX_RATIO</stp>
        <stp>[TREASURY.xlsx]Sheet1!R115C20</stp>
        <tr r="T115" s="1"/>
      </tp>
      <tp t="s">
        <v>#N/A Field Not Applicable</v>
        <stp/>
        <stp>##V3_BDPV12</stp>
        <stp>912828BN Govt</stp>
        <stp>IDX_RATIO</stp>
        <stp>[TREASURY.xlsx]Sheet1!R960C20</stp>
        <tr r="T960" s="1"/>
      </tp>
      <tp t="s">
        <v>#N/A Field Not Applicable</v>
        <stp/>
        <stp>##V3_BDPV12</stp>
        <stp>912828BB Govt</stp>
        <stp>IDX_RATIO</stp>
        <stp>[TREASURY.xlsx]Sheet1!R482C20</stp>
        <tr r="T482" s="1"/>
      </tp>
      <tp t="s">
        <v>#N/A Field Not Applicable</v>
        <stp/>
        <stp>##V3_BDPV12</stp>
        <stp>91282CBB Govt</stp>
        <stp>IDX_RATIO</stp>
        <stp>[TREASURY.xlsx]Sheet1!R114C20</stp>
        <tr r="T114" s="1"/>
      </tp>
      <tp t="s">
        <v>#N/A Field Not Applicable</v>
        <stp/>
        <stp>##V3_BDPV12</stp>
        <stp>912828BG Govt</stp>
        <stp>IDX_RATIO</stp>
        <stp>[TREASURY.xlsx]Sheet1!R427C20</stp>
        <tr r="T427" s="1"/>
      </tp>
      <tp t="s">
        <v>#N/A Field Not Applicable</v>
        <stp/>
        <stp>##V3_BDPV12</stp>
        <stp>912828BJ Govt</stp>
        <stp>IDX_RATIO</stp>
        <stp>[TREASURY.xlsx]Sheet1!R642C20</stp>
        <tr r="T642" s="1"/>
      </tp>
      <tp t="s">
        <v>#N/A Field Not Applicable</v>
        <stp/>
        <stp>##V3_BDPV12</stp>
        <stp>912828BH Govt</stp>
        <stp>IDX_RATIO</stp>
        <stp>[TREASURY.xlsx]Sheet1!R452C20</stp>
        <tr r="T452" s="1"/>
      </tp>
      <tp t="s">
        <v>#N/A Field Not Applicable</v>
        <stp/>
        <stp>##V3_BDPV12</stp>
        <stp>91282CBM Govt</stp>
        <stp>IDX_RATIO</stp>
        <stp>[TREASURY.xlsx]Sheet1!R107C20</stp>
        <tr r="T107" s="1"/>
      </tp>
      <tp t="s">
        <v>#N/A Field Not Applicable</v>
        <stp/>
        <stp>##V3_BDPV12</stp>
        <stp>912828BK Govt</stp>
        <stp>IDX_RATIO</stp>
        <stp>[TREASURY.xlsx]Sheet1!R786C20</stp>
        <tr r="T786" s="1"/>
      </tp>
      <tp t="s">
        <v>#N/A Field Not Applicable</v>
        <stp/>
        <stp>##V3_BDPV12</stp>
        <stp>912828BM Govt</stp>
        <stp>IDX_RATIO</stp>
        <stp>[TREASURY.xlsx]Sheet1!R453C20</stp>
        <tr r="T453" s="1"/>
      </tp>
      <tp t="s">
        <v>#N/A Field Not Applicable</v>
        <stp/>
        <stp>##V3_BDPV12</stp>
        <stp>912828BL Govt</stp>
        <stp>IDX_RATIO</stp>
        <stp>[TREASURY.xlsx]Sheet1!R513C20</stp>
        <tr r="T513" s="1"/>
      </tp>
      <tp t="s">
        <v>#N/A Field Not Applicable</v>
        <stp/>
        <stp>##V3_BDPV12</stp>
        <stp>91282CBJ Govt</stp>
        <stp>IDX_RATIO</stp>
        <stp>[TREASURY.xlsx]Sheet1!R123C20</stp>
        <tr r="T123" s="1"/>
      </tp>
      <tp t="s">
        <v>ACT/ACT</v>
        <stp/>
        <stp>##V3_BDPV12</stp>
        <stp>91282CBR Govt</stp>
        <stp>DAY_CNT_DES</stp>
        <stp>[TREASURY.xlsx]Sheet1!R55C17</stp>
        <tr r="Q55" s="1"/>
      </tp>
      <tp t="s">
        <v>ACT/ACT</v>
        <stp/>
        <stp>##V3_BDPV12</stp>
        <stp>91282CAR Govt</stp>
        <stp>DAY_CNT_DES</stp>
        <stp>[TREASURY.xlsx]Sheet1!R64C17</stp>
        <tr r="Q64" s="1"/>
      </tp>
      <tp t="s">
        <v>ACT/ACT</v>
        <stp/>
        <stp>##V3_BDPV12</stp>
        <stp>91282CCR Govt</stp>
        <stp>DAY_CNT_DES</stp>
        <stp>[TREASURY.xlsx]Sheet1!R20C17</stp>
        <tr r="Q20" s="1"/>
      </tp>
      <tp t="s">
        <v>ACT/ACT</v>
        <stp/>
        <stp>##V3_BDPV12</stp>
        <stp>9128282R Govt</stp>
        <stp>DAY_CNT_DES</stp>
        <stp>[TREASURY.xlsx]Sheet1!R98C17</stp>
        <tr r="Q98" s="1"/>
      </tp>
      <tp>
        <v>1.3054716299001514</v>
        <stp/>
        <stp>##V3_BDPV12</stp>
        <stp>91282CCV Govt</stp>
        <stp>YLD_YTM_BID</stp>
        <stp>[TREASURY.xlsx]Sheet1!R9C4</stp>
        <tr r="D9" s="1"/>
      </tp>
      <tp>
        <v>2</v>
        <stp/>
        <stp>##V3_BDPV12</stp>
        <stp>912828B9 Govt</stp>
        <stp>CPN</stp>
        <stp>[TREASURY.xlsx]Sheet1!R371C3</stp>
        <tr r="C371" s="1"/>
      </tp>
      <tp>
        <v>1.25</v>
        <stp/>
        <stp>##V3_BDPV12</stp>
        <stp>912828S9 Govt</stp>
        <stp>CPN</stp>
        <stp>[TREASURY.xlsx]Sheet1!R301C3</stp>
        <tr r="C301" s="1"/>
      </tp>
      <tp>
        <v>2</v>
        <stp/>
        <stp>##V3_BDPV12</stp>
        <stp>912828M8 Govt</stp>
        <stp>CPN</stp>
        <stp>[TREASURY.xlsx]Sheet1!R150C3</stp>
        <tr r="C150" s="1"/>
      </tp>
      <tp>
        <v>5.625</v>
        <stp/>
        <stp>##V3_BDPV12</stp>
        <stp>912827W8 Govt</stp>
        <stp>CPN</stp>
        <stp>[TREASURY.xlsx]Sheet1!R930C3</stp>
        <tr r="C930" s="1"/>
      </tp>
      <tp>
        <v>1</v>
        <stp/>
        <stp>##V3_BDPV12</stp>
        <stp>912828P9 Govt</stp>
        <stp>CPN</stp>
        <stp>[TREASURY.xlsx]Sheet1!R431C3</stp>
        <tr r="C431" s="1"/>
      </tp>
      <tp t="s">
        <v>#N/A N/A</v>
        <stp/>
        <stp>##V3_BDPV12</stp>
        <stp>912827X9 Govt</stp>
        <stp>YLD_YTM_BID</stp>
        <stp>[TREASURY.xlsx]Sheet1!R770C4</stp>
        <tr r="D770" s="1"/>
      </tp>
      <tp t="s">
        <v>#N/A N/A</v>
        <stp/>
        <stp>##V3_BDPV12</stp>
        <stp>912828B8 Govt</stp>
        <stp>YLD_YTM_BID</stp>
        <stp>[TREASURY.xlsx]Sheet1!R571C4</stp>
        <tr r="D571" s="1"/>
      </tp>
      <tp t="s">
        <v>#N/A N/A</v>
        <stp/>
        <stp>##V3_BDPV12</stp>
        <stp>912828J8 Govt</stp>
        <stp>YLD_YTM_BID</stp>
        <stp>[TREASURY.xlsx]Sheet1!R451C4</stp>
        <tr r="D451" s="1"/>
      </tp>
      <tp t="s">
        <v>#N/A N/A</v>
        <stp/>
        <stp>##V3_BDPV12</stp>
        <stp>912828A9 Govt</stp>
        <stp>YLD_YTM_BID</stp>
        <stp>[TREASURY.xlsx]Sheet1!R640C4</stp>
        <tr r="D640" s="1"/>
      </tp>
      <tp t="s">
        <v>#N/A N/A</v>
        <stp/>
        <stp>##V3_BDPV12</stp>
        <stp>912827Y8 Govt</stp>
        <stp>YLD_YTM_BID</stp>
        <stp>[TREASURY.xlsx]Sheet1!R941C4</stp>
        <tr r="D941" s="1"/>
      </tp>
      <tp>
        <v>6.4754295657042979E-2</v>
        <stp/>
        <stp>##V3_BDPV12</stp>
        <stp>912828W8 Govt</stp>
        <stp>YLD_YTM_BID</stp>
        <stp>[TREASURY.xlsx]Sheet1!R221C4</stp>
        <tr r="D221" s="1"/>
      </tp>
      <tp t="s">
        <v>8/15/2006</v>
        <stp/>
        <stp>##V3_BDPV12</stp>
        <stp>912810FT Govt</stp>
        <stp>FIRST_CPN_DT</stp>
        <stp>[TREASURY.xlsx]Sheet1!R79C9</stp>
        <tr r="I79" s="1"/>
      </tp>
      <tp t="s">
        <v>4/30/2021</v>
        <stp/>
        <stp>##V3_BDPV12</stp>
        <stp>91282CAT Govt</stp>
        <stp>FIRST_CPN_DT</stp>
        <stp>[TREASURY.xlsx]Sheet1!R39C9</stp>
        <tr r="I39" s="1"/>
      </tp>
      <tp>
        <v>6.78992763047125E-2</v>
        <stp/>
        <stp>##V3_BDPV12</stp>
        <stp>912828ZG Govt</stp>
        <stp>YLD_YTM_BID</stp>
        <stp>[TREASURY.xlsx]Sheet1!R62C4</stp>
        <tr r="D62" s="1"/>
      </tp>
      <tp>
        <v>1.5</v>
        <stp/>
        <stp>##V3_BDPV12</stp>
        <stp>912828YJ Govt</stp>
        <stp>CPN</stp>
        <stp>[TREASURY.xlsx]Sheet1!R80C3</stp>
        <tr r="C80" s="1"/>
      </tp>
      <tp t="s">
        <v>#N/A Field Not Applicable</v>
        <stp/>
        <stp>##V3_BDPV12</stp>
        <stp>912828A3 Govt</stp>
        <stp>IDX_RATIO</stp>
        <stp>[TREASURY.xlsx]Sheet1!R627C20</stp>
        <tr r="T627" s="1"/>
      </tp>
      <tp t="s">
        <v>#N/A Field Not Applicable</v>
        <stp/>
        <stp>##V3_BDPV12</stp>
        <stp>912828A4 Govt</stp>
        <stp>IDX_RATIO</stp>
        <stp>[TREASURY.xlsx]Sheet1!R555C20</stp>
        <tr r="T555" s="1"/>
      </tp>
      <tp t="s">
        <v>#N/A Field Not Applicable</v>
        <stp/>
        <stp>##V3_BDPV12</stp>
        <stp>912828A6 Govt</stp>
        <stp>IDX_RATIO</stp>
        <stp>[TREASURY.xlsx]Sheet1!R580C20</stp>
        <tr r="T580" s="1"/>
      </tp>
      <tp t="s">
        <v>#N/A Field Not Applicable</v>
        <stp/>
        <stp>##V3_BDPV12</stp>
        <stp>912828A7 Govt</stp>
        <stp>IDX_RATIO</stp>
        <stp>[TREASURY.xlsx]Sheet1!R481C20</stp>
        <tr r="T481" s="1"/>
      </tp>
      <tp t="s">
        <v>#N/A Field Not Applicable</v>
        <stp/>
        <stp>##V3_BDPV12</stp>
        <stp>912828A8 Govt</stp>
        <stp>IDX_RATIO</stp>
        <stp>[TREASURY.xlsx]Sheet1!R434C20</stp>
        <tr r="T434" s="1"/>
      </tp>
      <tp t="s">
        <v>#N/A Field Not Applicable</v>
        <stp/>
        <stp>##V3_BDPV12</stp>
        <stp>912828A9 Govt</stp>
        <stp>IDX_RATIO</stp>
        <stp>[TREASURY.xlsx]Sheet1!R640C20</stp>
        <tr r="T640" s="1"/>
      </tp>
      <tp t="s">
        <v>#N/A Field Not Applicable</v>
        <stp/>
        <stp>##V3_BDPV12</stp>
        <stp>912828AR Govt</stp>
        <stp>IDX_RATIO</stp>
        <stp>[TREASURY.xlsx]Sheet1!R658C20</stp>
        <tr r="T658" s="1"/>
      </tp>
      <tp t="s">
        <v>#N/A Field Not Applicable</v>
        <stp/>
        <stp>##V3_BDPV12</stp>
        <stp>91282CAU Govt</stp>
        <stp>IDX_RATIO</stp>
        <stp>[TREASURY.xlsx]Sheet1!R102C20</stp>
        <tr r="T102" s="1"/>
      </tp>
      <tp t="s">
        <v>#N/A Field Not Applicable</v>
        <stp/>
        <stp>##V3_BDPV12</stp>
        <stp>912828AQ Govt</stp>
        <stp>IDX_RATIO</stp>
        <stp>[TREASURY.xlsx]Sheet1!R512C20</stp>
        <tr r="T512" s="1"/>
      </tp>
      <tp t="s">
        <v>#N/A Field Not Applicable</v>
        <stp/>
        <stp>##V3_BDPV12</stp>
        <stp>912828AS Govt</stp>
        <stp>IDX_RATIO</stp>
        <stp>[TREASURY.xlsx]Sheet1!R785C20</stp>
        <tr r="T785" s="1"/>
      </tp>
      <tp t="s">
        <v>#N/A Field Not Applicable</v>
        <stp/>
        <stp>##V3_BDPV12</stp>
        <stp>91282CAW Govt</stp>
        <stp>IDX_RATIO</stp>
        <stp>[TREASURY.xlsx]Sheet1!R109C20</stp>
        <tr r="T109" s="1"/>
      </tp>
      <tp t="s">
        <v>#N/A Field Not Applicable</v>
        <stp/>
        <stp>##V3_BDPV12</stp>
        <stp>91282CAP Govt</stp>
        <stp>IDX_RATIO</stp>
        <stp>[TREASURY.xlsx]Sheet1!R151C20</stp>
        <tr r="T151" s="1"/>
      </tp>
      <tp t="s">
        <v>#N/A Field Not Applicable</v>
        <stp/>
        <stp>##V3_BDPV12</stp>
        <stp>912828AW Govt</stp>
        <stp>IDX_RATIO</stp>
        <stp>[TREASURY.xlsx]Sheet1!R667C20</stp>
        <tr r="T667" s="1"/>
      </tp>
      <tp t="s">
        <v>#N/A Field Not Applicable</v>
        <stp/>
        <stp>##V3_BDPV12</stp>
        <stp>912828AU Govt</stp>
        <stp>IDX_RATIO</stp>
        <stp>[TREASURY.xlsx]Sheet1!R474C20</stp>
        <tr r="T474" s="1"/>
      </tp>
      <tp t="s">
        <v>#N/A Field Not Applicable</v>
        <stp/>
        <stp>##V3_BDPV12</stp>
        <stp>912828AV Govt</stp>
        <stp>IDX_RATIO</stp>
        <stp>[TREASURY.xlsx]Sheet1!R602C20</stp>
        <tr r="T602" s="1"/>
      </tp>
      <tp t="s">
        <v>#N/A Field Not Applicable</v>
        <stp/>
        <stp>##V3_BDPV12</stp>
        <stp>912828AT Govt</stp>
        <stp>IDX_RATIO</stp>
        <stp>[TREASURY.xlsx]Sheet1!R635C20</stp>
        <tr r="T635" s="1"/>
      </tp>
      <tp t="s">
        <v>#N/A Field Not Applicable</v>
        <stp/>
        <stp>##V3_BDPV12</stp>
        <stp>912828AX Govt</stp>
        <stp>IDX_RATIO</stp>
        <stp>[TREASURY.xlsx]Sheet1!R502C20</stp>
        <tr r="T502" s="1"/>
      </tp>
      <tp t="s">
        <v>#N/A Field Not Applicable</v>
        <stp/>
        <stp>##V3_BDPV12</stp>
        <stp>912828AY Govt</stp>
        <stp>IDX_RATIO</stp>
        <stp>[TREASURY.xlsx]Sheet1!R507C20</stp>
        <tr r="T507" s="1"/>
      </tp>
      <tp t="s">
        <v>#N/A Field Not Applicable</v>
        <stp/>
        <stp>##V3_BDPV12</stp>
        <stp>912828AZ Govt</stp>
        <stp>IDX_RATIO</stp>
        <stp>[TREASURY.xlsx]Sheet1!R415C20</stp>
        <tr r="T415" s="1"/>
      </tp>
      <tp t="s">
        <v>#N/A Field Not Applicable</v>
        <stp/>
        <stp>##V3_BDPV12</stp>
        <stp>91282CAY Govt</stp>
        <stp>IDX_RATIO</stp>
        <stp>[TREASURY.xlsx]Sheet1!R144C20</stp>
        <tr r="T144" s="1"/>
      </tp>
      <tp t="s">
        <v>#N/A Field Not Applicable</v>
        <stp/>
        <stp>##V3_BDPV12</stp>
        <stp>912828AA Govt</stp>
        <stp>IDX_RATIO</stp>
        <stp>[TREASURY.xlsx]Sheet1!R426C20</stp>
        <tr r="T426" s="1"/>
      </tp>
      <tp t="s">
        <v>#N/A Field Not Applicable</v>
        <stp/>
        <stp>##V3_BDPV12</stp>
        <stp>91282CAD Govt</stp>
        <stp>IDX_RATIO</stp>
        <stp>[TREASURY.xlsx]Sheet1!R132C20</stp>
        <tr r="T132" s="1"/>
      </tp>
      <tp t="s">
        <v>#N/A Field Not Applicable</v>
        <stp/>
        <stp>##V3_BDPV12</stp>
        <stp>91282CAF Govt</stp>
        <stp>IDX_RATIO</stp>
        <stp>[TREASURY.xlsx]Sheet1!R195C20</stp>
        <tr r="T195" s="1"/>
      </tp>
      <tp t="s">
        <v>#N/A Field Not Applicable</v>
        <stp/>
        <stp>##V3_BDPV12</stp>
        <stp>91282CAG Govt</stp>
        <stp>IDX_RATIO</stp>
        <stp>[TREASURY.xlsx]Sheet1!R133C20</stp>
        <tr r="T133" s="1"/>
      </tp>
      <tp t="s">
        <v>#N/A Field Not Applicable</v>
        <stp/>
        <stp>##V3_BDPV12</stp>
        <stp>912828AD Govt</stp>
        <stp>IDX_RATIO</stp>
        <stp>[TREASURY.xlsx]Sheet1!R412C20</stp>
        <tr r="T412" s="1"/>
      </tp>
      <tp t="s">
        <v>#N/A Field Not Applicable</v>
        <stp/>
        <stp>##V3_BDPV12</stp>
        <stp>912828AE Govt</stp>
        <stp>IDX_RATIO</stp>
        <stp>[TREASURY.xlsx]Sheet1!R530C20</stp>
        <tr r="T530" s="1"/>
      </tp>
      <tp t="s">
        <v>#N/A Field Not Applicable</v>
        <stp/>
        <stp>##V3_BDPV12</stp>
        <stp>912828AK Govt</stp>
        <stp>IDX_RATIO</stp>
        <stp>[TREASURY.xlsx]Sheet1!R959C20</stp>
        <tr r="T959" s="1"/>
      </tp>
      <tp t="s">
        <v>#N/A Field Not Applicable</v>
        <stp/>
        <stp>##V3_BDPV12</stp>
        <stp>91282CAC Govt</stp>
        <stp>IDX_RATIO</stp>
        <stp>[TREASURY.xlsx]Sheet1!R120C20</stp>
        <tr r="T120" s="1"/>
      </tp>
      <tp t="s">
        <v>#N/A Field Not Applicable</v>
        <stp/>
        <stp>##V3_BDPV12</stp>
        <stp>91282CAL Govt</stp>
        <stp>IDX_RATIO</stp>
        <stp>[TREASURY.xlsx]Sheet1!R142C20</stp>
        <tr r="T142" s="1"/>
      </tp>
      <tp t="s">
        <v>#N/A Field Not Applicable</v>
        <stp/>
        <stp>##V3_BDPV12</stp>
        <stp>912828AJ Govt</stp>
        <stp>IDX_RATIO</stp>
        <stp>[TREASURY.xlsx]Sheet1!R531C20</stp>
        <tr r="T531" s="1"/>
      </tp>
      <tp t="s">
        <v>#N/A Field Not Applicable</v>
        <stp/>
        <stp>##V3_BDPV12</stp>
        <stp>912828AG Govt</stp>
        <stp>IDX_RATIO</stp>
        <stp>[TREASURY.xlsx]Sheet1!R837C20</stp>
        <tr r="T837" s="1"/>
      </tp>
      <tp t="s">
        <v>#N/A Field Not Applicable</v>
        <stp/>
        <stp>##V3_BDPV12</stp>
        <stp>91282CAH Govt</stp>
        <stp>IDX_RATIO</stp>
        <stp>[TREASURY.xlsx]Sheet1!R167C20</stp>
        <tr r="T167" s="1"/>
      </tp>
      <tp t="s">
        <v>#N/A Field Not Applicable</v>
        <stp/>
        <stp>##V3_BDPV12</stp>
        <stp>912828AN Govt</stp>
        <stp>IDX_RATIO</stp>
        <stp>[TREASURY.xlsx]Sheet1!R657C20</stp>
        <tr r="T657" s="1"/>
      </tp>
      <tp t="s">
        <v>#N/A Field Not Applicable</v>
        <stp/>
        <stp>##V3_BDPV12</stp>
        <stp>912828AB Govt</stp>
        <stp>IDX_RATIO</stp>
        <stp>[TREASURY.xlsx]Sheet1!R958C20</stp>
        <tr r="T958" s="1"/>
      </tp>
      <tp t="s">
        <v>#N/A Field Not Applicable</v>
        <stp/>
        <stp>##V3_BDPV12</stp>
        <stp>912828AL Govt</stp>
        <stp>IDX_RATIO</stp>
        <stp>[TREASURY.xlsx]Sheet1!R666C20</stp>
        <tr r="T666" s="1"/>
      </tp>
      <tp>
        <v>1.375</v>
        <stp/>
        <stp>##V3_BDPV12</stp>
        <stp>912828Z5 Govt</stp>
        <stp>CPN</stp>
        <stp>[TREASURY.xlsx]Sheet1!R83C3</stp>
        <tr r="C83" s="1"/>
      </tp>
      <tp t="s">
        <v>ACT/ACT</v>
        <stp/>
        <stp>##V3_BDPV12</stp>
        <stp>912810SQ Govt</stp>
        <stp>DAY_CNT_DES</stp>
        <stp>[TREASURY.xlsx]Sheet1!R92C17</stp>
        <tr r="Q92" s="1"/>
      </tp>
      <tp t="s">
        <v>ACT/ACT</v>
        <stp/>
        <stp>##V3_BDPV12</stp>
        <stp>91282CBQ Govt</stp>
        <stp>DAY_CNT_DES</stp>
        <stp>[TREASURY.xlsx]Sheet1!R30C17</stp>
        <tr r="Q30" s="1"/>
      </tp>
      <tp t="s">
        <v>ACT/ACT</v>
        <stp/>
        <stp>##V3_BDPV12</stp>
        <stp>912828YQ Govt</stp>
        <stp>DAY_CNT_DES</stp>
        <stp>[TREASURY.xlsx]Sheet1!R87C17</stp>
        <tr r="Q87" s="1"/>
      </tp>
      <tp t="s">
        <v>ACT/ACT</v>
        <stp/>
        <stp>##V3_BDPV12</stp>
        <stp>912828ZQ Govt</stp>
        <stp>DAY_CNT_DES</stp>
        <stp>[TREASURY.xlsx]Sheet1!R31C17</stp>
        <tr r="Q31" s="1"/>
      </tp>
      <tp>
        <v>1.25</v>
        <stp/>
        <stp>##V3_BDPV12</stp>
        <stp>91282CCS Govt</stp>
        <stp>CPN</stp>
        <stp>[TREASURY.xlsx]Sheet1!R2C3</stp>
        <tr r="C2" s="1"/>
      </tp>
      <tp>
        <v>1.875</v>
        <stp/>
        <stp>##V3_BDPV12</stp>
        <stp>912828W8 Govt</stp>
        <stp>CPN</stp>
        <stp>[TREASURY.xlsx]Sheet1!R221C3</stp>
        <tr r="C221" s="1"/>
      </tp>
      <tp>
        <v>0.75</v>
        <stp/>
        <stp>##V3_BDPV12</stp>
        <stp>912828A9 Govt</stp>
        <stp>CPN</stp>
        <stp>[TREASURY.xlsx]Sheet1!R640C3</stp>
        <tr r="C640" s="1"/>
      </tp>
      <tp>
        <v>6</v>
        <stp/>
        <stp>##V3_BDPV12</stp>
        <stp>912827Y8 Govt</stp>
        <stp>CPN</stp>
        <stp>[TREASURY.xlsx]Sheet1!R941C3</stp>
        <tr r="C941" s="1"/>
      </tp>
      <tp>
        <v>1.375</v>
        <stp/>
        <stp>##V3_BDPV12</stp>
        <stp>912828J8 Govt</stp>
        <stp>CPN</stp>
        <stp>[TREASURY.xlsx]Sheet1!R451C3</stp>
        <tr r="C451" s="1"/>
      </tp>
      <tp>
        <v>0.25</v>
        <stp/>
        <stp>##V3_BDPV12</stp>
        <stp>912828B8 Govt</stp>
        <stp>CPN</stp>
        <stp>[TREASURY.xlsx]Sheet1!R571C3</stp>
        <tr r="C571" s="1"/>
      </tp>
      <tp>
        <v>6</v>
        <stp/>
        <stp>##V3_BDPV12</stp>
        <stp>912827X9 Govt</stp>
        <stp>CPN</stp>
        <stp>[TREASURY.xlsx]Sheet1!R770C3</stp>
        <tr r="C770" s="1"/>
      </tp>
      <tp t="s">
        <v>#N/A N/A</v>
        <stp/>
        <stp>##V3_BDPV12</stp>
        <stp>912828P9 Govt</stp>
        <stp>YLD_YTM_BID</stp>
        <stp>[TREASURY.xlsx]Sheet1!R431C4</stp>
        <tr r="D431" s="1"/>
      </tp>
      <tp t="s">
        <v>#N/A N/A</v>
        <stp/>
        <stp>##V3_BDPV12</stp>
        <stp>912827W8 Govt</stp>
        <stp>YLD_YTM_BID</stp>
        <stp>[TREASURY.xlsx]Sheet1!R930C4</stp>
        <tr r="D930" s="1"/>
      </tp>
      <tp>
        <v>0.13351783435683826</v>
        <stp/>
        <stp>##V3_BDPV12</stp>
        <stp>912828M8 Govt</stp>
        <stp>YLD_YTM_BID</stp>
        <stp>[TREASURY.xlsx]Sheet1!R150C4</stp>
        <tr r="D150" s="1"/>
      </tp>
      <tp t="s">
        <v>#N/A N/A</v>
        <stp/>
        <stp>##V3_BDPV12</stp>
        <stp>912828B9 Govt</stp>
        <stp>YLD_YTM_BID</stp>
        <stp>[TREASURY.xlsx]Sheet1!R371C4</stp>
        <tr r="D371" s="1"/>
      </tp>
      <tp>
        <v>0.24791891541800939</v>
        <stp/>
        <stp>##V3_BDPV12</stp>
        <stp>912828S9 Govt</stp>
        <stp>YLD_YTM_BID</stp>
        <stp>[TREASURY.xlsx]Sheet1!R301C4</stp>
        <tr r="D301" s="1"/>
      </tp>
      <tp t="s">
        <v>11/15/2019</v>
        <stp/>
        <stp>##V3_BDPV12</stp>
        <stp>9128286T Govt</stp>
        <stp>FIRST_CPN_DT</stp>
        <stp>[TREASURY.xlsx]Sheet1!R48C9</stp>
        <tr r="I48" s="1"/>
      </tp>
      <tp>
        <v>0.375</v>
        <stp/>
        <stp>##V3_BDPV12</stp>
        <stp>912828ZG Govt</stp>
        <stp>CPN</stp>
        <stp>[TREASURY.xlsx]Sheet1!R62C3</stp>
        <tr r="C62" s="1"/>
      </tp>
      <tp t="s">
        <v>#N/A N/A</v>
        <stp/>
        <stp>##V3_BDPV12</stp>
        <stp>912828YJ Govt</stp>
        <stp>YLD_YTM_BID</stp>
        <stp>[TREASURY.xlsx]Sheet1!R80C4</stp>
        <tr r="D80" s="1"/>
      </tp>
      <tp>
        <v>0.61026026081235296</v>
        <stp/>
        <stp>##V3_BDPV12</stp>
        <stp>912828Z5 Govt</stp>
        <stp>YLD_YTM_BID</stp>
        <stp>[TREASURY.xlsx]Sheet1!R83C4</stp>
        <tr r="D83" s="1"/>
      </tp>
      <tp t="s">
        <v>ACT/ACT</v>
        <stp/>
        <stp>##V3_BDPV12</stp>
        <stp>912810SP Govt</stp>
        <stp>DAY_CNT_DES</stp>
        <stp>[TREASURY.xlsx]Sheet1!R35C17</stp>
        <tr r="Q35" s="1"/>
      </tp>
      <tp t="s">
        <v>ACT/ACT</v>
        <stp/>
        <stp>##V3_BDPV12</stp>
        <stp>912810FP Govt</stp>
        <stp>DAY_CNT_DES</stp>
        <stp>[TREASURY.xlsx]Sheet1!R93C17</stp>
        <tr r="Q93" s="1"/>
      </tp>
      <tp t="s">
        <v>ACT/ACT</v>
        <stp/>
        <stp>##V3_BDPV12</stp>
        <stp>91282CCP Govt</stp>
        <stp>DAY_CNT_DES</stp>
        <stp>[TREASURY.xlsx]Sheet1!R19C17</stp>
        <tr r="Q19" s="1"/>
      </tp>
      <tp t="s">
        <v>ACT/ACT</v>
        <stp/>
        <stp>##V3_BDPV12</stp>
        <stp>91282CBP Govt</stp>
        <stp>DAY_CNT_DES</stp>
        <stp>[TREASURY.xlsx]Sheet1!R86C17</stp>
        <tr r="Q86" s="1"/>
      </tp>
      <tp t="s">
        <v>S/A</v>
        <stp/>
        <stp>##V3_BDPV12</stp>
        <stp>912810FP Govt</stp>
        <stp>COUPON_FREQUENCY_DESCRIPTION</stp>
        <stp>[TREASURY.xlsx]Sheet1!R93C10</stp>
        <tr r="J93" s="1"/>
      </tp>
      <tp t="s">
        <v>S/A</v>
        <stp/>
        <stp>##V3_BDPV12</stp>
        <stp>912810FT Govt</stp>
        <stp>COUPON_FREQUENCY_DESCRIPTION</stp>
        <stp>[TREASURY.xlsx]Sheet1!R79C10</stp>
        <tr r="J79" s="1"/>
      </tp>
      <tp t="s">
        <v>S/A</v>
        <stp/>
        <stp>##V3_BDPV12</stp>
        <stp>912810ST Govt</stp>
        <stp>COUPON_FREQUENCY_DESCRIPTION</stp>
        <stp>[TREASURY.xlsx]Sheet1!R90C10</stp>
        <tr r="J90" s="1"/>
      </tp>
      <tp t="s">
        <v>S/A</v>
        <stp/>
        <stp>##V3_BDPV12</stp>
        <stp>912810SQ Govt</stp>
        <stp>COUPON_FREQUENCY_DESCRIPTION</stp>
        <stp>[TREASURY.xlsx]Sheet1!R92C10</stp>
        <tr r="J92" s="1"/>
      </tp>
      <tp t="s">
        <v>S/A</v>
        <stp/>
        <stp>##V3_BDPV12</stp>
        <stp>912810SK Govt</stp>
        <stp>COUPON_FREQUENCY_DESCRIPTION</stp>
        <stp>[TREASURY.xlsx]Sheet1!R95C10</stp>
        <tr r="J95" s="1"/>
      </tp>
      <tp t="s">
        <v>S/A</v>
        <stp/>
        <stp>##V3_BDPV12</stp>
        <stp>912810RT Govt</stp>
        <stp>COUPON_FREQUENCY_DESCRIPTION</stp>
        <stp>[TREASURY.xlsx]Sheet1!R96C10</stp>
        <tr r="J96" s="1"/>
      </tp>
      <tp t="s">
        <v>S/A</v>
        <stp/>
        <stp>##V3_BDPV12</stp>
        <stp>912810PU Govt</stp>
        <stp>COUPON_FREQUENCY_DESCRIPTION</stp>
        <stp>[TREASURY.xlsx]Sheet1!R63C10</stp>
        <tr r="J63" s="1"/>
      </tp>
      <tp t="s">
        <v>S/A</v>
        <stp/>
        <stp>##V3_BDPV12</stp>
        <stp>912810SW Govt</stp>
        <stp>COUPON_FREQUENCY_DESCRIPTION</stp>
        <stp>[TREASURY.xlsx]Sheet1!R44C10</stp>
        <tr r="J44" s="1"/>
      </tp>
      <tp t="s">
        <v>S/A</v>
        <stp/>
        <stp>##V3_BDPV12</stp>
        <stp>912810SL Govt</stp>
        <stp>COUPON_FREQUENCY_DESCRIPTION</stp>
        <stp>[TREASURY.xlsx]Sheet1!R40C10</stp>
        <tr r="J40" s="1"/>
      </tp>
      <tp t="s">
        <v>S/A</v>
        <stp/>
        <stp>##V3_BDPV12</stp>
        <stp>912810SJ Govt</stp>
        <stp>COUPON_FREQUENCY_DESCRIPTION</stp>
        <stp>[TREASURY.xlsx]Sheet1!R73C10</stp>
        <tr r="J73" s="1"/>
      </tp>
      <tp t="s">
        <v>S/A</v>
        <stp/>
        <stp>##V3_BDPV12</stp>
        <stp>912810TA Govt</stp>
        <stp>COUPON_FREQUENCY_DESCRIPTION</stp>
        <stp>[TREASURY.xlsx]Sheet1!R10C10</stp>
        <tr r="J10" s="1"/>
      </tp>
      <tp t="s">
        <v>S/A</v>
        <stp/>
        <stp>##V3_BDPV12</stp>
        <stp>912810SU Govt</stp>
        <stp>COUPON_FREQUENCY_DESCRIPTION</stp>
        <stp>[TREASURY.xlsx]Sheet1!R15C10</stp>
        <tr r="J15" s="1"/>
      </tp>
      <tp t="s">
        <v>S/A</v>
        <stp/>
        <stp>##V3_BDPV12</stp>
        <stp>912810RV Govt</stp>
        <stp>COUPON_FREQUENCY_DESCRIPTION</stp>
        <stp>[TREASURY.xlsx]Sheet1!R28C10</stp>
        <tr r="J28" s="1"/>
      </tp>
      <tp t="s">
        <v>S/A</v>
        <stp/>
        <stp>##V3_BDPV12</stp>
        <stp>912810SP Govt</stp>
        <stp>COUPON_FREQUENCY_DESCRIPTION</stp>
        <stp>[TREASURY.xlsx]Sheet1!R35C10</stp>
        <tr r="J35" s="1"/>
      </tp>
      <tp t="s">
        <v>S/A</v>
        <stp/>
        <stp>##V3_BDPV12</stp>
        <stp>912810SS Govt</stp>
        <stp>COUPON_FREQUENCY_DESCRIPTION</stp>
        <stp>[TREASURY.xlsx]Sheet1!R37C10</stp>
        <tr r="J37" s="1"/>
      </tp>
      <tp t="s">
        <v>S/A</v>
        <stp/>
        <stp>##V3_BDPV12</stp>
        <stp>912810SY Govt</stp>
        <stp>COUPON_FREQUENCY_DESCRIPTION</stp>
        <stp>[TREASURY.xlsx]Sheet1!R21C10</stp>
        <tr r="J21" s="1"/>
      </tp>
      <tp t="s">
        <v>S/A</v>
        <stp/>
        <stp>##V3_BDPV12</stp>
        <stp>912810SN Govt</stp>
        <stp>COUPON_FREQUENCY_DESCRIPTION</stp>
        <stp>[TREASURY.xlsx]Sheet1!R27C10</stp>
        <tr r="J27" s="1"/>
      </tp>
      <tp t="s">
        <v>5/15/1991</v>
        <stp/>
        <stp>##V3_BDPV12</stp>
        <stp>912827A7 Govt</stp>
        <stp>ISSUE_DT</stp>
        <stp>[TREASURY.xlsx]Sheet1!R1031C15</stp>
        <tr r="O1031" s="1"/>
      </tp>
      <tp t="s">
        <v>12/16/2013</v>
        <stp/>
        <stp>##V3_BDPV12</stp>
        <stp>912828A5 Govt</stp>
        <stp>ISSUE_DT</stp>
        <stp>[TREASURY.xlsx]Sheet1!R1233C15</stp>
        <tr r="O1233" s="1"/>
      </tp>
      <tp t="s">
        <v>USD</v>
        <stp/>
        <stp>##V3_BDPV12</stp>
        <stp>912827K2 Govt</stp>
        <stp>CRNCY</stp>
        <stp>[TREASURY.xlsx]Sheet1!R1489C7</stp>
        <tr r="G1489" s="1"/>
      </tp>
      <tp t="s">
        <v>USD</v>
        <stp/>
        <stp>##V3_BDPV12</stp>
        <stp>912827K3 Govt</stp>
        <stp>CRNCY</stp>
        <stp>[TREASURY.xlsx]Sheet1!R1039C7</stp>
        <tr r="G1039" s="1"/>
      </tp>
      <tp t="s">
        <v>USD</v>
        <stp/>
        <stp>##V3_BDPV12</stp>
        <stp>912827F3 Govt</stp>
        <stp>CRNCY</stp>
        <stp>[TREASURY.xlsx]Sheet1!R1314C7</stp>
        <tr r="G1314" s="1"/>
      </tp>
      <tp t="s">
        <v>4/1/1991</v>
        <stp/>
        <stp>##V3_BDPV12</stp>
        <stp>912827A3 Govt</stp>
        <stp>ISSUE_DT</stp>
        <stp>[TREASURY.xlsx]Sheet1!R1030C15</stp>
        <tr r="O1030" s="1"/>
      </tp>
      <tp t="s">
        <v>USD</v>
        <stp/>
        <stp>##V3_BDPV12</stp>
        <stp>912827B6 Govt</stp>
        <stp>CRNCY</stp>
        <stp>[TREASURY.xlsx]Sheet1!R1550C7</stp>
        <tr r="G1550" s="1"/>
      </tp>
      <tp t="s">
        <v>4/30/1991</v>
        <stp/>
        <stp>##V3_BDPV12</stp>
        <stp>912827A6 Govt</stp>
        <stp>ISSUE_DT</stp>
        <stp>[TREASURY.xlsx]Sheet1!R1474C15</stp>
        <tr r="O1474" s="1"/>
      </tp>
      <tp t="s">
        <v>4/1/1991</v>
        <stp/>
        <stp>##V3_BDPV12</stp>
        <stp>912827A2 Govt</stp>
        <stp>ISSUE_DT</stp>
        <stp>[TREASURY.xlsx]Sheet1!R1029C15</stp>
        <tr r="O1029" s="1"/>
      </tp>
      <tp t="s">
        <v>USD</v>
        <stp/>
        <stp>##V3_BDPV12</stp>
        <stp>912828B7 Govt</stp>
        <stp>CRNCY</stp>
        <stp>[TREASURY.xlsx]Sheet1!R1270C7</stp>
        <tr r="G1270" s="1"/>
      </tp>
      <tp t="s">
        <v>4/30/1991</v>
        <stp/>
        <stp>##V3_BDPV12</stp>
        <stp>912827A5 Govt</stp>
        <stp>ISSUE_DT</stp>
        <stp>[TREASURY.xlsx]Sheet1!R1473C15</stp>
        <tr r="O1473" s="1"/>
      </tp>
      <tp t="s">
        <v>4/15/1991</v>
        <stp/>
        <stp>##V3_BDPV12</stp>
        <stp>912827A4 Govt</stp>
        <stp>ISSUE_DT</stp>
        <stp>[TREASURY.xlsx]Sheet1!R1547C15</stp>
        <tr r="O1547" s="1"/>
      </tp>
      <tp t="s">
        <v>USD</v>
        <stp/>
        <stp>##V3_BDPV12</stp>
        <stp>912827G4 Govt</stp>
        <stp>CRNCY</stp>
        <stp>[TREASURY.xlsx]Sheet1!R1035C7</stp>
        <tr r="G1035" s="1"/>
      </tp>
      <tp t="s">
        <v>12/2/2013</v>
        <stp/>
        <stp>##V3_BDPV12</stp>
        <stp>912828A2 Govt</stp>
        <stp>ISSUE_DT</stp>
        <stp>[TREASURY.xlsx]Sheet1!R1232C15</stp>
        <tr r="O1232" s="1"/>
      </tp>
      <tp t="s">
        <v>USD</v>
        <stp/>
        <stp>##V3_BDPV12</stp>
        <stp>912827K5 Govt</stp>
        <stp>CRNCY</stp>
        <stp>[TREASURY.xlsx]Sheet1!R1159C7</stp>
        <tr r="G1159" s="1"/>
      </tp>
      <tp t="s">
        <v>USD</v>
        <stp/>
        <stp>##V3_BDPV12</stp>
        <stp>912828A5 Govt</stp>
        <stp>CRNCY</stp>
        <stp>[TREASURY.xlsx]Sheet1!R1233C7</stp>
        <tr r="G1233" s="1"/>
      </tp>
      <tp t="s">
        <v>USD</v>
        <stp/>
        <stp>##V3_BDPV12</stp>
        <stp>912827C5 Govt</stp>
        <stp>CRNCY</stp>
        <stp>[TREASURY.xlsx]Sheet1!R1481C7</stp>
        <tr r="G1481" s="1"/>
      </tp>
      <tp t="s">
        <v>USD</v>
        <stp/>
        <stp>##V3_BDPV12</stp>
        <stp>912827J5 Govt</stp>
        <stp>CRNCY</stp>
        <stp>[TREASURY.xlsx]Sheet1!R1488C7</stp>
        <tr r="G1488" s="1"/>
      </tp>
      <tp t="s">
        <v>USD</v>
        <stp/>
        <stp>##V3_BDPV12</stp>
        <stp>912827A5 Govt</stp>
        <stp>CRNCY</stp>
        <stp>[TREASURY.xlsx]Sheet1!R1473C7</stp>
        <tr r="G1473" s="1"/>
      </tp>
      <tp t="s">
        <v>USD</v>
        <stp/>
        <stp>##V3_BDPV12</stp>
        <stp>912827F8 Govt</stp>
        <stp>CRNCY</stp>
        <stp>[TREASURY.xlsx]Sheet1!R1154C7</stp>
        <tr r="G1154" s="1"/>
      </tp>
      <tp t="s">
        <v>USD</v>
        <stp/>
        <stp>##V3_BDPV12</stp>
        <stp>912827J8 Govt</stp>
        <stp>CRNCY</stp>
        <stp>[TREASURY.xlsx]Sheet1!R1038C7</stp>
        <tr r="G1038" s="1"/>
      </tp>
      <tp t="s">
        <v>5/31/1991</v>
        <stp/>
        <stp>##V3_BDPV12</stp>
        <stp>912827A9 Govt</stp>
        <stp>ISSUE_DT</stp>
        <stp>[TREASURY.xlsx]Sheet1!R1548C15</stp>
        <tr r="O1548" s="1"/>
      </tp>
      <tp t="s">
        <v>T</v>
        <stp/>
        <stp>##V3_BDPV12</stp>
        <stp>91282CCW Govt</stp>
        <stp>TICKER</stp>
        <stp>[TREASURY.xlsx]Sheet1!R4C2</stp>
        <tr r="B4" s="1"/>
      </tp>
      <tp t="s">
        <v>5/15/1991</v>
        <stp/>
        <stp>##V3_BDPV12</stp>
        <stp>912827A8 Govt</stp>
        <stp>ISSUE_DT</stp>
        <stp>[TREASURY.xlsx]Sheet1!R1032C15</stp>
        <tr r="O1032" s="1"/>
      </tp>
      <tp t="s">
        <v>912827Q96</v>
        <stp/>
        <stp>##V3_BDPV12</stp>
        <stp>912827Q9 Govt</stp>
        <stp>ID_CUSIP</stp>
        <stp>[TREASURY.xlsx]Sheet1!R1573C19</stp>
        <tr r="S1573" s="1"/>
      </tp>
      <tp t="s">
        <v>912827Q88</v>
        <stp/>
        <stp>##V3_BDPV12</stp>
        <stp>912827Q8 Govt</stp>
        <stp>ID_CUSIP</stp>
        <stp>[TREASURY.xlsx]Sheet1!R1572C19</stp>
        <tr r="S1572" s="1"/>
      </tp>
    </main>
    <main first="bloomberg.rtd">
      <tp t="s">
        <v>912827Q47</v>
        <stp/>
        <stp>##V3_BDPV12</stp>
        <stp>912827Q4 Govt</stp>
        <stp>ID_CUSIP</stp>
        <stp>[TREASURY.xlsx]Sheet1!R1177C19</stp>
        <tr r="S1177" s="1"/>
      </tp>
      <tp t="s">
        <v>912827Q62</v>
        <stp/>
        <stp>##V3_BDPV12</stp>
        <stp>912827Q6 Govt</stp>
        <stp>ID_CUSIP</stp>
        <stp>[TREASURY.xlsx]Sheet1!R1343C19</stp>
        <tr r="S1343" s="1"/>
      </tp>
      <tp t="s">
        <v>912827Q70</v>
        <stp/>
        <stp>##V3_BDPV12</stp>
        <stp>912827Q7 Govt</stp>
        <stp>ID_CUSIP</stp>
        <stp>[TREASURY.xlsx]Sheet1!R1178C19</stp>
        <tr r="S1178" s="1"/>
      </tp>
      <tp t="s">
        <v>912827Q39</v>
        <stp/>
        <stp>##V3_BDPV12</stp>
        <stp>912827Q3 Govt</stp>
        <stp>ID_CUSIP</stp>
        <stp>[TREASURY.xlsx]Sheet1!R1494C19</stp>
        <tr r="S1494" s="1"/>
      </tp>
      <tp t="s">
        <v>912828Q52</v>
        <stp/>
        <stp>##V3_BDPV12</stp>
        <stp>912828Q5 Govt</stp>
        <stp>ID_CUSIP</stp>
        <stp>[TREASURY.xlsx]Sheet1!R1262C19</stp>
        <tr r="S1262" s="1"/>
      </tp>
      <tp t="s">
        <v>912827Q21</v>
        <stp/>
        <stp>##V3_BDPV12</stp>
        <stp>912827Q2 Govt</stp>
        <stp>ID_CUSIP</stp>
        <stp>[TREASURY.xlsx]Sheet1!R1176C19</stp>
        <tr r="S1176" s="1"/>
      </tp>
      <tp t="s">
        <v>8/31/2021</v>
        <stp/>
        <stp>##V3_BDPV12</stp>
        <stp>91282CCU Govt</stp>
        <stp>ISSUE_DT</stp>
        <stp>[TREASURY.xlsx]Sheet1!R6C15</stp>
        <tr r="O6" s="1"/>
      </tp>
      <tp t="s">
        <v>T</v>
        <stp/>
        <stp>##V3_BDPV12</stp>
        <stp>912828M4 Govt</stp>
        <stp>TICKER</stp>
        <stp>[TREASURY.xlsx]Sheet1!R254C2</stp>
        <tr r="B254" s="1"/>
      </tp>
      <tp t="s">
        <v>T</v>
        <stp/>
        <stp>##V3_BDPV12</stp>
        <stp>912828J5 Govt</stp>
        <stp>TICKER</stp>
        <stp>[TREASURY.xlsx]Sheet1!R403C2</stp>
        <tr r="B403" s="1"/>
      </tp>
      <tp t="s">
        <v>T</v>
        <stp/>
        <stp>##V3_BDPV12</stp>
        <stp>912827N5 Govt</stp>
        <stp>TICKER</stp>
        <stp>[TREASURY.xlsx]Sheet1!R727C2</stp>
        <tr r="B727" s="1"/>
      </tp>
      <tp t="s">
        <v>T</v>
        <stp/>
        <stp>##V3_BDPV12</stp>
        <stp>912828H2 Govt</stp>
        <stp>TICKER</stp>
        <stp>[TREASURY.xlsx]Sheet1!R581C2</stp>
        <tr r="B581" s="1"/>
      </tp>
      <tp t="s">
        <v>T</v>
        <stp/>
        <stp>##V3_BDPV12</stp>
        <stp>912828LZ Govt</stp>
        <stp>TICKER</stp>
        <stp>[TREASURY.xlsx]Sheet1!R515C2</stp>
        <tr r="B515" s="1"/>
      </tp>
      <tp t="s">
        <v>T</v>
        <stp/>
        <stp>##V3_BDPV12</stp>
        <stp>912828LX Govt</stp>
        <stp>TICKER</stp>
        <stp>[TREASURY.xlsx]Sheet1!R535C2</stp>
        <tr r="B535" s="1"/>
      </tp>
      <tp t="s">
        <v>T</v>
        <stp/>
        <stp>##V3_BDPV12</stp>
        <stp>912827KY Govt</stp>
        <stp>TICKER</stp>
        <stp>[TREASURY.xlsx]Sheet1!R712C2</stp>
        <tr r="B712" s="1"/>
      </tp>
      <tp t="s">
        <v>T</v>
        <stp/>
        <stp>##V3_BDPV12</stp>
        <stp>912828HV Govt</stp>
        <stp>TICKER</stp>
        <stp>[TREASURY.xlsx]Sheet1!R651C2</stp>
        <tr r="B651" s="1"/>
      </tp>
      <tp t="s">
        <v>T</v>
        <stp/>
        <stp>##V3_BDPV12</stp>
        <stp>912828MV Govt</stp>
        <stp>TICKER</stp>
        <stp>[TREASURY.xlsx]Sheet1!R824C2</stp>
        <tr r="B824" s="1"/>
      </tp>
      <tp t="s">
        <v>T</v>
        <stp/>
        <stp>##V3_BDPV12</stp>
        <stp>912827KW Govt</stp>
        <stp>TICKER</stp>
        <stp>[TREASURY.xlsx]Sheet1!R392C2</stp>
        <tr r="B392" s="1"/>
      </tp>
      <tp t="s">
        <v>T</v>
        <stp/>
        <stp>##V3_BDPV12</stp>
        <stp>912828JW Govt</stp>
        <stp>TICKER</stp>
        <stp>[TREASURY.xlsx]Sheet1!R643C2</stp>
        <tr r="B643" s="1"/>
      </tp>
      <tp t="s">
        <v>T</v>
        <stp/>
        <stp>##V3_BDPV12</stp>
        <stp>912827MT Govt</stp>
        <stp>TICKER</stp>
        <stp>[TREASURY.xlsx]Sheet1!R724C2</stp>
        <tr r="B724" s="1"/>
      </tp>
      <tp t="s">
        <v>T</v>
        <stp/>
        <stp>##V3_BDPV12</stp>
        <stp>912828HT Govt</stp>
        <stp>TICKER</stp>
        <stp>[TREASURY.xlsx]Sheet1!R851C2</stp>
        <tr r="B851" s="1"/>
      </tp>
      <tp t="s">
        <v>T</v>
        <stp/>
        <stp>##V3_BDPV12</stp>
        <stp>912828LT Govt</stp>
        <stp>TICKER</stp>
        <stp>[TREASURY.xlsx]Sheet1!R975C2</stp>
        <tr r="B975" s="1"/>
      </tp>
      <tp t="s">
        <v>T</v>
        <stp/>
        <stp>##V3_BDPV12</stp>
        <stp>912828MU Govt</stp>
        <stp>TICKER</stp>
        <stp>[TREASURY.xlsx]Sheet1!R494C2</stp>
        <tr r="B494" s="1"/>
      </tp>
      <tp t="s">
        <v>T</v>
        <stp/>
        <stp>##V3_BDPV12</stp>
        <stp>912828NU Govt</stp>
        <stp>TICKER</stp>
        <stp>[TREASURY.xlsx]Sheet1!R547C2</stp>
        <tr r="B547" s="1"/>
      </tp>
      <tp t="s">
        <v>T</v>
        <stp/>
        <stp>##V3_BDPV12</stp>
        <stp>912828AR Govt</stp>
        <stp>TICKER</stp>
        <stp>[TREASURY.xlsx]Sheet1!R658C2</stp>
        <tr r="B658" s="1"/>
      </tp>
      <tp t="s">
        <v>NORMAL</v>
        <stp/>
        <stp>##V3_BDPV12</stp>
        <stp>912828LS Govt</stp>
        <stp>MTY_TYP</stp>
        <stp>[TREASURY.xlsx]Sheet1!R858C6</stp>
        <tr r="F858" s="1"/>
      </tp>
      <tp t="s">
        <v>NORMAL</v>
        <stp/>
        <stp>##V3_BDPV12</stp>
        <stp>912827KY Govt</stp>
        <stp>MTY_TYP</stp>
        <stp>[TREASURY.xlsx]Sheet1!R712C6</stp>
        <tr r="F712" s="1"/>
      </tp>
      <tp t="s">
        <v>NORMAL</v>
        <stp/>
        <stp>##V3_BDPV12</stp>
        <stp>9128275X Govt</stp>
        <stp>MTY_TYP</stp>
        <stp>[TREASURY.xlsx]Sheet1!R633C6</stp>
        <tr r="F633" s="1"/>
      </tp>
      <tp t="s">
        <v>NORMAL</v>
        <stp/>
        <stp>##V3_BDPV12</stp>
        <stp>912827KS Govt</stp>
        <stp>MTY_TYP</stp>
        <stp>[TREASURY.xlsx]Sheet1!R668C6</stp>
        <tr r="F668" s="1"/>
      </tp>
      <tp t="s">
        <v>NORMAL</v>
        <stp/>
        <stp>##V3_BDPV12</stp>
        <stp>912828KS Govt</stp>
        <stp>MTY_TYP</stp>
        <stp>[TREASURY.xlsx]Sheet1!R418C6</stp>
        <tr r="F418" s="1"/>
      </tp>
      <tp t="s">
        <v>NORMAL</v>
        <stp/>
        <stp>##V3_BDPV12</stp>
        <stp>912828SZ Govt</stp>
        <stp>MTY_TYP</stp>
        <stp>[TREASURY.xlsx]Sheet1!R551C6</stp>
        <tr r="F551" s="1"/>
      </tp>
      <tp t="s">
        <v>NORMAL</v>
        <stp/>
        <stp>##V3_BDPV12</stp>
        <stp>912827XS Govt</stp>
        <stp>MTY_TYP</stp>
        <stp>[TREASURY.xlsx]Sheet1!R938C6</stp>
        <tr r="F938" s="1"/>
      </tp>
      <tp t="s">
        <v>NORMAL</v>
        <stp/>
        <stp>##V3_BDPV12</stp>
        <stp>912828BS Govt</stp>
        <stp>MTY_TYP</stp>
        <stp>[TREASURY.xlsx]Sheet1!R628C6</stp>
        <tr r="F628" s="1"/>
      </tp>
      <tp t="s">
        <v>NORMAL</v>
        <stp/>
        <stp>##V3_BDPV12</stp>
        <stp>912827RR Govt</stp>
        <stp>MTY_TYP</stp>
        <stp>[TREASURY.xlsx]Sheet1!R829C6</stp>
        <tr r="F829" s="1"/>
      </tp>
      <tp t="s">
        <v>NORMAL</v>
        <stp/>
        <stp>##V3_BDPV12</stp>
        <stp>912827LX Govt</stp>
        <stp>MTY_TYP</stp>
        <stp>[TREASURY.xlsx]Sheet1!R893C6</stp>
        <tr r="F893" s="1"/>
      </tp>
      <tp t="s">
        <v>NORMAL</v>
        <stp/>
        <stp>##V3_BDPV12</stp>
        <stp>912828RR Govt</stp>
        <stp>MTY_TYP</stp>
        <stp>[TREASURY.xlsx]Sheet1!R119C6</stp>
        <tr r="F119" s="1"/>
      </tp>
      <tp t="s">
        <v>NORMAL</v>
        <stp/>
        <stp>##V3_BDPV12</stp>
        <stp>9128283Z Govt</stp>
        <stp>MTY_TYP</stp>
        <stp>[TREASURY.xlsx]Sheet1!R261C6</stp>
        <tr r="F261" s="1"/>
      </tp>
      <tp t="s">
        <v>NORMAL</v>
        <stp/>
        <stp>##V3_BDPV12</stp>
        <stp>9128284Z Govt</stp>
        <stp>MTY_TYP</stp>
        <stp>[TREASURY.xlsx]Sheet1!R251C6</stp>
        <tr r="F251" s="1"/>
      </tp>
      <tp t="s">
        <v>T</v>
        <stp/>
        <stp>##V3_BDPV12</stp>
        <stp>912827LM Govt</stp>
        <stp>TICKER</stp>
        <stp>[TREASURY.xlsx]Sheet1!R715C2</stp>
        <tr r="B715" s="1"/>
      </tp>
      <tp t="s">
        <v>T</v>
        <stp/>
        <stp>##V3_BDPV12</stp>
        <stp>912828LJ Govt</stp>
        <stp>TICKER</stp>
        <stp>[TREASURY.xlsx]Sheet1!R485C2</stp>
        <tr r="B485" s="1"/>
      </tp>
      <tp t="s">
        <v>T</v>
        <stp/>
        <stp>##V3_BDPV12</stp>
        <stp>912827MH Govt</stp>
        <stp>TICKER</stp>
        <stp>[TREASURY.xlsx]Sheet1!R544C2</stp>
        <tr r="B544" s="1"/>
      </tp>
      <tp t="s">
        <v>T</v>
        <stp/>
        <stp>##V3_BDPV12</stp>
        <stp>912828KF Govt</stp>
        <stp>TICKER</stp>
        <stp>[TREASURY.xlsx]Sheet1!R812C2</stp>
        <tr r="B812" s="1"/>
      </tp>
      <tp t="s">
        <v>T</v>
        <stp/>
        <stp>##V3_BDPV12</stp>
        <stp>912828LG Govt</stp>
        <stp>TICKER</stp>
        <stp>[TREASURY.xlsx]Sheet1!R815C2</stp>
        <tr r="B815" s="1"/>
      </tp>
      <tp t="s">
        <v>T</v>
        <stp/>
        <stp>##V3_BDPV12</stp>
        <stp>912828ME Govt</stp>
        <stp>TICKER</stp>
        <stp>[TREASURY.xlsx]Sheet1!R574C2</stp>
        <tr r="B574" s="1"/>
      </tp>
      <tp t="s">
        <v>T</v>
        <stp/>
        <stp>##V3_BDPV12</stp>
        <stp>912828KE Govt</stp>
        <stp>TICKER</stp>
        <stp>[TREASURY.xlsx]Sheet1!R582C2</stp>
        <tr r="B582" s="1"/>
      </tp>
      <tp t="s">
        <v>T</v>
        <stp/>
        <stp>##V3_BDPV12</stp>
        <stp>912828NE Govt</stp>
        <stp>TICKER</stp>
        <stp>[TREASURY.xlsx]Sheet1!R977C2</stp>
        <tr r="B977" s="1"/>
      </tp>
      <tp t="s">
        <v>T</v>
        <stp/>
        <stp>##V3_BDPV12</stp>
        <stp>912828AB Govt</stp>
        <stp>TICKER</stp>
        <stp>[TREASURY.xlsx]Sheet1!R958C2</stp>
        <tr r="B958" s="1"/>
      </tp>
      <tp t="s">
        <v>T</v>
        <stp/>
        <stp>##V3_BDPV12</stp>
        <stp>912828JC Govt</stp>
        <stp>TICKER</stp>
        <stp>[TREASURY.xlsx]Sheet1!R853C2</stp>
        <tr r="B853" s="1"/>
      </tp>
      <tp t="s">
        <v>912828QM5</v>
        <stp/>
        <stp>##V3_BDPV12</stp>
        <stp>912828QM Govt</stp>
        <stp>ID_CUSIP</stp>
        <stp>[TREASURY.xlsx]Sheet1!R1130C19</stp>
        <tr r="S1130" s="1"/>
      </tp>
      <tp t="s">
        <v>912827QM7</v>
        <stp/>
        <stp>##V3_BDPV12</stp>
        <stp>912827QM Govt</stp>
        <stp>ID_CUSIP</stp>
        <stp>[TREASURY.xlsx]Sheet1!R1058C19</stp>
        <tr r="S1058" s="1"/>
      </tp>
      <tp t="s">
        <v>T</v>
        <stp/>
        <stp>##V3_BDPV12</stp>
        <stp>912828GH Govt</stp>
        <stp>TICKER</stp>
        <stp>[TREASURY.xlsx]Sheet1!R1435C2</stp>
        <tr r="B1435" s="1"/>
      </tp>
      <tp t="s">
        <v>T</v>
        <stp/>
        <stp>##V3_BDPV12</stp>
        <stp>912828RL Govt</stp>
        <stp>TICKER</stp>
        <stp>[TREASURY.xlsx]Sheet1!R1131C2</stp>
        <tr r="B1131" s="1"/>
      </tp>
      <tp t="s">
        <v>T</v>
        <stp/>
        <stp>##V3_BDPV12</stp>
        <stp>912828TN Govt</stp>
        <stp>TICKER</stp>
        <stp>[TREASURY.xlsx]Sheet1!R1143C2</stp>
        <tr r="B1143" s="1"/>
      </tp>
      <tp t="s">
        <v>T</v>
        <stp/>
        <stp>##V3_BDPV12</stp>
        <stp>912828QM Govt</stp>
        <stp>TICKER</stp>
        <stp>[TREASURY.xlsx]Sheet1!R1130C2</stp>
        <tr r="B1130" s="1"/>
      </tp>
      <tp t="s">
        <v>T</v>
        <stp/>
        <stp>##V3_BDPV12</stp>
        <stp>912828UK Govt</stp>
        <stp>TICKER</stp>
        <stp>[TREASURY.xlsx]Sheet1!R1136C2</stp>
        <tr r="B1136" s="1"/>
      </tp>
      <tp t="s">
        <v>T</v>
        <stp/>
        <stp>##V3_BDPV12</stp>
        <stp>912828RK Govt</stp>
        <stp>TICKER</stp>
        <stp>[TREASURY.xlsx]Sheet1!R1266C2</stp>
        <tr r="B1266" s="1"/>
      </tp>
      <tp t="s">
        <v>T</v>
        <stp/>
        <stp>##V3_BDPV12</stp>
        <stp>9128274K Govt</stp>
        <stp>TICKER</stp>
        <stp>[TREASURY.xlsx]Sheet1!R1366C2</stp>
        <tr r="B1366" s="1"/>
      </tp>
      <tp t="s">
        <v>T</v>
        <stp/>
        <stp>##V3_BDPV12</stp>
        <stp>9128273K Govt</stp>
        <stp>TICKER</stp>
        <stp>[TREASURY.xlsx]Sheet1!R1356C2</stp>
        <tr r="B1356" s="1"/>
      </tp>
      <tp t="s">
        <v>T</v>
        <stp/>
        <stp>##V3_BDPV12</stp>
        <stp>912827ZM Govt</stp>
        <stp>TICKER</stp>
        <stp>[TREASURY.xlsx]Sheet1!R1230C2</stp>
        <tr r="B1230" s="1"/>
      </tp>
      <tp t="s">
        <v>T</v>
        <stp/>
        <stp>##V3_BDPV12</stp>
        <stp>912827UL Govt</stp>
        <stp>TICKER</stp>
        <stp>[TREASURY.xlsx]Sheet1!R1201C2</stp>
        <tr r="B1201" s="1"/>
      </tp>
      <tp t="s">
        <v>T</v>
        <stp/>
        <stp>##V3_BDPV12</stp>
        <stp>912827WJ Govt</stp>
        <stp>TICKER</stp>
        <stp>[TREASURY.xlsx]Sheet1!R1207C2</stp>
        <tr r="B1207" s="1"/>
      </tp>
      <tp t="s">
        <v>T</v>
        <stp/>
        <stp>##V3_BDPV12</stp>
        <stp>912827RM Govt</stp>
        <stp>TICKER</stp>
        <stp>[TREASURY.xlsx]Sheet1!R1580C2</stp>
        <tr r="B1580" s="1"/>
      </tp>
      <tp t="s">
        <v>T</v>
        <stp/>
        <stp>##V3_BDPV12</stp>
        <stp>912827PD Govt</stp>
        <stp>TICKER</stp>
        <stp>[TREASURY.xlsx]Sheet1!R1569C2</stp>
        <tr r="B1569" s="1"/>
      </tp>
      <tp t="s">
        <v>T</v>
        <stp/>
        <stp>##V3_BDPV12</stp>
        <stp>912827QK Govt</stp>
        <stp>TICKER</stp>
        <stp>[TREASURY.xlsx]Sheet1!R1496C2</stp>
        <tr r="B1496" s="1"/>
      </tp>
      <tp t="s">
        <v>T</v>
        <stp/>
        <stp>##V3_BDPV12</stp>
        <stp>912827TM Govt</stp>
        <stp>TICKER</stp>
        <stp>[TREASURY.xlsx]Sheet1!R1400C2</stp>
        <tr r="B1400" s="1"/>
      </tp>
      <tp t="s">
        <v>T</v>
        <stp/>
        <stp>##V3_BDPV12</stp>
        <stp>9128274D Govt</stp>
        <stp>TICKER</stp>
        <stp>[TREASURY.xlsx]Sheet1!R1459C2</stp>
        <tr r="B1459" s="1"/>
      </tp>
      <tp t="s">
        <v>912827QK1</v>
        <stp/>
        <stp>##V3_BDPV12</stp>
        <stp>912827QK Govt</stp>
        <stp>ID_CUSIP</stp>
        <stp>[TREASURY.xlsx]Sheet1!R1496C19</stp>
        <tr r="S1496" s="1"/>
      </tp>
      <tp t="s">
        <v>11/15/2002</v>
        <stp/>
        <stp>##V3_BDPV12</stp>
        <stp>912828AP Govt</stp>
        <stp>ISSUE_DT</stp>
        <stp>[TREASURY.xlsx]Sheet1!R1424C15</stp>
        <tr r="O1424" s="1"/>
      </tp>
      <tp t="s">
        <v>912827QN5</v>
        <stp/>
        <stp>##V3_BDPV12</stp>
        <stp>912827QN Govt</stp>
        <stp>ID_CUSIP</stp>
        <stp>[TREASURY.xlsx]Sheet1!R1179C19</stp>
        <tr r="S1179" s="1"/>
      </tp>
      <tp t="s">
        <v>912827QH8</v>
        <stp/>
        <stp>##V3_BDPV12</stp>
        <stp>912827QH Govt</stp>
        <stp>ID_CUSIP</stp>
        <stp>[TREASURY.xlsx]Sheet1!R1057C19</stp>
        <tr r="S1057" s="1"/>
      </tp>
      <tp t="s">
        <v>912828QK9</v>
        <stp/>
        <stp>##V3_BDPV12</stp>
        <stp>912828QK Govt</stp>
        <stp>ID_CUSIP</stp>
        <stp>[TREASURY.xlsx]Sheet1!R1263C19</stp>
        <tr r="S1263" s="1"/>
      </tp>
      <tp t="s">
        <v>912827QD7</v>
        <stp/>
        <stp>##V3_BDPV12</stp>
        <stp>912827QD Govt</stp>
        <stp>ID_CUSIP</stp>
        <stp>[TREASURY.xlsx]Sheet1!R1056C19</stp>
        <tr r="S1056" s="1"/>
      </tp>
      <tp t="s">
        <v>USD</v>
        <stp/>
        <stp>##V3_BDPV12</stp>
        <stp>912810BX Govt</stp>
        <stp>CRNCY</stp>
        <stp>[TREASURY.xlsx]Sheet1!R1440C7</stp>
        <tr r="G1440" s="1"/>
      </tp>
      <tp t="s">
        <v>#N/A Field Not Applicable</v>
        <stp/>
        <stp>##V3_BDPV12</stp>
        <stp>91282CDA Govt</stp>
        <stp>IDX_RATIO</stp>
        <stp>[TREASURY.xlsx]Sheet1!R11C20</stp>
        <tr r="T11" s="1"/>
      </tp>
      <tp t="s">
        <v>912827QB1</v>
        <stp/>
        <stp>##V3_BDPV12</stp>
        <stp>912827QB Govt</stp>
        <stp>ID_CUSIP</stp>
        <stp>[TREASURY.xlsx]Sheet1!R1574C19</stp>
        <tr r="S1574" s="1"/>
      </tp>
      <tp t="s">
        <v>912828QC7</v>
        <stp/>
        <stp>##V3_BDPV12</stp>
        <stp>912828QC Govt</stp>
        <stp>ID_CUSIP</stp>
        <stp>[TREASURY.xlsx]Sheet1!R1301C19</stp>
        <tr r="S1301" s="1"/>
      </tp>
      <tp t="s">
        <v>#N/A Field Not Applicable</v>
        <stp/>
        <stp>##V3_BDPV12</stp>
        <stp>91282CBR Govt</stp>
        <stp>IDX_RATIO</stp>
        <stp>[TREASURY.xlsx]Sheet1!R55C20</stp>
        <tr r="T55" s="1"/>
      </tp>
      <tp t="s">
        <v>#N/A Field Not Applicable</v>
        <stp/>
        <stp>##V3_BDPV12</stp>
        <stp>91282CBS Govt</stp>
        <stp>IDX_RATIO</stp>
        <stp>[TREASURY.xlsx]Sheet1!R75C20</stp>
        <tr r="T75" s="1"/>
      </tp>
      <tp t="s">
        <v>#N/A Field Not Applicable</v>
        <stp/>
        <stp>##V3_BDPV12</stp>
        <stp>91282CBW Govt</stp>
        <stp>IDX_RATIO</stp>
        <stp>[TREASURY.xlsx]Sheet1!R29C20</stp>
        <tr r="T29" s="1"/>
      </tp>
      <tp t="s">
        <v>#N/A Field Not Applicable</v>
        <stp/>
        <stp>##V3_BDPV12</stp>
        <stp>91282CBQ Govt</stp>
        <stp>IDX_RATIO</stp>
        <stp>[TREASURY.xlsx]Sheet1!R30C20</stp>
        <tr r="T30" s="1"/>
      </tp>
      <tp t="s">
        <v>#N/A Field Not Applicable</v>
        <stp/>
        <stp>##V3_BDPV12</stp>
        <stp>91282CBU Govt</stp>
        <stp>IDX_RATIO</stp>
        <stp>[TREASURY.xlsx]Sheet1!R53C20</stp>
        <tr r="T53" s="1"/>
      </tp>
      <tp t="s">
        <v>#N/A Field Not Applicable</v>
        <stp/>
        <stp>##V3_BDPV12</stp>
        <stp>91282CBT Govt</stp>
        <stp>IDX_RATIO</stp>
        <stp>[TREASURY.xlsx]Sheet1!R52C20</stp>
        <tr r="T52" s="1"/>
      </tp>
      <tp t="s">
        <v>#N/A Field Not Applicable</v>
        <stp/>
        <stp>##V3_BDPV12</stp>
        <stp>91282CBV Govt</stp>
        <stp>IDX_RATIO</stp>
        <stp>[TREASURY.xlsx]Sheet1!R89C20</stp>
        <tr r="T89" s="1"/>
      </tp>
      <tp t="s">
        <v>#N/A Field Not Applicable</v>
        <stp/>
        <stp>##V3_BDPV12</stp>
        <stp>91282CBX Govt</stp>
        <stp>IDX_RATIO</stp>
        <stp>[TREASURY.xlsx]Sheet1!R72C20</stp>
        <tr r="T72" s="1"/>
      </tp>
      <tp t="s">
        <v>#N/A Field Not Applicable</v>
        <stp/>
        <stp>##V3_BDPV12</stp>
        <stp>91282CBP Govt</stp>
        <stp>IDX_RATIO</stp>
        <stp>[TREASURY.xlsx]Sheet1!R86C20</stp>
        <tr r="T86" s="1"/>
      </tp>
      <tp t="s">
        <v>#N/A Field Not Applicable</v>
        <stp/>
        <stp>##V3_BDPV12</stp>
        <stp>91282CBN Govt</stp>
        <stp>IDX_RATIO</stp>
        <stp>[TREASURY.xlsx]Sheet1!R82C20</stp>
        <tr r="T82" s="1"/>
      </tp>
      <tp t="s">
        <v>#N/A Field Not Applicable</v>
        <stp/>
        <stp>##V3_BDPV12</stp>
        <stp>91282CBA Govt</stp>
        <stp>IDX_RATIO</stp>
        <stp>[TREASURY.xlsx]Sheet1!R78C20</stp>
        <tr r="T78" s="1"/>
      </tp>
      <tp t="s">
        <v>#N/A Field Not Applicable</v>
        <stp/>
        <stp>##V3_BDPV12</stp>
        <stp>91282CBC Govt</stp>
        <stp>IDX_RATIO</stp>
        <stp>[TREASURY.xlsx]Sheet1!R41C20</stp>
        <tr r="T41" s="1"/>
      </tp>
      <tp t="s">
        <v>#N/A Field Not Applicable</v>
        <stp/>
        <stp>##V3_BDPV12</stp>
        <stp>91282CBG Govt</stp>
        <stp>IDX_RATIO</stp>
        <stp>[TREASURY.xlsx]Sheet1!R57C20</stp>
        <tr r="T57" s="1"/>
      </tp>
      <tp t="s">
        <v>#N/A Field Not Applicable</v>
        <stp/>
        <stp>##V3_BDPV12</stp>
        <stp>91282CBD Govt</stp>
        <stp>IDX_RATIO</stp>
        <stp>[TREASURY.xlsx]Sheet1!R50C20</stp>
        <tr r="T50" s="1"/>
      </tp>
      <tp t="s">
        <v>#N/A Field Not Applicable</v>
        <stp/>
        <stp>##V3_BDPV12</stp>
        <stp>91282CBL Govt</stp>
        <stp>IDX_RATIO</stp>
        <stp>[TREASURY.xlsx]Sheet1!R14C20</stp>
        <tr r="T14" s="1"/>
      </tp>
      <tp t="s">
        <v>#N/A Field Not Applicable</v>
        <stp/>
        <stp>##V3_BDPV12</stp>
        <stp>91282CBH Govt</stp>
        <stp>IDX_RATIO</stp>
        <stp>[TREASURY.xlsx]Sheet1!R59C20</stp>
        <tr r="T59" s="1"/>
      </tp>
      <tp t="s">
        <v>#N/A Field Not Applicable</v>
        <stp/>
        <stp>##V3_BDPV12</stp>
        <stp>91282CCT Govt</stp>
        <stp>IDX_RATIO</stp>
        <stp>[TREASURY.xlsx]Sheet1!R16C20</stp>
        <tr r="T16" s="1"/>
      </tp>
      <tp t="s">
        <v>#N/A Field Not Applicable</v>
        <stp/>
        <stp>##V3_BDPV12</stp>
        <stp>91282CCR Govt</stp>
        <stp>IDX_RATIO</stp>
        <stp>[TREASURY.xlsx]Sheet1!R20C20</stp>
        <tr r="T20" s="1"/>
      </tp>
      <tp t="s">
        <v>#N/A Field Not Applicable</v>
        <stp/>
        <stp>##V3_BDPV12</stp>
        <stp>91282CCP Govt</stp>
        <stp>IDX_RATIO</stp>
        <stp>[TREASURY.xlsx]Sheet1!R19C20</stp>
        <tr r="T19" s="1"/>
      </tp>
      <tp t="s">
        <v>#N/A Field Not Applicable</v>
        <stp/>
        <stp>##V3_BDPV12</stp>
        <stp>91282CCY Govt</stp>
        <stp>IDX_RATIO</stp>
        <stp>[TREASURY.xlsx]Sheet1!R13C20</stp>
        <tr r="T13" s="1"/>
      </tp>
      <tp t="s">
        <v>#N/A Field Not Applicable</v>
        <stp/>
        <stp>##V3_BDPV12</stp>
        <stp>91282CCF Govt</stp>
        <stp>IDX_RATIO</stp>
        <stp>[TREASURY.xlsx]Sheet1!R34C20</stp>
        <tr r="T34" s="1"/>
      </tp>
      <tp t="s">
        <v>#N/A Field Not Applicable</v>
        <stp/>
        <stp>##V3_BDPV12</stp>
        <stp>91282CCE Govt</stp>
        <stp>IDX_RATIO</stp>
        <stp>[TREASURY.xlsx]Sheet1!R77C20</stp>
        <tr r="T77" s="1"/>
      </tp>
      <tp t="s">
        <v>#N/A Field Not Applicable</v>
        <stp/>
        <stp>##V3_BDPV12</stp>
        <stp>91282CCG Govt</stp>
        <stp>IDX_RATIO</stp>
        <stp>[TREASURY.xlsx]Sheet1!R47C20</stp>
        <tr r="T47" s="1"/>
      </tp>
      <tp t="s">
        <v>#N/A Field Not Applicable</v>
        <stp/>
        <stp>##V3_BDPV12</stp>
        <stp>91282CCB Govt</stp>
        <stp>IDX_RATIO</stp>
        <stp>[TREASURY.xlsx]Sheet1!R12C20</stp>
        <tr r="T12" s="1"/>
      </tp>
      <tp t="s">
        <v>#N/A Field Not Applicable</v>
        <stp/>
        <stp>##V3_BDPV12</stp>
        <stp>91282CCD Govt</stp>
        <stp>IDX_RATIO</stp>
        <stp>[TREASURY.xlsx]Sheet1!R58C20</stp>
        <tr r="T58" s="1"/>
      </tp>
      <tp t="s">
        <v>#N/A Field Not Applicable</v>
        <stp/>
        <stp>##V3_BDPV12</stp>
        <stp>91282CCL Govt</stp>
        <stp>IDX_RATIO</stp>
        <stp>[TREASURY.xlsx]Sheet1!R32C20</stp>
        <tr r="T32" s="1"/>
      </tp>
      <tp t="s">
        <v>#N/A Field Not Applicable</v>
        <stp/>
        <stp>##V3_BDPV12</stp>
        <stp>91282CCN Govt</stp>
        <stp>IDX_RATIO</stp>
        <stp>[TREASURY.xlsx]Sheet1!R24C20</stp>
        <tr r="T24" s="1"/>
      </tp>
      <tp t="s">
        <v>#N/A Field Not Applicable</v>
        <stp/>
        <stp>##V3_BDPV12</stp>
        <stp>91282CCH Govt</stp>
        <stp>IDX_RATIO</stp>
        <stp>[TREASURY.xlsx]Sheet1!R36C20</stp>
        <tr r="T36" s="1"/>
      </tp>
      <tp t="s">
        <v>#N/A Field Not Applicable</v>
        <stp/>
        <stp>##V3_BDPV12</stp>
        <stp>91282CCC Govt</stp>
        <stp>IDX_RATIO</stp>
        <stp>[TREASURY.xlsx]Sheet1!R88C20</stp>
        <tr r="T88" s="1"/>
      </tp>
      <tp t="s">
        <v>#N/A Field Not Applicable</v>
        <stp/>
        <stp>##V3_BDPV12</stp>
        <stp>91282CCJ Govt</stp>
        <stp>IDX_RATIO</stp>
        <stp>[TREASURY.xlsx]Sheet1!R22C20</stp>
        <tr r="T22" s="1"/>
      </tp>
      <tp t="s">
        <v>#N/A Field Not Applicable</v>
        <stp/>
        <stp>##V3_BDPV12</stp>
        <stp>91282CCK Govt</stp>
        <stp>IDX_RATIO</stp>
        <stp>[TREASURY.xlsx]Sheet1!R33C20</stp>
        <tr r="T33" s="1"/>
      </tp>
      <tp t="s">
        <v>912827QA3</v>
        <stp/>
        <stp>##V3_BDPV12</stp>
        <stp>912827QA Govt</stp>
        <stp>ID_CUSIP</stp>
        <stp>[TREASURY.xlsx]Sheet1!R1392C19</stp>
        <tr r="S1392" s="1"/>
      </tp>
      <tp t="s">
        <v>912827QF2</v>
        <stp/>
        <stp>##V3_BDPV12</stp>
        <stp>912827QF Govt</stp>
        <stp>ID_CUSIP</stp>
        <stp>[TREASURY.xlsx]Sheet1!R1495C19</stp>
        <tr r="S1495" s="1"/>
      </tp>
      <tp t="s">
        <v>912827QC9</v>
        <stp/>
        <stp>##V3_BDPV12</stp>
        <stp>912827QC Govt</stp>
        <stp>ID_CUSIP</stp>
        <stp>[TREASURY.xlsx]Sheet1!R1055C19</stp>
        <tr r="S1055" s="1"/>
      </tp>
      <tp t="s">
        <v>#N/A Field Not Applicable</v>
        <stp/>
        <stp>##V3_BDPV12</stp>
        <stp>91282CAV Govt</stp>
        <stp>IDX_RATIO</stp>
        <stp>[TREASURY.xlsx]Sheet1!R17C20</stp>
        <tr r="T17" s="1"/>
      </tp>
      <tp t="s">
        <v>#N/A Field Not Applicable</v>
        <stp/>
        <stp>##V3_BDPV12</stp>
        <stp>91282CAT Govt</stp>
        <stp>IDX_RATIO</stp>
        <stp>[TREASURY.xlsx]Sheet1!R39C20</stp>
        <tr r="T39" s="1"/>
      </tp>
      <tp t="s">
        <v>#N/A Field Not Applicable</v>
        <stp/>
        <stp>##V3_BDPV12</stp>
        <stp>91282CAR Govt</stp>
        <stp>IDX_RATIO</stp>
        <stp>[TREASURY.xlsx]Sheet1!R64C20</stp>
        <tr r="T64" s="1"/>
      </tp>
      <tp t="s">
        <v>#N/A Field Not Applicable</v>
        <stp/>
        <stp>##V3_BDPV12</stp>
        <stp>91282CAZ Govt</stp>
        <stp>IDX_RATIO</stp>
        <stp>[TREASURY.xlsx]Sheet1!R45C20</stp>
        <tr r="T45" s="1"/>
      </tp>
      <tp t="s">
        <v>#N/A Field Not Applicable</v>
        <stp/>
        <stp>##V3_BDPV12</stp>
        <stp>91282CAX Govt</stp>
        <stp>IDX_RATIO</stp>
        <stp>[TREASURY.xlsx]Sheet1!R67C20</stp>
        <tr r="T67" s="1"/>
      </tp>
      <tp t="s">
        <v>#N/A Field Not Applicable</v>
        <stp/>
        <stp>##V3_BDPV12</stp>
        <stp>91282CAE Govt</stp>
        <stp>IDX_RATIO</stp>
        <stp>[TREASURY.xlsx]Sheet1!R18C20</stp>
        <tr r="T18" s="1"/>
      </tp>
      <tp t="s">
        <v>#N/A Field Not Applicable</v>
        <stp/>
        <stp>##V3_BDPV12</stp>
        <stp>91282CAJ Govt</stp>
        <stp>IDX_RATIO</stp>
        <stp>[TREASURY.xlsx]Sheet1!R49C20</stp>
        <tr r="T49" s="1"/>
      </tp>
      <tp t="s">
        <v>#N/A Field Not Applicable</v>
        <stp/>
        <stp>##V3_BDPV12</stp>
        <stp>91282CAK Govt</stp>
        <stp>IDX_RATIO</stp>
        <stp>[TREASURY.xlsx]Sheet1!R60C20</stp>
        <tr r="T60" s="1"/>
      </tp>
      <tp t="s">
        <v>#N/A Field Not Applicable</v>
        <stp/>
        <stp>##V3_BDPV12</stp>
        <stp>91282CAN Govt</stp>
        <stp>IDX_RATIO</stp>
        <stp>[TREASURY.xlsx]Sheet1!R46C20</stp>
        <tr r="T46" s="1"/>
      </tp>
      <tp t="s">
        <v>#N/A Field Not Applicable</v>
        <stp/>
        <stp>##V3_BDPV12</stp>
        <stp>91282CAB Govt</stp>
        <stp>IDX_RATIO</stp>
        <stp>[TREASURY.xlsx]Sheet1!R99C20</stp>
        <tr r="T99" s="1"/>
      </tp>
      <tp t="s">
        <v>#N/A Field Not Applicable</v>
        <stp/>
        <stp>##V3_BDPV12</stp>
        <stp>91282CAM Govt</stp>
        <stp>IDX_RATIO</stp>
        <stp>[TREASURY.xlsx]Sheet1!R42C20</stp>
        <tr r="T42" s="1"/>
      </tp>
      <tp t="s">
        <v>#N/A Field Not Applicable</v>
        <stp/>
        <stp>##V3_BDPV12</stp>
        <stp>912827YF Govt</stp>
        <stp>IDX_RATIO</stp>
        <stp>[TREASURY.xlsx]Sheet1!R1604C20</stp>
        <tr r="T1604" s="1"/>
      </tp>
      <tp t="s">
        <v>USD</v>
        <stp/>
        <stp>##V3_BDPV12</stp>
        <stp>912810DB Govt</stp>
        <stp>CRNCY</stp>
        <stp>[TREASURY.xlsx]Sheet1!R1346C7</stp>
        <tr r="G1346" s="1"/>
      </tp>
      <tp t="s">
        <v>912827QX3</v>
        <stp/>
        <stp>##V3_BDPV12</stp>
        <stp>912827QX Govt</stp>
        <stp>ID_CUSIP</stp>
        <stp>[TREASURY.xlsx]Sheet1!R1575C19</stp>
        <tr r="S1575" s="1"/>
      </tp>
      <tp t="s">
        <v>USD</v>
        <stp/>
        <stp>##V3_BDPV12</stp>
        <stp>912828KC Govt</stp>
        <stp>CRNCY</stp>
        <stp>[TREASURY.xlsx]Sheet1!R1249C7</stp>
        <tr r="G1249" s="1"/>
      </tp>
      <tp t="s">
        <v>#N/A Field Not Applicable</v>
        <stp/>
        <stp>##V3_BDPV12</stp>
        <stp>9128276F Govt</stp>
        <stp>IDX_RATIO</stp>
        <stp>[TREASURY.xlsx]Sheet1!R1466C20</stp>
        <tr r="T1466" s="1"/>
      </tp>
      <tp t="s">
        <v>#N/A Field Not Applicable</v>
        <stp/>
        <stp>##V3_BDPV12</stp>
        <stp>912827UF Govt</stp>
        <stp>IDX_RATIO</stp>
        <stp>[TREASURY.xlsx]Sheet1!R1404C20</stp>
        <tr r="T1404" s="1"/>
      </tp>
      <tp t="s">
        <v>#N/A Field Not Applicable</v>
        <stp/>
        <stp>##V3_BDPV12</stp>
        <stp>912828EF Govt</stp>
        <stp>IDX_RATIO</stp>
        <stp>[TREASURY.xlsx]Sheet1!R1431C20</stp>
        <tr r="T1431" s="1"/>
      </tp>
      <tp t="s">
        <v>#N/A Field Not Applicable</v>
        <stp/>
        <stp>##V3_BDPV12</stp>
        <stp>912828GF Govt</stp>
        <stp>IDX_RATIO</stp>
        <stp>[TREASURY.xlsx]Sheet1!R1434C20</stp>
        <tr r="T1434" s="1"/>
      </tp>
      <tp t="s">
        <v>#N/A Field Not Applicable</v>
        <stp/>
        <stp>##V3_BDPV12</stp>
        <stp>912827QF Govt</stp>
        <stp>IDX_RATIO</stp>
        <stp>[TREASURY.xlsx]Sheet1!R1495C20</stp>
        <tr r="T1495" s="1"/>
      </tp>
      <tp t="s">
        <v>#N/A Field Not Applicable</v>
        <stp/>
        <stp>##V3_BDPV12</stp>
        <stp>912827RF Govt</stp>
        <stp>IDX_RATIO</stp>
        <stp>[TREASURY.xlsx]Sheet1!R1579C20</stp>
        <tr r="T1579" s="1"/>
      </tp>
      <tp t="s">
        <v>912827QZ8</v>
        <stp/>
        <stp>##V3_BDPV12</stp>
        <stp>912827QZ Govt</stp>
        <stp>ID_CUSIP</stp>
        <stp>[TREASURY.xlsx]Sheet1!R1576C19</stp>
        <tr r="S1576" s="1"/>
      </tp>
      <tp t="s">
        <v>#N/A Field Not Applicable</v>
        <stp/>
        <stp>##V3_BDPV12</stp>
        <stp>912827XF Govt</stp>
        <stp>IDX_RATIO</stp>
        <stp>[TREASURY.xlsx]Sheet1!R1596C20</stp>
        <tr r="T1596" s="1"/>
      </tp>
      <tp t="s">
        <v>#N/A Field Not Applicable</v>
        <stp/>
        <stp>##V3_BDPV12</stp>
        <stp>912828PF Govt</stp>
        <stp>IDX_RATIO</stp>
        <stp>[TREASURY.xlsx]Sheet1!R1299C20</stp>
        <tr r="T1299" s="1"/>
      </tp>
      <tp t="s">
        <v>#N/A Field Not Applicable</v>
        <stp/>
        <stp>##V3_BDPV12</stp>
        <stp>912827ZF Govt</stp>
        <stp>IDX_RATIO</stp>
        <stp>[TREASURY.xlsx]Sheet1!R1229C20</stp>
        <tr r="T1229" s="1"/>
      </tp>
      <tp t="s">
        <v>#N/A Field Not Applicable</v>
        <stp/>
        <stp>##V3_BDPV12</stp>
        <stp>912828BF Govt</stp>
        <stp>IDX_RATIO</stp>
        <stp>[TREASURY.xlsx]Sheet1!R1235C20</stp>
        <tr r="T1235" s="1"/>
      </tp>
      <tp t="s">
        <v>#N/A Field Not Applicable</v>
        <stp/>
        <stp>##V3_BDPV12</stp>
        <stp>912828NF Govt</stp>
        <stp>IDX_RATIO</stp>
        <stp>[TREASURY.xlsx]Sheet1!R1256C20</stp>
        <tr r="T1256" s="1"/>
      </tp>
      <tp t="s">
        <v>#N/A Field Not Applicable</v>
        <stp/>
        <stp>##V3_BDPV12</stp>
        <stp>9128273F Govt</stp>
        <stp>IDX_RATIO</stp>
        <stp>[TREASURY.xlsx]Sheet1!R1355C20</stp>
        <tr r="T1355" s="1"/>
      </tp>
      <tp t="s">
        <v>#N/A Field Not Applicable</v>
        <stp/>
        <stp>##V3_BDPV12</stp>
        <stp>9128272F Govt</stp>
        <stp>IDX_RATIO</stp>
        <stp>[TREASURY.xlsx]Sheet1!R1351C20</stp>
        <tr r="T1351" s="1"/>
      </tp>
      <tp t="s">
        <v>#N/A Field Not Applicable</v>
        <stp/>
        <stp>##V3_BDPV12</stp>
        <stp>912827TF Govt</stp>
        <stp>IDX_RATIO</stp>
        <stp>[TREASURY.xlsx]Sheet1!R1399C20</stp>
        <tr r="T1399" s="1"/>
      </tp>
      <tp t="s">
        <v>USD</v>
        <stp/>
        <stp>##V3_BDPV12</stp>
        <stp>912810DG Govt</stp>
        <stp>CRNCY</stp>
        <stp>[TREASURY.xlsx]Sheet1!R1516C7</stp>
        <tr r="G1516" s="1"/>
      </tp>
      <tp t="s">
        <v>#N/A Field Not Applicable</v>
        <stp/>
        <stp>##V3_BDPV12</stp>
        <stp>912810DF Govt</stp>
        <stp>IDX_RATIO</stp>
        <stp>[TREASURY.xlsx]Sheet1!R1312C20</stp>
        <tr r="T1312" s="1"/>
      </tp>
      <tp t="s">
        <v>#N/A Field Not Applicable</v>
        <stp/>
        <stp>##V3_BDPV12</stp>
        <stp>912827SF Govt</stp>
        <stp>IDX_RATIO</stp>
        <stp>[TREASURY.xlsx]Sheet1!R1065C20</stp>
        <tr r="T1065" s="1"/>
      </tp>
      <tp t="s">
        <v>912827QY1</v>
        <stp/>
        <stp>##V3_BDPV12</stp>
        <stp>912827QY Govt</stp>
        <stp>ID_CUSIP</stp>
        <stp>[TREASURY.xlsx]Sheet1!R1395C19</stp>
        <tr r="S1395" s="1"/>
      </tp>
      <tp t="s">
        <v>#N/A Field Not Applicable</v>
        <stp/>
        <stp>##V3_BDPV12</stp>
        <stp>912827NF Govt</stp>
        <stp>IDX_RATIO</stp>
        <stp>[TREASURY.xlsx]Sheet1!R1049C20</stp>
        <tr r="T1049" s="1"/>
      </tp>
      <tp t="s">
        <v>#N/A Field Not Applicable</v>
        <stp/>
        <stp>##V3_BDPV12</stp>
        <stp>9128277F Govt</stp>
        <stp>IDX_RATIO</stp>
        <stp>[TREASURY.xlsx]Sheet1!R1027C20</stp>
        <tr r="T1027" s="1"/>
      </tp>
      <tp t="s">
        <v>5/15/2002</v>
        <stp/>
        <stp>##V3_BDPV12</stp>
        <stp>912828AC Govt</stp>
        <stp>ISSUE_DT</stp>
        <stp>[TREASURY.xlsx]Sheet1!R1234C15</stp>
        <tr r="O1234" s="1"/>
      </tp>
      <tp t="s">
        <v>#N/A Field Not Applicable</v>
        <stp/>
        <stp>##V3_BDPV12</stp>
        <stp>912827WF Govt</stp>
        <stp>IDX_RATIO</stp>
        <stp>[TREASURY.xlsx]Sheet1!R1090C20</stp>
        <tr r="T1090" s="1"/>
      </tp>
      <tp t="s">
        <v>#N/A Field Not Applicable</v>
        <stp/>
        <stp>##V3_BDPV12</stp>
        <stp>912827VF Govt</stp>
        <stp>IDX_RATIO</stp>
        <stp>[TREASURY.xlsx]Sheet1!R1086C20</stp>
        <tr r="T1086" s="1"/>
      </tp>
      <tp t="s">
        <v>#N/A Field Not Applicable</v>
        <stp/>
        <stp>##V3_BDPV12</stp>
        <stp>912828XF Govt</stp>
        <stp>IDX_RATIO</stp>
        <stp>[TREASURY.xlsx]Sheet1!R1151C20</stp>
        <tr r="T1151" s="1"/>
      </tp>
      <tp t="s">
        <v>USD</v>
        <stp/>
        <stp>##V3_BDPV12</stp>
        <stp>912828FE Govt</stp>
        <stp>CRNCY</stp>
        <stp>[TREASURY.xlsx]Sheet1!R1274C7</stp>
        <tr r="G1274" s="1"/>
      </tp>
      <tp t="s">
        <v>USD</v>
        <stp/>
        <stp>##V3_BDPV12</stp>
        <stp>912810CE Govt</stp>
        <stp>CRNCY</stp>
        <stp>[TREASURY.xlsx]Sheet1!R1441C7</stp>
        <tr r="G1441" s="1"/>
      </tp>
      <tp t="s">
        <v>912827QW5</v>
        <stp/>
        <stp>##V3_BDPV12</stp>
        <stp>912827QW Govt</stp>
        <stp>ID_CUSIP</stp>
        <stp>[TREASURY.xlsx]Sheet1!R1394C19</stp>
        <tr r="S1394" s="1"/>
      </tp>
      <tp t="s">
        <v>912827QT2</v>
        <stp/>
        <stp>##V3_BDPV12</stp>
        <stp>912827QT Govt</stp>
        <stp>ID_CUSIP</stp>
        <stp>[TREASURY.xlsx]Sheet1!R1059C19</stp>
        <tr r="S1059" s="1"/>
      </tp>
      <tp t="s">
        <v>USD</v>
        <stp/>
        <stp>##V3_BDPV12</stp>
        <stp>912828GH Govt</stp>
        <stp>CRNCY</stp>
        <stp>[TREASURY.xlsx]Sheet1!R1435C7</stp>
        <tr r="G1435" s="1"/>
      </tp>
      <tp t="s">
        <v>912827QS4</v>
        <stp/>
        <stp>##V3_BDPV12</stp>
        <stp>912827QS Govt</stp>
        <stp>ID_CUSIP</stp>
        <stp>[TREASURY.xlsx]Sheet1!R1393C19</stp>
        <tr r="S1393" s="1"/>
      </tp>
      <tp t="s">
        <v>912827QQ8</v>
        <stp/>
        <stp>##V3_BDPV12</stp>
        <stp>912827QQ Govt</stp>
        <stp>ID_CUSIP</stp>
        <stp>[TREASURY.xlsx]Sheet1!R1180C19</stp>
        <tr r="S1180" s="1"/>
      </tp>
      <tp t="s">
        <v>10/31/2002</v>
        <stp/>
        <stp>##V3_BDPV12</stp>
        <stp>912828AM Govt</stp>
        <stp>ISSUE_DT</stp>
        <stp>[TREASURY.xlsx]Sheet1!R1616C15</stp>
        <tr r="O1616" s="1"/>
      </tp>
      <tp t="s">
        <v>912827QU9</v>
        <stp/>
        <stp>##V3_BDPV12</stp>
        <stp>912827QU Govt</stp>
        <stp>ID_CUSIP</stp>
        <stp>[TREASURY.xlsx]Sheet1!R1497C19</stp>
        <tr r="S1497" s="1"/>
      </tp>
      <tp t="s">
        <v>912827QV7</v>
        <stp/>
        <stp>##V3_BDPV12</stp>
        <stp>912827QV Govt</stp>
        <stp>ID_CUSIP</stp>
        <stp>[TREASURY.xlsx]Sheet1!R1498C19</stp>
        <tr r="S1498" s="1"/>
      </tp>
      <tp t="s">
        <v>8/15/2002</v>
        <stp/>
        <stp>##V3_BDPV12</stp>
        <stp>912828AH Govt</stp>
        <stp>ISSUE_DT</stp>
        <stp>[TREASURY.xlsx]Sheet1!R1107C15</stp>
        <tr r="O1107" s="1"/>
      </tp>
      <tp t="s">
        <v>USD</v>
        <stp/>
        <stp>##V3_BDPV12</stp>
        <stp>912827G2 Govt</stp>
        <stp>CRNCY</stp>
        <stp>[TREASURY.xlsx]Sheet1!R1034C7</stp>
        <tr r="G1034" s="1"/>
      </tp>
      <tp t="s">
        <v>USD</v>
        <stp/>
        <stp>##V3_BDPV12</stp>
        <stp>912828A2 Govt</stp>
        <stp>CRNCY</stp>
        <stp>[TREASURY.xlsx]Sheet1!R1232C7</stp>
        <tr r="G1232" s="1"/>
      </tp>
      <tp t="s">
        <v>USD</v>
        <stp/>
        <stp>##V3_BDPV12</stp>
        <stp>912827C3 Govt</stp>
        <stp>CRNCY</stp>
        <stp>[TREASURY.xlsx]Sheet1!R1480C7</stp>
        <tr r="G1480" s="1"/>
      </tp>
      <tp t="s">
        <v>USD</v>
        <stp/>
        <stp>##V3_BDPV12</stp>
        <stp>912828K6 Govt</stp>
        <stp>CRNCY</stp>
        <stp>[TREASURY.xlsx]Sheet1!R1248C7</stp>
        <tr r="G1248" s="1"/>
      </tp>
      <tp t="s">
        <v>USD</v>
        <stp/>
        <stp>##V3_BDPV12</stp>
        <stp>912827F7 Govt</stp>
        <stp>CRNCY</stp>
        <stp>[TREASURY.xlsx]Sheet1!R1315C7</stp>
        <tr r="G1315" s="1"/>
      </tp>
      <tp t="s">
        <v>USD</v>
        <stp/>
        <stp>##V3_BDPV12</stp>
        <stp>912827B7 Govt</stp>
        <stp>CRNCY</stp>
        <stp>[TREASURY.xlsx]Sheet1!R1551C7</stp>
        <tr r="G1551" s="1"/>
      </tp>
      <tp t="s">
        <v>USD</v>
        <stp/>
        <stp>##V3_BDPV12</stp>
        <stp>912827D4 Govt</stp>
        <stp>CRNCY</stp>
        <stp>[TREASURY.xlsx]Sheet1!R1557C7</stp>
        <tr r="G1557" s="1"/>
      </tp>
      <tp t="s">
        <v>USD</v>
        <stp/>
        <stp>##V3_BDPV12</stp>
        <stp>912827A8 Govt</stp>
        <stp>CRNCY</stp>
        <stp>[TREASURY.xlsx]Sheet1!R1032C7</stp>
        <tr r="G1032" s="1"/>
      </tp>
      <tp t="s">
        <v>USD</v>
        <stp/>
        <stp>##V3_BDPV12</stp>
        <stp>912827G8 Govt</stp>
        <stp>CRNCY</stp>
        <stp>[TREASURY.xlsx]Sheet1!R1374C7</stp>
        <tr r="G1374" s="1"/>
      </tp>
      <tp t="s">
        <v>USD</v>
        <stp/>
        <stp>##V3_BDPV12</stp>
        <stp>912827F9 Govt</stp>
        <stp>CRNCY</stp>
        <stp>[TREASURY.xlsx]Sheet1!R1155C7</stp>
        <tr r="G1155" s="1"/>
      </tp>
      <tp t="s">
        <v>T</v>
        <stp/>
        <stp>##V3_BDPV12</stp>
        <stp>91282CCX Govt</stp>
        <stp>TICKER</stp>
        <stp>[TREASURY.xlsx]Sheet1!R5C2</stp>
        <tr r="B5" s="1"/>
      </tp>
      <tp t="s">
        <v>912827P89</v>
        <stp/>
        <stp>##V3_BDPV12</stp>
        <stp>912827P8 Govt</stp>
        <stp>ID_CUSIP</stp>
        <stp>[TREASURY.xlsx]Sheet1!R1492C19</stp>
        <tr r="S1492" s="1"/>
      </tp>
      <tp t="s">
        <v>912827P97</v>
        <stp/>
        <stp>##V3_BDPV12</stp>
        <stp>912827P9 Govt</stp>
        <stp>ID_CUSIP</stp>
        <stp>[TREASURY.xlsx]Sheet1!R1339C19</stp>
        <tr r="S1339" s="1"/>
      </tp>
      <tp t="s">
        <v>912827P71</v>
        <stp/>
        <stp>##V3_BDPV12</stp>
        <stp>912827P7 Govt</stp>
        <stp>ID_CUSIP</stp>
        <stp>[TREASURY.xlsx]Sheet1!R1338C19</stp>
        <tr r="S1338" s="1"/>
      </tp>
      <tp t="s">
        <v>912827P63</v>
        <stp/>
        <stp>##V3_BDPV12</stp>
        <stp>912827P6 Govt</stp>
        <stp>ID_CUSIP</stp>
        <stp>[TREASURY.xlsx]Sheet1!R1387C19</stp>
        <tr r="S1387" s="1"/>
      </tp>
      <tp t="s">
        <v>912827P48</v>
        <stp/>
        <stp>##V3_BDPV12</stp>
        <stp>912827P4 Govt</stp>
        <stp>ID_CUSIP</stp>
        <stp>[TREASURY.xlsx]Sheet1!R1171C19</stp>
        <tr r="S1171" s="1"/>
      </tp>
      <tp t="s">
        <v>912827P55</v>
        <stp/>
        <stp>##V3_BDPV12</stp>
        <stp>912827P5 Govt</stp>
        <stp>ID_CUSIP</stp>
        <stp>[TREASURY.xlsx]Sheet1!R1337C19</stp>
        <tr r="S1337" s="1"/>
      </tp>
      <tp t="s">
        <v>912828P53</v>
        <stp/>
        <stp>##V3_BDPV12</stp>
        <stp>912828P5 Govt</stp>
        <stp>ID_CUSIP</stp>
        <stp>[TREASURY.xlsx]Sheet1!R1259C19</stp>
        <tr r="S1259" s="1"/>
      </tp>
      <tp t="s">
        <v>912827P30</v>
        <stp/>
        <stp>##V3_BDPV12</stp>
        <stp>912827P3 Govt</stp>
        <stp>ID_CUSIP</stp>
        <stp>[TREASURY.xlsx]Sheet1!R1386C19</stp>
        <tr r="S1386" s="1"/>
      </tp>
      <tp t="s">
        <v>T</v>
        <stp/>
        <stp>##V3_BDPV12</stp>
        <stp>912827L9 Govt</stp>
        <stp>TICKER</stp>
        <stp>[TREASURY.xlsx]Sheet1!R714C2</stp>
        <tr r="B714" s="1"/>
      </tp>
      <tp t="s">
        <v>T</v>
        <stp/>
        <stp>##V3_BDPV12</stp>
        <stp>912828J9 Govt</stp>
        <stp>TICKER</stp>
        <stp>[TREASURY.xlsx]Sheet1!R852C2</stp>
        <tr r="B852" s="1"/>
      </tp>
      <tp t="s">
        <v>T</v>
        <stp/>
        <stp>##V3_BDPV12</stp>
        <stp>912827N3 Govt</stp>
        <stp>TICKER</stp>
        <stp>[TREASURY.xlsx]Sheet1!R726C2</stp>
        <tr r="B726" s="1"/>
      </tp>
      <tp t="s">
        <v>ACT/ACT</v>
        <stp/>
        <stp>##V3_BDPV12</stp>
        <stp>912810CM Govt</stp>
        <stp>DAY_CNT_DES</stp>
        <stp>[TREASURY.xlsx]Sheet1!R1515C17</stp>
        <tr r="Q1515" s="1"/>
      </tp>
      <tp t="s">
        <v>ACT/ACT</v>
        <stp/>
        <stp>##V3_BDPV12</stp>
        <stp>912810EG Govt</stp>
        <stp>DAY_CNT_DES</stp>
        <stp>[TREASURY.xlsx]Sheet1!R1349C17</stp>
        <tr r="Q1349" s="1"/>
      </tp>
      <tp t="s">
        <v>ACT/ACT</v>
        <stp/>
        <stp>##V3_BDPV12</stp>
        <stp>912810BX Govt</stp>
        <stp>DAY_CNT_DES</stp>
        <stp>[TREASURY.xlsx]Sheet1!R1440C17</stp>
        <tr r="Q1440" s="1"/>
      </tp>
      <tp t="s">
        <v>ACT/ACT</v>
        <stp/>
        <stp>##V3_BDPV12</stp>
        <stp>912810BU Govt</stp>
        <stp>DAY_CNT_DES</stp>
        <stp>[TREASURY.xlsx]Sheet1!R1439C17</stp>
        <tr r="Q1439" s="1"/>
      </tp>
      <tp t="s">
        <v>ACT/ACT</v>
        <stp/>
        <stp>##V3_BDPV12</stp>
        <stp>912810DN Govt</stp>
        <stp>DAY_CNT_DES</stp>
        <stp>[TREASURY.xlsx]Sheet1!R1348C17</stp>
        <tr r="Q1348" s="1"/>
      </tp>
      <tp t="s">
        <v>ACT/ACT</v>
        <stp/>
        <stp>##V3_BDPV12</stp>
        <stp>912810CN Govt</stp>
        <stp>DAY_CNT_DES</stp>
        <stp>[TREASURY.xlsx]Sheet1!R1442C17</stp>
        <tr r="Q1442" s="1"/>
      </tp>
      <tp t="s">
        <v>ACT/ACT</v>
        <stp/>
        <stp>##V3_BDPV12</stp>
        <stp>912810DK Govt</stp>
        <stp>DAY_CNT_DES</stp>
        <stp>[TREASURY.xlsx]Sheet1!R1347C17</stp>
        <tr r="Q1347" s="1"/>
      </tp>
      <tp t="s">
        <v>ACT/ACT</v>
        <stp/>
        <stp>##V3_BDPV12</stp>
        <stp>912810CE Govt</stp>
        <stp>DAY_CNT_DES</stp>
        <stp>[TREASURY.xlsx]Sheet1!R1441C17</stp>
        <tr r="Q1441" s="1"/>
      </tp>
      <tp t="s">
        <v>ACT/ACT</v>
        <stp/>
        <stp>##V3_BDPV12</stp>
        <stp>912810DF Govt</stp>
        <stp>DAY_CNT_DES</stp>
        <stp>[TREASURY.xlsx]Sheet1!R1312C17</stp>
        <tr r="Q1312" s="1"/>
      </tp>
      <tp t="s">
        <v>ACT/ACT</v>
        <stp/>
        <stp>##V3_BDPV12</stp>
        <stp>912810BG Govt</stp>
        <stp>DAY_CNT_DES</stp>
        <stp>[TREASURY.xlsx]Sheet1!R1513C17</stp>
        <tr r="Q1513" s="1"/>
      </tp>
      <tp t="s">
        <v>ACT/ACT</v>
        <stp/>
        <stp>##V3_BDPV12</stp>
        <stp>912810DB Govt</stp>
        <stp>DAY_CNT_DES</stp>
        <stp>[TREASURY.xlsx]Sheet1!R1346C17</stp>
        <tr r="Q1346" s="1"/>
      </tp>
      <tp t="s">
        <v>ACT/ACT</v>
        <stp/>
        <stp>##V3_BDPV12</stp>
        <stp>912810DE Govt</stp>
        <stp>DAY_CNT_DES</stp>
        <stp>[TREASURY.xlsx]Sheet1!R1311C17</stp>
        <tr r="Q1311" s="1"/>
      </tp>
      <tp t="s">
        <v>ACT/ACT</v>
        <stp/>
        <stp>##V3_BDPV12</stp>
        <stp>912810BZ Govt</stp>
        <stp>DAY_CNT_DES</stp>
        <stp>[TREASURY.xlsx]Sheet1!R1514C17</stp>
        <tr r="Q1514" s="1"/>
      </tp>
      <tp t="s">
        <v>ACT/ACT</v>
        <stp/>
        <stp>##V3_BDPV12</stp>
        <stp>912810CZ Govt</stp>
        <stp>DAY_CNT_DES</stp>
        <stp>[TREASURY.xlsx]Sheet1!R1446C17</stp>
        <tr r="Q1446" s="1"/>
      </tp>
      <tp t="s">
        <v>ACT/ACT</v>
        <stp/>
        <stp>##V3_BDPV12</stp>
        <stp>912810CL Govt</stp>
        <stp>DAY_CNT_DES</stp>
        <stp>[TREASURY.xlsx]Sheet1!R1617C17</stp>
        <tr r="Q1617" s="1"/>
      </tp>
      <tp t="s">
        <v>ACT/ACT</v>
        <stp/>
        <stp>##V3_BDPV12</stp>
        <stp>912810CQ Govt</stp>
        <stp>DAY_CNT_DES</stp>
        <stp>[TREASURY.xlsx]Sheet1!R1623C17</stp>
        <tr r="Q1623" s="1"/>
      </tp>
      <tp t="s">
        <v>ACT/ACT</v>
        <stp/>
        <stp>##V3_BDPV12</stp>
        <stp>912810CW Govt</stp>
        <stp>DAY_CNT_DES</stp>
        <stp>[TREASURY.xlsx]Sheet1!R1618C17</stp>
        <tr r="Q1618" s="1"/>
      </tp>
      <tp t="s">
        <v>ACT/ACT</v>
        <stp/>
        <stp>##V3_BDPV12</stp>
        <stp>912810DH Govt</stp>
        <stp>DAY_CNT_DES</stp>
        <stp>[TREASURY.xlsx]Sheet1!R1619C17</stp>
        <tr r="Q1619" s="1"/>
      </tp>
      <tp t="s">
        <v>ACT/ACT</v>
        <stp/>
        <stp>##V3_BDPV12</stp>
        <stp>912810DL Govt</stp>
        <stp>DAY_CNT_DES</stp>
        <stp>[TREASURY.xlsx]Sheet1!R1620C17</stp>
        <tr r="Q1620" s="1"/>
      </tp>
      <tp t="s">
        <v>ACT/ACT</v>
        <stp/>
        <stp>##V3_BDPV12</stp>
        <stp>912810DQ Govt</stp>
        <stp>DAY_CNT_DES</stp>
        <stp>[TREASURY.xlsx]Sheet1!R1621C17</stp>
        <tr r="Q1621" s="1"/>
      </tp>
      <tp t="s">
        <v>ACT/ACT</v>
        <stp/>
        <stp>##V3_BDPV12</stp>
        <stp>912810DT Govt</stp>
        <stp>DAY_CNT_DES</stp>
        <stp>[TREASURY.xlsx]Sheet1!R1622C17</stp>
        <tr r="Q1622" s="1"/>
      </tp>
      <tp t="s">
        <v>ACT/ACT</v>
        <stp/>
        <stp>##V3_BDPV12</stp>
        <stp>912810EB Govt</stp>
        <stp>DAY_CNT_DES</stp>
        <stp>[TREASURY.xlsx]Sheet1!R1624C17</stp>
        <tr r="Q1624" s="1"/>
      </tp>
      <tp t="s">
        <v>ACT/ACT</v>
        <stp/>
        <stp>##V3_BDPV12</stp>
        <stp>912810CK Govt</stp>
        <stp>DAY_CNT_DES</stp>
        <stp>[TREASURY.xlsx]Sheet1!R1309C17</stp>
        <tr r="Q1309" s="1"/>
      </tp>
      <tp t="s">
        <v>ACT/ACT</v>
        <stp/>
        <stp>##V3_BDPV12</stp>
        <stp>912810DD Govt</stp>
        <stp>DAY_CNT_DES</stp>
        <stp>[TREASURY.xlsx]Sheet1!R1444C17</stp>
        <tr r="Q1444" s="1"/>
      </tp>
      <tp t="s">
        <v>ACT/ACT</v>
        <stp/>
        <stp>##V3_BDPV12</stp>
        <stp>912810CG Govt</stp>
        <stp>DAY_CNT_DES</stp>
        <stp>[TREASURY.xlsx]Sheet1!R1308C17</stp>
        <tr r="Q1308" s="1"/>
      </tp>
      <tp t="s">
        <v>ACT/ACT</v>
        <stp/>
        <stp>##V3_BDPV12</stp>
        <stp>912810DC Govt</stp>
        <stp>DAY_CNT_DES</stp>
        <stp>[TREASURY.xlsx]Sheet1!R1443C17</stp>
        <tr r="Q1443" s="1"/>
      </tp>
      <tp t="s">
        <v>ACT/ACT</v>
        <stp/>
        <stp>##V3_BDPV12</stp>
        <stp>912810DY Govt</stp>
        <stp>DAY_CNT_DES</stp>
        <stp>[TREASURY.xlsx]Sheet1!R1448C17</stp>
        <tr r="Q1448" s="1"/>
      </tp>
      <tp t="s">
        <v>ACT/ACT</v>
        <stp/>
        <stp>##V3_BDPV12</stp>
        <stp>912810CU Govt</stp>
        <stp>DAY_CNT_DES</stp>
        <stp>[TREASURY.xlsx]Sheet1!R1345C17</stp>
        <tr r="Q1345" s="1"/>
      </tp>
      <tp t="s">
        <v>ACT/ACT</v>
        <stp/>
        <stp>##V3_BDPV12</stp>
        <stp>912810CV Govt</stp>
        <stp>DAY_CNT_DES</stp>
        <stp>[TREASURY.xlsx]Sheet1!R1310C17</stp>
        <tr r="Q1310" s="1"/>
      </tp>
      <tp t="s">
        <v>ACT/ACT</v>
        <stp/>
        <stp>##V3_BDPV12</stp>
        <stp>912810CR Govt</stp>
        <stp>DAY_CNT_DES</stp>
        <stp>[TREASURY.xlsx]Sheet1!R1344C17</stp>
        <tr r="Q1344" s="1"/>
      </tp>
      <tp t="s">
        <v>ACT/ACT</v>
        <stp/>
        <stp>##V3_BDPV12</stp>
        <stp>912810DR Govt</stp>
        <stp>DAY_CNT_DES</stp>
        <stp>[TREASURY.xlsx]Sheet1!R1447C17</stp>
        <tr r="Q1447" s="1"/>
      </tp>
      <tp t="s">
        <v>ACT/ACT</v>
        <stp/>
        <stp>##V3_BDPV12</stp>
        <stp>912810DG Govt</stp>
        <stp>DAY_CNT_DES</stp>
        <stp>[TREASURY.xlsx]Sheet1!R1516C17</stp>
        <tr r="Q1516" s="1"/>
      </tp>
      <tp t="s">
        <v>ACT/ACT</v>
        <stp/>
        <stp>##V3_BDPV12</stp>
        <stp>912810EA Govt</stp>
        <stp>DAY_CNT_DES</stp>
        <stp>[TREASURY.xlsx]Sheet1!R1445C17</stp>
        <tr r="Q1445" s="1"/>
      </tp>
      <tp t="s">
        <v>T</v>
        <stp/>
        <stp>##V3_BDPV12</stp>
        <stp>912827KZ Govt</stp>
        <stp>TICKER</stp>
        <stp>[TREASURY.xlsx]Sheet1!R713C2</stp>
        <tr r="B713" s="1"/>
      </tp>
      <tp t="s">
        <v>T</v>
        <stp/>
        <stp>##V3_BDPV12</stp>
        <stp>912828MX Govt</stp>
        <stp>TICKER</stp>
        <stp>[TREASURY.xlsx]Sheet1!R825C2</stp>
        <tr r="B825" s="1"/>
      </tp>
      <tp t="s">
        <v>T</v>
        <stp/>
        <stp>##V3_BDPV12</stp>
        <stp>912828HY Govt</stp>
        <stp>TICKER</stp>
        <stp>[TREASURY.xlsx]Sheet1!R450C2</stp>
        <tr r="B450" s="1"/>
      </tp>
      <tp t="s">
        <v>T</v>
        <stp/>
        <stp>##V3_BDPV12</stp>
        <stp>912827MY Govt</stp>
        <stp>TICKER</stp>
        <stp>[TREASURY.xlsx]Sheet1!R725C2</stp>
        <tr r="B725" s="1"/>
      </tp>
      <tp t="s">
        <v>T</v>
        <stp/>
        <stp>##V3_BDPV12</stp>
        <stp>912827LY Govt</stp>
        <stp>TICKER</stp>
        <stp>[TREASURY.xlsx]Sheet1!R894C2</stp>
        <tr r="B894" s="1"/>
      </tp>
      <tp t="s">
        <v>T</v>
        <stp/>
        <stp>##V3_BDPV12</stp>
        <stp>912828JV Govt</stp>
        <stp>TICKER</stp>
        <stp>[TREASURY.xlsx]Sheet1!R972C2</stp>
        <tr r="B972" s="1"/>
      </tp>
      <tp t="s">
        <v>T</v>
        <stp/>
        <stp>##V3_BDPV12</stp>
        <stp>91282CAW Govt</stp>
        <stp>TICKER</stp>
        <stp>[TREASURY.xlsx]Sheet1!R109C2</stp>
        <tr r="B109" s="1"/>
      </tp>
      <tp t="s">
        <v>T</v>
        <stp/>
        <stp>##V3_BDPV12</stp>
        <stp>912828KT Govt</stp>
        <stp>TICKER</stp>
        <stp>[TREASURY.xlsx]Sheet1!R973C2</stp>
        <tr r="B973" s="1"/>
      </tp>
      <tp t="s">
        <v>T</v>
        <stp/>
        <stp>##V3_BDPV12</stp>
        <stp>912827KU Govt</stp>
        <stp>TICKER</stp>
        <stp>[TREASURY.xlsx]Sheet1!R683C2</stp>
        <tr r="B683" s="1"/>
      </tp>
      <tp t="s">
        <v>T</v>
        <stp/>
        <stp>##V3_BDPV12</stp>
        <stp>912828KU Govt</stp>
        <stp>TICKER</stp>
        <stp>[TREASURY.xlsx]Sheet1!R813C2</stp>
        <tr r="B813" s="1"/>
      </tp>
      <tp t="s">
        <v>NORMAL</v>
        <stp/>
        <stp>##V3_BDPV12</stp>
        <stp>912810PX Govt</stp>
        <stp>MTY_TYP</stp>
        <stp>[TREASURY.xlsx]Sheet1!R282C6</stp>
        <tr r="F282" s="1"/>
      </tp>
      <tp t="s">
        <v>NORMAL</v>
        <stp/>
        <stp>##V3_BDPV12</stp>
        <stp>912810QZ Govt</stp>
        <stp>MTY_TYP</stp>
        <stp>[TREASURY.xlsx]Sheet1!R310C6</stp>
        <tr r="F310" s="1"/>
      </tp>
      <tp t="s">
        <v>NORMAL</v>
        <stp/>
        <stp>##V3_BDPV12</stp>
        <stp>912828NS Govt</stp>
        <stp>MTY_TYP</stp>
        <stp>[TREASURY.xlsx]Sheet1!R979C6</stp>
        <tr r="F979" s="1"/>
      </tp>
      <tp t="s">
        <v>NORMAL</v>
        <stp/>
        <stp>##V3_BDPV12</stp>
        <stp>9128285S Govt</stp>
        <stp>MTY_TYP</stp>
        <stp>[TREASURY.xlsx]Sheet1!R429C6</stp>
        <tr r="F429" s="1"/>
      </tp>
      <tp t="s">
        <v>NORMAL</v>
        <stp/>
        <stp>##V3_BDPV12</stp>
        <stp>912828XY Govt</stp>
        <stp>MTY_TYP</stp>
        <stp>[TREASURY.xlsx]Sheet1!R473C6</stp>
        <tr r="F473" s="1"/>
      </tp>
      <tp t="s">
        <v>NORMAL</v>
        <stp/>
        <stp>##V3_BDPV12</stp>
        <stp>912828AX Govt</stp>
        <stp>MTY_TYP</stp>
        <stp>[TREASURY.xlsx]Sheet1!R502C6</stp>
        <tr r="F502" s="1"/>
      </tp>
      <tp t="s">
        <v>NORMAL</v>
        <stp/>
        <stp>##V3_BDPV12</stp>
        <stp>912827YZ Govt</stp>
        <stp>MTY_TYP</stp>
        <stp>[TREASURY.xlsx]Sheet1!R950C6</stp>
        <tr r="F950" s="1"/>
      </tp>
      <tp t="s">
        <v>NORMAL</v>
        <stp/>
        <stp>##V3_BDPV12</stp>
        <stp>912827TZ Govt</stp>
        <stp>MTY_TYP</stp>
        <stp>[TREASURY.xlsx]Sheet1!R920C6</stp>
        <tr r="F920" s="1"/>
      </tp>
      <tp t="s">
        <v>NORMAL</v>
        <stp/>
        <stp>##V3_BDPV12</stp>
        <stp>912827QR Govt</stp>
        <stp>MTY_TYP</stp>
        <stp>[TREASURY.xlsx]Sheet1!R908C6</stp>
        <tr r="F908" s="1"/>
      </tp>
      <tp t="s">
        <v>NORMAL</v>
        <stp/>
        <stp>##V3_BDPV12</stp>
        <stp>912828AR Govt</stp>
        <stp>MTY_TYP</stp>
        <stp>[TREASURY.xlsx]Sheet1!R658C6</stp>
        <tr r="F658" s="1"/>
      </tp>
      <tp t="s">
        <v>NORMAL</v>
        <stp/>
        <stp>##V3_BDPV12</stp>
        <stp>912828YZ Govt</stp>
        <stp>MTY_TYP</stp>
        <stp>[TREASURY.xlsx]Sheet1!R170C6</stp>
        <tr r="F170" s="1"/>
      </tp>
      <tp t="s">
        <v>NORMAL</v>
        <stp/>
        <stp>##V3_BDPV12</stp>
        <stp>9128285Z Govt</stp>
        <stp>MTY_TYP</stp>
        <stp>[TREASURY.xlsx]Sheet1!R220C6</stp>
        <tr r="F220" s="1"/>
      </tp>
      <tp t="s">
        <v>NORMAL</v>
        <stp/>
        <stp>##V3_BDPV12</stp>
        <stp>9128286Z Govt</stp>
        <stp>MTY_TYP</stp>
        <stp>[TREASURY.xlsx]Sheet1!R200C6</stp>
        <tr r="F200" s="1"/>
      </tp>
      <tp t="s">
        <v>NORMAL</v>
        <stp/>
        <stp>##V3_BDPV12</stp>
        <stp>9128285X Govt</stp>
        <stp>MTY_TYP</stp>
        <stp>[TREASURY.xlsx]Sheet1!R372C6</stp>
        <tr r="F372" s="1"/>
      </tp>
      <tp t="s">
        <v>NORMAL</v>
        <stp/>
        <stp>##V3_BDPV12</stp>
        <stp>912828LY Govt</stp>
        <stp>MTY_TYP</stp>
        <stp>[TREASURY.xlsx]Sheet1!R353C6</stp>
        <tr r="F353" s="1"/>
      </tp>
      <tp t="s">
        <v>T</v>
        <stp/>
        <stp>##V3_BDPV12</stp>
        <stp>912828KQ Govt</stp>
        <stp>TICKER</stp>
        <stp>[TREASURY.xlsx]Sheet1!R583C2</stp>
        <tr r="B583" s="1"/>
      </tp>
      <tp t="s">
        <v>T</v>
        <stp/>
        <stp>##V3_BDPV12</stp>
        <stp>912828AK Govt</stp>
        <stp>TICKER</stp>
        <stp>[TREASURY.xlsx]Sheet1!R959C2</stp>
        <tr r="B959" s="1"/>
      </tp>
      <tp t="s">
        <v>T</v>
        <stp/>
        <stp>##V3_BDPV12</stp>
        <stp>912828HH Govt</stp>
        <stp>TICKER</stp>
        <stp>[TREASURY.xlsx]Sheet1!R470C2</stp>
        <tr r="B470" s="1"/>
      </tp>
      <tp t="s">
        <v>T</v>
        <stp/>
        <stp>##V3_BDPV12</stp>
        <stp>912828JH Govt</stp>
        <stp>TICKER</stp>
        <stp>[TREASURY.xlsx]Sheet1!R542C2</stp>
        <tr r="B542" s="1"/>
      </tp>
      <tp t="s">
        <v>T</v>
        <stp/>
        <stp>##V3_BDPV12</stp>
        <stp>912828LF Govt</stp>
        <stp>TICKER</stp>
        <stp>[TREASURY.xlsx]Sheet1!R584C2</stp>
        <tr r="B584" s="1"/>
      </tp>
      <tp t="s">
        <v>T</v>
        <stp/>
        <stp>##V3_BDPV12</stp>
        <stp>912828HF Govt</stp>
        <stp>TICKER</stp>
        <stp>[TREASURY.xlsx]Sheet1!R970C2</stp>
        <tr r="B970" s="1"/>
      </tp>
      <tp t="s">
        <v>T</v>
        <stp/>
        <stp>##V3_BDPV12</stp>
        <stp>912828LD Govt</stp>
        <stp>TICKER</stp>
        <stp>[TREASURY.xlsx]Sheet1!R814C2</stp>
        <tr r="B814" s="1"/>
      </tp>
      <tp t="s">
        <v>T</v>
        <stp/>
        <stp>##V3_BDPV12</stp>
        <stp>912827ME Govt</stp>
        <stp>TICKER</stp>
        <stp>[TREASURY.xlsx]Sheet1!R895C2</stp>
        <tr r="B895" s="1"/>
      </tp>
      <tp t="s">
        <v>T</v>
        <stp/>
        <stp>##V3_BDPV12</stp>
        <stp>912828HE Govt</stp>
        <stp>TICKER</stp>
        <stp>[TREASURY.xlsx]Sheet1!R850C2</stp>
        <tr r="B850" s="1"/>
      </tp>
      <tp t="s">
        <v>912827PM8</v>
        <stp/>
        <stp>##V3_BDPV12</stp>
        <stp>912827PM Govt</stp>
        <stp>ID_CUSIP</stp>
        <stp>[TREASURY.xlsx]Sheet1!R1174C19</stp>
        <tr r="S1174" s="1"/>
      </tp>
      <tp t="s">
        <v>USD</v>
        <stp/>
        <stp>##V3_BDPV12</stp>
        <stp>912810DR Govt</stp>
        <stp>CRNCY</stp>
        <stp>[TREASURY.xlsx]Sheet1!R1447C7</stp>
        <tr r="G1447" s="1"/>
      </tp>
      <tp t="s">
        <v>USD</v>
        <stp/>
        <stp>##V3_BDPV12</stp>
        <stp>912828ES Govt</stp>
        <stp>CRNCY</stp>
        <stp>[TREASURY.xlsx]Sheet1!R1116C7</stp>
        <tr r="G1116" s="1"/>
      </tp>
      <tp t="s">
        <v>T</v>
        <stp/>
        <stp>##V3_BDPV12</stp>
        <stp>912828UL Govt</stp>
        <stp>TICKER</stp>
        <stp>[TREASURY.xlsx]Sheet1!R1000C2</stp>
        <tr r="B1000" s="1"/>
      </tp>
      <tp t="s">
        <v>T</v>
        <stp/>
        <stp>##V3_BDPV12</stp>
        <stp>912828DE Govt</stp>
        <stp>TICKER</stp>
        <stp>[TREASURY.xlsx]Sheet1!R1109C2</stp>
        <tr r="B1109" s="1"/>
      </tp>
      <tp t="s">
        <v>T</v>
        <stp/>
        <stp>##V3_BDPV12</stp>
        <stp>912828EH Govt</stp>
        <stp>TICKER</stp>
        <stp>[TREASURY.xlsx]Sheet1!R1114C2</stp>
        <tr r="B1114" s="1"/>
      </tp>
      <tp t="s">
        <v>T</v>
        <stp/>
        <stp>##V3_BDPV12</stp>
        <stp>912828WL Govt</stp>
        <stp>TICKER</stp>
        <stp>[TREASURY.xlsx]Sheet1!R1150C2</stp>
        <tr r="B1150" s="1"/>
      </tp>
      <tp t="s">
        <v>T</v>
        <stp/>
        <stp>##V3_BDPV12</stp>
        <stp>912828LL Govt</stp>
        <stp>TICKER</stp>
        <stp>[TREASURY.xlsx]Sheet1!R1290C2</stp>
        <tr r="B1290" s="1"/>
      </tp>
      <tp t="s">
        <v>T</v>
        <stp/>
        <stp>##V3_BDPV12</stp>
        <stp>912828PD Govt</stp>
        <stp>TICKER</stp>
        <stp>[TREASURY.xlsx]Sheet1!R1298C2</stp>
        <tr r="B1298" s="1"/>
      </tp>
      <tp t="s">
        <v>T</v>
        <stp/>
        <stp>##V3_BDPV12</stp>
        <stp>912827LD Govt</stp>
        <stp>TICKER</stp>
        <stp>[TREASURY.xlsx]Sheet1!R1378C2</stp>
        <tr r="B1378" s="1"/>
      </tp>
      <tp t="s">
        <v>T</v>
        <stp/>
        <stp>##V3_BDPV12</stp>
        <stp>912827TD Govt</stp>
        <stp>TICKER</stp>
        <stp>[TREASURY.xlsx]Sheet1!R1398C2</stp>
        <tr r="B1398" s="1"/>
      </tp>
      <tp t="s">
        <v>T</v>
        <stp/>
        <stp>##V3_BDPV12</stp>
        <stp>9128272N Govt</stp>
        <stp>TICKER</stp>
        <stp>[TREASURY.xlsx]Sheet1!R1352C2</stp>
        <tr r="B1352" s="1"/>
      </tp>
      <tp t="s">
        <v>T</v>
        <stp/>
        <stp>##V3_BDPV12</stp>
        <stp>912827WN Govt</stp>
        <stp>TICKER</stp>
        <stp>[TREASURY.xlsx]Sheet1!R1092C2</stp>
        <tr r="B1092" s="1"/>
      </tp>
      <tp t="s">
        <v>T</v>
        <stp/>
        <stp>##V3_BDPV12</stp>
        <stp>9128272E Govt</stp>
        <stp>TICKER</stp>
        <stp>[TREASURY.xlsx]Sheet1!R1009C2</stp>
        <tr r="B1009" s="1"/>
      </tp>
      <tp t="s">
        <v>T</v>
        <stp/>
        <stp>##V3_BDPV12</stp>
        <stp>9128274M Govt</stp>
        <stp>TICKER</stp>
        <stp>[TREASURY.xlsx]Sheet1!R1461C2</stp>
        <tr r="B1461" s="1"/>
      </tp>
      <tp t="s">
        <v>T</v>
        <stp/>
        <stp>##V3_BDPV12</stp>
        <stp>9128274N Govt</stp>
        <stp>TICKER</stp>
        <stp>[TREASURY.xlsx]Sheet1!R1462C2</stp>
        <tr r="B1462" s="1"/>
      </tp>
      <tp t="s">
        <v>T</v>
        <stp/>
        <stp>##V3_BDPV12</stp>
        <stp>912810CN Govt</stp>
        <stp>TICKER</stp>
        <stp>[TREASURY.xlsx]Sheet1!R1442C2</stp>
        <tr r="B1442" s="1"/>
      </tp>
      <tp t="s">
        <v>T</v>
        <stp/>
        <stp>##V3_BDPV12</stp>
        <stp>912810DL Govt</stp>
        <stp>TICKER</stp>
        <stp>[TREASURY.xlsx]Sheet1!R1620C2</stp>
        <tr r="B1620" s="1"/>
      </tp>
      <tp t="s">
        <v>T</v>
        <stp/>
        <stp>##V3_BDPV12</stp>
        <stp>912810DK Govt</stp>
        <stp>TICKER</stp>
        <stp>[TREASURY.xlsx]Sheet1!R1347C2</stp>
        <tr r="B1347" s="1"/>
      </tp>
      <tp t="s">
        <v>912827PK2</v>
        <stp/>
        <stp>##V3_BDPV12</stp>
        <stp>912827PK Govt</stp>
        <stp>ID_CUSIP</stp>
        <stp>[TREASURY.xlsx]Sheet1!R1340C19</stp>
        <tr r="S1340" s="1"/>
      </tp>
      <tp t="s">
        <v>USD</v>
        <stp/>
        <stp>##V3_BDPV12</stp>
        <stp>912810CV Govt</stp>
        <stp>CRNCY</stp>
        <stp>[TREASURY.xlsx]Sheet1!R1310C7</stp>
        <tr r="G1310" s="1"/>
      </tp>
      <tp t="s">
        <v>912827PJ5</v>
        <stp/>
        <stp>##V3_BDPV12</stp>
        <stp>912827PJ Govt</stp>
        <stp>ID_CUSIP</stp>
        <stp>[TREASURY.xlsx]Sheet1!R1389C19</stp>
        <tr r="S1389" s="1"/>
      </tp>
      <tp t="s">
        <v>USD</v>
        <stp/>
        <stp>##V3_BDPV12</stp>
        <stp>912827KT Govt</stp>
        <stp>CRNCY</stp>
        <stp>[TREASURY.xlsx]Sheet1!R1318C7</stp>
        <tr r="G1318" s="1"/>
      </tp>
      <tp t="s">
        <v>USD</v>
        <stp/>
        <stp>##V3_BDPV12</stp>
        <stp>912828DU Govt</stp>
        <stp>CRNCY</stp>
        <stp>[TREASURY.xlsx]Sheet1!R1237C7</stp>
        <tr r="G1237" s="1"/>
      </tp>
      <tp t="s">
        <v>912828PF1</v>
        <stp/>
        <stp>##V3_BDPV12</stp>
        <stp>912828PF Govt</stp>
        <stp>ID_CUSIP</stp>
        <stp>[TREASURY.xlsx]Sheet1!R1299C19</stp>
        <tr r="S1299" s="1"/>
      </tp>
      <tp t="s">
        <v>912827PE6</v>
        <stp/>
        <stp>##V3_BDPV12</stp>
        <stp>912827PE Govt</stp>
        <stp>ID_CUSIP</stp>
        <stp>[TREASURY.xlsx]Sheet1!R1054C19</stp>
        <tr r="S1054" s="1"/>
      </tp>
      <tp t="s">
        <v>912828PD6</v>
        <stp/>
        <stp>##V3_BDPV12</stp>
        <stp>912828PD Govt</stp>
        <stp>ID_CUSIP</stp>
        <stp>[TREASURY.xlsx]Sheet1!R1298C19</stp>
        <tr r="S1298" s="1"/>
      </tp>
      <tp t="s">
        <v>912827PG1</v>
        <stp/>
        <stp>##V3_BDPV12</stp>
        <stp>912827PG Govt</stp>
        <stp>ID_CUSIP</stp>
        <stp>[TREASURY.xlsx]Sheet1!R1173C19</stp>
        <tr r="S1173" s="1"/>
      </tp>
      <tp t="s">
        <v>912828PB0</v>
        <stp/>
        <stp>##V3_BDPV12</stp>
        <stp>912828PB Govt</stp>
        <stp>ID_CUSIP</stp>
        <stp>[TREASURY.xlsx]Sheet1!R1297C19</stp>
        <tr r="S1297" s="1"/>
      </tp>
      <tp t="s">
        <v>912827PA4</v>
        <stp/>
        <stp>##V3_BDPV12</stp>
        <stp>912827PA Govt</stp>
        <stp>ID_CUSIP</stp>
        <stp>[TREASURY.xlsx]Sheet1!R1172C19</stp>
        <tr r="S1172" s="1"/>
      </tp>
      <tp t="s">
        <v>912827PB2</v>
        <stp/>
        <stp>##V3_BDPV12</stp>
        <stp>912827PB Govt</stp>
        <stp>ID_CUSIP</stp>
        <stp>[TREASURY.xlsx]Sheet1!R1388C19</stp>
        <tr r="S1388" s="1"/>
      </tp>
      <tp t="s">
        <v>912827PD8</v>
        <stp/>
        <stp>##V3_BDPV12</stp>
        <stp>912827PD Govt</stp>
        <stp>ID_CUSIP</stp>
        <stp>[TREASURY.xlsx]Sheet1!R1569C19</stp>
        <tr r="S1569" s="1"/>
      </tp>
      <tp t="s">
        <v>912828PA2</v>
        <stp/>
        <stp>##V3_BDPV12</stp>
        <stp>912828PA Govt</stp>
        <stp>ID_CUSIP</stp>
        <stp>[TREASURY.xlsx]Sheet1!R1296C19</stp>
        <tr r="S1296" s="1"/>
      </tp>
      <tp t="s">
        <v>#N/A Field Not Applicable</v>
        <stp/>
        <stp>##V3_BDPV12</stp>
        <stp>912810BG Govt</stp>
        <stp>IDX_RATIO</stp>
        <stp>[TREASURY.xlsx]Sheet1!R1513C20</stp>
        <tr r="T1513" s="1"/>
      </tp>
      <tp t="s">
        <v>#N/A Field Not Applicable</v>
        <stp/>
        <stp>##V3_BDPV12</stp>
        <stp>912810DG Govt</stp>
        <stp>IDX_RATIO</stp>
        <stp>[TREASURY.xlsx]Sheet1!R1516C20</stp>
        <tr r="T1516" s="1"/>
      </tp>
      <tp t="s">
        <v>912827PY2</v>
        <stp/>
        <stp>##V3_BDPV12</stp>
        <stp>912827PY Govt</stp>
        <stp>ID_CUSIP</stp>
        <stp>[TREASURY.xlsx]Sheet1!R1493C19</stp>
        <tr r="S1493" s="1"/>
      </tp>
      <tp t="s">
        <v>912827PX4</v>
        <stp/>
        <stp>##V3_BDPV12</stp>
        <stp>912827PX Govt</stp>
        <stp>ID_CUSIP</stp>
        <stp>[TREASURY.xlsx]Sheet1!R1570C19</stp>
        <tr r="S1570" s="1"/>
      </tp>
      <tp t="s">
        <v>#N/A Field Not Applicable</v>
        <stp/>
        <stp>##V3_BDPV12</stp>
        <stp>9128277G Govt</stp>
        <stp>IDX_RATIO</stp>
        <stp>[TREASURY.xlsx]Sheet1!R1471C20</stp>
        <tr r="T1471" s="1"/>
      </tp>
      <tp t="s">
        <v>#N/A Field Not Applicable</v>
        <stp/>
        <stp>##V3_BDPV12</stp>
        <stp>9128272G Govt</stp>
        <stp>IDX_RATIO</stp>
        <stp>[TREASURY.xlsx]Sheet1!R1517C20</stp>
        <tr r="T1517" s="1"/>
      </tp>
      <tp t="s">
        <v>#N/A Field Not Applicable</v>
        <stp/>
        <stp>##V3_BDPV12</stp>
        <stp>912827RG Govt</stp>
        <stp>IDX_RATIO</stp>
        <stp>[TREASURY.xlsx]Sheet1!R1501C20</stp>
        <tr r="T1501" s="1"/>
      </tp>
      <tp t="s">
        <v>912827PZ9</v>
        <stp/>
        <stp>##V3_BDPV12</stp>
        <stp>912827PZ Govt</stp>
        <stp>ID_CUSIP</stp>
        <stp>[TREASURY.xlsx]Sheet1!R1571C19</stp>
        <tr r="S1571" s="1"/>
      </tp>
      <tp t="s">
        <v>#N/A Field Not Applicable</v>
        <stp/>
        <stp>##V3_BDPV12</stp>
        <stp>912827XG Govt</stp>
        <stp>IDX_RATIO</stp>
        <stp>[TREASURY.xlsx]Sheet1!R1597C20</stp>
        <tr r="T1597" s="1"/>
      </tp>
      <tp t="s">
        <v>#N/A Field Not Applicable</v>
        <stp/>
        <stp>##V3_BDPV12</stp>
        <stp>912827SG Govt</stp>
        <stp>IDX_RATIO</stp>
        <stp>[TREASURY.xlsx]Sheet1!R1588C20</stp>
        <tr r="T1588" s="1"/>
      </tp>
      <tp t="s">
        <v>#N/A Field Not Applicable</v>
        <stp/>
        <stp>##V3_BDPV12</stp>
        <stp>912828KG Govt</stp>
        <stp>IDX_RATIO</stp>
        <stp>[TREASURY.xlsx]Sheet1!R1288C20</stp>
        <tr r="T1288" s="1"/>
      </tp>
      <tp t="s">
        <v>#N/A Field Not Applicable</v>
        <stp/>
        <stp>##V3_BDPV12</stp>
        <stp>912828FG Govt</stp>
        <stp>IDX_RATIO</stp>
        <stp>[TREASURY.xlsx]Sheet1!R1241C20</stp>
        <tr r="T1241" s="1"/>
      </tp>
      <tp t="s">
        <v>USD</v>
        <stp/>
        <stp>##V3_BDPV12</stp>
        <stp>912828GF Govt</stp>
        <stp>CRNCY</stp>
        <stp>[TREASURY.xlsx]Sheet1!R1434C7</stp>
        <tr r="G1434" s="1"/>
      </tp>
      <tp t="s">
        <v>#N/A Field Not Applicable</v>
        <stp/>
        <stp>##V3_BDPV12</stp>
        <stp>9128275G Govt</stp>
        <stp>IDX_RATIO</stp>
        <stp>[TREASURY.xlsx]Sheet1!R1369C20</stp>
        <tr r="T1369" s="1"/>
      </tp>
      <tp t="s">
        <v>#N/A Field Not Applicable</v>
        <stp/>
        <stp>##V3_BDPV12</stp>
        <stp>9128274G Govt</stp>
        <stp>IDX_RATIO</stp>
        <stp>[TREASURY.xlsx]Sheet1!R1364C20</stp>
        <tr r="T1364" s="1"/>
      </tp>
      <tp t="s">
        <v>#N/A Field Not Applicable</v>
        <stp/>
        <stp>##V3_BDPV12</stp>
        <stp>912827LG Govt</stp>
        <stp>IDX_RATIO</stp>
        <stp>[TREASURY.xlsx]Sheet1!R1321C20</stp>
        <tr r="T1321" s="1"/>
      </tp>
      <tp t="s">
        <v>USD</v>
        <stp/>
        <stp>##V3_BDPV12</stp>
        <stp>912828KG Govt</stp>
        <stp>CRNCY</stp>
        <stp>[TREASURY.xlsx]Sheet1!R1288C7</stp>
        <tr r="G1288" s="1"/>
      </tp>
      <tp t="s">
        <v>#N/A Field Not Applicable</v>
        <stp/>
        <stp>##V3_BDPV12</stp>
        <stp>912810CG Govt</stp>
        <stp>IDX_RATIO</stp>
        <stp>[TREASURY.xlsx]Sheet1!R1308C20</stp>
        <tr r="T1308" s="1"/>
      </tp>
      <tp t="s">
        <v>#N/A Field Not Applicable</v>
        <stp/>
        <stp>##V3_BDPV12</stp>
        <stp>912810EG Govt</stp>
        <stp>IDX_RATIO</stp>
        <stp>[TREASURY.xlsx]Sheet1!R1349C20</stp>
        <tr r="T1349" s="1"/>
      </tp>
      <tp t="s">
        <v>#N/A Field Not Applicable</v>
        <stp/>
        <stp>##V3_BDPV12</stp>
        <stp>9128273G Govt</stp>
        <stp>IDX_RATIO</stp>
        <stp>[TREASURY.xlsx]Sheet1!R1011C20</stp>
        <tr r="T1011" s="1"/>
      </tp>
      <tp t="s">
        <v>#N/A Field Not Applicable</v>
        <stp/>
        <stp>##V3_BDPV12</stp>
        <stp>912827WG Govt</stp>
        <stp>IDX_RATIO</stp>
        <stp>[TREASURY.xlsx]Sheet1!R1091C20</stp>
        <tr r="T1091" s="1"/>
      </tp>
      <tp t="s">
        <v>#N/A Field Not Applicable</v>
        <stp/>
        <stp>##V3_BDPV12</stp>
        <stp>912827PG Govt</stp>
        <stp>IDX_RATIO</stp>
        <stp>[TREASURY.xlsx]Sheet1!R1173C20</stp>
        <tr r="T1173" s="1"/>
      </tp>
      <tp t="s">
        <v>#N/A Field Not Applicable</v>
        <stp/>
        <stp>##V3_BDPV12</stp>
        <stp>912827NG Govt</stp>
        <stp>IDX_RATIO</stp>
        <stp>[TREASURY.xlsx]Sheet1!R1169C20</stp>
        <tr r="T1169" s="1"/>
      </tp>
      <tp t="s">
        <v>#N/A Field Not Applicable</v>
        <stp/>
        <stp>##V3_BDPV12</stp>
        <stp>912827ZG Govt</stp>
        <stp>IDX_RATIO</stp>
        <stp>[TREASURY.xlsx]Sheet1!R1103C20</stp>
        <tr r="T1103" s="1"/>
      </tp>
      <tp t="s">
        <v>#N/A Field Not Applicable</v>
        <stp/>
        <stp>##V3_BDPV12</stp>
        <stp>9128282G Govt</stp>
        <stp>IDX_RATIO</stp>
        <stp>[TREASURY.xlsx]Sheet1!R1105C20</stp>
        <tr r="T1105" s="1"/>
      </tp>
      <tp t="s">
        <v>#N/A Field Not Applicable</v>
        <stp/>
        <stp>##V3_BDPV12</stp>
        <stp>912828DG Govt</stp>
        <stp>IDX_RATIO</stp>
        <stp>[TREASURY.xlsx]Sheet1!R1110C20</stp>
        <tr r="T1110" s="1"/>
      </tp>
      <tp t="s">
        <v>#N/A Field Not Applicable</v>
        <stp/>
        <stp>##V3_BDPV12</stp>
        <stp>912828UG Govt</stp>
        <stp>IDX_RATIO</stp>
        <stp>[TREASURY.xlsx]Sheet1!R1135C20</stp>
        <tr r="T1135" s="1"/>
      </tp>
      <tp t="s">
        <v>#N/A Field Not Applicable</v>
        <stp/>
        <stp>##V3_BDPV12</stp>
        <stp>912827UG Govt</stp>
        <stp>IDX_RATIO</stp>
        <stp>[TREASURY.xlsx]Sheet1!R1199C20</stp>
        <tr r="T1199" s="1"/>
      </tp>
      <tp t="s">
        <v>912827PU0</v>
        <stp/>
        <stp>##V3_BDPV12</stp>
        <stp>912827PU Govt</stp>
        <stp>ID_CUSIP</stp>
        <stp>[TREASURY.xlsx]Sheet1!R1175C19</stp>
        <tr r="S1175" s="1"/>
      </tp>
      <tp t="s">
        <v>912827PV8</v>
        <stp/>
        <stp>##V3_BDPV12</stp>
        <stp>912827PV Govt</stp>
        <stp>ID_CUSIP</stp>
        <stp>[TREASURY.xlsx]Sheet1!R1391C19</stp>
        <tr r="S1391" s="1"/>
      </tp>
      <tp t="s">
        <v>USD</v>
        <stp/>
        <stp>##V3_BDPV12</stp>
        <stp>912810DK Govt</stp>
        <stp>CRNCY</stp>
        <stp>[TREASURY.xlsx]Sheet1!R1347C7</stp>
        <tr r="G1347" s="1"/>
      </tp>
      <tp t="s">
        <v>912828PT1</v>
        <stp/>
        <stp>##V3_BDPV12</stp>
        <stp>912828PT Govt</stp>
        <stp>ID_CUSIP</stp>
        <stp>[TREASURY.xlsx]Sheet1!R1300C19</stp>
        <tr r="S1300" s="1"/>
      </tp>
      <tp t="s">
        <v>912828PU8</v>
        <stp/>
        <stp>##V3_BDPV12</stp>
        <stp>912828PU Govt</stp>
        <stp>ID_CUSIP</stp>
        <stp>[TREASURY.xlsx]Sheet1!R1261C19</stp>
        <tr r="S1261" s="1"/>
      </tp>
      <tp t="s">
        <v>912827PT3</v>
        <stp/>
        <stp>##V3_BDPV12</stp>
        <stp>912827PT Govt</stp>
        <stp>ID_CUSIP</stp>
        <stp>[TREASURY.xlsx]Sheet1!R1342C19</stp>
        <tr r="S1342" s="1"/>
      </tp>
      <tp t="s">
        <v>912827PS5</v>
        <stp/>
        <stp>##V3_BDPV12</stp>
        <stp>912827PS Govt</stp>
        <stp>ID_CUSIP</stp>
        <stp>[TREASURY.xlsx]Sheet1!R1390C19</stp>
        <tr r="S1390" s="1"/>
      </tp>
      <tp t="s">
        <v>912828PR5</v>
        <stp/>
        <stp>##V3_BDPV12</stp>
        <stp>912828PR Govt</stp>
        <stp>ID_CUSIP</stp>
        <stp>[TREASURY.xlsx]Sheet1!R1260C19</stp>
        <tr r="S1260" s="1"/>
      </tp>
      <tp t="s">
        <v>USD</v>
        <stp/>
        <stp>##V3_BDPV12</stp>
        <stp>912828FN Govt</stp>
        <stp>CRNCY</stp>
        <stp>[TREASURY.xlsx]Sheet1!R1275C7</stp>
        <tr r="G1275" s="1"/>
      </tp>
      <tp t="s">
        <v>912827PR7</v>
        <stp/>
        <stp>##V3_BDPV12</stp>
        <stp>912827PR Govt</stp>
        <stp>ID_CUSIP</stp>
        <stp>[TREASURY.xlsx]Sheet1!R1341C19</stp>
        <tr r="S1341" s="1"/>
      </tp>
      <tp t="s">
        <v>USD</v>
        <stp/>
        <stp>##V3_BDPV12</stp>
        <stp>912828DM Govt</stp>
        <stp>CRNCY</stp>
        <stp>[TREASURY.xlsx]Sheet1!R1427C7</stp>
        <tr r="G1427" s="1"/>
      </tp>
      <tp t="s">
        <v>9/3/1991</v>
        <stp/>
        <stp>##V3_BDPV12</stp>
        <stp>912827C3 Govt</stp>
        <stp>ISSUE_DT</stp>
        <stp>[TREASURY.xlsx]Sheet1!R1480C15</stp>
        <tr r="O1480" s="1"/>
      </tp>
      <tp t="s">
        <v>T 1 5/8 08/31/22</v>
        <stp/>
        <stp>##V3_BDPV12</stp>
        <stp>9128282S Govt</stp>
        <stp>SECURITY_NAME</stp>
        <stp>[TREASURY.xlsx]Sheet1!R212C16</stp>
        <tr r="P212" s="1"/>
      </tp>
      <tp t="s">
        <v>9/3/1991</v>
        <stp/>
        <stp>##V3_BDPV12</stp>
        <stp>912827C2 Govt</stp>
        <stp>ISSUE_DT</stp>
        <stp>[TREASURY.xlsx]Sheet1!R1479C15</stp>
        <tr r="O1479" s="1"/>
      </tp>
      <tp t="s">
        <v>T 1 7/8 07/31/22</v>
        <stp/>
        <stp>##V3_BDPV12</stp>
        <stp>9128282P Govt</stp>
        <stp>SECURITY_NAME</stp>
        <stp>[TREASURY.xlsx]Sheet1!R214C16</stp>
        <tr r="P214" s="1"/>
      </tp>
      <tp t="s">
        <v>10/15/1991</v>
        <stp/>
        <stp>##V3_BDPV12</stp>
        <stp>912827C6 Govt</stp>
        <stp>ISSUE_DT</stp>
        <stp>[TREASURY.xlsx]Sheet1!R1554C15</stp>
        <tr r="O1554" s="1"/>
      </tp>
      <tp t="s">
        <v>T 1 1/2 08/15/20</v>
        <stp/>
        <stp>##V3_BDPV12</stp>
        <stp>9128282Q Govt</stp>
        <stp>SECURITY_NAME</stp>
        <stp>[TREASURY.xlsx]Sheet1!R469C16</stp>
        <tr r="P469" s="1"/>
      </tp>
      <tp t="s">
        <v>T 1 3/8 09/15/20</v>
        <stp/>
        <stp>##V3_BDPV12</stp>
        <stp>9128282V Govt</stp>
        <stp>SECURITY_NAME</stp>
        <stp>[TREASURY.xlsx]Sheet1!R362C16</stp>
        <tr r="P362" s="1"/>
      </tp>
      <tp t="s">
        <v>10/31/1991</v>
        <stp/>
        <stp>##V3_BDPV12</stp>
        <stp>912827C7 Govt</stp>
        <stp>ISSUE_DT</stp>
        <stp>[TREASURY.xlsx]Sheet1!R1555C15</stp>
        <tr r="O1555" s="1"/>
      </tp>
      <tp t="s">
        <v>USD</v>
        <stp/>
        <stp>##V3_BDPV12</stp>
        <stp>912827H7 Govt</stp>
        <stp>CRNCY</stp>
        <stp>[TREASURY.xlsx]Sheet1!R1158C7</stp>
        <tr r="G1158" s="1"/>
      </tp>
      <tp t="s">
        <v>USD</v>
        <stp/>
        <stp>##V3_BDPV12</stp>
        <stp>912827A7 Govt</stp>
        <stp>CRNCY</stp>
        <stp>[TREASURY.xlsx]Sheet1!R1031C7</stp>
        <tr r="G1031" s="1"/>
      </tp>
      <tp t="s">
        <v>USD</v>
        <stp/>
        <stp>##V3_BDPV12</stp>
        <stp>912827G7 Govt</stp>
        <stp>CRNCY</stp>
        <stp>[TREASURY.xlsx]Sheet1!R1037C7</stp>
        <tr r="G1037" s="1"/>
      </tp>
      <tp t="s">
        <v>9/30/1991</v>
        <stp/>
        <stp>##V3_BDPV12</stp>
        <stp>912827C4 Govt</stp>
        <stp>ISSUE_DT</stp>
        <stp>[TREASURY.xlsx]Sheet1!R1553C15</stp>
        <tr r="O1553" s="1"/>
      </tp>
      <tp t="s">
        <v>9/30/1991</v>
        <stp/>
        <stp>##V3_BDPV12</stp>
        <stp>912827C5 Govt</stp>
        <stp>ISSUE_DT</stp>
        <stp>[TREASURY.xlsx]Sheet1!R1481C15</stp>
        <tr r="O1481" s="1"/>
      </tp>
      <tp t="s">
        <v>T 1 1/4 08/31/19</v>
        <stp/>
        <stp>##V3_BDPV12</stp>
        <stp>9128282T Govt</stp>
        <stp>SECURITY_NAME</stp>
        <stp>[TREASURY.xlsx]Sheet1!R330C16</stp>
        <tr r="P330" s="1"/>
      </tp>
      <tp t="s">
        <v>T 1 7/8 08/31/24</v>
        <stp/>
        <stp>##V3_BDPV12</stp>
        <stp>9128282U Govt</stp>
        <stp>SECURITY_NAME</stp>
        <stp>[TREASURY.xlsx]Sheet1!R252C16</stp>
        <tr r="P252" s="1"/>
      </tp>
      <tp t="s">
        <v>USD</v>
        <stp/>
        <stp>##V3_BDPV12</stp>
        <stp>912827C4 Govt</stp>
        <stp>CRNCY</stp>
        <stp>[TREASURY.xlsx]Sheet1!R1553C7</stp>
        <tr r="G1553" s="1"/>
      </tp>
      <tp t="s">
        <v>T 1 7/8 09/30/22</v>
        <stp/>
        <stp>##V3_BDPV12</stp>
        <stp>9128282W Govt</stp>
        <stp>SECURITY_NAME</stp>
        <stp>[TREASURY.xlsx]Sheet1!R166C16</stp>
        <tr r="P166" s="1"/>
      </tp>
      <tp t="s">
        <v>USD</v>
        <stp/>
        <stp>##V3_BDPV12</stp>
        <stp>912827D5 Govt</stp>
        <stp>CRNCY</stp>
        <stp>[TREASURY.xlsx]Sheet1!R1484C7</stp>
        <tr r="G1484" s="1"/>
      </tp>
      <tp t="s">
        <v>T 2 1/8 09/30/24</v>
        <stp/>
        <stp>##V3_BDPV12</stp>
        <stp>9128282Y Govt</stp>
        <stp>SECURITY_NAME</stp>
        <stp>[TREASURY.xlsx]Sheet1!R145C16</stp>
        <tr r="P145" s="1"/>
      </tp>
      <tp t="s">
        <v>11/15/1991</v>
        <stp/>
        <stp>##V3_BDPV12</stp>
        <stp>912827C9 Govt</stp>
        <stp>ISSUE_DT</stp>
        <stp>[TREASURY.xlsx]Sheet1!R1556C15</stp>
        <tr r="O1556" s="1"/>
      </tp>
      <tp t="s">
        <v>10/31/1991</v>
        <stp/>
        <stp>##V3_BDPV12</stp>
        <stp>912827C8 Govt</stp>
        <stp>ISSUE_DT</stp>
        <stp>[TREASURY.xlsx]Sheet1!R1482C15</stp>
        <tr r="O1482" s="1"/>
      </tp>
      <tp t="s">
        <v>USD</v>
        <stp/>
        <stp>##V3_BDPV12</stp>
        <stp>912827B9 Govt</stp>
        <stp>CRNCY</stp>
        <stp>[TREASURY.xlsx]Sheet1!R1552C7</stp>
        <tr r="G1552" s="1"/>
      </tp>
      <tp t="s">
        <v>T 1 3/8 09/30/19</v>
        <stp/>
        <stp>##V3_BDPV12</stp>
        <stp>9128282X Govt</stp>
        <stp>SECURITY_NAME</stp>
        <stp>[TREASURY.xlsx]Sheet1!R554C16</stp>
        <tr r="P554" s="1"/>
      </tp>
      <tp t="s">
        <v>T</v>
        <stp/>
        <stp>##V3_BDPV12</stp>
        <stp>91282CCU Govt</stp>
        <stp>TICKER</stp>
        <stp>[TREASURY.xlsx]Sheet1!R6C2</stp>
        <tr r="B6" s="1"/>
      </tp>
      <tp t="s">
        <v>T 0 3/4 08/15/19</v>
        <stp/>
        <stp>##V3_BDPV12</stp>
        <stp>9128282B Govt</stp>
        <stp>SECURITY_NAME</stp>
        <stp>[TREASURY.xlsx]Sheet1!R373C16</stp>
        <tr r="P373" s="1"/>
      </tp>
      <tp t="s">
        <v>912827S86</v>
        <stp/>
        <stp>##V3_BDPV12</stp>
        <stp>912827S8 Govt</stp>
        <stp>ID_CUSIP</stp>
        <stp>[TREASURY.xlsx]Sheet1!R1586C19</stp>
        <tr r="S1586" s="1"/>
      </tp>
      <tp t="s">
        <v>T 1 3/8 07/31/19</v>
        <stp/>
        <stp>##V3_BDPV12</stp>
        <stp>9128282K Govt</stp>
        <stp>SECURITY_NAME</stp>
        <stp>[TREASURY.xlsx]Sheet1!R957C16</stp>
        <tr r="P957" s="1"/>
      </tp>
      <tp t="s">
        <v>T 1 1/8 08/31/21</v>
        <stp/>
        <stp>##V3_BDPV12</stp>
        <stp>9128282F Govt</stp>
        <stp>SECURITY_NAME</stp>
        <stp>[TREASURY.xlsx]Sheet1!R345C16</stp>
        <tr r="P345" s="1"/>
      </tp>
      <tp t="s">
        <v>T 0 3/4 08/31/18</v>
        <stp/>
        <stp>##V3_BDPV12</stp>
        <stp>9128282C Govt</stp>
        <stp>SECURITY_NAME</stp>
        <stp>[TREASURY.xlsx]Sheet1!R439C16</stp>
        <tr r="P439" s="1"/>
      </tp>
      <tp t="s">
        <v>T 1 3/8 08/31/23</v>
        <stp/>
        <stp>##V3_BDPV12</stp>
        <stp>9128282D Govt</stp>
        <stp>SECURITY_NAME</stp>
        <stp>[TREASURY.xlsx]Sheet1!R260C16</stp>
        <tr r="P260" s="1"/>
      </tp>
      <tp t="s">
        <v>912827S37</v>
        <stp/>
        <stp>##V3_BDPV12</stp>
        <stp>912827S3 Govt</stp>
        <stp>ID_CUSIP</stp>
        <stp>[TREASURY.xlsx]Sheet1!R1585C19</stp>
        <tr r="S1585" s="1"/>
      </tp>
      <tp t="s">
        <v>912827S60</v>
        <stp/>
        <stp>##V3_BDPV12</stp>
        <stp>912827S6 Govt</stp>
        <stp>ID_CUSIP</stp>
        <stp>[TREASURY.xlsx]Sheet1!R1182C19</stp>
        <tr r="S1182" s="1"/>
      </tp>
      <tp t="s">
        <v>T 1 1/2 07/15/20</v>
        <stp/>
        <stp>##V3_BDPV12</stp>
        <stp>9128282J Govt</stp>
        <stp>SECURITY_NAME</stp>
        <stp>[TREASURY.xlsx]Sheet1!R611C16</stp>
        <tr r="P611" s="1"/>
      </tp>
      <tp t="s">
        <v>T 2 1/8 07/31/24</v>
        <stp/>
        <stp>##V3_BDPV12</stp>
        <stp>9128282N Govt</stp>
        <stp>SECURITY_NAME</stp>
        <stp>[TREASURY.xlsx]Sheet1!R258C16</stp>
        <tr r="P258" s="1"/>
      </tp>
      <tp t="s">
        <v>912827S78</v>
        <stp/>
        <stp>##V3_BDPV12</stp>
        <stp>912827S7 Govt</stp>
        <stp>ID_CUSIP</stp>
        <stp>[TREASURY.xlsx]Sheet1!R1504C19</stp>
        <tr r="S1504" s="1"/>
      </tp>
      <tp t="s">
        <v>912827S29</v>
        <stp/>
        <stp>##V3_BDPV12</stp>
        <stp>912827S2 Govt</stp>
        <stp>ID_CUSIP</stp>
        <stp>[TREASURY.xlsx]Sheet1!R1181C19</stp>
        <tr r="S1181" s="1"/>
      </tp>
      <tp t="s">
        <v>8/31/2021</v>
        <stp/>
        <stp>##V3_BDPV12</stp>
        <stp>91282CCW Govt</stp>
        <stp>ISSUE_DT</stp>
        <stp>[TREASURY.xlsx]Sheet1!R4C15</stp>
        <tr r="O4" s="1"/>
      </tp>
      <tp t="s">
        <v>T</v>
        <stp/>
        <stp>##V3_BDPV12</stp>
        <stp>912828J8 Govt</stp>
        <stp>TICKER</stp>
        <stp>[TREASURY.xlsx]Sheet1!R451C2</stp>
        <tr r="B451" s="1"/>
      </tp>
      <tp t="s">
        <v>T</v>
        <stp/>
        <stp>##V3_BDPV12</stp>
        <stp>912828C8 Govt</stp>
        <stp>TICKER</stp>
        <stp>[TREASURY.xlsx]Sheet1!R788C2</stp>
        <tr r="B788" s="1"/>
      </tp>
      <tp t="s">
        <v>T</v>
        <stp/>
        <stp>##V3_BDPV12</stp>
        <stp>912828M5 Govt</stp>
        <stp>TICKER</stp>
        <stp>[TREASURY.xlsx]Sheet1!R116C2</stp>
        <tr r="B116" s="1"/>
      </tp>
      <tp t="s">
        <v>T</v>
        <stp/>
        <stp>##V3_BDPV12</stp>
        <stp>912828C2 Govt</stp>
        <stp>TICKER</stp>
        <stp>[TREASURY.xlsx]Sheet1!R688C2</stp>
        <tr r="B688" s="1"/>
      </tp>
      <tp t="s">
        <v>T</v>
        <stp/>
        <stp>##V3_BDPV12</stp>
        <stp>912828L3 Govt</stp>
        <stp>TICKER</stp>
        <stp>[TREASURY.xlsx]Sheet1!R327C2</stp>
        <tr r="B327" s="1"/>
      </tp>
      <tp t="s">
        <v>T</v>
        <stp/>
        <stp>##V3_BDPV12</stp>
        <stp>912828C3 Govt</stp>
        <stp>TICKER</stp>
        <stp>[TREASURY.xlsx]Sheet1!R838C2</stp>
        <tr r="B838" s="1"/>
      </tp>
      <tp t="s">
        <v>T</v>
        <stp/>
        <stp>##V3_BDPV12</stp>
        <stp>912828JY Govt</stp>
        <stp>TICKER</stp>
        <stp>[TREASURY.xlsx]Sheet1!R691C2</stp>
        <tr r="B691" s="1"/>
      </tp>
      <tp t="s">
        <v>T</v>
        <stp/>
        <stp>##V3_BDPV12</stp>
        <stp>912828CV Govt</stp>
        <stp>TICKER</stp>
        <stp>[TREASURY.xlsx]Sheet1!R508C2</stp>
        <tr r="B508" s="1"/>
      </tp>
      <tp t="s">
        <v>T</v>
        <stp/>
        <stp>##V3_BDPV12</stp>
        <stp>912827LV Govt</stp>
        <stp>TICKER</stp>
        <stp>[TREASURY.xlsx]Sheet1!R717C2</stp>
        <tr r="B717" s="1"/>
      </tp>
      <tp t="s">
        <v>T</v>
        <stp/>
        <stp>##V3_BDPV12</stp>
        <stp>912828JT Govt</stp>
        <stp>TICKER</stp>
        <stp>[TREASURY.xlsx]Sheet1!R471C2</stp>
        <tr r="B471" s="1"/>
      </tp>
      <tp t="s">
        <v>T</v>
        <stp/>
        <stp>##V3_BDPV12</stp>
        <stp>912828LR Govt</stp>
        <stp>TICKER</stp>
        <stp>[TREASURY.xlsx]Sheet1!R817C2</stp>
        <tr r="B817" s="1"/>
      </tp>
      <tp t="s">
        <v>NORMAL</v>
        <stp/>
        <stp>##V3_BDPV12</stp>
        <stp>912810DX Govt</stp>
        <stp>MTY_TYP</stp>
        <stp>[TREASURY.xlsx]Sheet1!R461C6</stp>
        <tr r="F461" s="1"/>
      </tp>
      <tp t="s">
        <v>NORMAL</v>
        <stp/>
        <stp>##V3_BDPV12</stp>
        <stp>912810CX Govt</stp>
        <stp>MTY_TYP</stp>
        <stp>[TREASURY.xlsx]Sheet1!R661C6</stp>
        <tr r="F661" s="1"/>
      </tp>
      <tp t="s">
        <v>NORMAL</v>
        <stp/>
        <stp>##V3_BDPV12</stp>
        <stp>912810RZ Govt</stp>
        <stp>MTY_TYP</stp>
        <stp>[TREASURY.xlsx]Sheet1!R273C6</stp>
        <tr r="F273" s="1"/>
      </tp>
      <tp t="s">
        <v>NORMAL</v>
        <stp/>
        <stp>##V3_BDPV12</stp>
        <stp>912810QY Govt</stp>
        <stp>MTY_TYP</stp>
        <stp>[TREASURY.xlsx]Sheet1!R270C6</stp>
        <tr r="F270" s="1"/>
      </tp>
      <tp t="s">
        <v>NORMAL</v>
        <stp/>
        <stp>##V3_BDPV12</stp>
        <stp>912810EQ Govt</stp>
        <stp>MTY_TYP</stp>
        <stp>[TREASURY.xlsx]Sheet1!R298C6</stp>
        <tr r="F298" s="1"/>
      </tp>
      <tp t="s">
        <v>NORMAL</v>
        <stp/>
        <stp>##V3_BDPV12</stp>
        <stp>912810EZ Govt</stp>
        <stp>MTY_TYP</stp>
        <stp>[TREASURY.xlsx]Sheet1!R323C6</stp>
        <tr r="F323" s="1"/>
      </tp>
      <tp t="s">
        <v>NORMAL</v>
        <stp/>
        <stp>##V3_BDPV12</stp>
        <stp>912828WX Govt</stp>
        <stp>MTY_TYP</stp>
        <stp>[TREASURY.xlsx]Sheet1!R881C6</stp>
        <tr r="F881" s="1"/>
      </tp>
      <tp t="s">
        <v>NORMAL</v>
        <stp/>
        <stp>##V3_BDPV12</stp>
        <stp>912827KZ Govt</stp>
        <stp>MTY_TYP</stp>
        <stp>[TREASURY.xlsx]Sheet1!R713C6</stp>
        <tr r="F713" s="1"/>
      </tp>
      <tp t="s">
        <v>NORMAL</v>
        <stp/>
        <stp>##V3_BDPV12</stp>
        <stp>912828VP Govt</stp>
        <stp>MTY_TYP</stp>
        <stp>[TREASURY.xlsx]Sheet1!R479C6</stp>
        <tr r="F479" s="1"/>
      </tp>
      <tp t="s">
        <v>NORMAL</v>
        <stp/>
        <stp>##V3_BDPV12</stp>
        <stp>912828HY Govt</stp>
        <stp>MTY_TYP</stp>
        <stp>[TREASURY.xlsx]Sheet1!R450C6</stp>
        <tr r="F450" s="1"/>
      </tp>
      <tp t="s">
        <v>NORMAL</v>
        <stp/>
        <stp>##V3_BDPV12</stp>
        <stp>912828RP Govt</stp>
        <stp>MTY_TYP</stp>
        <stp>[TREASURY.xlsx]Sheet1!R549C6</stp>
        <tr r="F549" s="1"/>
      </tp>
      <tp t="s">
        <v>NORMAL</v>
        <stp/>
        <stp>##V3_BDPV12</stp>
        <stp>912827MP Govt</stp>
        <stp>MTY_TYP</stp>
        <stp>[TREASURY.xlsx]Sheet1!R899C6</stp>
        <tr r="F899" s="1"/>
      </tp>
      <tp t="s">
        <v>NORMAL</v>
        <stp/>
        <stp>##V3_BDPV12</stp>
        <stp>912828YP Govt</stp>
        <stp>MTY_TYP</stp>
        <stp>[TREASURY.xlsx]Sheet1!R149C6</stp>
        <tr r="F149" s="1"/>
      </tp>
      <tp t="s">
        <v>NORMAL</v>
        <stp/>
        <stp>##V3_BDPV12</stp>
        <stp>912828ZX Govt</stp>
        <stp>MTY_TYP</stp>
        <stp>[TREASURY.xlsx]Sheet1!R111C6</stp>
        <tr r="F111" s="1"/>
      </tp>
      <tp t="s">
        <v>T</v>
        <stp/>
        <stp>##V3_BDPV12</stp>
        <stp>912828MP Govt</stp>
        <stp>TICKER</stp>
        <stp>[TREASURY.xlsx]Sheet1!R386C2</stp>
        <tr r="B386" s="1"/>
      </tp>
      <tp t="s">
        <v>T</v>
        <stp/>
        <stp>##V3_BDPV12</stp>
        <stp>912828NP Govt</stp>
        <stp>TICKER</stp>
        <stp>[TREASURY.xlsx]Sheet1!R865C2</stp>
        <tr r="B865" s="1"/>
      </tp>
      <tp t="s">
        <v>T</v>
        <stp/>
        <stp>##V3_BDPV12</stp>
        <stp>912827KQ Govt</stp>
        <stp>TICKER</stp>
        <stp>[TREASURY.xlsx]Sheet1!R710C2</stp>
        <tr r="B710" s="1"/>
      </tp>
      <tp t="s">
        <v>T</v>
        <stp/>
        <stp>##V3_BDPV12</stp>
        <stp>912828JQ Govt</stp>
        <stp>TICKER</stp>
        <stp>[TREASURY.xlsx]Sheet1!R811C2</stp>
        <tr r="B811" s="1"/>
      </tp>
      <tp t="s">
        <v>T</v>
        <stp/>
        <stp>##V3_BDPV12</stp>
        <stp>912828HM Govt</stp>
        <stp>TICKER</stp>
        <stp>[TREASURY.xlsx]Sheet1!R573C2</stp>
        <tr r="B573" s="1"/>
      </tp>
      <tp t="s">
        <v>T</v>
        <stp/>
        <stp>##V3_BDPV12</stp>
        <stp>912828MH Govt</stp>
        <stp>TICKER</stp>
        <stp>[TREASURY.xlsx]Sheet1!R976C2</stp>
        <tr r="B976" s="1"/>
      </tp>
      <tp t="s">
        <v>T</v>
        <stp/>
        <stp>##V3_BDPV12</stp>
        <stp>912827MG Govt</stp>
        <stp>TICKER</stp>
        <stp>[TREASURY.xlsx]Sheet1!R896C2</stp>
        <tr r="B896" s="1"/>
      </tp>
      <tp t="s">
        <v>T</v>
        <stp/>
        <stp>##V3_BDPV12</stp>
        <stp>912828ND Govt</stp>
        <stp>TICKER</stp>
        <stp>[TREASURY.xlsx]Sheet1!R645C2</stp>
        <tr r="B645" s="1"/>
      </tp>
      <tp t="s">
        <v>T</v>
        <stp/>
        <stp>##V3_BDPV12</stp>
        <stp>912828JD Govt</stp>
        <stp>TICKER</stp>
        <stp>[TREASURY.xlsx]Sheet1!R971C2</stp>
        <tr r="B971" s="1"/>
      </tp>
      <tp t="s">
        <v>T</v>
        <stp/>
        <stp>##V3_BDPV12</stp>
        <stp>912827LA Govt</stp>
        <stp>TICKER</stp>
        <stp>[TREASURY.xlsx]Sheet1!R887C2</stp>
        <tr r="B887" s="1"/>
      </tp>
      <tp t="s">
        <v>7/9/1980</v>
        <stp/>
        <stp>##V3_BDPV12</stp>
        <stp>912810CQ Govt</stp>
        <stp>ISSUE_DT</stp>
        <stp>[TREASURY.xlsx]Sheet1!R1623C15</stp>
        <tr r="O1623" s="1"/>
      </tp>
      <tp t="s">
        <v>4/2/1981</v>
        <stp/>
        <stp>##V3_BDPV12</stp>
        <stp>912810CU Govt</stp>
        <stp>ISSUE_DT</stp>
        <stp>[TREASURY.xlsx]Sheet1!R1345C15</stp>
        <tr r="O1345" s="1"/>
      </tp>
      <tp t="s">
        <v>T</v>
        <stp/>
        <stp>##V3_BDPV12</stp>
        <stp>912828KK Govt</stp>
        <stp>TICKER</stp>
        <stp>[TREASURY.xlsx]Sheet1!R1124C2</stp>
        <tr r="B1124" s="1"/>
      </tp>
      <tp t="s">
        <v>T</v>
        <stp/>
        <stp>##V3_BDPV12</stp>
        <stp>912828AH Govt</stp>
        <stp>TICKER</stp>
        <stp>[TREASURY.xlsx]Sheet1!R1107C2</stp>
        <tr r="B1107" s="1"/>
      </tp>
      <tp t="s">
        <v>T</v>
        <stp/>
        <stp>##V3_BDPV12</stp>
        <stp>912828ML Govt</stp>
        <stp>TICKER</stp>
        <stp>[TREASURY.xlsx]Sheet1!R1253C2</stp>
        <tr r="B1253" s="1"/>
      </tp>
      <tp t="s">
        <v>T</v>
        <stp/>
        <stp>##V3_BDPV12</stp>
        <stp>912828KG Govt</stp>
        <stp>TICKER</stp>
        <stp>[TREASURY.xlsx]Sheet1!R1288C2</stp>
        <tr r="B1288" s="1"/>
      </tp>
      <tp t="s">
        <v>T</v>
        <stp/>
        <stp>##V3_BDPV12</stp>
        <stp>912828PF Govt</stp>
        <stp>TICKER</stp>
        <stp>[TREASURY.xlsx]Sheet1!R1299C2</stp>
        <tr r="B1299" s="1"/>
      </tp>
      <tp t="s">
        <v>T</v>
        <stp/>
        <stp>##V3_BDPV12</stp>
        <stp>912827TF Govt</stp>
        <stp>TICKER</stp>
        <stp>[TREASURY.xlsx]Sheet1!R1399C2</stp>
        <tr r="B1399" s="1"/>
      </tp>
      <tp t="s">
        <v>T</v>
        <stp/>
        <stp>##V3_BDPV12</stp>
        <stp>9128274J Govt</stp>
        <stp>TICKER</stp>
        <stp>[TREASURY.xlsx]Sheet1!R1365C2</stp>
        <tr r="B1365" s="1"/>
      </tp>
      <tp t="s">
        <v>T</v>
        <stp/>
        <stp>##V3_BDPV12</stp>
        <stp>912827ZF Govt</stp>
        <stp>TICKER</stp>
        <stp>[TREASURY.xlsx]Sheet1!R1229C2</stp>
        <tr r="B1229" s="1"/>
      </tp>
      <tp t="s">
        <v>T</v>
        <stp/>
        <stp>##V3_BDPV12</stp>
        <stp>912827SJ Govt</stp>
        <stp>TICKER</stp>
        <stp>[TREASURY.xlsx]Sheet1!R1185C2</stp>
        <tr r="B1185" s="1"/>
      </tp>
      <tp t="s">
        <v>T</v>
        <stp/>
        <stp>##V3_BDPV12</stp>
        <stp>912827NN Govt</stp>
        <stp>TICKER</stp>
        <stp>[TREASURY.xlsx]Sheet1!R1051C2</stp>
        <tr r="B1051" s="1"/>
      </tp>
      <tp t="s">
        <v>T</v>
        <stp/>
        <stp>##V3_BDPV12</stp>
        <stp>912827NF Govt</stp>
        <stp>TICKER</stp>
        <stp>[TREASURY.xlsx]Sheet1!R1049C2</stp>
        <tr r="B1049" s="1"/>
      </tp>
      <tp t="s">
        <v>T</v>
        <stp/>
        <stp>##V3_BDPV12</stp>
        <stp>912827QH Govt</stp>
        <stp>TICKER</stp>
        <stp>[TREASURY.xlsx]Sheet1!R1057C2</stp>
        <tr r="B1057" s="1"/>
      </tp>
      <tp t="s">
        <v>T</v>
        <stp/>
        <stp>##V3_BDPV12</stp>
        <stp>912827SG Govt</stp>
        <stp>TICKER</stp>
        <stp>[TREASURY.xlsx]Sheet1!R1588C2</stp>
        <tr r="B1588" s="1"/>
      </tp>
      <tp t="s">
        <v>T</v>
        <stp/>
        <stp>##V3_BDPV12</stp>
        <stp>912827RL Govt</stp>
        <stp>TICKER</stp>
        <stp>[TREASURY.xlsx]Sheet1!R1503C2</stp>
        <tr r="B1503" s="1"/>
      </tp>
      <tp t="s">
        <v>T</v>
        <stp/>
        <stp>##V3_BDPV12</stp>
        <stp>912827RF Govt</stp>
        <stp>TICKER</stp>
        <stp>[TREASURY.xlsx]Sheet1!R1579C2</stp>
        <tr r="B1579" s="1"/>
      </tp>
      <tp t="s">
        <v>T</v>
        <stp/>
        <stp>##V3_BDPV12</stp>
        <stp>9128273H Govt</stp>
        <stp>TICKER</stp>
        <stp>[TREASURY.xlsx]Sheet1!R1527C2</stp>
        <tr r="B1527" s="1"/>
      </tp>
      <tp t="s">
        <v>T</v>
        <stp/>
        <stp>##V3_BDPV12</stp>
        <stp>9128276H Govt</stp>
        <stp>TICKER</stp>
        <stp>[TREASURY.xlsx]Sheet1!R1537C2</stp>
        <tr r="B1537" s="1"/>
      </tp>
      <tp t="s">
        <v>T</v>
        <stp/>
        <stp>##V3_BDPV12</stp>
        <stp>912827WH Govt</stp>
        <stp>TICKER</stp>
        <stp>[TREASURY.xlsx]Sheet1!R1417C2</stp>
        <tr r="B1417" s="1"/>
      </tp>
      <tp t="s">
        <v>T</v>
        <stp/>
        <stp>##V3_BDPV12</stp>
        <stp>9128277M Govt</stp>
        <stp>TICKER</stp>
        <stp>[TREASURY.xlsx]Sheet1!R1472C2</stp>
        <tr r="B1472" s="1"/>
      </tp>
      <tp t="s">
        <v>912827SK9</v>
        <stp/>
        <stp>##V3_BDPV12</stp>
        <stp>912827SK Govt</stp>
        <stp>ID_CUSIP</stp>
        <stp>[TREASURY.xlsx]Sheet1!R1589C19</stp>
        <tr r="S1589" s="1"/>
      </tp>
      <tp t="s">
        <v>5/15/1981</v>
        <stp/>
        <stp>##V3_BDPV12</stp>
        <stp>912810CV Govt</stp>
        <stp>ISSUE_DT</stp>
        <stp>[TREASURY.xlsx]Sheet1!R1310C15</stp>
        <tr r="O1310" s="1"/>
      </tp>
      <tp t="s">
        <v>912827SN3</v>
        <stp/>
        <stp>##V3_BDPV12</stp>
        <stp>912827SN Govt</stp>
        <stp>ID_CUSIP</stp>
        <stp>[TREASURY.xlsx]Sheet1!R1066C19</stp>
        <tr r="S1066" s="1"/>
      </tp>
      <tp t="s">
        <v>USD</v>
        <stp/>
        <stp>##V3_BDPV12</stp>
        <stp>912828FP Govt</stp>
        <stp>CRNCY</stp>
        <stp>[TREASURY.xlsx]Sheet1!R1276C7</stp>
        <tr r="G1276" s="1"/>
      </tp>
      <tp t="s">
        <v>USD</v>
        <stp/>
        <stp>##V3_BDPV12</stp>
        <stp>912828HP Govt</stp>
        <stp>CRNCY</stp>
        <stp>[TREASURY.xlsx]Sheet1!R1438C7</stp>
        <tr r="G1438" s="1"/>
      </tp>
      <tp t="s">
        <v>T</v>
        <stp/>
        <stp>##V3_BDPV12</stp>
        <stp>912810CG Govt</stp>
        <stp>TICKER</stp>
        <stp>[TREASURY.xlsx]Sheet1!R1308C2</stp>
        <tr r="B1308" s="1"/>
      </tp>
      <tp t="s">
        <v>USD</v>
        <stp/>
        <stp>##V3_BDPV12</stp>
        <stp>912810CQ Govt</stp>
        <stp>CRNCY</stp>
        <stp>[TREASURY.xlsx]Sheet1!R1623C7</stp>
        <tr r="G1623" s="1"/>
      </tp>
      <tp t="s">
        <v>8/2/2004</v>
        <stp/>
        <stp>##V3_BDPV12</stp>
        <stp>912828CQ Govt</stp>
        <stp>ISSUE_DT</stp>
        <stp>[TREASURY.xlsx]Sheet1!R1236C15</stp>
        <tr r="O1236" s="1"/>
      </tp>
      <tp t="s">
        <v>10/14/1980</v>
        <stp/>
        <stp>##V3_BDPV12</stp>
        <stp>912810CR Govt</stp>
        <stp>ISSUE_DT</stp>
        <stp>[TREASURY.xlsx]Sheet1!R1344C15</stp>
        <tr r="O1344" s="1"/>
      </tp>
      <tp t="s">
        <v>7/2/1981</v>
        <stp/>
        <stp>##V3_BDPV12</stp>
        <stp>912810CW Govt</stp>
        <stp>ISSUE_DT</stp>
        <stp>[TREASURY.xlsx]Sheet1!R1618C15</stp>
        <tr r="O1618" s="1"/>
      </tp>
      <tp t="s">
        <v>912828SK7</v>
        <stp/>
        <stp>##V3_BDPV12</stp>
        <stp>912828SK Govt</stp>
        <stp>ID_CUSIP</stp>
        <stp>[TREASURY.xlsx]Sheet1!R1132C19</stp>
        <tr r="S1132" s="1"/>
      </tp>
      <tp t="s">
        <v>912827SJ2</v>
        <stp/>
        <stp>##V3_BDPV12</stp>
        <stp>912827SJ Govt</stp>
        <stp>ID_CUSIP</stp>
        <stp>[TREASURY.xlsx]Sheet1!R1185C19</stp>
        <tr r="S1185" s="1"/>
      </tp>
      <tp t="s">
        <v>912827SA1</v>
        <stp/>
        <stp>##V3_BDPV12</stp>
        <stp>912827SA Govt</stp>
        <stp>ID_CUSIP</stp>
        <stp>[TREASURY.xlsx]Sheet1!R1587C19</stp>
        <tr r="S1587" s="1"/>
      </tp>
      <tp t="s">
        <v>912827SE3</v>
        <stp/>
        <stp>##V3_BDPV12</stp>
        <stp>912827SE Govt</stp>
        <stp>ID_CUSIP</stp>
        <stp>[TREASURY.xlsx]Sheet1!R1184C19</stp>
        <tr r="S1184" s="1"/>
      </tp>
      <tp t="s">
        <v>1/6/1982</v>
        <stp/>
        <stp>##V3_BDPV12</stp>
        <stp>912810CZ Govt</stp>
        <stp>ISSUE_DT</stp>
        <stp>[TREASURY.xlsx]Sheet1!R1446C15</stp>
        <tr r="O1446" s="1"/>
      </tp>
      <tp t="s">
        <v>912827SF0</v>
        <stp/>
        <stp>##V3_BDPV12</stp>
        <stp>912827SF Govt</stp>
        <stp>ID_CUSIP</stp>
        <stp>[TREASURY.xlsx]Sheet1!R1065C19</stp>
        <tr r="S1065" s="1"/>
      </tp>
      <tp t="s">
        <v>912827SG8</v>
        <stp/>
        <stp>##V3_BDPV12</stp>
        <stp>912827SG Govt</stp>
        <stp>ID_CUSIP</stp>
        <stp>[TREASURY.xlsx]Sheet1!R1588C19</stp>
        <tr r="S1588" s="1"/>
      </tp>
      <tp t="s">
        <v>912828SC5</v>
        <stp/>
        <stp>##V3_BDPV12</stp>
        <stp>912828SC Govt</stp>
        <stp>ID_CUSIP</stp>
        <stp>[TREASURY.xlsx]Sheet1!R1141C19</stp>
        <tr r="S1141" s="1"/>
      </tp>
      <tp t="s">
        <v>912827SB9</v>
        <stp/>
        <stp>##V3_BDPV12</stp>
        <stp>912827SB Govt</stp>
        <stp>ID_CUSIP</stp>
        <stp>[TREASURY.xlsx]Sheet1!R1183C19</stp>
        <tr r="S1183" s="1"/>
      </tp>
      <tp t="s">
        <v>#N/A Field Not Applicable</v>
        <stp/>
        <stp>##V3_BDPV12</stp>
        <stp>912827ZD Govt</stp>
        <stp>IDX_RATIO</stp>
        <stp>[TREASURY.xlsx]Sheet1!R1610C20</stp>
        <tr r="T1610" s="1"/>
      </tp>
      <tp t="s">
        <v>#N/A Field Not Applicable</v>
        <stp/>
        <stp>##V3_BDPV12</stp>
        <stp>912827YD Govt</stp>
        <stp>IDX_RATIO</stp>
        <stp>[TREASURY.xlsx]Sheet1!R1603C20</stp>
        <tr r="T1603" s="1"/>
      </tp>
      <tp t="s">
        <v>#N/A Field Not Applicable</v>
        <stp/>
        <stp>##V3_BDPV12</stp>
        <stp>912810DD Govt</stp>
        <stp>IDX_RATIO</stp>
        <stp>[TREASURY.xlsx]Sheet1!R1444C20</stp>
        <tr r="T1444" s="1"/>
      </tp>
      <tp t="s">
        <v>#N/A Field Not Applicable</v>
        <stp/>
        <stp>##V3_BDPV12</stp>
        <stp>9128277D Govt</stp>
        <stp>IDX_RATIO</stp>
        <stp>[TREASURY.xlsx]Sheet1!R1470C20</stp>
        <tr r="T1470" s="1"/>
      </tp>
      <tp t="s">
        <v>#N/A Field Not Applicable</v>
        <stp/>
        <stp>##V3_BDPV12</stp>
        <stp>9128276D Govt</stp>
        <stp>IDX_RATIO</stp>
        <stp>[TREASURY.xlsx]Sheet1!R1465C20</stp>
        <tr r="T1465" s="1"/>
      </tp>
      <tp t="s">
        <v>#N/A Field Not Applicable</v>
        <stp/>
        <stp>##V3_BDPV12</stp>
        <stp>9128274D Govt</stp>
        <stp>IDX_RATIO</stp>
        <stp>[TREASURY.xlsx]Sheet1!R1459C20</stp>
        <tr r="T1459" s="1"/>
      </tp>
      <tp t="s">
        <v>#N/A Field Not Applicable</v>
        <stp/>
        <stp>##V3_BDPV12</stp>
        <stp>912827PD Govt</stp>
        <stp>IDX_RATIO</stp>
        <stp>[TREASURY.xlsx]Sheet1!R1569C20</stp>
        <tr r="T1569" s="1"/>
      </tp>
      <tp t="s">
        <v>5/15/1979</v>
        <stp/>
        <stp>##V3_BDPV12</stp>
        <stp>912810CG Govt</stp>
        <stp>ISSUE_DT</stp>
        <stp>[TREASURY.xlsx]Sheet1!R1308C15</stp>
        <tr r="O1308" s="1"/>
      </tp>
      <tp t="s">
        <v>#N/A Field Not Applicable</v>
        <stp/>
        <stp>##V3_BDPV12</stp>
        <stp>912827UD Govt</stp>
        <stp>IDX_RATIO</stp>
        <stp>[TREASURY.xlsx]Sheet1!R1512C20</stp>
        <tr r="T1512" s="1"/>
      </tp>
      <tp t="s">
        <v>USD</v>
        <stp/>
        <stp>##V3_BDPV12</stp>
        <stp>912810EA Govt</stp>
        <stp>CRNCY</stp>
        <stp>[TREASURY.xlsx]Sheet1!R1445C7</stp>
        <tr r="G1445" s="1"/>
      </tp>
      <tp t="s">
        <v>#N/A Field Not Applicable</v>
        <stp/>
        <stp>##V3_BDPV12</stp>
        <stp>912828PD Govt</stp>
        <stp>IDX_RATIO</stp>
        <stp>[TREASURY.xlsx]Sheet1!R1298C20</stp>
        <tr r="T1298" s="1"/>
      </tp>
      <tp t="s">
        <v>912827SY9</v>
        <stp/>
        <stp>##V3_BDPV12</stp>
        <stp>912827SY Govt</stp>
        <stp>ID_CUSIP</stp>
        <stp>[TREASURY.xlsx]Sheet1!R1190C19</stp>
        <tr r="S1190" s="1"/>
      </tp>
      <tp t="s">
        <v>912828SY7</v>
        <stp/>
        <stp>##V3_BDPV12</stp>
        <stp>912828SY Govt</stp>
        <stp>ID_CUSIP</stp>
        <stp>[TREASURY.xlsx]Sheet1!R1133C19</stp>
        <tr r="S1133" s="1"/>
      </tp>
      <tp t="s">
        <v>#N/A Field Not Applicable</v>
        <stp/>
        <stp>##V3_BDPV12</stp>
        <stp>912828RD Govt</stp>
        <stp>IDX_RATIO</stp>
        <stp>[TREASURY.xlsx]Sheet1!R1265C20</stp>
        <tr r="T1265" s="1"/>
      </tp>
      <tp t="s">
        <v>#N/A Field Not Applicable</v>
        <stp/>
        <stp>##V3_BDPV12</stp>
        <stp>912827LD Govt</stp>
        <stp>IDX_RATIO</stp>
        <stp>[TREASURY.xlsx]Sheet1!R1378C20</stp>
        <tr r="T1378" s="1"/>
      </tp>
      <tp t="s">
        <v>#N/A Field Not Applicable</v>
        <stp/>
        <stp>##V3_BDPV12</stp>
        <stp>9128273D Govt</stp>
        <stp>IDX_RATIO</stp>
        <stp>[TREASURY.xlsx]Sheet1!R1354C20</stp>
        <tr r="T1354" s="1"/>
      </tp>
      <tp t="s">
        <v>#N/A Field Not Applicable</v>
        <stp/>
        <stp>##V3_BDPV12</stp>
        <stp>9128272D Govt</stp>
        <stp>IDX_RATIO</stp>
        <stp>[TREASURY.xlsx]Sheet1!R1350C20</stp>
        <tr r="T1350" s="1"/>
      </tp>
      <tp t="s">
        <v>#N/A Field Not Applicable</v>
        <stp/>
        <stp>##V3_BDPV12</stp>
        <stp>912827TD Govt</stp>
        <stp>IDX_RATIO</stp>
        <stp>[TREASURY.xlsx]Sheet1!R1398C20</stp>
        <tr r="T1398" s="1"/>
      </tp>
      <tp t="s">
        <v>11/15/1978</v>
        <stp/>
        <stp>##V3_BDPV12</stp>
        <stp>912810CE Govt</stp>
        <stp>ISSUE_DT</stp>
        <stp>[TREASURY.xlsx]Sheet1!R1441C15</stp>
        <tr r="O1441" s="1"/>
      </tp>
      <tp t="s">
        <v>#N/A Field Not Applicable</v>
        <stp/>
        <stp>##V3_BDPV12</stp>
        <stp>912827QD Govt</stp>
        <stp>IDX_RATIO</stp>
        <stp>[TREASURY.xlsx]Sheet1!R1056C20</stp>
        <tr r="T1056" s="1"/>
      </tp>
      <tp t="s">
        <v>4/15/2004</v>
        <stp/>
        <stp>##V3_BDPV12</stp>
        <stp>912828CE Govt</stp>
        <stp>ISSUE_DT</stp>
        <stp>[TREASURY.xlsx]Sheet1!R1426C15</stp>
        <tr r="O1426" s="1"/>
      </tp>
      <tp t="s">
        <v>#N/A Field Not Applicable</v>
        <stp/>
        <stp>##V3_BDPV12</stp>
        <stp>9128275D Govt</stp>
        <stp>IDX_RATIO</stp>
        <stp>[TREASURY.xlsx]Sheet1!R1013C20</stp>
        <tr r="T1013" s="1"/>
      </tp>
      <tp t="s">
        <v>912827SZ6</v>
        <stp/>
        <stp>##V3_BDPV12</stp>
        <stp>912827SZ Govt</stp>
        <stp>ID_CUSIP</stp>
        <stp>[TREASURY.xlsx]Sheet1!R1068C19</stp>
        <tr r="S1068" s="1"/>
      </tp>
      <tp t="s">
        <v>#N/A Field Not Applicable</v>
        <stp/>
        <stp>##V3_BDPV12</stp>
        <stp>912827VD Govt</stp>
        <stp>IDX_RATIO</stp>
        <stp>[TREASURY.xlsx]Sheet1!R1085C20</stp>
        <tr r="T1085" s="1"/>
      </tp>
      <tp t="s">
        <v>USD</v>
        <stp/>
        <stp>##V3_BDPV12</stp>
        <stp>912810DD Govt</stp>
        <stp>CRNCY</stp>
        <stp>[TREASURY.xlsx]Sheet1!R1444C7</stp>
        <tr r="G1444" s="1"/>
      </tp>
      <tp t="s">
        <v>#N/A Field Not Applicable</v>
        <stp/>
        <stp>##V3_BDPV12</stp>
        <stp>912827MD Govt</stp>
        <stp>IDX_RATIO</stp>
        <stp>[TREASURY.xlsx]Sheet1!R1167C20</stp>
        <tr r="T1167" s="1"/>
      </tp>
      <tp t="s">
        <v>#N/A Field Not Applicable</v>
        <stp/>
        <stp>##V3_BDPV12</stp>
        <stp>912828VD Govt</stp>
        <stp>IDX_RATIO</stp>
        <stp>[TREASURY.xlsx]Sheet1!R1147C20</stp>
        <tr r="T1147" s="1"/>
      </tp>
      <tp t="s">
        <v>912827ST0</v>
        <stp/>
        <stp>##V3_BDPV12</stp>
        <stp>912827ST Govt</stp>
        <stp>ID_CUSIP</stp>
        <stp>[TREASURY.xlsx]Sheet1!R1067C19</stp>
        <tr r="S1067" s="1"/>
      </tp>
      <tp t="s">
        <v>912827SW3</v>
        <stp/>
        <stp>##V3_BDPV12</stp>
        <stp>912827SW Govt</stp>
        <stp>ID_CUSIP</stp>
        <stp>[TREASURY.xlsx]Sheet1!R1189C19</stp>
        <tr r="S1189" s="1"/>
      </tp>
      <tp t="s">
        <v>912827SQ6</v>
        <stp/>
        <stp>##V3_BDPV12</stp>
        <stp>912827SQ Govt</stp>
        <stp>ID_CUSIP</stp>
        <stp>[TREASURY.xlsx]Sheet1!R1187C19</stp>
        <tr r="S1187" s="1"/>
      </tp>
      <tp t="s">
        <v>4/8/1980</v>
        <stp/>
        <stp>##V3_BDPV12</stp>
        <stp>912810CN Govt</stp>
        <stp>ISSUE_DT</stp>
        <stp>[TREASURY.xlsx]Sheet1!R1442C15</stp>
        <tr r="O1442" s="1"/>
      </tp>
      <tp t="s">
        <v>912827SR4</v>
        <stp/>
        <stp>##V3_BDPV12</stp>
        <stp>912827SR Govt</stp>
        <stp>ID_CUSIP</stp>
        <stp>[TREASURY.xlsx]Sheet1!R1396C19</stp>
        <tr r="S1396" s="1"/>
      </tp>
      <tp t="s">
        <v>912827SP8</v>
        <stp/>
        <stp>##V3_BDPV12</stp>
        <stp>912827SP Govt</stp>
        <stp>ID_CUSIP</stp>
        <stp>[TREASURY.xlsx]Sheet1!R1186C19</stp>
        <tr r="S1186" s="1"/>
      </tp>
      <tp t="s">
        <v>1/10/1980</v>
        <stp/>
        <stp>##V3_BDPV12</stp>
        <stp>912810CL Govt</stp>
        <stp>ISSUE_DT</stp>
        <stp>[TREASURY.xlsx]Sheet1!R1617C15</stp>
        <tr r="O1617" s="1"/>
      </tp>
      <tp t="s">
        <v>912827SS2</v>
        <stp/>
        <stp>##V3_BDPV12</stp>
        <stp>912827SS Govt</stp>
        <stp>ID_CUSIP</stp>
        <stp>[TREASURY.xlsx]Sheet1!R1188C19</stp>
        <tr r="S1188" s="1"/>
      </tp>
      <tp t="s">
        <v>2/15/1980</v>
        <stp/>
        <stp>##V3_BDPV12</stp>
        <stp>912810CM Govt</stp>
        <stp>ISSUE_DT</stp>
        <stp>[TREASURY.xlsx]Sheet1!R1515C15</stp>
        <tr r="O1515" s="1"/>
      </tp>
      <tp t="s">
        <v>11/15/1979</v>
        <stp/>
        <stp>##V3_BDPV12</stp>
        <stp>912810CK Govt</stp>
        <stp>ISSUE_DT</stp>
        <stp>[TREASURY.xlsx]Sheet1!R1309C15</stp>
        <tr r="O1309" s="1"/>
      </tp>
      <tp t="s">
        <v>912828SR2</v>
        <stp/>
        <stp>##V3_BDPV12</stp>
        <stp>912828SR Govt</stp>
        <stp>ID_CUSIP</stp>
        <stp>[TREASURY.xlsx]Sheet1!R1142C19</stp>
        <tr r="S1142" s="1"/>
      </tp>
      <tp t="s">
        <v>USD</v>
        <stp/>
        <stp>##V3_BDPV12</stp>
        <stp>912828EM Govt</stp>
        <stp>CRNCY</stp>
        <stp>[TREASURY.xlsx]Sheet1!R1115C7</stp>
        <tr r="G1115" s="1"/>
      </tp>
      <tp t="s">
        <v>T 2 1/4 12/31/24</v>
        <stp/>
        <stp>##V3_BDPV12</stp>
        <stp>9128283P Govt</stp>
        <stp>SECURITY_NAME</stp>
        <stp>[TREASURY.xlsx]Sheet1!R185C16</stp>
        <tr r="P185" s="1"/>
      </tp>
      <tp t="s">
        <v>5/31/1991</v>
        <stp/>
        <stp>##V3_BDPV12</stp>
        <stp>912827B2 Govt</stp>
        <stp>ISSUE_DT</stp>
        <stp>[TREASURY.xlsx]Sheet1!R1475C15</stp>
        <tr r="O1475" s="1"/>
      </tp>
      <tp t="s">
        <v>7/1/1991</v>
        <stp/>
        <stp>##V3_BDPV12</stp>
        <stp>912827B3 Govt</stp>
        <stp>ISSUE_DT</stp>
        <stp>[TREASURY.xlsx]Sheet1!R1549C15</stp>
        <tr r="O1549" s="1"/>
      </tp>
      <tp t="s">
        <v>USD</v>
        <stp/>
        <stp>##V3_BDPV12</stp>
        <stp>912827A3 Govt</stp>
        <stp>CRNCY</stp>
        <stp>[TREASURY.xlsx]Sheet1!R1030C7</stp>
        <tr r="G1030" s="1"/>
      </tp>
      <tp t="s">
        <v>2/18/2014</v>
        <stp/>
        <stp>##V3_BDPV12</stp>
        <stp>912828B7 Govt</stp>
        <stp>ISSUE_DT</stp>
        <stp>[TREASURY.xlsx]Sheet1!R1270C15</stp>
        <tr r="O1270" s="1"/>
      </tp>
      <tp t="s">
        <v>T 2 01/15/21</v>
        <stp/>
        <stp>##V3_BDPV12</stp>
        <stp>9128283Q Govt</stp>
        <stp>SECURITY_NAME</stp>
        <stp>[TREASURY.xlsx]Sheet1!R375C16</stp>
        <tr r="P375" s="1"/>
      </tp>
      <tp t="s">
        <v>7/31/1991</v>
        <stp/>
        <stp>##V3_BDPV12</stp>
        <stp>912827B6 Govt</stp>
        <stp>ISSUE_DT</stp>
        <stp>[TREASURY.xlsx]Sheet1!R1550C15</stp>
        <tr r="O1550" s="1"/>
      </tp>
      <tp t="s">
        <v>USD</v>
        <stp/>
        <stp>##V3_BDPV12</stp>
        <stp>912827G6 Govt</stp>
        <stp>CRNCY</stp>
        <stp>[TREASURY.xlsx]Sheet1!R1036C7</stp>
        <tr r="G1036" s="1"/>
      </tp>
      <tp t="s">
        <v>7/31/1991</v>
        <stp/>
        <stp>##V3_BDPV12</stp>
        <stp>912827B7 Govt</stp>
        <stp>ISSUE_DT</stp>
        <stp>[TREASURY.xlsx]Sheet1!R1551C15</stp>
        <tr r="O1551" s="1"/>
      </tp>
      <tp t="s">
        <v>1/31/2014</v>
        <stp/>
        <stp>##V3_BDPV12</stp>
        <stp>912828B3 Govt</stp>
        <stp>ISSUE_DT</stp>
        <stp>[TREASURY.xlsx]Sheet1!R1108C15</stp>
        <tr r="O1108" s="1"/>
      </tp>
      <tp t="s">
        <v>T 2 1/2 01/31/25</v>
        <stp/>
        <stp>##V3_BDPV12</stp>
        <stp>9128283V Govt</stp>
        <stp>SECURITY_NAME</stp>
        <stp>[TREASURY.xlsx]Sheet1!R242C16</stp>
        <tr r="P242" s="1"/>
      </tp>
      <tp t="s">
        <v>7/15/1991</v>
        <stp/>
        <stp>##V3_BDPV12</stp>
        <stp>912827B5 Govt</stp>
        <stp>ISSUE_DT</stp>
        <stp>[TREASURY.xlsx]Sheet1!R1477C15</stp>
        <tr r="O1477" s="1"/>
      </tp>
      <tp t="s">
        <v>T 2 01/31/20</v>
        <stp/>
        <stp>##V3_BDPV12</stp>
        <stp>9128283S Govt</stp>
        <stp>SECURITY_NAME</stp>
        <stp>[TREASURY.xlsx]Sheet1!R433C16</stp>
        <tr r="P433" s="1"/>
      </tp>
      <tp t="s">
        <v>T 2 3/8 01/31/23</v>
        <stp/>
        <stp>##V3_BDPV12</stp>
        <stp>9128283U Govt</stp>
        <stp>SECURITY_NAME</stp>
        <stp>[TREASURY.xlsx]Sheet1!R268C16</stp>
        <tr r="P268" s="1"/>
      </tp>
      <tp t="s">
        <v>USD</v>
        <stp/>
        <stp>##V3_BDPV12</stp>
        <stp>912828F4 Govt</stp>
        <stp>CRNCY</stp>
        <stp>[TREASURY.xlsx]Sheet1!R1117C7</stp>
        <tr r="G1117" s="1"/>
      </tp>
      <tp t="s">
        <v>7/1/1991</v>
        <stp/>
        <stp>##V3_BDPV12</stp>
        <stp>912827B4 Govt</stp>
        <stp>ISSUE_DT</stp>
        <stp>[TREASURY.xlsx]Sheet1!R1476C15</stp>
        <tr r="O1476" s="1"/>
      </tp>
      <tp t="s">
        <v>USD</v>
        <stp/>
        <stp>##V3_BDPV12</stp>
        <stp>912827G5 Govt</stp>
        <stp>CRNCY</stp>
        <stp>[TREASURY.xlsx]Sheet1!R1156C7</stp>
        <tr r="G1156" s="1"/>
      </tp>
      <tp t="s">
        <v>T 2 3/4 02/28/25</v>
        <stp/>
        <stp>##V3_BDPV12</stp>
        <stp>9128283Z Govt</stp>
        <stp>SECURITY_NAME</stp>
        <stp>[TREASURY.xlsx]Sheet1!R261C16</stp>
        <tr r="P261" s="1"/>
      </tp>
      <tp t="s">
        <v>USD</v>
        <stp/>
        <stp>##V3_BDPV12</stp>
        <stp>912827C8 Govt</stp>
        <stp>CRNCY</stp>
        <stp>[TREASURY.xlsx]Sheet1!R1482C7</stp>
        <tr r="G1482" s="1"/>
      </tp>
      <tp t="s">
        <v>USD</v>
        <stp/>
        <stp>##V3_BDPV12</stp>
        <stp>912827D8 Govt</stp>
        <stp>CRNCY</stp>
        <stp>[TREASURY.xlsx]Sheet1!R1485C7</stp>
        <tr r="G1485" s="1"/>
      </tp>
      <tp t="s">
        <v>8/15/1991</v>
        <stp/>
        <stp>##V3_BDPV12</stp>
        <stp>912827B8 Govt</stp>
        <stp>ISSUE_DT</stp>
        <stp>[TREASURY.xlsx]Sheet1!R1478C15</stp>
        <tr r="O1478" s="1"/>
      </tp>
      <tp t="s">
        <v>8/15/1991</v>
        <stp/>
        <stp>##V3_BDPV12</stp>
        <stp>912827B9 Govt</stp>
        <stp>ISSUE_DT</stp>
        <stp>[TREASURY.xlsx]Sheet1!R1552C15</stp>
        <tr r="O1552" s="1"/>
      </tp>
      <tp t="s">
        <v>T 2 1/4 02/29/20</v>
        <stp/>
        <stp>##V3_BDPV12</stp>
        <stp>9128283Y Govt</stp>
        <stp>SECURITY_NAME</stp>
        <stp>[TREASURY.xlsx]Sheet1!R395C16</stp>
        <tr r="P395" s="1"/>
      </tp>
      <tp t="s">
        <v>USD</v>
        <stp/>
        <stp>##V3_BDPV12</stp>
        <stp>912827G9 Govt</stp>
        <stp>CRNCY</stp>
        <stp>[TREASURY.xlsx]Sheet1!R1486C7</stp>
        <tr r="G1486" s="1"/>
      </tp>
      <tp t="s">
        <v>T 5 1/2 02/15/08</v>
        <stp/>
        <stp>##V3_BDPV12</stp>
        <stp>9128273X Govt</stp>
        <stp>SECURITY_NAME</stp>
        <stp>[TREASURY.xlsx]Sheet1!R500C16</stp>
        <tr r="P500" s="1"/>
      </tp>
      <tp t="s">
        <v>T</v>
        <stp/>
        <stp>##V3_BDPV12</stp>
        <stp>91282CCZ Govt</stp>
        <stp>TICKER</stp>
        <stp>[TREASURY.xlsx]Sheet1!R7C2</stp>
        <tr r="B7" s="1"/>
      </tp>
      <tp t="s">
        <v>T 5 1/2 02/29/00</v>
        <stp/>
        <stp>##V3_BDPV12</stp>
        <stp>9128273Y Govt</stp>
        <stp>SECURITY_NAME</stp>
        <stp>[TREASURY.xlsx]Sheet1!R607C16</stp>
        <tr r="P607" s="1"/>
      </tp>
      <tp t="s">
        <v>912827R95</v>
        <stp/>
        <stp>##V3_BDPV12</stp>
        <stp>912827R9 Govt</stp>
        <stp>ID_CUSIP</stp>
        <stp>[TREASURY.xlsx]Sheet1!R1578C19</stp>
        <tr r="S1578" s="1"/>
      </tp>
      <tp t="s">
        <v>T 2 10/31/22</v>
        <stp/>
        <stp>##V3_BDPV12</stp>
        <stp>9128283C Govt</stp>
        <stp>SECURITY_NAME</stp>
        <stp>[TREASURY.xlsx]Sheet1!R186C16</stp>
        <tr r="P186" s="1"/>
      </tp>
      <tp t="s">
        <v>T 1 3/4 11/15/20</v>
        <stp/>
        <stp>##V3_BDPV12</stp>
        <stp>9128283G Govt</stp>
        <stp>SECURITY_NAME</stp>
        <stp>[TREASURY.xlsx]Sheet1!R380C16</stp>
        <tr r="P380" s="1"/>
      </tp>
      <tp t="s">
        <v>T 2 1/4 10/31/24</v>
        <stp/>
        <stp>##V3_BDPV12</stp>
        <stp>9128283D Govt</stp>
        <stp>SECURITY_NAME</stp>
        <stp>[TREASURY.xlsx]Sheet1!R231C16</stp>
        <tr r="P231" s="1"/>
      </tp>
      <tp t="s">
        <v>T 2 1/8 11/30/24</v>
        <stp/>
        <stp>##V3_BDPV12</stp>
        <stp>9128283J Govt</stp>
        <stp>SECURITY_NAME</stp>
        <stp>[TREASURY.xlsx]Sheet1!R216C16</stp>
        <tr r="P216" s="1"/>
      </tp>
      <tp t="s">
        <v>912828R44</v>
        <stp/>
        <stp>##V3_BDPV12</stp>
        <stp>912828R4 Govt</stp>
        <stp>ID_CUSIP</stp>
        <stp>[TREASURY.xlsx]Sheet1!R1264C19</stp>
        <tr r="S1264" s="1"/>
      </tp>
      <tp t="s">
        <v>912828R51</v>
        <stp/>
        <stp>##V3_BDPV12</stp>
        <stp>912828R5 Govt</stp>
        <stp>ID_CUSIP</stp>
        <stp>[TREASURY.xlsx]Sheet1!R1284C19</stp>
        <tr r="S1284" s="1"/>
      </tp>
      <tp t="s">
        <v>912827R46</v>
        <stp/>
        <stp>##V3_BDPV12</stp>
        <stp>912827R4 Govt</stp>
        <stp>ID_CUSIP</stp>
        <stp>[TREASURY.xlsx]Sheet1!R1499C19</stp>
        <tr r="S1499" s="1"/>
      </tp>
      <tp t="s">
        <v>T 1 7/8 12/31/19</v>
        <stp/>
        <stp>##V3_BDPV12</stp>
        <stp>9128283N Govt</stp>
        <stp>SECURITY_NAME</stp>
        <stp>[TREASURY.xlsx]Sheet1!R366C16</stp>
        <tr r="P366" s="1"/>
      </tp>
      <tp t="s">
        <v>912827R79</v>
        <stp/>
        <stp>##V3_BDPV12</stp>
        <stp>912827R7 Govt</stp>
        <stp>ID_CUSIP</stp>
        <stp>[TREASURY.xlsx]Sheet1!R1577C19</stp>
        <tr r="S1577" s="1"/>
      </tp>
      <tp t="s">
        <v>T 1 3/4 11/30/19</v>
        <stp/>
        <stp>##V3_BDPV12</stp>
        <stp>9128283H Govt</stp>
        <stp>SECURITY_NAME</stp>
        <stp>[TREASURY.xlsx]Sheet1!R784C16</stp>
        <tr r="P784" s="1"/>
      </tp>
      <tp t="s">
        <v>T 1 7/8 12/15/20</v>
        <stp/>
        <stp>##V3_BDPV12</stp>
        <stp>9128283L Govt</stp>
        <stp>SECURITY_NAME</stp>
        <stp>[TREASURY.xlsx]Sheet1!R350C16</stp>
        <tr r="P350" s="1"/>
      </tp>
      <tp t="s">
        <v>912827R61</v>
        <stp/>
        <stp>##V3_BDPV12</stp>
        <stp>912827R6 Govt</stp>
        <stp>ID_CUSIP</stp>
        <stp>[TREASURY.xlsx]Sheet1!R1500C19</stp>
        <tr r="S1500" s="1"/>
      </tp>
      <tp t="s">
        <v>912827R38</v>
        <stp/>
        <stp>##V3_BDPV12</stp>
        <stp>912827R3 Govt</stp>
        <stp>ID_CUSIP</stp>
        <stp>[TREASURY.xlsx]Sheet1!R1060C19</stp>
        <tr r="S1060" s="1"/>
      </tp>
      <tp t="s">
        <v>8/31/2021</v>
        <stp/>
        <stp>##V3_BDPV12</stp>
        <stp>91282CCV Govt</stp>
        <stp>ISSUE_DT</stp>
        <stp>[TREASURY.xlsx]Sheet1!R9C15</stp>
        <tr r="O9" s="1"/>
      </tp>
      <tp t="s">
        <v>FIXED</v>
        <stp/>
        <stp>##V3_BDPV12</stp>
        <stp>91282CCZ Govt</stp>
        <stp>CPN_TYP</stp>
        <stp>[TREASURY.xlsx]Sheet1!R7C11</stp>
        <tr r="K7" s="1"/>
      </tp>
      <tp t="s">
        <v>FIXED</v>
        <stp/>
        <stp>##V3_BDPV12</stp>
        <stp>91282CCX Govt</stp>
        <stp>CPN_TYP</stp>
        <stp>[TREASURY.xlsx]Sheet1!R5C11</stp>
        <tr r="K5" s="1"/>
      </tp>
      <tp t="s">
        <v>T</v>
        <stp/>
        <stp>##V3_BDPV12</stp>
        <stp>912828C6 Govt</stp>
        <stp>TICKER</stp>
        <stp>[TREASURY.xlsx]Sheet1!R349C2</stp>
        <tr r="B349" s="1"/>
      </tp>
      <tp t="s">
        <v>FIXED</v>
        <stp/>
        <stp>##V3_BDPV12</stp>
        <stp>91282CCV Govt</stp>
        <stp>CPN_TYP</stp>
        <stp>[TREASURY.xlsx]Sheet1!R9C11</stp>
        <tr r="K9" s="1"/>
      </tp>
      <tp t="s">
        <v>FIXED</v>
        <stp/>
        <stp>##V3_BDPV12</stp>
        <stp>91282CCW Govt</stp>
        <stp>CPN_TYP</stp>
        <stp>[TREASURY.xlsx]Sheet1!R4C11</stp>
        <tr r="K4" s="1"/>
      </tp>
      <tp t="s">
        <v>T</v>
        <stp/>
        <stp>##V3_BDPV12</stp>
        <stp>912828B4 Govt</stp>
        <stp>TICKER</stp>
        <stp>[TREASURY.xlsx]Sheet1!R458C2</stp>
        <tr r="B458" s="1"/>
      </tp>
      <tp t="s">
        <v>T</v>
        <stp/>
        <stp>##V3_BDPV12</stp>
        <stp>912827L5 Govt</stp>
        <stp>TICKER</stp>
        <stp>[TREASURY.xlsx]Sheet1!R886C2</stp>
        <tr r="B886" s="1"/>
      </tp>
      <tp t="s">
        <v>FIXED</v>
        <stp/>
        <stp>##V3_BDPV12</stp>
        <stp>91282CCU Govt</stp>
        <stp>CPN_TYP</stp>
        <stp>[TREASURY.xlsx]Sheet1!R6C11</stp>
        <tr r="K6" s="1"/>
      </tp>
      <tp t="s">
        <v>FIXED</v>
        <stp/>
        <stp>##V3_BDPV12</stp>
        <stp>91282CCS Govt</stp>
        <stp>CPN_TYP</stp>
        <stp>[TREASURY.xlsx]Sheet1!R2C11</stp>
        <tr r="K2" s="1"/>
      </tp>
      <tp t="s">
        <v>T</v>
        <stp/>
        <stp>##V3_BDPV12</stp>
        <stp>912828CX Govt</stp>
        <stp>TICKER</stp>
        <stp>[TREASURY.xlsx]Sheet1!R659C2</stp>
        <tr r="B659" s="1"/>
      </tp>
      <tp t="s">
        <v>T</v>
        <stp/>
        <stp>##V3_BDPV12</stp>
        <stp>912827KV Govt</stp>
        <stp>TICKER</stp>
        <stp>[TREASURY.xlsx]Sheet1!R711C2</stp>
        <tr r="B711" s="1"/>
      </tp>
      <tp t="s">
        <v>T</v>
        <stp/>
        <stp>##V3_BDPV12</stp>
        <stp>912827NV Govt</stp>
        <stp>TICKER</stp>
        <stp>[TREASURY.xlsx]Sheet1!R734C2</stp>
        <tr r="B734" s="1"/>
      </tp>
      <tp t="s">
        <v>NORMAL</v>
        <stp/>
        <stp>##V3_BDPV12</stp>
        <stp>912810DP Govt</stp>
        <stp>MTY_TYP</stp>
        <stp>[TREASURY.xlsx]Sheet1!R698C6</stp>
        <tr r="F698" s="1"/>
      </tp>
      <tp t="s">
        <v>NORMAL</v>
        <stp/>
        <stp>##V3_BDPV12</stp>
        <stp>912810RY Govt</stp>
        <stp>MTY_TYP</stp>
        <stp>[TREASURY.xlsx]Sheet1!R191C6</stp>
        <tr r="F191" s="1"/>
      </tp>
      <tp t="s">
        <v>NORMAL</v>
        <stp/>
        <stp>##V3_BDPV12</stp>
        <stp>912810RP Govt</stp>
        <stp>MTY_TYP</stp>
        <stp>[TREASURY.xlsx]Sheet1!R278C6</stp>
        <tr r="F278" s="1"/>
      </tp>
      <tp t="s">
        <v>T</v>
        <stp/>
        <stp>##V3_BDPV12</stp>
        <stp>912828BS Govt</stp>
        <stp>TICKER</stp>
        <stp>[TREASURY.xlsx]Sheet1!R628C2</stp>
        <tr r="B628" s="1"/>
      </tp>
      <tp t="s">
        <v>NORMAL</v>
        <stp/>
        <stp>##V3_BDPV12</stp>
        <stp>912828SX Govt</stp>
        <stp>MTY_TYP</stp>
        <stp>[TREASURY.xlsx]Sheet1!R870C6</stp>
        <tr r="F870" s="1"/>
      </tp>
      <tp t="s">
        <v>NORMAL</v>
        <stp/>
        <stp>##V3_BDPV12</stp>
        <stp>912828TP Govt</stp>
        <stp>MTY_TYP</stp>
        <stp>[TREASURY.xlsx]Sheet1!R998C6</stp>
        <tr r="F998" s="1"/>
      </tp>
      <tp t="s">
        <v>NORMAL</v>
        <stp/>
        <stp>##V3_BDPV12</stp>
        <stp>912828NX Govt</stp>
        <stp>MTY_TYP</stp>
        <stp>[TREASURY.xlsx]Sheet1!R980C6</stp>
        <tr r="F980" s="1"/>
      </tp>
      <tp t="s">
        <v>NORMAL</v>
        <stp/>
        <stp>##V3_BDPV12</stp>
        <stp>9128273X Govt</stp>
        <stp>MTY_TYP</stp>
        <stp>[TREASURY.xlsx]Sheet1!R500C6</stp>
        <tr r="F500" s="1"/>
      </tp>
      <tp t="s">
        <v>NORMAL</v>
        <stp/>
        <stp>##V3_BDPV12</stp>
        <stp>9128282Q Govt</stp>
        <stp>MTY_TYP</stp>
        <stp>[TREASURY.xlsx]Sheet1!R469C6</stp>
        <tr r="F469" s="1"/>
      </tp>
      <tp t="s">
        <v>NORMAL</v>
        <stp/>
        <stp>##V3_BDPV12</stp>
        <stp>912828WP Govt</stp>
        <stp>MTY_TYP</stp>
        <stp>[TREASURY.xlsx]Sheet1!R488C6</stp>
        <tr r="F488" s="1"/>
      </tp>
      <tp t="s">
        <v>NORMAL</v>
        <stp/>
        <stp>##V3_BDPV12</stp>
        <stp>912828XP Govt</stp>
        <stp>MTY_TYP</stp>
        <stp>[TREASURY.xlsx]Sheet1!R588C6</stp>
        <tr r="F588" s="1"/>
      </tp>
      <tp t="s">
        <v>NORMAL</v>
        <stp/>
        <stp>##V3_BDPV12</stp>
        <stp>912828EZ Govt</stp>
        <stp>MTY_TYP</stp>
        <stp>[TREASURY.xlsx]Sheet1!R572C6</stp>
        <tr r="F572" s="1"/>
      </tp>
      <tp t="s">
        <v>NORMAL</v>
        <stp/>
        <stp>##V3_BDPV12</stp>
        <stp>912828BP Govt</stp>
        <stp>MTY_TYP</stp>
        <stp>[TREASURY.xlsx]Sheet1!R648C6</stp>
        <tr r="F648" s="1"/>
      </tp>
      <tp t="s">
        <v>NORMAL</v>
        <stp/>
        <stp>##V3_BDPV12</stp>
        <stp>912828JY Govt</stp>
        <stp>MTY_TYP</stp>
        <stp>[TREASURY.xlsx]Sheet1!R691C6</stp>
        <tr r="F691" s="1"/>
      </tp>
      <tp t="s">
        <v>NORMAL</v>
        <stp/>
        <stp>##V3_BDPV12</stp>
        <stp>9128286Y Govt</stp>
        <stp>MTY_TYP</stp>
        <stp>[TREASURY.xlsx]Sheet1!R241C6</stp>
        <tr r="F241" s="1"/>
      </tp>
      <tp t="s">
        <v>T</v>
        <stp/>
        <stp>##V3_BDPV12</stp>
        <stp>912828BP Govt</stp>
        <stp>TICKER</stp>
        <stp>[TREASURY.xlsx]Sheet1!R648C2</stp>
        <tr r="B648" s="1"/>
      </tp>
      <tp t="s">
        <v>T</v>
        <stp/>
        <stp>##V3_BDPV12</stp>
        <stp>912828LP Govt</stp>
        <stp>TICKER</stp>
        <stp>[TREASURY.xlsx]Sheet1!R816C2</stp>
        <tr r="B816" s="1"/>
      </tp>
      <tp t="s">
        <v>T</v>
        <stp/>
        <stp>##V3_BDPV12</stp>
        <stp>912828LQ Govt</stp>
        <stp>TICKER</stp>
        <stp>[TREASURY.xlsx]Sheet1!R486C2</stp>
        <tr r="B486" s="1"/>
      </tp>
      <tp t="s">
        <v>T</v>
        <stp/>
        <stp>##V3_BDPV12</stp>
        <stp>912827LN Govt</stp>
        <stp>TICKER</stp>
        <stp>[TREASURY.xlsx]Sheet1!R716C2</stp>
        <tr r="B716" s="1"/>
      </tp>
      <tp t="s">
        <v>T</v>
        <stp/>
        <stp>##V3_BDPV12</stp>
        <stp>912828NN Govt</stp>
        <stp>TICKER</stp>
        <stp>[TREASURY.xlsx]Sheet1!R864C2</stp>
        <tr r="B864" s="1"/>
      </tp>
      <tp t="s">
        <v>T</v>
        <stp/>
        <stp>##V3_BDPV12</stp>
        <stp>912828JM Govt</stp>
        <stp>TICKER</stp>
        <stp>[TREASURY.xlsx]Sheet1!R810C2</stp>
        <tr r="B810" s="1"/>
      </tp>
      <tp t="s">
        <v>T</v>
        <stp/>
        <stp>##V3_BDPV12</stp>
        <stp>912828KJ Govt</stp>
        <stp>TICKER</stp>
        <stp>[TREASURY.xlsx]Sheet1!R561C2</stp>
        <tr r="B561" s="1"/>
      </tp>
      <tp t="s">
        <v>T</v>
        <stp/>
        <stp>##V3_BDPV12</stp>
        <stp>912828JJ Govt</stp>
        <stp>TICKER</stp>
        <stp>[TREASURY.xlsx]Sheet1!R690C2</stp>
        <tr r="B690" s="1"/>
      </tp>
      <tp t="s">
        <v>T</v>
        <stp/>
        <stp>##V3_BDPV12</stp>
        <stp>912827MJ Govt</stp>
        <stp>TICKER</stp>
        <stp>[TREASURY.xlsx]Sheet1!R897C2</stp>
        <tr r="B897" s="1"/>
      </tp>
      <tp t="s">
        <v>T</v>
        <stp/>
        <stp>##V3_BDPV12</stp>
        <stp>912828LK Govt</stp>
        <stp>TICKER</stp>
        <stp>[TREASURY.xlsx]Sheet1!R546C2</stp>
        <tr r="B546" s="1"/>
      </tp>
      <tp t="s">
        <v>T</v>
        <stp/>
        <stp>##V3_BDPV12</stp>
        <stp>912828CH Govt</stp>
        <stp>TICKER</stp>
        <stp>[TREASURY.xlsx]Sheet1!R559C2</stp>
        <tr r="B559" s="1"/>
      </tp>
      <tp t="s">
        <v>T</v>
        <stp/>
        <stp>##V3_BDPV12</stp>
        <stp>912827LF Govt</stp>
        <stp>TICKER</stp>
        <stp>[TREASURY.xlsx]Sheet1!R656C2</stp>
        <tr r="B656" s="1"/>
      </tp>
      <tp t="s">
        <v>T</v>
        <stp/>
        <stp>##V3_BDPV12</stp>
        <stp>912828CG Govt</stp>
        <stp>TICKER</stp>
        <stp>[TREASURY.xlsx]Sheet1!R789C2</stp>
        <tr r="B789" s="1"/>
      </tp>
      <tp t="s">
        <v>NORMAL</v>
        <stp/>
        <stp>##V3_BDPV12</stp>
        <stp>9128286T Govt</stp>
        <stp>MTY_TYP</stp>
        <stp>[TREASURY.xlsx]Sheet1!R48C6</stp>
        <tr r="F48" s="1"/>
      </tp>
      <tp t="s">
        <v>T</v>
        <stp/>
        <stp>##V3_BDPV12</stp>
        <stp>912828BA Govt</stp>
        <stp>TICKER</stp>
        <stp>[TREASURY.xlsx]Sheet1!R408C2</stp>
        <tr r="B408" s="1"/>
      </tp>
      <tp t="s">
        <v>USD</v>
        <stp/>
        <stp>##V3_BDPV12</stp>
        <stp>912828FR Govt</stp>
        <stp>CRNCY</stp>
        <stp>[TREASURY.xlsx]Sheet1!R1277C7</stp>
        <tr r="G1277" s="1"/>
      </tp>
      <tp t="s">
        <v>912828RL6</v>
        <stp/>
        <stp>##V3_BDPV12</stp>
        <stp>912828RL Govt</stp>
        <stp>ID_CUSIP</stp>
        <stp>[TREASURY.xlsx]Sheet1!R1131C19</stp>
        <tr r="S1131" s="1"/>
      </tp>
      <tp t="s">
        <v>912827RH7</v>
        <stp/>
        <stp>##V3_BDPV12</stp>
        <stp>912827RH Govt</stp>
        <stp>ID_CUSIP</stp>
        <stp>[TREASURY.xlsx]Sheet1!R1502C19</stp>
        <tr r="S1502" s="1"/>
      </tp>
      <tp t="s">
        <v>T</v>
        <stp/>
        <stp>##V3_BDPV12</stp>
        <stp>912828JL Govt</stp>
        <stp>TICKER</stp>
        <stp>[TREASURY.xlsx]Sheet1!R1122C2</stp>
        <tr r="B1122" s="1"/>
      </tp>
      <tp t="s">
        <v>T</v>
        <stp/>
        <stp>##V3_BDPV12</stp>
        <stp>912828RN Govt</stp>
        <stp>TICKER</stp>
        <stp>[TREASURY.xlsx]Sheet1!R1140C2</stp>
        <tr r="B1140" s="1"/>
      </tp>
      <tp t="s">
        <v>T</v>
        <stp/>
        <stp>##V3_BDPV12</stp>
        <stp>912828KN Govt</stp>
        <stp>TICKER</stp>
        <stp>[TREASURY.xlsx]Sheet1!R1250C2</stp>
        <tr r="B1250" s="1"/>
      </tp>
      <tp t="s">
        <v>T</v>
        <stp/>
        <stp>##V3_BDPV12</stp>
        <stp>912828WH Govt</stp>
        <stp>TICKER</stp>
        <stp>[TREASURY.xlsx]Sheet1!R1306C2</stp>
        <tr r="B1306" s="1"/>
      </tp>
      <tp t="s">
        <v>T</v>
        <stp/>
        <stp>##V3_BDPV12</stp>
        <stp>9128275G Govt</stp>
        <stp>TICKER</stp>
        <stp>[TREASURY.xlsx]Sheet1!R1369C2</stp>
        <tr r="B1369" s="1"/>
      </tp>
      <tp t="s">
        <v>T</v>
        <stp/>
        <stp>##V3_BDPV12</stp>
        <stp>912827NG Govt</stp>
        <stp>TICKER</stp>
        <stp>[TREASURY.xlsx]Sheet1!R1169C2</stp>
        <tr r="B1169" s="1"/>
      </tp>
      <tp t="s">
        <v>T</v>
        <stp/>
        <stp>##V3_BDPV12</stp>
        <stp>912827UG Govt</stp>
        <stp>TICKER</stp>
        <stp>[TREASURY.xlsx]Sheet1!R1199C2</stp>
        <tr r="B1199" s="1"/>
      </tp>
      <tp t="s">
        <v>T</v>
        <stp/>
        <stp>##V3_BDPV12</stp>
        <stp>9128275J Govt</stp>
        <stp>TICKER</stp>
        <stp>[TREASURY.xlsx]Sheet1!R1014C2</stp>
        <tr r="B1014" s="1"/>
      </tp>
      <tp t="s">
        <v>T</v>
        <stp/>
        <stp>##V3_BDPV12</stp>
        <stp>912827LH Govt</stp>
        <stp>TICKER</stp>
        <stp>[TREASURY.xlsx]Sheet1!R1566C2</stp>
        <tr r="B1566" s="1"/>
      </tp>
      <tp t="s">
        <v>T</v>
        <stp/>
        <stp>##V3_BDPV12</stp>
        <stp>9128272L Govt</stp>
        <stp>TICKER</stp>
        <stp>[TREASURY.xlsx]Sheet1!R1452C2</stp>
        <tr r="B1452" s="1"/>
      </tp>
      <tp t="s">
        <v>912827RN4</v>
        <stp/>
        <stp>##V3_BDPV12</stp>
        <stp>912827RN Govt</stp>
        <stp>ID_CUSIP</stp>
        <stp>[TREASURY.xlsx]Sheet1!R1064C19</stp>
        <tr r="S1064" s="1"/>
      </tp>
      <tp t="s">
        <v>T</v>
        <stp/>
        <stp>##V3_BDPV12</stp>
        <stp>912810EG Govt</stp>
        <stp>TICKER</stp>
        <stp>[TREASURY.xlsx]Sheet1!R1349C2</stp>
        <tr r="B1349" s="1"/>
      </tp>
      <tp t="s">
        <v>912828RN2</v>
        <stp/>
        <stp>##V3_BDPV12</stp>
        <stp>912828RN Govt</stp>
        <stp>ID_CUSIP</stp>
        <stp>[TREASURY.xlsx]Sheet1!R1140C19</stp>
        <tr r="S1140" s="1"/>
      </tp>
      <tp t="s">
        <v>912827RM6</v>
        <stp/>
        <stp>##V3_BDPV12</stp>
        <stp>912827RM Govt</stp>
        <stp>ID_CUSIP</stp>
        <stp>[TREASURY.xlsx]Sheet1!R1580C19</stp>
        <tr r="S1580" s="1"/>
      </tp>
      <tp t="s">
        <v>912827RL8</v>
        <stp/>
        <stp>##V3_BDPV12</stp>
        <stp>912827RL Govt</stp>
        <stp>ID_CUSIP</stp>
        <stp>[TREASURY.xlsx]Sheet1!R1503C19</stp>
        <tr r="S1503" s="1"/>
      </tp>
      <tp t="s">
        <v>912828RK8</v>
        <stp/>
        <stp>##V3_BDPV12</stp>
        <stp>912828RK Govt</stp>
        <stp>ID_CUSIP</stp>
        <stp>[TREASURY.xlsx]Sheet1!R1266C19</stp>
        <tr r="S1266" s="1"/>
      </tp>
      <tp t="s">
        <v>USD</v>
        <stp/>
        <stp>##V3_BDPV12</stp>
        <stp>912828GW Govt</stp>
        <stp>CRNCY</stp>
        <stp>[TREASURY.xlsx]Sheet1!R1436C7</stp>
        <tr r="G1436" s="1"/>
      </tp>
      <tp t="s">
        <v>5/15/1975</v>
        <stp/>
        <stp>##V3_BDPV12</stp>
        <stp>912810BU Govt</stp>
        <stp>ISSUE_DT</stp>
        <stp>[TREASURY.xlsx]Sheet1!R1439C15</stp>
        <tr r="O1439" s="1"/>
      </tp>
      <tp t="s">
        <v>11/15/1977</v>
        <stp/>
        <stp>##V3_BDPV12</stp>
        <stp>912810BZ Govt</stp>
        <stp>ISSUE_DT</stp>
        <stp>[TREASURY.xlsx]Sheet1!R1514C15</stp>
        <tr r="O1514" s="1"/>
      </tp>
      <tp t="s">
        <v>912827RE4</v>
        <stp/>
        <stp>##V3_BDPV12</stp>
        <stp>912827RE Govt</stp>
        <stp>ID_CUSIP</stp>
        <stp>[TREASURY.xlsx]Sheet1!R1063C19</stp>
        <tr r="S1063" s="1"/>
      </tp>
      <tp t="s">
        <v>912828RD4</v>
        <stp/>
        <stp>##V3_BDPV12</stp>
        <stp>912828RD Govt</stp>
        <stp>ID_CUSIP</stp>
        <stp>[TREASURY.xlsx]Sheet1!R1265C19</stp>
        <tr r="S1265" s="1"/>
      </tp>
      <tp t="s">
        <v>2/15/1977</v>
        <stp/>
        <stp>##V3_BDPV12</stp>
        <stp>912810BX Govt</stp>
        <stp>ISSUE_DT</stp>
        <stp>[TREASURY.xlsx]Sheet1!R1440C15</stp>
        <tr r="O1440" s="1"/>
      </tp>
      <tp t="s">
        <v>912827RA2</v>
        <stp/>
        <stp>##V3_BDPV12</stp>
        <stp>912827RA Govt</stp>
        <stp>ID_CUSIP</stp>
        <stp>[TREASURY.xlsx]Sheet1!R1061C19</stp>
        <tr r="S1061" s="1"/>
      </tp>
      <tp t="s">
        <v>912827RG9</v>
        <stp/>
        <stp>##V3_BDPV12</stp>
        <stp>912827RG Govt</stp>
        <stp>ID_CUSIP</stp>
        <stp>[TREASURY.xlsx]Sheet1!R1501C19</stp>
        <tr r="S1501" s="1"/>
      </tp>
      <tp t="s">
        <v>912827RF1</v>
        <stp/>
        <stp>##V3_BDPV12</stp>
        <stp>912827RF Govt</stp>
        <stp>ID_CUSIP</stp>
        <stp>[TREASURY.xlsx]Sheet1!R1579C19</stp>
        <tr r="S1579" s="1"/>
      </tp>
      <tp t="s">
        <v>912827RC8</v>
        <stp/>
        <stp>##V3_BDPV12</stp>
        <stp>912827RC Govt</stp>
        <stp>ID_CUSIP</stp>
        <stp>[TREASURY.xlsx]Sheet1!R1062C19</stp>
        <tr r="S1062" s="1"/>
      </tp>
      <tp t="s">
        <v>912827RY0</v>
        <stp/>
        <stp>##V3_BDPV12</stp>
        <stp>912827RY Govt</stp>
        <stp>ID_CUSIP</stp>
        <stp>[TREASURY.xlsx]Sheet1!R1583C19</stp>
        <tr r="S1583" s="1"/>
      </tp>
      <tp t="s">
        <v>USD</v>
        <stp/>
        <stp>##V3_BDPV12</stp>
        <stp>912810EB Govt</stp>
        <stp>CRNCY</stp>
        <stp>[TREASURY.xlsx]Sheet1!R1624C7</stp>
        <tr r="G1624" s="1"/>
      </tp>
      <tp t="s">
        <v>#N/A Field Not Applicable</v>
        <stp/>
        <stp>##V3_BDPV12</stp>
        <stp>912810CE Govt</stp>
        <stp>IDX_RATIO</stp>
        <stp>[TREASURY.xlsx]Sheet1!R1441C20</stp>
        <tr r="T1441" s="1"/>
      </tp>
      <tp t="s">
        <v>#N/A Field Not Applicable</v>
        <stp/>
        <stp>##V3_BDPV12</stp>
        <stp>912828CE Govt</stp>
        <stp>IDX_RATIO</stp>
        <stp>[TREASURY.xlsx]Sheet1!R1426C20</stp>
        <tr r="T1426" s="1"/>
      </tp>
      <tp t="s">
        <v>#N/A Field Not Applicable</v>
        <stp/>
        <stp>##V3_BDPV12</stp>
        <stp>912828BE Govt</stp>
        <stp>IDX_RATIO</stp>
        <stp>[TREASURY.xlsx]Sheet1!R1425C20</stp>
        <tr r="T1425" s="1"/>
      </tp>
      <tp t="s">
        <v>#N/A Field Not Applicable</v>
        <stp/>
        <stp>##V3_BDPV12</stp>
        <stp>9128277E Govt</stp>
        <stp>IDX_RATIO</stp>
        <stp>[TREASURY.xlsx]Sheet1!R1545C20</stp>
        <tr r="T1545" s="1"/>
      </tp>
      <tp t="s">
        <v>912827RZ7</v>
        <stp/>
        <stp>##V3_BDPV12</stp>
        <stp>912827RZ Govt</stp>
        <stp>ID_CUSIP</stp>
        <stp>[TREASURY.xlsx]Sheet1!R1584C19</stp>
        <tr r="S1584" s="1"/>
      </tp>
      <tp t="s">
        <v>#N/A Field Not Applicable</v>
        <stp/>
        <stp>##V3_BDPV12</stp>
        <stp>9128276E Govt</stp>
        <stp>IDX_RATIO</stp>
        <stp>[TREASURY.xlsx]Sheet1!R1536C20</stp>
        <tr r="T1536" s="1"/>
      </tp>
      <tp t="s">
        <v>#N/A Field Not Applicable</v>
        <stp/>
        <stp>##V3_BDPV12</stp>
        <stp>9128273E Govt</stp>
        <stp>IDX_RATIO</stp>
        <stp>[TREASURY.xlsx]Sheet1!R1526C20</stp>
        <tr r="T1526" s="1"/>
      </tp>
      <tp t="s">
        <v>8/15/2003</v>
        <stp/>
        <stp>##V3_BDPV12</stp>
        <stp>912828BF Govt</stp>
        <stp>ISSUE_DT</stp>
        <stp>[TREASURY.xlsx]Sheet1!R1235C15</stp>
        <tr r="O1235" s="1"/>
      </tp>
      <tp t="s">
        <v>#N/A Field Not Applicable</v>
        <stp/>
        <stp>##V3_BDPV12</stp>
        <stp>912827TE Govt</stp>
        <stp>IDX_RATIO</stp>
        <stp>[TREASURY.xlsx]Sheet1!R1507C20</stp>
        <tr r="T1507" s="1"/>
      </tp>
      <tp t="s">
        <v>#N/A Field Not Applicable</v>
        <stp/>
        <stp>##V3_BDPV12</stp>
        <stp>912828GE Govt</stp>
        <stp>IDX_RATIO</stp>
        <stp>[TREASURY.xlsx]Sheet1!R1242C20</stp>
        <tr r="T1242" s="1"/>
      </tp>
      <tp t="s">
        <v>912828RZ5</v>
        <stp/>
        <stp>##V3_BDPV12</stp>
        <stp>912828RZ Govt</stp>
        <stp>ID_CUSIP</stp>
        <stp>[TREASURY.xlsx]Sheet1!R1268C19</stp>
        <tr r="S1268" s="1"/>
      </tp>
      <tp t="s">
        <v>#N/A Field Not Applicable</v>
        <stp/>
        <stp>##V3_BDPV12</stp>
        <stp>912828FE Govt</stp>
        <stp>IDX_RATIO</stp>
        <stp>[TREASURY.xlsx]Sheet1!R1274C20</stp>
        <tr r="T1274" s="1"/>
      </tp>
      <tp t="s">
        <v>#N/A Field Not Applicable</v>
        <stp/>
        <stp>##V3_BDPV12</stp>
        <stp>9128274E Govt</stp>
        <stp>IDX_RATIO</stp>
        <stp>[TREASURY.xlsx]Sheet1!R1363C20</stp>
        <tr r="T1363" s="1"/>
      </tp>
      <tp t="s">
        <v>10/3/1960</v>
        <stp/>
        <stp>##V3_BDPV12</stp>
        <stp>912810BG Govt</stp>
        <stp>ISSUE_DT</stp>
        <stp>[TREASURY.xlsx]Sheet1!R1513C15</stp>
        <tr r="O1513" s="1"/>
      </tp>
      <tp t="s">
        <v>#N/A Field Not Applicable</v>
        <stp/>
        <stp>##V3_BDPV12</stp>
        <stp>912827NE Govt</stp>
        <stp>IDX_RATIO</stp>
        <stp>[TREASURY.xlsx]Sheet1!R1332C20</stp>
        <tr r="T1332" s="1"/>
      </tp>
      <tp t="s">
        <v>USD</v>
        <stp/>
        <stp>##V3_BDPV12</stp>
        <stp>912810BG Govt</stp>
        <stp>CRNCY</stp>
        <stp>[TREASURY.xlsx]Sheet1!R1513C7</stp>
        <tr r="G1513" s="1"/>
      </tp>
      <tp t="s">
        <v>#N/A Field Not Applicable</v>
        <stp/>
        <stp>##V3_BDPV12</stp>
        <stp>912827UE Govt</stp>
        <stp>IDX_RATIO</stp>
        <stp>[TREASURY.xlsx]Sheet1!R1077C20</stp>
        <tr r="T1077" s="1"/>
      </tp>
      <tp t="s">
        <v>#N/A Field Not Applicable</v>
        <stp/>
        <stp>##V3_BDPV12</stp>
        <stp>912810DE Govt</stp>
        <stp>IDX_RATIO</stp>
        <stp>[TREASURY.xlsx]Sheet1!R1311C20</stp>
        <tr r="T1311" s="1"/>
      </tp>
      <tp t="s">
        <v>#N/A Field Not Applicable</v>
        <stp/>
        <stp>##V3_BDPV12</stp>
        <stp>912827RE Govt</stp>
        <stp>IDX_RATIO</stp>
        <stp>[TREASURY.xlsx]Sheet1!R1063C20</stp>
        <tr r="T1063" s="1"/>
      </tp>
      <tp t="s">
        <v>#N/A Field Not Applicable</v>
        <stp/>
        <stp>##V3_BDPV12</stp>
        <stp>912827PE Govt</stp>
        <stp>IDX_RATIO</stp>
        <stp>[TREASURY.xlsx]Sheet1!R1054C20</stp>
        <tr r="T1054" s="1"/>
      </tp>
      <tp t="s">
        <v>7/31/2003</v>
        <stp/>
        <stp>##V3_BDPV12</stp>
        <stp>912828BE Govt</stp>
        <stp>ISSUE_DT</stp>
        <stp>[TREASURY.xlsx]Sheet1!R1425C15</stp>
        <tr r="O1425" s="1"/>
      </tp>
      <tp t="s">
        <v>#N/A Field Not Applicable</v>
        <stp/>
        <stp>##V3_BDPV12</stp>
        <stp>9128272E Govt</stp>
        <stp>IDX_RATIO</stp>
        <stp>[TREASURY.xlsx]Sheet1!R1009C20</stp>
        <tr r="T1009" s="1"/>
      </tp>
      <tp t="s">
        <v>#N/A Field Not Applicable</v>
        <stp/>
        <stp>##V3_BDPV12</stp>
        <stp>912828DE Govt</stp>
        <stp>IDX_RATIO</stp>
        <stp>[TREASURY.xlsx]Sheet1!R1109C20</stp>
        <tr r="T1109" s="1"/>
      </tp>
      <tp t="s">
        <v>912828RY8</v>
        <stp/>
        <stp>##V3_BDPV12</stp>
        <stp>912828RY Govt</stp>
        <stp>ID_CUSIP</stp>
        <stp>[TREASURY.xlsx]Sheet1!R1267C19</stp>
        <tr r="S1267" s="1"/>
      </tp>
      <tp t="s">
        <v>#N/A Field Not Applicable</v>
        <stp/>
        <stp>##V3_BDPV12</stp>
        <stp>912827SE Govt</stp>
        <stp>IDX_RATIO</stp>
        <stp>[TREASURY.xlsx]Sheet1!R1184C20</stp>
        <tr r="T1184" s="1"/>
      </tp>
      <tp t="s">
        <v>912828RW2</v>
        <stp/>
        <stp>##V3_BDPV12</stp>
        <stp>912828RW Govt</stp>
        <stp>ID_CUSIP</stp>
        <stp>[TREASURY.xlsx]Sheet1!R1303C19</stp>
        <tr r="S1303" s="1"/>
      </tp>
      <tp t="s">
        <v>912828RU6</v>
        <stp/>
        <stp>##V3_BDPV12</stp>
        <stp>912828RU Govt</stp>
        <stp>ID_CUSIP</stp>
        <stp>[TREASURY.xlsx]Sheet1!R1302C19</stp>
        <tr r="S1302" s="1"/>
      </tp>
      <tp t="s">
        <v>USD</v>
        <stp/>
        <stp>##V3_BDPV12</stp>
        <stp>912828EH Govt</stp>
        <stp>CRNCY</stp>
        <stp>[TREASURY.xlsx]Sheet1!R1114C7</stp>
        <tr r="G1114" s="1"/>
      </tp>
      <tp t="s">
        <v>USD</v>
        <stp/>
        <stp>##V3_BDPV12</stp>
        <stp>912810CN Govt</stp>
        <stp>CRNCY</stp>
        <stp>[TREASURY.xlsx]Sheet1!R1442C7</stp>
        <tr r="G1442" s="1"/>
      </tp>
      <tp t="s">
        <v>912827RT1</v>
        <stp/>
        <stp>##V3_BDPV12</stp>
        <stp>912827RT Govt</stp>
        <stp>ID_CUSIP</stp>
        <stp>[TREASURY.xlsx]Sheet1!R1581C19</stp>
        <tr r="S1581" s="1"/>
      </tp>
      <tp t="s">
        <v>912827RV6</v>
        <stp/>
        <stp>##V3_BDPV12</stp>
        <stp>912827RV Govt</stp>
        <stp>ID_CUSIP</stp>
        <stp>[TREASURY.xlsx]Sheet1!R1582C19</stp>
        <tr r="S1582" s="1"/>
      </tp>
      <tp t="s">
        <v>3/2/1992</v>
        <stp/>
        <stp>##V3_BDPV12</stp>
        <stp>912827E4 Govt</stp>
        <stp>ISSUE_DT</stp>
        <stp>[TREASURY.xlsx]Sheet1!R1313C15</stp>
        <tr r="O1313" s="1"/>
      </tp>
      <tp t="s">
        <v>T 2 3/4 05/31/23</v>
        <stp/>
        <stp>##V3_BDPV12</stp>
        <stp>9128284S Govt</stp>
        <stp>SECURITY_NAME</stp>
        <stp>[TREASURY.xlsx]Sheet1!R294C16</stp>
        <tr r="P294" s="1"/>
      </tp>
      <tp t="s">
        <v>USD</v>
        <stp/>
        <stp>##V3_BDPV12</stp>
        <stp>912827E2 Govt</stp>
        <stp>CRNCY</stp>
        <stp>[TREASURY.xlsx]Sheet1!R1153C7</stp>
        <tr r="G1153" s="1"/>
      </tp>
      <tp t="s">
        <v>T 2 7/8 05/31/25</v>
        <stp/>
        <stp>##V3_BDPV12</stp>
        <stp>9128284R Govt</stp>
        <stp>SECURITY_NAME</stp>
        <stp>[TREASURY.xlsx]Sheet1!R257C16</stp>
        <tr r="P257" s="1"/>
      </tp>
      <tp t="s">
        <v>3/31/1992</v>
        <stp/>
        <stp>##V3_BDPV12</stp>
        <stp>912827E6 Govt</stp>
        <stp>ISSUE_DT</stp>
        <stp>[TREASURY.xlsx]Sheet1!R1371C15</stp>
        <tr r="O1371" s="1"/>
      </tp>
      <tp t="s">
        <v>T 2 5/8 05/15/21</v>
        <stp/>
        <stp>##V3_BDPV12</stp>
        <stp>9128284P Govt</stp>
        <stp>SECURITY_NAME</stp>
        <stp>[TREASURY.xlsx]Sheet1!R367C16</stp>
        <tr r="P367" s="1"/>
      </tp>
      <tp t="s">
        <v>T 4 10/31/00</v>
        <stp/>
        <stp>##V3_BDPV12</stp>
        <stp>9128274T Govt</stp>
        <stp>SECURITY_NAME</stp>
        <stp>[TREASURY.xlsx]Sheet1!R610C16</stp>
        <tr r="P610" s="1"/>
      </tp>
      <tp t="s">
        <v>T 4 5/8 11/30/00</v>
        <stp/>
        <stp>##V3_BDPV12</stp>
        <stp>9128274W Govt</stp>
        <stp>SECURITY_NAME</stp>
        <stp>[TREASURY.xlsx]Sheet1!R522C16</stp>
        <tr r="P522" s="1"/>
      </tp>
      <tp t="s">
        <v>2/18/1992</v>
        <stp/>
        <stp>##V3_BDPV12</stp>
        <stp>912827E2 Govt</stp>
        <stp>ISSUE_DT</stp>
        <stp>[TREASURY.xlsx]Sheet1!R1153C15</stp>
        <tr r="O1153" s="1"/>
      </tp>
      <tp t="s">
        <v>T 2 5/8 06/30/23</v>
        <stp/>
        <stp>##V3_BDPV12</stp>
        <stp>9128284U Govt</stp>
        <stp>SECURITY_NAME</stp>
        <stp>[TREASURY.xlsx]Sheet1!R128C16</stp>
        <tr r="P128" s="1"/>
      </tp>
      <tp t="s">
        <v>T 2 3/4 08/15/21</v>
        <stp/>
        <stp>##V3_BDPV12</stp>
        <stp>9128284W Govt</stp>
        <stp>SECURITY_NAME</stp>
        <stp>[TREASURY.xlsx]Sheet1!R347C16</stp>
        <tr r="P347" s="1"/>
      </tp>
      <tp t="s">
        <v>USD</v>
        <stp/>
        <stp>##V3_BDPV12</stp>
        <stp>912827C7 Govt</stp>
        <stp>CRNCY</stp>
        <stp>[TREASURY.xlsx]Sheet1!R1555C7</stp>
        <tr r="G1555" s="1"/>
      </tp>
      <tp t="s">
        <v>T 2 5/8 06/15/21</v>
        <stp/>
        <stp>##V3_BDPV12</stp>
        <stp>9128284T Govt</stp>
        <stp>SECURITY_NAME</stp>
        <stp>[TREASURY.xlsx]Sheet1!R344C16</stp>
        <tr r="P344" s="1"/>
      </tp>
      <tp t="s">
        <v>T 2 1/2 05/31/20</v>
        <stp/>
        <stp>##V3_BDPV12</stp>
        <stp>9128284Q Govt</stp>
        <stp>SECURITY_NAME</stp>
        <stp>[TREASURY.xlsx]Sheet1!R675C16</stp>
        <tr r="P675" s="1"/>
      </tp>
      <tp t="s">
        <v>USD</v>
        <stp/>
        <stp>##V3_BDPV12</stp>
        <stp>912827N4 Govt</stp>
        <stp>CRNCY</stp>
        <stp>[TREASURY.xlsx]Sheet1!R1048C7</stp>
        <tr r="G1048" s="1"/>
      </tp>
      <tp t="s">
        <v>USD</v>
        <stp/>
        <stp>##V3_BDPV12</stp>
        <stp>912827E4 Govt</stp>
        <stp>CRNCY</stp>
        <stp>[TREASURY.xlsx]Sheet1!R1313C7</stp>
        <tr r="G1313" s="1"/>
      </tp>
      <tp t="s">
        <v>USD</v>
        <stp/>
        <stp>##V3_BDPV12</stp>
        <stp>912828G4 Govt</stp>
        <stp>CRNCY</stp>
        <stp>[TREASURY.xlsx]Sheet1!R1281C7</stp>
        <tr r="G1281" s="1"/>
      </tp>
      <tp t="s">
        <v>USD</v>
        <stp/>
        <stp>##V3_BDPV12</stp>
        <stp>912827A4 Govt</stp>
        <stp>CRNCY</stp>
        <stp>[TREASURY.xlsx]Sheet1!R1547C7</stp>
        <tr r="G1547" s="1"/>
      </tp>
      <tp t="s">
        <v>USD</v>
        <stp/>
        <stp>##V3_BDPV12</stp>
        <stp>912828F5 Govt</stp>
        <stp>CRNCY</stp>
        <stp>[TREASURY.xlsx]Sheet1!R1240C7</stp>
        <tr r="G1240" s="1"/>
      </tp>
      <tp t="s">
        <v>USD</v>
        <stp/>
        <stp>##V3_BDPV12</stp>
        <stp>912827F5 Govt</stp>
        <stp>CRNCY</stp>
        <stp>[TREASURY.xlsx]Sheet1!R1560C7</stp>
        <tr r="G1560" s="1"/>
      </tp>
      <tp t="s">
        <v>T 2 3/4 08/31/25</v>
        <stp/>
        <stp>##V3_BDPV12</stp>
        <stp>9128284Z Govt</stp>
        <stp>SECURITY_NAME</stp>
        <stp>[TREASURY.xlsx]Sheet1!R251C16</stp>
        <tr r="P251" s="1"/>
      </tp>
      <tp t="s">
        <v>4/15/1992</v>
        <stp/>
        <stp>##V3_BDPV12</stp>
        <stp>912827E8 Govt</stp>
        <stp>ISSUE_DT</stp>
        <stp>[TREASURY.xlsx]Sheet1!R1558C15</stp>
        <tr r="O1558" s="1"/>
      </tp>
      <tp t="s">
        <v>T 2 3/4 08/31/23</v>
        <stp/>
        <stp>##V3_BDPV12</stp>
        <stp>9128284X Govt</stp>
        <stp>SECURITY_NAME</stp>
        <stp>[TREASURY.xlsx]Sheet1!R256C16</stp>
        <tr r="P256" s="1"/>
      </tp>
      <tp t="s">
        <v>T 2 5/8 08/31/20</v>
        <stp/>
        <stp>##V3_BDPV12</stp>
        <stp>9128284Y Govt</stp>
        <stp>SECURITY_NAME</stp>
        <stp>[TREASURY.xlsx]Sheet1!R376C16</stp>
        <tr r="P376" s="1"/>
      </tp>
      <tp t="s">
        <v>4/30/1992</v>
        <stp/>
        <stp>##V3_BDPV12</stp>
        <stp>912827E9 Govt</stp>
        <stp>ISSUE_DT</stp>
        <stp>[TREASURY.xlsx]Sheet1!R1372C15</stp>
        <tr r="O1372" s="1"/>
      </tp>
      <tp t="s">
        <v>T 2 5/8 02/28/23</v>
        <stp/>
        <stp>##V3_BDPV12</stp>
        <stp>9128284A Govt</stp>
        <stp>SECURITY_NAME</stp>
        <stp>[TREASURY.xlsx]Sheet1!R288C16</stp>
        <tr r="P288" s="1"/>
      </tp>
      <tp t="s">
        <v>T 5 5/8 05/15/08</v>
        <stp/>
        <stp>##V3_BDPV12</stp>
        <stp>9128274F Govt</stp>
        <stp>SECURITY_NAME</stp>
        <stp>[TREASURY.xlsx]Sheet1!R578C16</stp>
        <tr r="P578" s="1"/>
      </tp>
      <tp t="s">
        <v>912827U83</v>
        <stp/>
        <stp>##V3_BDPV12</stp>
        <stp>912827U8 Govt</stp>
        <stp>ID_CUSIP</stp>
        <stp>[TREASURY.xlsx]Sheet1!R1198C19</stp>
        <tr r="S1198" s="1"/>
      </tp>
      <tp t="s">
        <v>T 2 5/8 03/31/25</v>
        <stp/>
        <stp>##V3_BDPV12</stp>
        <stp>9128284F Govt</stp>
        <stp>SECURITY_NAME</stp>
        <stp>[TREASURY.xlsx]Sheet1!R285C16</stp>
        <tr r="P285" s="1"/>
      </tp>
      <tp t="s">
        <v>T 2 3/8 04/15/21</v>
        <stp/>
        <stp>##V3_BDPV12</stp>
        <stp>9128284G Govt</stp>
        <stp>SECURITY_NAME</stp>
        <stp>[TREASURY.xlsx]Sheet1!R390C16</stp>
        <tr r="P390" s="1"/>
      </tp>
      <tp t="s">
        <v>T 2 1/2 03/31/23</v>
        <stp/>
        <stp>##V3_BDPV12</stp>
        <stp>9128284D Govt</stp>
        <stp>SECURITY_NAME</stp>
        <stp>[TREASURY.xlsx]Sheet1!R202C16</stp>
        <tr r="P202" s="1"/>
      </tp>
      <tp t="s">
        <v>T 2 1/4 03/31/20</v>
        <stp/>
        <stp>##V3_BDPV12</stp>
        <stp>9128284C Govt</stp>
        <stp>SECURITY_NAME</stp>
        <stp>[TREASURY.xlsx]Sheet1!R505C16</stp>
        <tr r="P505" s="1"/>
      </tp>
      <tp t="s">
        <v>912827U59</v>
        <stp/>
        <stp>##V3_BDPV12</stp>
        <stp>912827U5 Govt</stp>
        <stp>ID_CUSIP</stp>
        <stp>[TREASURY.xlsx]Sheet1!R1197C19</stp>
        <tr r="S1197" s="1"/>
      </tp>
      <tp t="s">
        <v>T 2 3/8 04/30/20</v>
        <stp/>
        <stp>##V3_BDPV12</stp>
        <stp>9128284J Govt</stp>
        <stp>SECURITY_NAME</stp>
        <stp>[TREASURY.xlsx]Sheet1!R381C16</stp>
        <tr r="P381" s="1"/>
      </tp>
      <tp t="s">
        <v>912827U42</v>
        <stp/>
        <stp>##V3_BDPV12</stp>
        <stp>912827U4 Govt</stp>
        <stp>ID_CUSIP</stp>
        <stp>[TREASURY.xlsx]Sheet1!R1403C19</stp>
        <tr r="S1403" s="1"/>
      </tp>
      <tp t="s">
        <v>912827U75</v>
        <stp/>
        <stp>##V3_BDPV12</stp>
        <stp>912827U7 Govt</stp>
        <stp>ID_CUSIP</stp>
        <stp>[TREASURY.xlsx]Sheet1!R1511C19</stp>
        <tr r="S1511" s="1"/>
      </tp>
      <tp t="s">
        <v>T 2 7/8 04/30/25</v>
        <stp/>
        <stp>##V3_BDPV12</stp>
        <stp>9128284M Govt</stp>
        <stp>SECURITY_NAME</stp>
        <stp>[TREASURY.xlsx]Sheet1!R227C16</stp>
        <tr r="P227" s="1"/>
      </tp>
      <tp t="s">
        <v>T 2 3/4 04/30/23</v>
        <stp/>
        <stp>##V3_BDPV12</stp>
        <stp>9128284L Govt</stp>
        <stp>SECURITY_NAME</stp>
        <stp>[TREASURY.xlsx]Sheet1!R299C16</stp>
        <tr r="P299" s="1"/>
      </tp>
      <tp t="s">
        <v>T</v>
        <stp/>
        <stp>##V3_BDPV12</stp>
        <stp>912828M8 Govt</stp>
        <stp>TICKER</stp>
        <stp>[TREASURY.xlsx]Sheet1!R150C2</stp>
        <tr r="B150" s="1"/>
      </tp>
      <tp t="s">
        <v>T</v>
        <stp/>
        <stp>##V3_BDPV12</stp>
        <stp>912828N8 Govt</stp>
        <stp>TICKER</stp>
        <stp>[TREASURY.xlsx]Sheet1!R343C2</stp>
        <tr r="B343" s="1"/>
      </tp>
      <tp t="s">
        <v>T</v>
        <stp/>
        <stp>##V3_BDPV12</stp>
        <stp>912828D9 Govt</stp>
        <stp>TICKER</stp>
        <stp>[TREASURY.xlsx]Sheet1!R839C2</stp>
        <tr r="B839" s="1"/>
      </tp>
      <tp t="s">
        <v>T</v>
        <stp/>
        <stp>##V3_BDPV12</stp>
        <stp>912828H7 Govt</stp>
        <stp>TICKER</stp>
        <stp>[TREASURY.xlsx]Sheet1!R605C2</stp>
        <tr r="B605" s="1"/>
      </tp>
      <tp t="s">
        <v>T</v>
        <stp/>
        <stp>##V3_BDPV12</stp>
        <stp>912828N4 Govt</stp>
        <stp>TICKER</stp>
        <stp>[TREASURY.xlsx]Sheet1!R463C2</stp>
        <tr r="B463" s="1"/>
      </tp>
      <tp t="s">
        <v>T</v>
        <stp/>
        <stp>##V3_BDPV12</stp>
        <stp>912828L5 Govt</stp>
        <stp>TICKER</stp>
        <stp>[TREASURY.xlsx]Sheet1!R161C2</stp>
        <tr r="B161" s="1"/>
      </tp>
      <tp t="s">
        <v>T</v>
        <stp/>
        <stp>##V3_BDPV12</stp>
        <stp>912827H5 Govt</stp>
        <stp>TICKER</stp>
        <stp>[TREASURY.xlsx]Sheet1!R705C2</stp>
        <tr r="B705" s="1"/>
      </tp>
      <tp t="s">
        <v>T</v>
        <stp/>
        <stp>##V3_BDPV12</stp>
        <stp>912828D2 Govt</stp>
        <stp>TICKER</stp>
        <stp>[TREASURY.xlsx]Sheet1!R619C2</stp>
        <tr r="B619" s="1"/>
      </tp>
      <tp t="s">
        <v>T</v>
        <stp/>
        <stp>##V3_BDPV12</stp>
        <stp>912827J3 Govt</stp>
        <stp>TICKER</stp>
        <stp>[TREASURY.xlsx]Sheet1!R707C2</stp>
        <tr r="B707" s="1"/>
      </tp>
      <tp t="s">
        <v>91282CAG6</v>
        <stp/>
        <stp>##V3_BDPV12</stp>
        <stp>91282CAG Govt</stp>
        <stp>ID_CUSIP</stp>
        <stp>[TREASURY.xlsx]Sheet1!R133C19</stp>
        <tr r="S133" s="1"/>
      </tp>
      <tp t="s">
        <v>91282CAD3</v>
        <stp/>
        <stp>##V3_BDPV12</stp>
        <stp>91282CAD Govt</stp>
        <stp>ID_CUSIP</stp>
        <stp>[TREASURY.xlsx]Sheet1!R132C19</stp>
        <tr r="S132" s="1"/>
      </tp>
      <tp t="s">
        <v>91282CAC5</v>
        <stp/>
        <stp>##V3_BDPV12</stp>
        <stp>91282CAC Govt</stp>
        <stp>ID_CUSIP</stp>
        <stp>[TREASURY.xlsx]Sheet1!R120C19</stp>
        <tr r="S120" s="1"/>
      </tp>
      <tp t="s">
        <v>91282CAH4</v>
        <stp/>
        <stp>##V3_BDPV12</stp>
        <stp>91282CAH Govt</stp>
        <stp>ID_CUSIP</stp>
        <stp>[TREASURY.xlsx]Sheet1!R167C19</stp>
        <tr r="S167" s="1"/>
      </tp>
      <tp t="s">
        <v>91282CAF8</v>
        <stp/>
        <stp>##V3_BDPV12</stp>
        <stp>91282CAF Govt</stp>
        <stp>ID_CUSIP</stp>
        <stp>[TREASURY.xlsx]Sheet1!R195C19</stp>
        <tr r="S195" s="1"/>
      </tp>
      <tp t="s">
        <v>91282CAL5</v>
        <stp/>
        <stp>##V3_BDPV12</stp>
        <stp>91282CAL Govt</stp>
        <stp>ID_CUSIP</stp>
        <stp>[TREASURY.xlsx]Sheet1!R142C19</stp>
        <tr r="S142" s="1"/>
      </tp>
      <tp t="s">
        <v>91282CAU5</v>
        <stp/>
        <stp>##V3_BDPV12</stp>
        <stp>91282CAU Govt</stp>
        <stp>ID_CUSIP</stp>
        <stp>[TREASURY.xlsx]Sheet1!R102C19</stp>
        <tr r="S102" s="1"/>
      </tp>
      <tp t="s">
        <v>91282CAP6</v>
        <stp/>
        <stp>##V3_BDPV12</stp>
        <stp>91282CAP Govt</stp>
        <stp>ID_CUSIP</stp>
        <stp>[TREASURY.xlsx]Sheet1!R151C19</stp>
        <tr r="S151" s="1"/>
      </tp>
      <tp t="s">
        <v>91282CAW1</v>
        <stp/>
        <stp>##V3_BDPV12</stp>
        <stp>91282CAW Govt</stp>
        <stp>ID_CUSIP</stp>
        <stp>[TREASURY.xlsx]Sheet1!R109C19</stp>
        <tr r="S109" s="1"/>
      </tp>
      <tp t="s">
        <v>91282CAY7</v>
        <stp/>
        <stp>##V3_BDPV12</stp>
        <stp>91282CAY Govt</stp>
        <stp>ID_CUSIP</stp>
        <stp>[TREASURY.xlsx]Sheet1!R144C19</stp>
        <tr r="S144" s="1"/>
      </tp>
      <tp t="s">
        <v>91282CBE0</v>
        <stp/>
        <stp>##V3_BDPV12</stp>
        <stp>91282CBE Govt</stp>
        <stp>ID_CUSIP</stp>
        <stp>[TREASURY.xlsx]Sheet1!R115C19</stp>
        <tr r="S115" s="1"/>
      </tp>
      <tp t="s">
        <v>91282CBB6</v>
        <stp/>
        <stp>##V3_BDPV12</stp>
        <stp>91282CBB Govt</stp>
        <stp>ID_CUSIP</stp>
        <stp>[TREASURY.xlsx]Sheet1!R114C19</stp>
        <tr r="S114" s="1"/>
      </tp>
      <tp t="s">
        <v>91282CBM2</v>
        <stp/>
        <stp>##V3_BDPV12</stp>
        <stp>91282CBM Govt</stp>
        <stp>ID_CUSIP</stp>
        <stp>[TREASURY.xlsx]Sheet1!R107C19</stp>
        <tr r="S107" s="1"/>
      </tp>
      <tp t="s">
        <v>91282CBJ9</v>
        <stp/>
        <stp>##V3_BDPV12</stp>
        <stp>91282CBJ Govt</stp>
        <stp>ID_CUSIP</stp>
        <stp>[TREASURY.xlsx]Sheet1!R123C19</stp>
        <tr r="S123" s="1"/>
      </tp>
      <tp t="s">
        <v>91282CBZ3</v>
        <stp/>
        <stp>##V3_BDPV12</stp>
        <stp>91282CBZ Govt</stp>
        <stp>ID_CUSIP</stp>
        <stp>[TREASURY.xlsx]Sheet1!R126C19</stp>
        <tr r="S126" s="1"/>
      </tp>
      <tp t="s">
        <v>T</v>
        <stp/>
        <stp>##V3_BDPV12</stp>
        <stp>912810DZ Govt</stp>
        <stp>TICKER</stp>
        <stp>[TREASURY.xlsx]Sheet1!R699C2</stp>
        <tr r="B699" s="1"/>
      </tp>
      <tp t="s">
        <v>T</v>
        <stp/>
        <stp>##V3_BDPV12</stp>
        <stp>912810EY Govt</stp>
        <stp>TICKER</stp>
        <stp>[TREASURY.xlsx]Sheet1!R328C2</stp>
        <tr r="B328" s="1"/>
      </tp>
      <tp t="s">
        <v>T</v>
        <stp/>
        <stp>##V3_BDPV12</stp>
        <stp>912828KV Govt</stp>
        <stp>TICKER</stp>
        <stp>[TREASURY.xlsx]Sheet1!R616C2</stp>
        <tr r="B616" s="1"/>
      </tp>
      <tp t="s">
        <v>T</v>
        <stp/>
        <stp>##V3_BDPV12</stp>
        <stp>912810DW Govt</stp>
        <stp>TICKER</stp>
        <stp>[TREASURY.xlsx]Sheet1!R609C2</stp>
        <tr r="B609" s="1"/>
      </tp>
      <tp t="s">
        <v>T</v>
        <stp/>
        <stp>##V3_BDPV12</stp>
        <stp>912828KR Govt</stp>
        <stp>TICKER</stp>
        <stp>[TREASURY.xlsx]Sheet1!R676C2</stp>
        <tr r="B676" s="1"/>
      </tp>
      <tp t="s">
        <v>NORMAL</v>
        <stp/>
        <stp>##V3_BDPV12</stp>
        <stp>912810RX Govt</stp>
        <stp>MTY_TYP</stp>
        <stp>[TREASURY.xlsx]Sheet1!R197C6</stp>
        <tr r="F197" s="1"/>
      </tp>
      <tp t="s">
        <v>NORMAL</v>
        <stp/>
        <stp>##V3_BDPV12</stp>
        <stp>912827VY Govt</stp>
        <stp>MTY_TYP</stp>
        <stp>[TREASURY.xlsx]Sheet1!R766C6</stp>
        <tr r="F766" s="1"/>
      </tp>
      <tp t="s">
        <v>NORMAL</v>
        <stp/>
        <stp>##V3_BDPV12</stp>
        <stp>912828TZ Govt</stp>
        <stp>MTY_TYP</stp>
        <stp>[TREASURY.xlsx]Sheet1!R875C6</stp>
        <tr r="F875" s="1"/>
      </tp>
      <tp t="s">
        <v>NORMAL</v>
        <stp/>
        <stp>##V3_BDPV12</stp>
        <stp>912828UZ Govt</stp>
        <stp>MTY_TYP</stp>
        <stp>[TREASURY.xlsx]Sheet1!R445C6</stp>
        <tr r="F445" s="1"/>
      </tp>
      <tp t="s">
        <v>NORMAL</v>
        <stp/>
        <stp>##V3_BDPV12</stp>
        <stp>912828TX Govt</stp>
        <stp>MTY_TYP</stp>
        <stp>[TREASURY.xlsx]Sheet1!R467C6</stp>
        <tr r="F467" s="1"/>
      </tp>
      <tp t="s">
        <v>NORMAL</v>
        <stp/>
        <stp>##V3_BDPV12</stp>
        <stp>912828AZ Govt</stp>
        <stp>MTY_TYP</stp>
        <stp>[TREASURY.xlsx]Sheet1!R415C6</stp>
        <tr r="F415" s="1"/>
      </tp>
      <tp t="s">
        <v>NORMAL</v>
        <stp/>
        <stp>##V3_BDPV12</stp>
        <stp>912828PZ Govt</stp>
        <stp>MTY_TYP</stp>
        <stp>[TREASURY.xlsx]Sheet1!R575C6</stp>
        <tr r="F575" s="1"/>
      </tp>
      <tp t="s">
        <v>NORMAL</v>
        <stp/>
        <stp>##V3_BDPV12</stp>
        <stp>912828LZ Govt</stp>
        <stp>MTY_TYP</stp>
        <stp>[TREASURY.xlsx]Sheet1!R515C6</stp>
        <tr r="F515" s="1"/>
      </tp>
      <tp t="s">
        <v>NORMAL</v>
        <stp/>
        <stp>##V3_BDPV12</stp>
        <stp>912828BY Govt</stp>
        <stp>MTY_TYP</stp>
        <stp>[TREASURY.xlsx]Sheet1!R506C6</stp>
        <tr r="F506" s="1"/>
      </tp>
      <tp t="s">
        <v>NORMAL</v>
        <stp/>
        <stp>##V3_BDPV12</stp>
        <stp>912828VZ Govt</stp>
        <stp>MTY_TYP</stp>
        <stp>[TREASURY.xlsx]Sheet1!R695C6</stp>
        <tr r="F695" s="1"/>
      </tp>
      <tp t="s">
        <v>NORMAL</v>
        <stp/>
        <stp>##V3_BDPV12</stp>
        <stp>912827VX Govt</stp>
        <stp>MTY_TYP</stp>
        <stp>[TREASURY.xlsx]Sheet1!R927C6</stp>
        <tr r="F927" s="1"/>
      </tp>
      <tp t="s">
        <v>NORMAL</v>
        <stp/>
        <stp>##V3_BDPV12</stp>
        <stp>9128285V Govt</stp>
        <stp>MTY_TYP</stp>
        <stp>[TREASURY.xlsx]Sheet1!R179C6</stp>
        <tr r="F179" s="1"/>
      </tp>
      <tp t="s">
        <v>NORMAL</v>
        <stp/>
        <stp>##V3_BDPV12</stp>
        <stp>912828ZV Govt</stp>
        <stp>MTY_TYP</stp>
        <stp>[TREASURY.xlsx]Sheet1!R159C6</stp>
        <tr r="F159" s="1"/>
      </tp>
      <tp t="s">
        <v>NORMAL</v>
        <stp/>
        <stp>##V3_BDPV12</stp>
        <stp>912828YV Govt</stp>
        <stp>MTY_TYP</stp>
        <stp>[TREASURY.xlsx]Sheet1!R139C6</stp>
        <tr r="F139" s="1"/>
      </tp>
      <tp t="s">
        <v>NORMAL</v>
        <stp/>
        <stp>##V3_BDPV12</stp>
        <stp>9128284Y Govt</stp>
        <stp>MTY_TYP</stp>
        <stp>[TREASURY.xlsx]Sheet1!R376C6</stp>
        <tr r="F376" s="1"/>
      </tp>
      <tp t="s">
        <v>NORMAL</v>
        <stp/>
        <stp>##V3_BDPV12</stp>
        <stp>912828EX Govt</stp>
        <stp>MTY_TYP</stp>
        <stp>[TREASURY.xlsx]Sheet1!R397C6</stp>
        <tr r="F397" s="1"/>
      </tp>
      <tp t="s">
        <v>T</v>
        <stp/>
        <stp>##V3_BDPV12</stp>
        <stp>912827NP Govt</stp>
        <stp>TICKER</stp>
        <stp>[TREASURY.xlsx]Sheet1!R733C2</stp>
        <tr r="B733" s="1"/>
      </tp>
      <tp t="s">
        <v>T</v>
        <stp/>
        <stp>##V3_BDPV12</stp>
        <stp>912810EQ Govt</stp>
        <stp>TICKER</stp>
        <stp>[TREASURY.xlsx]Sheet1!R298C2</stp>
        <tr r="B298" s="1"/>
      </tp>
      <tp t="s">
        <v>T</v>
        <stp/>
        <stp>##V3_BDPV12</stp>
        <stp>912827LL Govt</stp>
        <stp>TICKER</stp>
        <stp>[TREASURY.xlsx]Sheet1!R891C2</stp>
        <tr r="B891" s="1"/>
      </tp>
      <tp t="s">
        <v>T</v>
        <stp/>
        <stp>##V3_BDPV12</stp>
        <stp>912828NL Govt</stp>
        <stp>TICKER</stp>
        <stp>[TREASURY.xlsx]Sheet1!R863C2</stp>
        <tr r="B863" s="1"/>
      </tp>
      <tp t="s">
        <v>T</v>
        <stp/>
        <stp>##V3_BDPV12</stp>
        <stp>912810DJ Govt</stp>
        <stp>TICKER</stp>
        <stp>[TREASURY.xlsx]Sheet1!R399C2</stp>
        <tr r="B399" s="1"/>
      </tp>
      <tp t="s">
        <v>T</v>
        <stp/>
        <stp>##V3_BDPV12</stp>
        <stp>912828MJ Govt</stp>
        <stp>TICKER</stp>
        <stp>[TREASURY.xlsx]Sheet1!R820C2</stp>
        <tr r="B820" s="1"/>
      </tp>
      <tp t="s">
        <v>T</v>
        <stp/>
        <stp>##V3_BDPV12</stp>
        <stp>912828HK Govt</stp>
        <stp>TICKER</stp>
        <stp>[TREASURY.xlsx]Sheet1!R525C2</stp>
        <tr r="B525" s="1"/>
      </tp>
      <tp t="s">
        <v>T</v>
        <stp/>
        <stp>##V3_BDPV12</stp>
        <stp>912828JF Govt</stp>
        <stp>TICKER</stp>
        <stp>[TREASURY.xlsx]Sheet1!R537C2</stp>
        <tr r="B537" s="1"/>
      </tp>
      <tp t="s">
        <v>T</v>
        <stp/>
        <stp>##V3_BDPV12</stp>
        <stp>912828JG Govt</stp>
        <stp>TICKER</stp>
        <stp>[TREASURY.xlsx]Sheet1!R417C2</stp>
        <tr r="B417" s="1"/>
      </tp>
      <tp t="s">
        <v>T</v>
        <stp/>
        <stp>##V3_BDPV12</stp>
        <stp>912828MG Govt</stp>
        <stp>TICKER</stp>
        <stp>[TREASURY.xlsx]Sheet1!R860C2</stp>
        <tr r="B860" s="1"/>
      </tp>
      <tp t="s">
        <v>T</v>
        <stp/>
        <stp>##V3_BDPV12</stp>
        <stp>912810DA Govt</stp>
        <stp>TICKER</stp>
        <stp>[TREASURY.xlsx]Sheet1!R529C2</stp>
        <tr r="B529" s="1"/>
      </tp>
      <tp t="s">
        <v>T</v>
        <stp/>
        <stp>##V3_BDPV12</stp>
        <stp>912827MA Govt</stp>
        <stp>TICKER</stp>
        <stp>[TREASURY.xlsx]Sheet1!R720C2</stp>
        <tr r="B720" s="1"/>
      </tp>
      <tp t="s">
        <v>T</v>
        <stp/>
        <stp>##V3_BDPV12</stp>
        <stp>912828KA Govt</stp>
        <stp>TICKER</stp>
        <stp>[TREASURY.xlsx]Sheet1!R856C2</stp>
        <tr r="B856" s="1"/>
      </tp>
      <tp t="s">
        <v>912828UL2</v>
        <stp/>
        <stp>##V3_BDPV12</stp>
        <stp>912828UL Govt</stp>
        <stp>ID_CUSIP</stp>
        <stp>[TREASURY.xlsx]Sheet1!R1000C19</stp>
        <tr r="S1000" s="1"/>
      </tp>
      <tp t="s">
        <v>T</v>
        <stp/>
        <stp>##V3_BDPV12</stp>
        <stp>912828SK Govt</stp>
        <stp>TICKER</stp>
        <stp>[TREASURY.xlsx]Sheet1!R1132C2</stp>
        <tr r="B1132" s="1"/>
      </tp>
      <tp t="s">
        <v>T</v>
        <stp/>
        <stp>##V3_BDPV12</stp>
        <stp>912827ML Govt</stp>
        <stp>TICKER</stp>
        <stp>[TREASURY.xlsx]Sheet1!R1325C2</stp>
        <tr r="B1325" s="1"/>
      </tp>
      <tp t="s">
        <v>T</v>
        <stp/>
        <stp>##V3_BDPV12</stp>
        <stp>912827YH Govt</stp>
        <stp>TICKER</stp>
        <stp>[TREASURY.xlsx]Sheet1!R1221C2</stp>
        <tr r="B1221" s="1"/>
      </tp>
      <tp t="s">
        <v>T</v>
        <stp/>
        <stp>##V3_BDPV12</stp>
        <stp>912827YK Govt</stp>
        <stp>TICKER</stp>
        <stp>[TREASURY.xlsx]Sheet1!R1222C2</stp>
        <tr r="B1222" s="1"/>
      </tp>
      <tp t="s">
        <v>T</v>
        <stp/>
        <stp>##V3_BDPV12</stp>
        <stp>912827VJ Govt</stp>
        <stp>TICKER</stp>
        <stp>[TREASURY.xlsx]Sheet1!R1203C2</stp>
        <tr r="B1203" s="1"/>
      </tp>
      <tp t="s">
        <v>T</v>
        <stp/>
        <stp>##V3_BDPV12</stp>
        <stp>912827PM Govt</stp>
        <stp>TICKER</stp>
        <stp>[TREASURY.xlsx]Sheet1!R1174C2</stp>
        <tr r="B1174" s="1"/>
      </tp>
      <tp t="s">
        <v>T</v>
        <stp/>
        <stp>##V3_BDPV12</stp>
        <stp>912827LK Govt</stp>
        <stp>TICKER</stp>
        <stp>[TREASURY.xlsx]Sheet1!R1042C2</stp>
        <tr r="B1042" s="1"/>
      </tp>
      <tp t="s">
        <v>T</v>
        <stp/>
        <stp>##V3_BDPV12</stp>
        <stp>912827TJ Govt</stp>
        <stp>TICKER</stp>
        <stp>[TREASURY.xlsx]Sheet1!R1073C2</stp>
        <tr r="B1073" s="1"/>
      </tp>
      <tp t="s">
        <v>T</v>
        <stp/>
        <stp>##V3_BDPV12</stp>
        <stp>912827YL Govt</stp>
        <stp>TICKER</stp>
        <stp>[TREASURY.xlsx]Sheet1!R1605C2</stp>
        <tr r="B1605" s="1"/>
      </tp>
      <tp t="s">
        <v>912827UL4</v>
        <stp/>
        <stp>##V3_BDPV12</stp>
        <stp>912827UL Govt</stp>
        <stp>ID_CUSIP</stp>
        <stp>[TREASURY.xlsx]Sheet1!R1201C19</stp>
        <tr r="S1201" s="1"/>
      </tp>
      <tp t="s">
        <v>USD</v>
        <stp/>
        <stp>##V3_BDPV12</stp>
        <stp>912828DQ Govt</stp>
        <stp>CRNCY</stp>
        <stp>[TREASURY.xlsx]Sheet1!R1112C7</stp>
        <tr r="G1112" s="1"/>
      </tp>
      <tp t="s">
        <v>912827UH3</v>
        <stp/>
        <stp>##V3_BDPV12</stp>
        <stp>912827UH Govt</stp>
        <stp>ID_CUSIP</stp>
        <stp>[TREASURY.xlsx]Sheet1!R1078C19</stp>
        <tr r="S1078" s="1"/>
      </tp>
      <tp t="s">
        <v>1/17/2006</v>
        <stp/>
        <stp>##V3_BDPV12</stp>
        <stp>912828ES Govt</stp>
        <stp>ISSUE_DT</stp>
        <stp>[TREASURY.xlsx]Sheet1!R1116C15</stp>
        <tr r="O1116" s="1"/>
      </tp>
      <tp t="s">
        <v>912827UK6</v>
        <stp/>
        <stp>##V3_BDPV12</stp>
        <stp>912827UK Govt</stp>
        <stp>ID_CUSIP</stp>
        <stp>[TREASURY.xlsx]Sheet1!R1200C19</stp>
        <tr r="S1200" s="1"/>
      </tp>
      <tp t="s">
        <v>912827UM2</v>
        <stp/>
        <stp>##V3_BDPV12</stp>
        <stp>912827UM Govt</stp>
        <stp>ID_CUSIP</stp>
        <stp>[TREASURY.xlsx]Sheet1!R1405C19</stp>
        <tr r="S1405" s="1"/>
      </tp>
      <tp t="s">
        <v>912828UK4</v>
        <stp/>
        <stp>##V3_BDPV12</stp>
        <stp>912828UK Govt</stp>
        <stp>ID_CUSIP</stp>
        <stp>[TREASURY.xlsx]Sheet1!R1136C19</stp>
        <tr r="S1136" s="1"/>
      </tp>
      <tp t="s">
        <v>912827UN0</v>
        <stp/>
        <stp>##V3_BDPV12</stp>
        <stp>912827UN Govt</stp>
        <stp>ID_CUSIP</stp>
        <stp>[TREASURY.xlsx]Sheet1!R1406C19</stp>
        <tr r="S1406" s="1"/>
      </tp>
      <tp t="s">
        <v>USD</v>
        <stp/>
        <stp>##V3_BDPV12</stp>
        <stp>912828DT Govt</stp>
        <stp>CRNCY</stp>
        <stp>[TREASURY.xlsx]Sheet1!R1272C7</stp>
        <tr r="G1272" s="1"/>
      </tp>
      <tp t="s">
        <v>USD</v>
        <stp/>
        <stp>##V3_BDPV12</stp>
        <stp>912810DT Govt</stp>
        <stp>CRNCY</stp>
        <stp>[TREASURY.xlsx]Sheet1!R1622C7</stp>
        <tr r="G1622" s="1"/>
      </tp>
      <tp t="s">
        <v>USD</v>
        <stp/>
        <stp>##V3_BDPV12</stp>
        <stp>912810CU Govt</stp>
        <stp>CRNCY</stp>
        <stp>[TREASURY.xlsx]Sheet1!R1345C7</stp>
        <tr r="G1345" s="1"/>
      </tp>
      <tp t="s">
        <v>USD</v>
        <stp/>
        <stp>##V3_BDPV12</stp>
        <stp>912828GZ Govt</stp>
        <stp>CRNCY</stp>
        <stp>[TREASURY.xlsx]Sheet1!R1121C7</stp>
        <tr r="G1121" s="1"/>
      </tp>
      <tp t="s">
        <v>USD</v>
        <stp/>
        <stp>##V3_BDPV12</stp>
        <stp>912810BZ Govt</stp>
        <stp>CRNCY</stp>
        <stp>[TREASURY.xlsx]Sheet1!R1514C7</stp>
        <tr r="G1514" s="1"/>
      </tp>
      <tp t="s">
        <v>912827UE0</v>
        <stp/>
        <stp>##V3_BDPV12</stp>
        <stp>912827UE Govt</stp>
        <stp>ID_CUSIP</stp>
        <stp>[TREASURY.xlsx]Sheet1!R1077C19</stp>
        <tr r="S1077" s="1"/>
      </tp>
      <tp t="s">
        <v>912827UG5</v>
        <stp/>
        <stp>##V3_BDPV12</stp>
        <stp>912827UG Govt</stp>
        <stp>ID_CUSIP</stp>
        <stp>[TREASURY.xlsx]Sheet1!R1199C19</stp>
        <tr r="S1199" s="1"/>
      </tp>
      <tp t="s">
        <v>912828UG3</v>
        <stp/>
        <stp>##V3_BDPV12</stp>
        <stp>912828UG Govt</stp>
        <stp>ID_CUSIP</stp>
        <stp>[TREASURY.xlsx]Sheet1!R1135C19</stp>
        <tr r="S1135" s="1"/>
      </tp>
      <tp t="s">
        <v>USD</v>
        <stp/>
        <stp>##V3_BDPV12</stp>
        <stp>912828NY Govt</stp>
        <stp>CRNCY</stp>
        <stp>[TREASURY.xlsx]Sheet1!R1258C7</stp>
        <tr r="G1258" s="1"/>
      </tp>
      <tp t="s">
        <v>2/28/2006</v>
        <stp/>
        <stp>##V3_BDPV12</stp>
        <stp>912828EY Govt</stp>
        <stp>ISSUE_DT</stp>
        <stp>[TREASURY.xlsx]Sheet1!R1239C15</stp>
        <tr r="O1239" s="1"/>
      </tp>
      <tp t="s">
        <v>912827UD2</v>
        <stp/>
        <stp>##V3_BDPV12</stp>
        <stp>912827UD Govt</stp>
        <stp>ID_CUSIP</stp>
        <stp>[TREASURY.xlsx]Sheet1!R1512C19</stp>
        <tr r="S1512" s="1"/>
      </tp>
      <tp t="s">
        <v>912827UF7</v>
        <stp/>
        <stp>##V3_BDPV12</stp>
        <stp>912827UF Govt</stp>
        <stp>ID_CUSIP</stp>
        <stp>[TREASURY.xlsx]Sheet1!R1404C19</stp>
        <tr r="S1404" s="1"/>
      </tp>
      <tp t="s">
        <v>912828UC2</v>
        <stp/>
        <stp>##V3_BDPV12</stp>
        <stp>912828UC Govt</stp>
        <stp>ID_CUSIP</stp>
        <stp>[TREASURY.xlsx]Sheet1!R1144C19</stp>
        <tr r="S1144" s="1"/>
      </tp>
      <tp t="s">
        <v>912827UY6</v>
        <stp/>
        <stp>##V3_BDPV12</stp>
        <stp>912827UY Govt</stp>
        <stp>ID_CUSIP</stp>
        <stp>[TREASURY.xlsx]Sheet1!R1590C19</stp>
        <tr r="S1590" s="1"/>
      </tp>
      <tp t="s">
        <v>USD</v>
        <stp/>
        <stp>##V3_BDPV12</stp>
        <stp>912828EB Govt</stp>
        <stp>CRNCY</stp>
        <stp>[TREASURY.xlsx]Sheet1!R1113C7</stp>
        <tr r="G1113" s="1"/>
      </tp>
      <tp t="s">
        <v>5/16/1988</v>
        <stp/>
        <stp>##V3_BDPV12</stp>
        <stp>912810EA Govt</stp>
        <stp>ISSUE_DT</stp>
        <stp>[TREASURY.xlsx]Sheet1!R1445C15</stp>
        <tr r="O1445" s="1"/>
      </tp>
      <tp t="s">
        <v>#N/A Field Not Applicable</v>
        <stp/>
        <stp>##V3_BDPV12</stp>
        <stp>912827VB Govt</stp>
        <stp>IDX_RATIO</stp>
        <stp>[TREASURY.xlsx]Sheet1!R1411C20</stp>
        <tr r="T1411" s="1"/>
      </tp>
      <tp t="s">
        <v>912827UZ3</v>
        <stp/>
        <stp>##V3_BDPV12</stp>
        <stp>912827UZ Govt</stp>
        <stp>ID_CUSIP</stp>
        <stp>[TREASURY.xlsx]Sheet1!R1409C19</stp>
        <tr r="S1409" s="1"/>
      </tp>
      <tp t="s">
        <v>#N/A Field Not Applicable</v>
        <stp/>
        <stp>##V3_BDPV12</stp>
        <stp>912828GB Govt</stp>
        <stp>IDX_RATIO</stp>
        <stp>[TREASURY.xlsx]Sheet1!R1433C20</stp>
        <tr r="T1433" s="1"/>
      </tp>
      <tp t="s">
        <v>#N/A Field Not Applicable</v>
        <stp/>
        <stp>##V3_BDPV12</stp>
        <stp>912827QB Govt</stp>
        <stp>IDX_RATIO</stp>
        <stp>[TREASURY.xlsx]Sheet1!R1574C20</stp>
        <tr r="T1574" s="1"/>
      </tp>
      <tp t="s">
        <v>8/15/1990</v>
        <stp/>
        <stp>##V3_BDPV12</stp>
        <stp>912810EG Govt</stp>
        <stp>ISSUE_DT</stp>
        <stp>[TREASURY.xlsx]Sheet1!R1349C15</stp>
        <tr r="O1349" s="1"/>
      </tp>
      <tp t="s">
        <v>#N/A Field Not Applicable</v>
        <stp/>
        <stp>##V3_BDPV12</stp>
        <stp>912810EB Govt</stp>
        <stp>IDX_RATIO</stp>
        <stp>[TREASURY.xlsx]Sheet1!R1624C20</stp>
        <tr r="T1624" s="1"/>
      </tp>
      <tp t="s">
        <v>11/22/1988</v>
        <stp/>
        <stp>##V3_BDPV12</stp>
        <stp>912810EB Govt</stp>
        <stp>ISSUE_DT</stp>
        <stp>[TREASURY.xlsx]Sheet1!R1624C15</stp>
        <tr r="O1624" s="1"/>
      </tp>
      <tp t="s">
        <v>#N/A Field Not Applicable</v>
        <stp/>
        <stp>##V3_BDPV12</stp>
        <stp>912827XB Govt</stp>
        <stp>IDX_RATIO</stp>
        <stp>[TREASURY.xlsx]Sheet1!R1595C20</stp>
        <tr r="T1595" s="1"/>
      </tp>
      <tp t="s">
        <v>#N/A Field Not Applicable</v>
        <stp/>
        <stp>##V3_BDPV12</stp>
        <stp>912828PB Govt</stp>
        <stp>IDX_RATIO</stp>
        <stp>[TREASURY.xlsx]Sheet1!R1297C20</stp>
        <tr r="T1297" s="1"/>
      </tp>
      <tp t="s">
        <v>912827UX8</v>
        <stp/>
        <stp>##V3_BDPV12</stp>
        <stp>912827UX Govt</stp>
        <stp>ID_CUSIP</stp>
        <stp>[TREASURY.xlsx]Sheet1!R1081C19</stp>
        <tr r="S1081" s="1"/>
      </tp>
      <tp t="s">
        <v>#N/A Field Not Applicable</v>
        <stp/>
        <stp>##V3_BDPV12</stp>
        <stp>912827ZB Govt</stp>
        <stp>IDX_RATIO</stp>
        <stp>[TREASURY.xlsx]Sheet1!R1228C20</stp>
        <tr r="T1228" s="1"/>
      </tp>
      <tp t="s">
        <v>8/1/2005</v>
        <stp/>
        <stp>##V3_BDPV12</stp>
        <stp>912828EB Govt</stp>
        <stp>ISSUE_DT</stp>
        <stp>[TREASURY.xlsx]Sheet1!R1113C15</stp>
        <tr r="O1113" s="1"/>
      </tp>
      <tp t="s">
        <v>912828UY4</v>
        <stp/>
        <stp>##V3_BDPV12</stp>
        <stp>912828UY Govt</stp>
        <stp>ID_CUSIP</stp>
        <stp>[TREASURY.xlsx]Sheet1!R1138C19</stp>
        <tr r="S1138" s="1"/>
      </tp>
      <tp t="s">
        <v>USD</v>
        <stp/>
        <stp>##V3_BDPV12</stp>
        <stp>912810DF Govt</stp>
        <stp>CRNCY</stp>
        <stp>[TREASURY.xlsx]Sheet1!R1312C7</stp>
        <tr r="G1312" s="1"/>
      </tp>
      <tp t="s">
        <v>USD</v>
        <stp/>
        <stp>##V3_BDPV12</stp>
        <stp>91282CCU Govt</stp>
        <stp>CRNCY</stp>
        <stp>[TREASURY.xlsx]Sheet1!R6C7</stp>
        <tr r="G6" s="1"/>
      </tp>
      <tp t="s">
        <v>USD</v>
        <stp/>
        <stp>##V3_BDPV12</stp>
        <stp>91282CCW Govt</stp>
        <stp>CRNCY</stp>
        <stp>[TREASURY.xlsx]Sheet1!R4C7</stp>
        <tr r="G4" s="1"/>
      </tp>
      <tp t="s">
        <v>#N/A Field Not Applicable</v>
        <stp/>
        <stp>##V3_BDPV12</stp>
        <stp>9128274B Govt</stp>
        <stp>IDX_RATIO</stp>
        <stp>[TREASURY.xlsx]Sheet1!R1362C20</stp>
        <tr r="T1362" s="1"/>
      </tp>
      <tp t="s">
        <v>#N/A Field Not Applicable</v>
        <stp/>
        <stp>##V3_BDPV12</stp>
        <stp>9128273B Govt</stp>
        <stp>IDX_RATIO</stp>
        <stp>[TREASURY.xlsx]Sheet1!R1353C20</stp>
        <tr r="T1353" s="1"/>
      </tp>
      <tp t="s">
        <v>8/31/2005</v>
        <stp/>
        <stp>##V3_BDPV12</stp>
        <stp>912828EF Govt</stp>
        <stp>ISSUE_DT</stp>
        <stp>[TREASURY.xlsx]Sheet1!R1431C15</stp>
        <tr r="O1431" s="1"/>
      </tp>
      <tp t="s">
        <v>#N/A Field Not Applicable</v>
        <stp/>
        <stp>##V3_BDPV12</stp>
        <stp>912827LB Govt</stp>
        <stp>IDX_RATIO</stp>
        <stp>[TREASURY.xlsx]Sheet1!R1320C20</stp>
        <tr r="T1320" s="1"/>
      </tp>
      <tp t="s">
        <v>#N/A Field Not Applicable</v>
        <stp/>
        <stp>##V3_BDPV12</stp>
        <stp>912827NB Govt</stp>
        <stp>IDX_RATIO</stp>
        <stp>[TREASURY.xlsx]Sheet1!R1383C20</stp>
        <tr r="T1383" s="1"/>
      </tp>
      <tp t="s">
        <v>#N/A Field Not Applicable</v>
        <stp/>
        <stp>##V3_BDPV12</stp>
        <stp>912827PB Govt</stp>
        <stp>IDX_RATIO</stp>
        <stp>[TREASURY.xlsx]Sheet1!R1388C20</stp>
        <tr r="T1388" s="1"/>
      </tp>
      <tp t="s">
        <v>#N/A Field Not Applicable</v>
        <stp/>
        <stp>##V3_BDPV12</stp>
        <stp>912827TB Govt</stp>
        <stp>IDX_RATIO</stp>
        <stp>[TREASURY.xlsx]Sheet1!R1072C20</stp>
        <tr r="T1072" s="1"/>
      </tp>
      <tp t="s">
        <v>#N/A Field Not Applicable</v>
        <stp/>
        <stp>##V3_BDPV12</stp>
        <stp>912810DB Govt</stp>
        <stp>IDX_RATIO</stp>
        <stp>[TREASURY.xlsx]Sheet1!R1346C20</stp>
        <tr r="T1346" s="1"/>
      </tp>
      <tp t="s">
        <v>#N/A Field Not Applicable</v>
        <stp/>
        <stp>##V3_BDPV12</stp>
        <stp>9128276B Govt</stp>
        <stp>IDX_RATIO</stp>
        <stp>[TREASURY.xlsx]Sheet1!R1021C20</stp>
        <tr r="T1021" s="1"/>
      </tp>
      <tp t="s">
        <v>#N/A Field Not Applicable</v>
        <stp/>
        <stp>##V3_BDPV12</stp>
        <stp>9128272B Govt</stp>
        <stp>IDX_RATIO</stp>
        <stp>[TREASURY.xlsx]Sheet1!R1008C20</stp>
        <tr r="T1008" s="1"/>
      </tp>
      <tp t="s">
        <v>#N/A Field Not Applicable</v>
        <stp/>
        <stp>##V3_BDPV12</stp>
        <stp>912827YB Govt</stp>
        <stp>IDX_RATIO</stp>
        <stp>[TREASURY.xlsx]Sheet1!R1100C20</stp>
        <tr r="T1100" s="1"/>
      </tp>
      <tp t="s">
        <v>#N/A Field Not Applicable</v>
        <stp/>
        <stp>##V3_BDPV12</stp>
        <stp>9128284B Govt</stp>
        <stp>IDX_RATIO</stp>
        <stp>[TREASURY.xlsx]Sheet1!R1106C20</stp>
        <tr r="T1106" s="1"/>
      </tp>
      <tp t="s">
        <v>#N/A Field Not Applicable</v>
        <stp/>
        <stp>##V3_BDPV12</stp>
        <stp>912828EB Govt</stp>
        <stp>IDX_RATIO</stp>
        <stp>[TREASURY.xlsx]Sheet1!R1113C20</stp>
        <tr r="T1113" s="1"/>
      </tp>
      <tp t="s">
        <v>#N/A Field Not Applicable</v>
        <stp/>
        <stp>##V3_BDPV12</stp>
        <stp>912827SB Govt</stp>
        <stp>IDX_RATIO</stp>
        <stp>[TREASURY.xlsx]Sheet1!R1183C20</stp>
        <tr r="T1183" s="1"/>
      </tp>
      <tp t="s">
        <v>912828UU2</v>
        <stp/>
        <stp>##V3_BDPV12</stp>
        <stp>912828UU Govt</stp>
        <stp>ID_CUSIP</stp>
        <stp>[TREASURY.xlsx]Sheet1!R1001C19</stp>
        <tr r="S1001" s="1"/>
      </tp>
      <tp t="s">
        <v>USD</v>
        <stp/>
        <stp>##V3_BDPV12</stp>
        <stp>912828AH Govt</stp>
        <stp>CRNCY</stp>
        <stp>[TREASURY.xlsx]Sheet1!R1107C7</stp>
        <tr r="G1107" s="1"/>
      </tp>
      <tp t="s">
        <v>11/15/2005</v>
        <stp/>
        <stp>##V3_BDPV12</stp>
        <stp>912828EM Govt</stp>
        <stp>ISSUE_DT</stp>
        <stp>[TREASURY.xlsx]Sheet1!R1115C15</stp>
        <tr r="O1115" s="1"/>
      </tp>
      <tp t="s">
        <v>912827US9</v>
        <stp/>
        <stp>##V3_BDPV12</stp>
        <stp>912827US Govt</stp>
        <stp>ID_CUSIP</stp>
        <stp>[TREASURY.xlsx]Sheet1!R1407C19</stp>
        <tr r="S1407" s="1"/>
      </tp>
      <tp t="s">
        <v>912828UW8</v>
        <stp/>
        <stp>##V3_BDPV12</stp>
        <stp>912828UW Govt</stp>
        <stp>ID_CUSIP</stp>
        <stp>[TREASURY.xlsx]Sheet1!R1002C19</stp>
        <tr r="S1002" s="1"/>
      </tp>
      <tp t="s">
        <v>912827UU4</v>
        <stp/>
        <stp>##V3_BDPV12</stp>
        <stp>912827UU Govt</stp>
        <stp>ID_CUSIP</stp>
        <stp>[TREASURY.xlsx]Sheet1!R1408C19</stp>
        <tr r="S1408" s="1"/>
      </tp>
      <tp t="s">
        <v>912827UQ3</v>
        <stp/>
        <stp>##V3_BDPV12</stp>
        <stp>912827UQ Govt</stp>
        <stp>ID_CUSIP</stp>
        <stp>[TREASURY.xlsx]Sheet1!R1079C19</stp>
        <tr r="S1079" s="1"/>
      </tp>
      <tp t="s">
        <v>912828UP3</v>
        <stp/>
        <stp>##V3_BDPV12</stp>
        <stp>912828UP Govt</stp>
        <stp>ID_CUSIP</stp>
        <stp>[TREASURY.xlsx]Sheet1!R1145C19</stp>
        <tr r="S1145" s="1"/>
      </tp>
      <tp t="s">
        <v>T</v>
        <stp/>
        <stp>##V3_BDPV12</stp>
        <stp>912810SZ Govt</stp>
        <stp>TICKER</stp>
        <stp>[TREASURY.xlsx]Sheet1!R3C2</stp>
        <tr r="B3" s="1"/>
      </tp>
      <tp t="s">
        <v>912827UR1</v>
        <stp/>
        <stp>##V3_BDPV12</stp>
        <stp>912827UR Govt</stp>
        <stp>ID_CUSIP</stp>
        <stp>[TREASURY.xlsx]Sheet1!R1080C19</stp>
        <tr r="S1080" s="1"/>
      </tp>
      <tp t="s">
        <v>9/30/2005</v>
        <stp/>
        <stp>##V3_BDPV12</stp>
        <stp>912828EH Govt</stp>
        <stp>ISSUE_DT</stp>
        <stp>[TREASURY.xlsx]Sheet1!R1114C15</stp>
        <tr r="O1114" s="1"/>
      </tp>
      <tp t="s">
        <v>912828US7</v>
        <stp/>
        <stp>##V3_BDPV12</stp>
        <stp>912828US Govt</stp>
        <stp>ID_CUSIP</stp>
        <stp>[TREASURY.xlsx]Sheet1!R1137C19</stp>
        <tr r="S1137" s="1"/>
      </tp>
      <tp t="s">
        <v>912827UP5</v>
        <stp/>
        <stp>##V3_BDPV12</stp>
        <stp>912827UP Govt</stp>
        <stp>ID_CUSIP</stp>
        <stp>[TREASURY.xlsx]Sheet1!R1202C19</stp>
        <tr r="S1202" s="1"/>
      </tp>
      <tp t="s">
        <v>10/17/2005</v>
        <stp/>
        <stp>##V3_BDPV12</stp>
        <stp>912828EJ Govt</stp>
        <stp>ISSUE_DT</stp>
        <stp>[TREASURY.xlsx]Sheet1!R1238C15</stp>
        <tr r="O1238" s="1"/>
      </tp>
      <tp t="s">
        <v>912828UR9</v>
        <stp/>
        <stp>##V3_BDPV12</stp>
        <stp>912828UR Govt</stp>
        <stp>ID_CUSIP</stp>
        <stp>[TREASURY.xlsx]Sheet1!R1146C19</stp>
        <tr r="S1146" s="1"/>
      </tp>
      <tp t="s">
        <v>USD</v>
        <stp/>
        <stp>##V3_BDPV12</stp>
        <stp>912810CM Govt</stp>
        <stp>CRNCY</stp>
        <stp>[TREASURY.xlsx]Sheet1!R1515C7</stp>
        <tr r="G1515" s="1"/>
      </tp>
      <tp t="s">
        <v>12/2/1991</v>
        <stp/>
        <stp>##V3_BDPV12</stp>
        <stp>912827D3 Govt</stp>
        <stp>ISSUE_DT</stp>
        <stp>[TREASURY.xlsx]Sheet1!R1483C15</stp>
        <tr r="O1483" s="1"/>
      </tp>
      <tp t="s">
        <v>USD</v>
        <stp/>
        <stp>##V3_BDPV12</stp>
        <stp>912827D2 Govt</stp>
        <stp>CRNCY</stp>
        <stp>[TREASURY.xlsx]Sheet1!R1033C7</stp>
        <tr r="G1033" s="1"/>
      </tp>
      <tp t="s">
        <v>USD</v>
        <stp/>
        <stp>##V3_BDPV12</stp>
        <stp>912827N2 Govt</stp>
        <stp>CRNCY</stp>
        <stp>[TREASURY.xlsx]Sheet1!R1329C7</stp>
        <tr r="G1329" s="1"/>
      </tp>
      <tp t="s">
        <v>USD</v>
        <stp/>
        <stp>##V3_BDPV12</stp>
        <stp>912828G2 Govt</stp>
        <stp>CRNCY</stp>
        <stp>[TREASURY.xlsx]Sheet1!R1280C7</stp>
        <tr r="G1280" s="1"/>
      </tp>
      <tp t="s">
        <v>USD</v>
        <stp/>
        <stp>##V3_BDPV12</stp>
        <stp>912827B2 Govt</stp>
        <stp>CRNCY</stp>
        <stp>[TREASURY.xlsx]Sheet1!R1475C7</stp>
        <tr r="G1475" s="1"/>
      </tp>
      <tp t="s">
        <v>USD</v>
        <stp/>
        <stp>##V3_BDPV12</stp>
        <stp>912827D3 Govt</stp>
        <stp>CRNCY</stp>
        <stp>[TREASURY.xlsx]Sheet1!R1483C7</stp>
        <tr r="G1483" s="1"/>
      </tp>
      <tp t="s">
        <v>T 2 5/8 12/15/21</v>
        <stp/>
        <stp>##V3_BDPV12</stp>
        <stp>9128285R Govt</stp>
        <stp>SECURITY_NAME</stp>
        <stp>[TREASURY.xlsx]Sheet1!R140C16</stp>
        <tr r="P140" s="1"/>
      </tp>
      <tp t="s">
        <v>T 2 7/8 11/30/23</v>
        <stp/>
        <stp>##V3_BDPV12</stp>
        <stp>9128285P Govt</stp>
        <stp>SECURITY_NAME</stp>
        <stp>[TREASURY.xlsx]Sheet1!R271C16</stp>
        <tr r="P271" s="1"/>
      </tp>
      <tp t="s">
        <v>T 2 3/4 11/30/20</v>
        <stp/>
        <stp>##V3_BDPV12</stp>
        <stp>9128285Q Govt</stp>
        <stp>SECURITY_NAME</stp>
        <stp>[TREASURY.xlsx]Sheet1!R410C16</stp>
        <tr r="P410" s="1"/>
      </tp>
      <tp t="s">
        <v>USD</v>
        <stp/>
        <stp>##V3_BDPV12</stp>
        <stp>912827C6 Govt</stp>
        <stp>CRNCY</stp>
        <stp>[TREASURY.xlsx]Sheet1!R1554C7</stp>
        <tr r="G1554" s="1"/>
      </tp>
      <tp t="s">
        <v>11/15/1991</v>
        <stp/>
        <stp>##V3_BDPV12</stp>
        <stp>912827D2 Govt</stp>
        <stp>ISSUE_DT</stp>
        <stp>[TREASURY.xlsx]Sheet1!R1033C15</stp>
        <tr r="O1033" s="1"/>
      </tp>
      <tp t="s">
        <v>T 2 5/8 12/31/23</v>
        <stp/>
        <stp>##V3_BDPV12</stp>
        <stp>9128285U Govt</stp>
        <stp>SECURITY_NAME</stp>
        <stp>[TREASURY.xlsx]Sheet1!R160C16</stp>
        <tr r="P160" s="1"/>
      </tp>
      <tp t="s">
        <v>12/2/1991</v>
        <stp/>
        <stp>##V3_BDPV12</stp>
        <stp>912827D4 Govt</stp>
        <stp>ISSUE_DT</stp>
        <stp>[TREASURY.xlsx]Sheet1!R1557C15</stp>
        <tr r="O1557" s="1"/>
      </tp>
      <tp t="s">
        <v>12/31/1991</v>
        <stp/>
        <stp>##V3_BDPV12</stp>
        <stp>912827D5 Govt</stp>
        <stp>ISSUE_DT</stp>
        <stp>[TREASURY.xlsx]Sheet1!R1484C15</stp>
        <tr r="O1484" s="1"/>
      </tp>
      <tp t="s">
        <v>T 2 1/2 12/31/20</v>
        <stp/>
        <stp>##V3_BDPV12</stp>
        <stp>9128285S Govt</stp>
        <stp>SECURITY_NAME</stp>
        <stp>[TREASURY.xlsx]Sheet1!R429C16</stp>
        <tr r="P429" s="1"/>
      </tp>
      <tp t="s">
        <v>T 2 1/2 01/15/22</v>
        <stp/>
        <stp>##V3_BDPV12</stp>
        <stp>9128285V Govt</stp>
        <stp>SECURITY_NAME</stp>
        <stp>[TREASURY.xlsx]Sheet1!R179C16</stp>
        <tr r="P179" s="1"/>
      </tp>
      <tp t="s">
        <v>T 2 5/8 12/31/25</v>
        <stp/>
        <stp>##V3_BDPV12</stp>
        <stp>9128285T Govt</stp>
        <stp>SECURITY_NAME</stp>
        <stp>[TREASURY.xlsx]Sheet1!R239C16</stp>
        <tr r="P239" s="1"/>
      </tp>
      <tp t="s">
        <v>T 2 1/2 01/31/24</v>
        <stp/>
        <stp>##V3_BDPV12</stp>
        <stp>9128285Z Govt</stp>
        <stp>SECURITY_NAME</stp>
        <stp>[TREASURY.xlsx]Sheet1!R220C16</stp>
        <tr r="P220" s="1"/>
      </tp>
      <tp t="s">
        <v>T 2 1/2 01/31/21</v>
        <stp/>
        <stp>##V3_BDPV12</stp>
        <stp>9128285X Govt</stp>
        <stp>SECURITY_NAME</stp>
        <stp>[TREASURY.xlsx]Sheet1!R372C16</stp>
        <tr r="P372" s="1"/>
      </tp>
      <tp t="s">
        <v>1/31/1992</v>
        <stp/>
        <stp>##V3_BDPV12</stp>
        <stp>912827D8 Govt</stp>
        <stp>ISSUE_DT</stp>
        <stp>[TREASURY.xlsx]Sheet1!R1485C15</stp>
        <tr r="O1485" s="1"/>
      </tp>
      <tp t="s">
        <v>USD</v>
        <stp/>
        <stp>##V3_BDPV12</stp>
        <stp>912827E9 Govt</stp>
        <stp>CRNCY</stp>
        <stp>[TREASURY.xlsx]Sheet1!R1372C7</stp>
        <tr r="G1372" s="1"/>
      </tp>
      <tp t="s">
        <v>T 6 1/2 02/15/10</v>
        <stp/>
        <stp>##V3_BDPV12</stp>
        <stp>9128275Z Govt</stp>
        <stp>SECURITY_NAME</stp>
        <stp>[TREASURY.xlsx]Sheet1!R428C16</stp>
        <tr r="P428" s="1"/>
      </tp>
      <tp t="s">
        <v>T 6 3/8 01/31/02</v>
        <stp/>
        <stp>##V3_BDPV12</stp>
        <stp>9128275X Govt</stp>
        <stp>SECURITY_NAME</stp>
        <stp>[TREASURY.xlsx]Sheet1!R633C16</stp>
        <tr r="P633" s="1"/>
      </tp>
      <tp t="s">
        <v>912827T93</v>
        <stp/>
        <stp>##V3_BDPV12</stp>
        <stp>912827T9 Govt</stp>
        <stp>ID_CUSIP</stp>
        <stp>[TREASURY.xlsx]Sheet1!R1505C19</stp>
        <tr r="S1505" s="1"/>
      </tp>
      <tp t="s">
        <v>T 3 09/30/25</v>
        <stp/>
        <stp>##V3_BDPV12</stp>
        <stp>9128285C Govt</stp>
        <stp>SECURITY_NAME</stp>
        <stp>[TREASURY.xlsx]Sheet1!R205C16</stp>
        <tr r="P205" s="1"/>
      </tp>
      <tp t="s">
        <v>T 5 04/30/01</v>
        <stp/>
        <stp>##V3_BDPV12</stp>
        <stp>9128275E Govt</stp>
        <stp>SECURITY_NAME</stp>
        <stp>[TREASURY.xlsx]Sheet1!R553C16</stp>
        <tr r="P553" s="1"/>
      </tp>
      <tp t="s">
        <v>T 5 1/4 05/15/04</v>
        <stp/>
        <stp>##V3_BDPV12</stp>
        <stp>9128275F Govt</stp>
        <stp>SECURITY_NAME</stp>
        <stp>[TREASURY.xlsx]Sheet1!R662C16</stp>
        <tr r="P662" s="1"/>
      </tp>
      <tp t="s">
        <v>T 2 3/4 09/15/21</v>
        <stp/>
        <stp>##V3_BDPV12</stp>
        <stp>9128285A Govt</stp>
        <stp>SECURITY_NAME</stp>
        <stp>[TREASURY.xlsx]Sheet1!R283C16</stp>
        <tr r="P283" s="1"/>
      </tp>
      <tp t="s">
        <v>912827T85</v>
        <stp/>
        <stp>##V3_BDPV12</stp>
        <stp>912827T8 Govt</stp>
        <stp>ID_CUSIP</stp>
        <stp>[TREASURY.xlsx]Sheet1!R1071C19</stp>
        <tr r="S1071" s="1"/>
      </tp>
      <tp t="s">
        <v>T 2 7/8 10/31/20</v>
        <stp/>
        <stp>##V3_BDPV12</stp>
        <stp>9128285G Govt</stp>
        <stp>SECURITY_NAME</stp>
        <stp>[TREASURY.xlsx]Sheet1!R368C16</stp>
        <tr r="P368" s="1"/>
      </tp>
      <tp t="s">
        <v>T 2 7/8 10/15/21</v>
        <stp/>
        <stp>##V3_BDPV12</stp>
        <stp>9128285F Govt</stp>
        <stp>SECURITY_NAME</stp>
        <stp>[TREASURY.xlsx]Sheet1!R106C16</stp>
        <tr r="P106" s="1"/>
      </tp>
      <tp t="s">
        <v>912828T83</v>
        <stp/>
        <stp>##V3_BDPV12</stp>
        <stp>912828T8 Govt</stp>
        <stp>ID_CUSIP</stp>
        <stp>[TREASURY.xlsx]Sheet1!R1304C19</stp>
        <tr r="S1304" s="1"/>
      </tp>
      <tp t="s">
        <v>T 2 3/4 09/30/20</v>
        <stp/>
        <stp>##V3_BDPV12</stp>
        <stp>9128285B Govt</stp>
        <stp>SECURITY_NAME</stp>
        <stp>[TREASURY.xlsx]Sheet1!R442C16</stp>
        <tr r="P442" s="1"/>
      </tp>
      <tp t="s">
        <v>T 2 7/8 10/31/23</v>
        <stp/>
        <stp>##V3_BDPV12</stp>
        <stp>9128285K Govt</stp>
        <stp>SECURITY_NAME</stp>
        <stp>[TREASURY.xlsx]Sheet1!R229C16</stp>
        <tr r="P229" s="1"/>
      </tp>
      <tp t="s">
        <v>T 3 10/31/25</v>
        <stp/>
        <stp>##V3_BDPV12</stp>
        <stp>9128285J Govt</stp>
        <stp>SECURITY_NAME</stp>
        <stp>[TREASURY.xlsx]Sheet1!R248C16</stp>
        <tr r="P248" s="1"/>
      </tp>
      <tp t="s">
        <v>T 6 08/15/09</v>
        <stp/>
        <stp>##V3_BDPV12</stp>
        <stp>9128275N Govt</stp>
        <stp>SECURITY_NAME</stp>
        <stp>[TREASURY.xlsx]Sheet1!R674C16</stp>
        <tr r="P674" s="1"/>
      </tp>
      <tp t="s">
        <v>912827T69</v>
        <stp/>
        <stp>##V3_BDPV12</stp>
        <stp>912827T6 Govt</stp>
        <stp>ID_CUSIP</stp>
        <stp>[TREASURY.xlsx]Sheet1!R1191C19</stp>
        <tr r="S1191" s="1"/>
      </tp>
      <tp t="s">
        <v>912827T44</v>
        <stp/>
        <stp>##V3_BDPV12</stp>
        <stp>912827T4 Govt</stp>
        <stp>ID_CUSIP</stp>
        <stp>[TREASURY.xlsx]Sheet1!R1397C19</stp>
        <tr r="S1397" s="1"/>
      </tp>
      <tp t="s">
        <v>912827T77</v>
        <stp/>
        <stp>##V3_BDPV12</stp>
        <stp>912827T7 Govt</stp>
        <stp>ID_CUSIP</stp>
        <stp>[TREASURY.xlsx]Sheet1!R1070C19</stp>
        <tr r="S1070" s="1"/>
      </tp>
      <tp t="s">
        <v>T 2 7/8 11/15/21</v>
        <stp/>
        <stp>##V3_BDPV12</stp>
        <stp>9128285L Govt</stp>
        <stp>SECURITY_NAME</stp>
        <stp>[TREASURY.xlsx]Sheet1!R193C16</stp>
        <tr r="P193" s="1"/>
      </tp>
      <tp t="s">
        <v>T 2 7/8 11/30/25</v>
        <stp/>
        <stp>##V3_BDPV12</stp>
        <stp>9128285N Govt</stp>
        <stp>SECURITY_NAME</stp>
        <stp>[TREASURY.xlsx]Sheet1!R290C16</stp>
        <tr r="P290" s="1"/>
      </tp>
      <tp t="s">
        <v>912827T36</v>
        <stp/>
        <stp>##V3_BDPV12</stp>
        <stp>912827T3 Govt</stp>
        <stp>ID_CUSIP</stp>
        <stp>[TREASURY.xlsx]Sheet1!R1069C19</stp>
        <tr r="S1069" s="1"/>
      </tp>
      <tp t="s">
        <v>T</v>
        <stp/>
        <stp>##V3_BDPV12</stp>
        <stp>912828L6 Govt</stp>
        <stp>TICKER</stp>
        <stp>[TREASURY.xlsx]Sheet1!R430C2</stp>
        <tr r="B430" s="1"/>
      </tp>
      <tp t="s">
        <v>T</v>
        <stp/>
        <stp>##V3_BDPV12</stp>
        <stp>912828J6 Govt</stp>
        <stp>TICKER</stp>
        <stp>[TREASURY.xlsx]Sheet1!R686C2</stp>
        <tr r="B686" s="1"/>
      </tp>
      <tp t="s">
        <v>T</v>
        <stp/>
        <stp>##V3_BDPV12</stp>
        <stp>912827E5 Govt</stp>
        <stp>TICKER</stp>
        <stp>[TREASURY.xlsx]Sheet1!R579C2</stp>
        <tr r="B579" s="1"/>
      </tp>
      <tp t="s">
        <v>T</v>
        <stp/>
        <stp>##V3_BDPV12</stp>
        <stp>912827H2 Govt</stp>
        <stp>TICKER</stp>
        <stp>[TREASURY.xlsx]Sheet1!R704C2</stp>
        <tr r="B704" s="1"/>
      </tp>
      <tp t="s">
        <v>T</v>
        <stp/>
        <stp>##V3_BDPV12</stp>
        <stp>912827J2 Govt</stp>
        <stp>TICKER</stp>
        <stp>[TREASURY.xlsx]Sheet1!R706C2</stp>
        <tr r="B706" s="1"/>
      </tp>
      <tp t="s">
        <v>T</v>
        <stp/>
        <stp>##V3_BDPV12</stp>
        <stp>912828NV Govt</stp>
        <stp>TICKER</stp>
        <stp>[TREASURY.xlsx]Sheet1!R382C2</stp>
        <tr r="B382" s="1"/>
      </tp>
      <tp t="s">
        <v>T</v>
        <stp/>
        <stp>##V3_BDPV12</stp>
        <stp>912828KW Govt</stp>
        <stp>TICKER</stp>
        <stp>[TREASURY.xlsx]Sheet1!R617C2</stp>
        <tr r="B617" s="1"/>
      </tp>
      <tp t="s">
        <v>T</v>
        <stp/>
        <stp>##V3_BDPV12</stp>
        <stp>912828JR Govt</stp>
        <stp>TICKER</stp>
        <stp>[TREASURY.xlsx]Sheet1!R396C2</stp>
        <tr r="B396" s="1"/>
      </tp>
      <tp t="s">
        <v>NORMAL</v>
        <stp/>
        <stp>##V3_BDPV12</stp>
        <stp>912810DW Govt</stp>
        <stp>MTY_TYP</stp>
        <stp>[TREASURY.xlsx]Sheet1!R609C6</stp>
        <tr r="F609" s="1"/>
      </tp>
      <tp t="s">
        <v>NORMAL</v>
        <stp/>
        <stp>##V3_BDPV12</stp>
        <stp>912810PW Govt</stp>
        <stp>MTY_TYP</stp>
        <stp>[TREASURY.xlsx]Sheet1!R289C6</stp>
        <tr r="F289" s="1"/>
      </tp>
      <tp t="s">
        <v>T</v>
        <stp/>
        <stp>##V3_BDPV12</stp>
        <stp>912828MS Govt</stp>
        <stp>TICKER</stp>
        <stp>[TREASURY.xlsx]Sheet1!R861C2</stp>
        <tr r="B861" s="1"/>
      </tp>
      <tp t="s">
        <v>NORMAL</v>
        <stp/>
        <stp>##V3_BDPV12</stp>
        <stp>912827PW Govt</stp>
        <stp>MTY_TYP</stp>
        <stp>[TREASURY.xlsx]Sheet1!R739C6</stp>
        <tr r="F739" s="1"/>
      </tp>
      <tp t="s">
        <v>NORMAL</v>
        <stp/>
        <stp>##V3_BDPV12</stp>
        <stp>912828QY Govt</stp>
        <stp>MTY_TYP</stp>
        <stp>[TREASURY.xlsx]Sheet1!R827C6</stp>
        <tr r="F827" s="1"/>
      </tp>
      <tp t="s">
        <v>NORMAL</v>
        <stp/>
        <stp>##V3_BDPV12</stp>
        <stp>9128273Y Govt</stp>
        <stp>MTY_TYP</stp>
        <stp>[TREASURY.xlsx]Sheet1!R607C6</stp>
        <tr r="F607" s="1"/>
      </tp>
      <tp t="s">
        <v>NORMAL</v>
        <stp/>
        <stp>##V3_BDPV12</stp>
        <stp>912828KZ Govt</stp>
        <stp>MTY_TYP</stp>
        <stp>[TREASURY.xlsx]Sheet1!R974C6</stp>
        <tr r="F974" s="1"/>
      </tp>
      <tp t="s">
        <v>NORMAL</v>
        <stp/>
        <stp>##V3_BDPV12</stp>
        <stp>912828TV Govt</stp>
        <stp>MTY_TYP</stp>
        <stp>[TREASURY.xlsx]Sheet1!R498C6</stp>
        <tr r="F498" s="1"/>
      </tp>
      <tp t="s">
        <v>NORMAL</v>
        <stp/>
        <stp>##V3_BDPV12</stp>
        <stp>912828CY Govt</stp>
        <stp>MTY_TYP</stp>
        <stp>[TREASURY.xlsx]Sheet1!R477C6</stp>
        <tr r="F477" s="1"/>
      </tp>
      <tp t="s">
        <v>NORMAL</v>
        <stp/>
        <stp>##V3_BDPV12</stp>
        <stp>912828MW Govt</stp>
        <stp>MTY_TYP</stp>
        <stp>[TREASURY.xlsx]Sheet1!R599C6</stp>
        <tr r="F599" s="1"/>
      </tp>
      <tp t="s">
        <v>NORMAL</v>
        <stp/>
        <stp>##V3_BDPV12</stp>
        <stp>912828BX Govt</stp>
        <stp>MTY_TYP</stp>
        <stp>[TREASURY.xlsx]Sheet1!R556C6</stp>
        <tr r="F556" s="1"/>
      </tp>
      <tp t="s">
        <v>NORMAL</v>
        <stp/>
        <stp>##V3_BDPV12</stp>
        <stp>912828AY Govt</stp>
        <stp>MTY_TYP</stp>
        <stp>[TREASURY.xlsx]Sheet1!R507C6</stp>
        <tr r="F507" s="1"/>
      </tp>
      <tp t="s">
        <v>NORMAL</v>
        <stp/>
        <stp>##V3_BDPV12</stp>
        <stp>912828CV Govt</stp>
        <stp>MTY_TYP</stp>
        <stp>[TREASURY.xlsx]Sheet1!R508C6</stp>
        <tr r="F508" s="1"/>
      </tp>
      <tp t="s">
        <v>NORMAL</v>
        <stp/>
        <stp>##V3_BDPV12</stp>
        <stp>912827ZX Govt</stp>
        <stp>MTY_TYP</stp>
        <stp>[TREASURY.xlsx]Sheet1!R956C6</stp>
        <tr r="F956" s="1"/>
      </tp>
      <tp t="s">
        <v>NORMAL</v>
        <stp/>
        <stp>##V3_BDPV12</stp>
        <stp>912827SV Govt</stp>
        <stp>MTY_TYP</stp>
        <stp>[TREASURY.xlsx]Sheet1!R918C6</stp>
        <tr r="F918" s="1"/>
      </tp>
      <tp t="s">
        <v>NORMAL</v>
        <stp/>
        <stp>##V3_BDPV12</stp>
        <stp>912828LW Govt</stp>
        <stp>MTY_TYP</stp>
        <stp>[TREASURY.xlsx]Sheet1!R629C6</stp>
        <tr r="F629" s="1"/>
      </tp>
      <tp t="s">
        <v>NORMAL</v>
        <stp/>
        <stp>##V3_BDPV12</stp>
        <stp>9128284X Govt</stp>
        <stp>MTY_TYP</stp>
        <stp>[TREASURY.xlsx]Sheet1!R256C6</stp>
        <tr r="F256" s="1"/>
      </tp>
      <tp t="s">
        <v>NORMAL</v>
        <stp/>
        <stp>##V3_BDPV12</stp>
        <stp>912828WZ Govt</stp>
        <stp>MTY_TYP</stp>
        <stp>[TREASURY.xlsx]Sheet1!R244C6</stp>
        <tr r="F244" s="1"/>
      </tp>
      <tp t="s">
        <v>T</v>
        <stp/>
        <stp>##V3_BDPV12</stp>
        <stp>912810DP Govt</stp>
        <stp>TICKER</stp>
        <stp>[TREASURY.xlsx]Sheet1!R698C2</stp>
        <tr r="B698" s="1"/>
      </tp>
      <tp t="s">
        <v>NORMAL</v>
        <stp/>
        <stp>##V3_BDPV12</stp>
        <stp>91282CAW Govt</stp>
        <stp>MTY_TYP</stp>
        <stp>[TREASURY.xlsx]Sheet1!R109C6</stp>
        <tr r="F109" s="1"/>
      </tp>
      <tp t="s">
        <v>T</v>
        <stp/>
        <stp>##V3_BDPV12</stp>
        <stp>912810EN Govt</stp>
        <stp>TICKER</stp>
        <stp>[TREASURY.xlsx]Sheet1!R319C2</stp>
        <tr r="B319" s="1"/>
      </tp>
      <tp t="s">
        <v>T</v>
        <stp/>
        <stp>##V3_BDPV12</stp>
        <stp>912828EN Govt</stp>
        <stp>TICKER</stp>
        <stp>[TREASURY.xlsx]Sheet1!R649C2</stp>
        <tr r="B649" s="1"/>
      </tp>
      <tp t="s">
        <v>T</v>
        <stp/>
        <stp>##V3_BDPV12</stp>
        <stp>912828HL Govt</stp>
        <stp>TICKER</stp>
        <stp>[TREASURY.xlsx]Sheet1!R424C2</stp>
        <tr r="B424" s="1"/>
      </tp>
      <tp t="s">
        <v>T</v>
        <stp/>
        <stp>##V3_BDPV12</stp>
        <stp>912828KL Govt</stp>
        <stp>TICKER</stp>
        <stp>[TREASURY.xlsx]Sheet1!R857C2</stp>
        <tr r="B857" s="1"/>
      </tp>
      <tp t="s">
        <v>T</v>
        <stp/>
        <stp>##V3_BDPV12</stp>
        <stp>912827NL Govt</stp>
        <stp>TICKER</stp>
        <stp>[TREASURY.xlsx]Sheet1!R902C2</stp>
        <tr r="B902" s="1"/>
      </tp>
      <tp t="s">
        <v>T</v>
        <stp/>
        <stp>##V3_BDPV12</stp>
        <stp>912827NM Govt</stp>
        <stp>TICKER</stp>
        <stp>[TREASURY.xlsx]Sheet1!R732C2</stp>
        <tr r="B732" s="1"/>
      </tp>
      <tp t="s">
        <v>T</v>
        <stp/>
        <stp>##V3_BDPV12</stp>
        <stp>912828MM Govt</stp>
        <stp>TICKER</stp>
        <stp>[TREASURY.xlsx]Sheet1!R821C2</stp>
        <tr r="B821" s="1"/>
      </tp>
      <tp t="s">
        <v>T</v>
        <stp/>
        <stp>##V3_BDPV12</stp>
        <stp>912827LJ Govt</stp>
        <stp>TICKER</stp>
        <stp>[TREASURY.xlsx]Sheet1!R890C2</stp>
        <tr r="B890" s="1"/>
      </tp>
      <tp t="s">
        <v>T</v>
        <stp/>
        <stp>##V3_BDPV12</stp>
        <stp>912828NH Govt</stp>
        <stp>TICKER</stp>
        <stp>[TREASURY.xlsx]Sheet1!R622C2</stp>
        <tr r="B622" s="1"/>
      </tp>
      <tp t="s">
        <v>T</v>
        <stp/>
        <stp>##V3_BDPV12</stp>
        <stp>912828NG Govt</stp>
        <stp>TICKER</stp>
        <stp>[TREASURY.xlsx]Sheet1!R562C2</stp>
        <tr r="B562" s="1"/>
      </tp>
      <tp t="s">
        <v>T</v>
        <stp/>
        <stp>##V3_BDPV12</stp>
        <stp>912827MB Govt</stp>
        <stp>TICKER</stp>
        <stp>[TREASURY.xlsx]Sheet1!R721C2</stp>
        <tr r="B721" s="1"/>
      </tp>
      <tp t="s">
        <v>T</v>
        <stp/>
        <stp>##V3_BDPV12</stp>
        <stp>912828NC Govt</stp>
        <stp>TICKER</stp>
        <stp>[TREASURY.xlsx]Sheet1!R862C2</stp>
        <tr r="B862" s="1"/>
      </tp>
      <tp t="s">
        <v>5/2/2005</v>
        <stp/>
        <stp>##V3_BDPV12</stp>
        <stp>912828DS Govt</stp>
        <stp>ISSUE_DT</stp>
        <stp>[TREASURY.xlsx]Sheet1!R1428C15</stp>
        <tr r="O1428" s="1"/>
      </tp>
      <tp t="s">
        <v>5/16/2005</v>
        <stp/>
        <stp>##V3_BDPV12</stp>
        <stp>912828DU Govt</stp>
        <stp>ISSUE_DT</stp>
        <stp>[TREASURY.xlsx]Sheet1!R1237C15</stp>
        <tr r="O1237" s="1"/>
      </tp>
      <tp t="s">
        <v>4/2/1985</v>
        <stp/>
        <stp>##V3_BDPV12</stp>
        <stp>912810DQ Govt</stp>
        <stp>ISSUE_DT</stp>
        <stp>[TREASURY.xlsx]Sheet1!R1621C15</stp>
        <tr r="O1621" s="1"/>
      </tp>
      <tp t="s">
        <v>USD</v>
        <stp/>
        <stp>##V3_BDPV12</stp>
        <stp>912810CR Govt</stp>
        <stp>CRNCY</stp>
        <stp>[TREASURY.xlsx]Sheet1!R1344C7</stp>
        <tr r="G1344" s="1"/>
      </tp>
      <tp t="s">
        <v>7/2/1985</v>
        <stp/>
        <stp>##V3_BDPV12</stp>
        <stp>912810DR Govt</stp>
        <stp>ISSUE_DT</stp>
        <stp>[TREASURY.xlsx]Sheet1!R1447C15</stp>
        <tr r="O1447" s="1"/>
      </tp>
      <tp t="s">
        <v>5/16/2005</v>
        <stp/>
        <stp>##V3_BDPV12</stp>
        <stp>912828DT Govt</stp>
        <stp>ISSUE_DT</stp>
        <stp>[TREASURY.xlsx]Sheet1!R1272C15</stp>
        <tr r="O1272" s="1"/>
      </tp>
      <tp t="s">
        <v>T</v>
        <stp/>
        <stp>##V3_BDPV12</stp>
        <stp>912828EM Govt</stp>
        <stp>TICKER</stp>
        <stp>[TREASURY.xlsx]Sheet1!R1115C2</stp>
        <tr r="B1115" s="1"/>
      </tp>
      <tp t="s">
        <v>T</v>
        <stp/>
        <stp>##V3_BDPV12</stp>
        <stp>912828XJ Govt</stp>
        <stp>TICKER</stp>
        <stp>[TREASURY.xlsx]Sheet1!R1152C2</stp>
        <tr r="B1152" s="1"/>
      </tp>
      <tp t="s">
        <v>T</v>
        <stp/>
        <stp>##V3_BDPV12</stp>
        <stp>912828QK Govt</stp>
        <stp>TICKER</stp>
        <stp>[TREASURY.xlsx]Sheet1!R1263C2</stp>
        <tr r="B1263" s="1"/>
      </tp>
      <tp t="s">
        <v>T</v>
        <stp/>
        <stp>##V3_BDPV12</stp>
        <stp>912827MN Govt</stp>
        <stp>TICKER</stp>
        <stp>[TREASURY.xlsx]Sheet1!R1326C2</stp>
        <tr r="B1326" s="1"/>
      </tp>
      <tp t="s">
        <v>T</v>
        <stp/>
        <stp>##V3_BDPV12</stp>
        <stp>9128275H Govt</stp>
        <stp>TICKER</stp>
        <stp>[TREASURY.xlsx]Sheet1!R1370C2</stp>
        <tr r="B1370" s="1"/>
      </tp>
      <tp t="s">
        <v>T</v>
        <stp/>
        <stp>##V3_BDPV12</stp>
        <stp>912827XL Govt</stp>
        <stp>TICKER</stp>
        <stp>[TREASURY.xlsx]Sheet1!R1214C2</stp>
        <tr r="B1214" s="1"/>
      </tp>
      <tp t="s">
        <v>T</v>
        <stp/>
        <stp>##V3_BDPV12</stp>
        <stp>912827XM Govt</stp>
        <stp>TICKER</stp>
        <stp>[TREASURY.xlsx]Sheet1!R1215C2</stp>
        <tr r="B1215" s="1"/>
      </tp>
      <tp t="s">
        <v>T</v>
        <stp/>
        <stp>##V3_BDPV12</stp>
        <stp>912827MM Govt</stp>
        <stp>TICKER</stp>
        <stp>[TREASURY.xlsx]Sheet1!R1045C2</stp>
        <tr r="B1045" s="1"/>
      </tp>
      <tp t="s">
        <v>T</v>
        <stp/>
        <stp>##V3_BDPV12</stp>
        <stp>912827SN Govt</stp>
        <stp>TICKER</stp>
        <stp>[TREASURY.xlsx]Sheet1!R1066C2</stp>
        <tr r="B1066" s="1"/>
      </tp>
      <tp t="s">
        <v>T</v>
        <stp/>
        <stp>##V3_BDPV12</stp>
        <stp>9128275M Govt</stp>
        <stp>TICKER</stp>
        <stp>[TREASURY.xlsx]Sheet1!R1015C2</stp>
        <tr r="B1015" s="1"/>
      </tp>
      <tp t="s">
        <v>T</v>
        <stp/>
        <stp>##V3_BDPV12</stp>
        <stp>9128276K Govt</stp>
        <stp>TICKER</stp>
        <stp>[TREASURY.xlsx]Sheet1!R1023C2</stp>
        <tr r="B1023" s="1"/>
      </tp>
      <tp t="s">
        <v>T</v>
        <stp/>
        <stp>##V3_BDPV12</stp>
        <stp>912827UM Govt</stp>
        <stp>TICKER</stp>
        <stp>[TREASURY.xlsx]Sheet1!R1405C2</stp>
        <tr r="B1405" s="1"/>
      </tp>
      <tp t="s">
        <v>T</v>
        <stp/>
        <stp>##V3_BDPV12</stp>
        <stp>912827UN Govt</stp>
        <stp>TICKER</stp>
        <stp>[TREASURY.xlsx]Sheet1!R1406C2</stp>
        <tr r="B1406" s="1"/>
      </tp>
      <tp t="s">
        <v>T</v>
        <stp/>
        <stp>##V3_BDPV12</stp>
        <stp>9128275L Govt</stp>
        <stp>TICKER</stp>
        <stp>[TREASURY.xlsx]Sheet1!R1464C2</stp>
        <tr r="B1464" s="1"/>
      </tp>
      <tp t="s">
        <v>T</v>
        <stp/>
        <stp>##V3_BDPV12</stp>
        <stp>9128274H Govt</stp>
        <stp>TICKER</stp>
        <stp>[TREASURY.xlsx]Sheet1!R1460C2</stp>
        <tr r="B1460" s="1"/>
      </tp>
      <tp t="s">
        <v>T</v>
        <stp/>
        <stp>##V3_BDPV12</stp>
        <stp>9128272H Govt</stp>
        <stp>TICKER</stp>
        <stp>[TREASURY.xlsx]Sheet1!R1450C2</stp>
        <tr r="B1450" s="1"/>
      </tp>
      <tp t="s">
        <v>912827TK8</v>
        <stp/>
        <stp>##V3_BDPV12</stp>
        <stp>912827TK Govt</stp>
        <stp>ID_CUSIP</stp>
        <stp>[TREASURY.xlsx]Sheet1!R1508C19</stp>
        <tr r="S1508" s="1"/>
      </tp>
      <tp t="s">
        <v>912827TN2</v>
        <stp/>
        <stp>##V3_BDPV12</stp>
        <stp>912827TN Govt</stp>
        <stp>ID_CUSIP</stp>
        <stp>[TREASURY.xlsx]Sheet1!R1074C19</stp>
        <tr r="S1074" s="1"/>
      </tp>
      <tp t="s">
        <v>T</v>
        <stp/>
        <stp>##V3_BDPV12</stp>
        <stp>912810CM Govt</stp>
        <stp>TICKER</stp>
        <stp>[TREASURY.xlsx]Sheet1!R1515C2</stp>
        <tr r="B1515" s="1"/>
      </tp>
      <tp t="s">
        <v>912828TN0</v>
        <stp/>
        <stp>##V3_BDPV12</stp>
        <stp>912828TN Govt</stp>
        <stp>ID_CUSIP</stp>
        <stp>[TREASURY.xlsx]Sheet1!R1143C19</stp>
        <tr r="S1143" s="1"/>
      </tp>
      <tp t="s">
        <v>912827TH5</v>
        <stp/>
        <stp>##V3_BDPV12</stp>
        <stp>912827TH Govt</stp>
        <stp>ID_CUSIP</stp>
        <stp>[TREASURY.xlsx]Sheet1!R1192C19</stp>
        <tr r="S1192" s="1"/>
      </tp>
      <tp t="s">
        <v>11/29/1985</v>
        <stp/>
        <stp>##V3_BDPV12</stp>
        <stp>912810DT Govt</stp>
        <stp>ISSUE_DT</stp>
        <stp>[TREASURY.xlsx]Sheet1!R1622C15</stp>
        <tr r="O1622" s="1"/>
      </tp>
      <tp t="s">
        <v>912827TM4</v>
        <stp/>
        <stp>##V3_BDPV12</stp>
        <stp>912827TM Govt</stp>
        <stp>ID_CUSIP</stp>
        <stp>[TREASURY.xlsx]Sheet1!R1400C19</stp>
        <tr r="S1400" s="1"/>
      </tp>
      <tp t="s">
        <v>912827TL6</v>
        <stp/>
        <stp>##V3_BDPV12</stp>
        <stp>912827TL Govt</stp>
        <stp>ID_CUSIP</stp>
        <stp>[TREASURY.xlsx]Sheet1!R1509C19</stp>
        <tr r="S1509" s="1"/>
      </tp>
      <tp t="s">
        <v>912827TJ1</v>
        <stp/>
        <stp>##V3_BDPV12</stp>
        <stp>912827TJ Govt</stp>
        <stp>ID_CUSIP</stp>
        <stp>[TREASURY.xlsx]Sheet1!R1073C19</stp>
        <tr r="S1073" s="1"/>
      </tp>
      <tp t="s">
        <v>3/31/2005</v>
        <stp/>
        <stp>##V3_BDPV12</stp>
        <stp>912828DQ Govt</stp>
        <stp>ISSUE_DT</stp>
        <stp>[TREASURY.xlsx]Sheet1!R1112C15</stp>
        <tr r="O1112" s="1"/>
      </tp>
      <tp t="s">
        <v>USD</v>
        <stp/>
        <stp>##V3_BDPV12</stp>
        <stp>912828DZ Govt</stp>
        <stp>CRNCY</stp>
        <stp>[TREASURY.xlsx]Sheet1!R1273C7</stp>
        <tr r="G1273" s="1"/>
      </tp>
      <tp t="s">
        <v>912827TF9</v>
        <stp/>
        <stp>##V3_BDPV12</stp>
        <stp>912827TF Govt</stp>
        <stp>ID_CUSIP</stp>
        <stp>[TREASURY.xlsx]Sheet1!R1399C19</stp>
        <tr r="S1399" s="1"/>
      </tp>
      <tp t="s">
        <v>5/15/1987</v>
        <stp/>
        <stp>##V3_BDPV12</stp>
        <stp>912810DY Govt</stp>
        <stp>ISSUE_DT</stp>
        <stp>[TREASURY.xlsx]Sheet1!R1448C15</stp>
        <tr r="O1448" s="1"/>
      </tp>
      <tp t="s">
        <v>6/30/2005</v>
        <stp/>
        <stp>##V3_BDPV12</stp>
        <stp>912828DY Govt</stp>
        <stp>ISSUE_DT</stp>
        <stp>[TREASURY.xlsx]Sheet1!R1430C15</stp>
        <tr r="O1430" s="1"/>
      </tp>
      <tp t="s">
        <v>912827TC6</v>
        <stp/>
        <stp>##V3_BDPV12</stp>
        <stp>912827TC Govt</stp>
        <stp>ID_CUSIP</stp>
        <stp>[TREASURY.xlsx]Sheet1!R1506C19</stp>
        <tr r="S1506" s="1"/>
      </tp>
      <tp t="s">
        <v>912827TD4</v>
        <stp/>
        <stp>##V3_BDPV12</stp>
        <stp>912827TD Govt</stp>
        <stp>ID_CUSIP</stp>
        <stp>[TREASURY.xlsx]Sheet1!R1398C19</stp>
        <tr r="S1398" s="1"/>
      </tp>
      <tp t="s">
        <v>6/15/2005</v>
        <stp/>
        <stp>##V3_BDPV12</stp>
        <stp>912828DX Govt</stp>
        <stp>ISSUE_DT</stp>
        <stp>[TREASURY.xlsx]Sheet1!R1429C15</stp>
        <tr r="O1429" s="1"/>
      </tp>
      <tp t="s">
        <v>USD</v>
        <stp/>
        <stp>##V3_BDPV12</stp>
        <stp>912828GY Govt</stp>
        <stp>CRNCY</stp>
        <stp>[TREASURY.xlsx]Sheet1!R1120C7</stp>
        <tr r="G1120" s="1"/>
      </tp>
      <tp t="s">
        <v>912827TE2</v>
        <stp/>
        <stp>##V3_BDPV12</stp>
        <stp>912827TE Govt</stp>
        <stp>ID_CUSIP</stp>
        <stp>[TREASURY.xlsx]Sheet1!R1507C19</stp>
        <tr r="S1507" s="1"/>
      </tp>
      <tp t="s">
        <v>912827TB8</v>
        <stp/>
        <stp>##V3_BDPV12</stp>
        <stp>912827TB Govt</stp>
        <stp>ID_CUSIP</stp>
        <stp>[TREASURY.xlsx]Sheet1!R1072C19</stp>
        <tr r="S1072" s="1"/>
      </tp>
      <tp t="s">
        <v>7/15/2005</v>
        <stp/>
        <stp>##V3_BDPV12</stp>
        <stp>912828DZ Govt</stp>
        <stp>ISSUE_DT</stp>
        <stp>[TREASURY.xlsx]Sheet1!R1273C15</stp>
        <tr r="O1273" s="1"/>
      </tp>
      <tp t="s">
        <v>1/4/1983</v>
        <stp/>
        <stp>##V3_BDPV12</stp>
        <stp>912810DC Govt</stp>
        <stp>ISSUE_DT</stp>
        <stp>[TREASURY.xlsx]Sheet1!R1443C15</stp>
        <tr r="O1443" s="1"/>
      </tp>
      <tp t="s">
        <v>7/5/1983</v>
        <stp/>
        <stp>##V3_BDPV12</stp>
        <stp>912810DE Govt</stp>
        <stp>ISSUE_DT</stp>
        <stp>[TREASURY.xlsx]Sheet1!R1311C15</stp>
        <tr r="O1311" s="1"/>
      </tp>
      <tp t="s">
        <v>#N/A Field Not Applicable</v>
        <stp/>
        <stp>##V3_BDPV12</stp>
        <stp>912810DC Govt</stp>
        <stp>IDX_RATIO</stp>
        <stp>[TREASURY.xlsx]Sheet1!R1443C20</stp>
        <tr r="T1443" s="1"/>
      </tp>
      <tp t="s">
        <v>1/18/2005</v>
        <stp/>
        <stp>##V3_BDPV12</stp>
        <stp>912828DG Govt</stp>
        <stp>ISSUE_DT</stp>
        <stp>[TREASURY.xlsx]Sheet1!R1110C15</stp>
        <tr r="O1110" s="1"/>
      </tp>
      <tp t="s">
        <v>USD</v>
        <stp/>
        <stp>##V3_BDPV12</stp>
        <stp>912810DC Govt</stp>
        <stp>CRNCY</stp>
        <stp>[TREASURY.xlsx]Sheet1!R1443C7</stp>
        <tr r="G1443" s="1"/>
      </tp>
      <tp t="s">
        <v>#N/A Field Not Applicable</v>
        <stp/>
        <stp>##V3_BDPV12</stp>
        <stp>9128274C Govt</stp>
        <stp>IDX_RATIO</stp>
        <stp>[TREASURY.xlsx]Sheet1!R1458C20</stp>
        <tr r="T1458" s="1"/>
      </tp>
      <tp t="s">
        <v>#N/A Field Not Applicable</v>
        <stp/>
        <stp>##V3_BDPV12</stp>
        <stp>9128272C Govt</stp>
        <stp>IDX_RATIO</stp>
        <stp>[TREASURY.xlsx]Sheet1!R1449C20</stp>
        <tr r="T1449" s="1"/>
      </tp>
      <tp t="s">
        <v>8/15/1983</v>
        <stp/>
        <stp>##V3_BDPV12</stp>
        <stp>912810DF Govt</stp>
        <stp>ISSUE_DT</stp>
        <stp>[TREASURY.xlsx]Sheet1!R1312C15</stp>
        <tr r="O1312" s="1"/>
      </tp>
      <tp t="s">
        <v>#N/A Field Not Applicable</v>
        <stp/>
        <stp>##V3_BDPV12</stp>
        <stp>9128277C Govt</stp>
        <stp>IDX_RATIO</stp>
        <stp>[TREASURY.xlsx]Sheet1!R1544C20</stp>
        <tr r="T1544" s="1"/>
      </tp>
      <tp t="s">
        <v>#N/A Field Not Applicable</v>
        <stp/>
        <stp>##V3_BDPV12</stp>
        <stp>9128275C Govt</stp>
        <stp>IDX_RATIO</stp>
        <stp>[TREASURY.xlsx]Sheet1!R1535C20</stp>
        <tr r="T1535" s="1"/>
      </tp>
      <tp t="s">
        <v>12/15/2004</v>
        <stp/>
        <stp>##V3_BDPV12</stp>
        <stp>912828DE Govt</stp>
        <stp>ISSUE_DT</stp>
        <stp>[TREASURY.xlsx]Sheet1!R1109C15</stp>
        <tr r="O1109" s="1"/>
      </tp>
      <tp t="s">
        <v>#N/A Field Not Applicable</v>
        <stp/>
        <stp>##V3_BDPV12</stp>
        <stp>912827TC Govt</stp>
        <stp>IDX_RATIO</stp>
        <stp>[TREASURY.xlsx]Sheet1!R1506C20</stp>
        <tr r="T1506" s="1"/>
      </tp>
      <tp t="s">
        <v>#N/A Field Not Applicable</v>
        <stp/>
        <stp>##V3_BDPV12</stp>
        <stp>912828HC Govt</stp>
        <stp>IDX_RATIO</stp>
        <stp>[TREASURY.xlsx]Sheet1!R1283C20</stp>
        <tr r="T1283" s="1"/>
      </tp>
      <tp t="s">
        <v>#N/A Field Not Applicable</v>
        <stp/>
        <stp>##V3_BDPV12</stp>
        <stp>912828GC Govt</stp>
        <stp>IDX_RATIO</stp>
        <stp>[TREASURY.xlsx]Sheet1!R1282C20</stp>
        <tr r="T1282" s="1"/>
      </tp>
      <tp t="s">
        <v>#N/A Field Not Applicable</v>
        <stp/>
        <stp>##V3_BDPV12</stp>
        <stp>912828LC Govt</stp>
        <stp>IDX_RATIO</stp>
        <stp>[TREASURY.xlsx]Sheet1!R1289C20</stp>
        <tr r="T1289" s="1"/>
      </tp>
      <tp t="s">
        <v>#N/A Field Not Applicable</v>
        <stp/>
        <stp>##V3_BDPV12</stp>
        <stp>912827YC Govt</stp>
        <stp>IDX_RATIO</stp>
        <stp>[TREASURY.xlsx]Sheet1!R1220C20</stp>
        <tr r="T1220" s="1"/>
      </tp>
      <tp t="s">
        <v>#N/A Field Not Applicable</v>
        <stp/>
        <stp>##V3_BDPV12</stp>
        <stp>912828AC Govt</stp>
        <stp>IDX_RATIO</stp>
        <stp>[TREASURY.xlsx]Sheet1!R1234C20</stp>
        <tr r="T1234" s="1"/>
      </tp>
      <tp t="s">
        <v>#N/A Field Not Applicable</v>
        <stp/>
        <stp>##V3_BDPV12</stp>
        <stp>912828KC Govt</stp>
        <stp>IDX_RATIO</stp>
        <stp>[TREASURY.xlsx]Sheet1!R1249C20</stp>
        <tr r="T1249" s="1"/>
      </tp>
      <tp t="s">
        <v>USD</v>
        <stp/>
        <stp>##V3_BDPV12</stp>
        <stp>912827NF Govt</stp>
        <stp>CRNCY</stp>
        <stp>[TREASURY.xlsx]Sheet1!R1049C7</stp>
        <tr r="G1049" s="1"/>
      </tp>
      <tp t="s">
        <v>USD</v>
        <stp/>
        <stp>##V3_BDPV12</stp>
        <stp>912828BF Govt</stp>
        <stp>CRNCY</stp>
        <stp>[TREASURY.xlsx]Sheet1!R1235C7</stp>
        <tr r="G1235" s="1"/>
      </tp>
      <tp t="s">
        <v>912827TX0</v>
        <stp/>
        <stp>##V3_BDPV12</stp>
        <stp>912827TX Govt</stp>
        <stp>ID_CUSIP</stp>
        <stp>[TREASURY.xlsx]Sheet1!R1196C19</stp>
        <tr r="S1196" s="1"/>
      </tp>
      <tp t="s">
        <v>10/5/1983</v>
        <stp/>
        <stp>##V3_BDPV12</stp>
        <stp>912810DG Govt</stp>
        <stp>ISSUE_DT</stp>
        <stp>[TREASURY.xlsx]Sheet1!R1516C15</stp>
        <tr r="O1516" s="1"/>
      </tp>
      <tp t="s">
        <v>#N/A Field Not Applicable</v>
        <stp/>
        <stp>##V3_BDPV12</stp>
        <stp>912827MC Govt</stp>
        <stp>IDX_RATIO</stp>
        <stp>[TREASURY.xlsx]Sheet1!R1324C20</stp>
        <tr r="T1324" s="1"/>
      </tp>
      <tp t="s">
        <v>#N/A Field Not Applicable</v>
        <stp/>
        <stp>##V3_BDPV12</stp>
        <stp>912828QC Govt</stp>
        <stp>IDX_RATIO</stp>
        <stp>[TREASURY.xlsx]Sheet1!R1301C20</stp>
        <tr r="T1301" s="1"/>
      </tp>
      <tp t="s">
        <v>912827TY8</v>
        <stp/>
        <stp>##V3_BDPV12</stp>
        <stp>912827TY Govt</stp>
        <stp>ID_CUSIP</stp>
        <stp>[TREASURY.xlsx]Sheet1!R1076C19</stp>
        <tr r="S1076" s="1"/>
      </tp>
      <tp t="s">
        <v>USD</v>
        <stp/>
        <stp>##V3_BDPV12</stp>
        <stp>912827NG Govt</stp>
        <stp>CRNCY</stp>
        <stp>[TREASURY.xlsx]Sheet1!R1169C7</stp>
        <tr r="G1169" s="1"/>
      </tp>
      <tp t="s">
        <v>USD</v>
        <stp/>
        <stp>##V3_BDPV12</stp>
        <stp>912828FG Govt</stp>
        <stp>CRNCY</stp>
        <stp>[TREASURY.xlsx]Sheet1!R1241C7</stp>
        <tr r="G1241" s="1"/>
      </tp>
      <tp t="s">
        <v>11/15/1982</v>
        <stp/>
        <stp>##V3_BDPV12</stp>
        <stp>912810DB Govt</stp>
        <stp>ISSUE_DT</stp>
        <stp>[TREASURY.xlsx]Sheet1!R1346C15</stp>
        <tr r="O1346" s="1"/>
      </tp>
      <tp t="s">
        <v>#N/A Field Not Applicable</v>
        <stp/>
        <stp>##V3_BDPV12</stp>
        <stp>912827RC Govt</stp>
        <stp>IDX_RATIO</stp>
        <stp>[TREASURY.xlsx]Sheet1!R1062C20</stp>
        <tr r="T1062" s="1"/>
      </tp>
      <tp t="s">
        <v>#N/A Field Not Applicable</v>
        <stp/>
        <stp>##V3_BDPV12</stp>
        <stp>912827QC Govt</stp>
        <stp>IDX_RATIO</stp>
        <stp>[TREASURY.xlsx]Sheet1!R1055C20</stp>
        <tr r="T1055" s="1"/>
      </tp>
      <tp t="s">
        <v>#N/A Field Not Applicable</v>
        <stp/>
        <stp>##V3_BDPV12</stp>
        <stp>9128276C Govt</stp>
        <stp>IDX_RATIO</stp>
        <stp>[TREASURY.xlsx]Sheet1!R1022C20</stp>
        <tr r="T1022" s="1"/>
      </tp>
      <tp t="s">
        <v>#N/A Field Not Applicable</v>
        <stp/>
        <stp>##V3_BDPV12</stp>
        <stp>9128273C Govt</stp>
        <stp>IDX_RATIO</stp>
        <stp>[TREASURY.xlsx]Sheet1!R1010C20</stp>
        <tr r="T1010" s="1"/>
      </tp>
      <tp t="s">
        <v>4/4/1983</v>
        <stp/>
        <stp>##V3_BDPV12</stp>
        <stp>912810DD Govt</stp>
        <stp>ISSUE_DT</stp>
        <stp>[TREASURY.xlsx]Sheet1!R1444C15</stp>
        <tr r="O1444" s="1"/>
      </tp>
      <tp t="s">
        <v>#N/A Field Not Applicable</v>
        <stp/>
        <stp>##V3_BDPV12</stp>
        <stp>912828WC Govt</stp>
        <stp>IDX_RATIO</stp>
        <stp>[TREASURY.xlsx]Sheet1!R1139C20</stp>
        <tr r="T1139" s="1"/>
      </tp>
      <tp t="s">
        <v>#N/A Field Not Applicable</v>
        <stp/>
        <stp>##V3_BDPV12</stp>
        <stp>912828UC Govt</stp>
        <stp>IDX_RATIO</stp>
        <stp>[TREASURY.xlsx]Sheet1!R1144C20</stp>
        <tr r="T1144" s="1"/>
      </tp>
      <tp t="s">
        <v>#N/A Field Not Applicable</v>
        <stp/>
        <stp>##V3_BDPV12</stp>
        <stp>912828SC Govt</stp>
        <stp>IDX_RATIO</stp>
        <stp>[TREASURY.xlsx]Sheet1!R1141C20</stp>
        <tr r="T1141" s="1"/>
      </tp>
      <tp t="s">
        <v>USD</v>
        <stp/>
        <stp>##V3_BDPV12</stp>
        <stp>912828BE Govt</stp>
        <stp>CRNCY</stp>
        <stp>[TREASURY.xlsx]Sheet1!R1425C7</stp>
        <tr r="G1425" s="1"/>
      </tp>
      <tp t="s">
        <v>912827TT9</v>
        <stp/>
        <stp>##V3_BDPV12</stp>
        <stp>912827TT Govt</stp>
        <stp>ID_CUSIP</stp>
        <stp>[TREASURY.xlsx]Sheet1!R1195C19</stp>
        <tr r="S1195" s="1"/>
      </tp>
      <tp t="s">
        <v>4/5/1984</v>
        <stp/>
        <stp>##V3_BDPV12</stp>
        <stp>912810DH Govt</stp>
        <stp>ISSUE_DT</stp>
        <stp>[TREASURY.xlsx]Sheet1!R1619C15</stp>
        <tr r="O1619" s="1"/>
      </tp>
      <tp t="s">
        <v>912828TT7</v>
        <stp/>
        <stp>##V3_BDPV12</stp>
        <stp>912828TT Govt</stp>
        <stp>ID_CUSIP</stp>
        <stp>[TREASURY.xlsx]Sheet1!R1134C19</stp>
        <tr r="S1134" s="1"/>
      </tp>
      <tp t="s">
        <v>11/15/1984</v>
        <stp/>
        <stp>##V3_BDPV12</stp>
        <stp>912810DN Govt</stp>
        <stp>ISSUE_DT</stp>
        <stp>[TREASURY.xlsx]Sheet1!R1348C15</stp>
        <tr r="O1348" s="1"/>
      </tp>
      <tp t="s">
        <v>1/31/2005</v>
        <stp/>
        <stp>##V3_BDPV12</stp>
        <stp>912828DJ Govt</stp>
        <stp>ISSUE_DT</stp>
        <stp>[TREASURY.xlsx]Sheet1!R1111C15</stp>
        <tr r="O1111" s="1"/>
      </tp>
      <tp t="s">
        <v>912827TP7</v>
        <stp/>
        <stp>##V3_BDPV12</stp>
        <stp>912827TP Govt</stp>
        <stp>ID_CUSIP</stp>
        <stp>[TREASURY.xlsx]Sheet1!R1193C19</stp>
        <tr r="S1193" s="1"/>
      </tp>
      <tp t="s">
        <v>8/15/1984</v>
        <stp/>
        <stp>##V3_BDPV12</stp>
        <stp>912810DL Govt</stp>
        <stp>ISSUE_DT</stp>
        <stp>[TREASURY.xlsx]Sheet1!R1620C15</stp>
        <tr r="O1620" s="1"/>
      </tp>
      <tp t="s">
        <v>912827TU6</v>
        <stp/>
        <stp>##V3_BDPV12</stp>
        <stp>912827TU Govt</stp>
        <stp>ID_CUSIP</stp>
        <stp>[TREASURY.xlsx]Sheet1!R1401C19</stp>
        <tr r="S1401" s="1"/>
      </tp>
      <tp t="s">
        <v>912827TQ5</v>
        <stp/>
        <stp>##V3_BDPV12</stp>
        <stp>912827TQ Govt</stp>
        <stp>ID_CUSIP</stp>
        <stp>[TREASURY.xlsx]Sheet1!R1075C19</stp>
        <tr r="S1075" s="1"/>
      </tp>
      <tp t="s">
        <v>2/15/2005</v>
        <stp/>
        <stp>##V3_BDPV12</stp>
        <stp>912828DK Govt</stp>
        <stp>ISSUE_DT</stp>
        <stp>[TREASURY.xlsx]Sheet1!R1271C15</stp>
        <tr r="O1271" s="1"/>
      </tp>
      <tp t="s">
        <v>2/15/2005</v>
        <stp/>
        <stp>##V3_BDPV12</stp>
        <stp>912828DM Govt</stp>
        <stp>ISSUE_DT</stp>
        <stp>[TREASURY.xlsx]Sheet1!R1427C15</stp>
        <tr r="O1427" s="1"/>
      </tp>
      <tp t="s">
        <v>7/10/1984</v>
        <stp/>
        <stp>##V3_BDPV12</stp>
        <stp>912810DK Govt</stp>
        <stp>ISSUE_DT</stp>
        <stp>[TREASURY.xlsx]Sheet1!R1347C15</stp>
        <tr r="O1347" s="1"/>
      </tp>
      <tp t="s">
        <v>912827TR3</v>
        <stp/>
        <stp>##V3_BDPV12</stp>
        <stp>912827TR Govt</stp>
        <stp>ID_CUSIP</stp>
        <stp>[TREASURY.xlsx]Sheet1!R1194C19</stp>
        <tr r="S1194" s="1"/>
      </tp>
      <tp t="s">
        <v>912827TV4</v>
        <stp/>
        <stp>##V3_BDPV12</stp>
        <stp>912827TV Govt</stp>
        <stp>ID_CUSIP</stp>
        <stp>[TREASURY.xlsx]Sheet1!R1510C19</stp>
        <tr r="S1510" s="1"/>
      </tp>
      <tp t="s">
        <v>912827TW2</v>
        <stp/>
        <stp>##V3_BDPV12</stp>
        <stp>912827TW Govt</stp>
        <stp>ID_CUSIP</stp>
        <stp>[TREASURY.xlsx]Sheet1!R1402C19</stp>
        <tr r="S1402" s="1"/>
      </tp>
      <tp t="s">
        <v>USD</v>
        <stp/>
        <stp>##V3_BDPV12</stp>
        <stp>912828AM Govt</stp>
        <stp>CRNCY</stp>
        <stp>[TREASURY.xlsx]Sheet1!R1616C7</stp>
        <tr r="G1616" s="1"/>
      </tp>
      <tp t="s">
        <v>8/31/1992</v>
        <stp/>
        <stp>##V3_BDPV12</stp>
        <stp>912827G7 Govt</stp>
        <stp>ISSUE_DT</stp>
        <stp>[TREASURY.xlsx]Sheet1!R1037C15</stp>
        <tr r="O1037" s="1"/>
      </tp>
      <tp t="s">
        <v>8/31/1992</v>
        <stp/>
        <stp>##V3_BDPV12</stp>
        <stp>912827G6 Govt</stp>
        <stp>ISSUE_DT</stp>
        <stp>[TREASURY.xlsx]Sheet1!R1036C15</stp>
        <tr r="O1036" s="1"/>
      </tp>
      <tp t="s">
        <v>12/1/2014</v>
        <stp/>
        <stp>##V3_BDPV12</stp>
        <stp>912828G4 Govt</stp>
        <stp>ISSUE_DT</stp>
        <stp>[TREASURY.xlsx]Sheet1!R1281C15</stp>
        <tr r="O1281" s="1"/>
      </tp>
      <tp t="s">
        <v>T 2 1/4 04/30/24</v>
        <stp/>
        <stp>##V3_BDPV12</stp>
        <stp>9128286R Govt</stp>
        <stp>SECURITY_NAME</stp>
        <stp>[TREASURY.xlsx]Sheet1!R201C16</stp>
        <tr r="P201" s="1"/>
      </tp>
      <tp t="s">
        <v>T 2 3/8 04/30/26</v>
        <stp/>
        <stp>##V3_BDPV12</stp>
        <stp>9128286S Govt</stp>
        <stp>SECURITY_NAME</stp>
        <stp>[TREASURY.xlsx]Sheet1!R322C16</stp>
        <tr r="P322" s="1"/>
      </tp>
      <tp t="s">
        <v>T 2 1/8 05/31/21</v>
        <stp/>
        <stp>##V3_BDPV12</stp>
        <stp>9128286V Govt</stp>
        <stp>SECURITY_NAME</stp>
        <stp>[TREASURY.xlsx]Sheet1!R523C16</stp>
        <tr r="P523" s="1"/>
      </tp>
      <tp t="s">
        <v>8/17/1992</v>
        <stp/>
        <stp>##V3_BDPV12</stp>
        <stp>912827G5 Govt</stp>
        <stp>ISSUE_DT</stp>
        <stp>[TREASURY.xlsx]Sheet1!R1156C15</stp>
        <tr r="O1156" s="1"/>
      </tp>
      <tp t="s">
        <v>8/17/1992</v>
        <stp/>
        <stp>##V3_BDPV12</stp>
        <stp>912827G4 Govt</stp>
        <stp>ISSUE_DT</stp>
        <stp>[TREASURY.xlsx]Sheet1!R1035C15</stp>
        <tr r="O1035" s="1"/>
      </tp>
      <tp t="s">
        <v>USD</v>
        <stp/>
        <stp>##V3_BDPV12</stp>
        <stp>912827E6 Govt</stp>
        <stp>CRNCY</stp>
        <stp>[TREASURY.xlsx]Sheet1!R1371C7</stp>
        <tr r="G1371" s="1"/>
      </tp>
      <tp t="s">
        <v>7/31/1992</v>
        <stp/>
        <stp>##V3_BDPV12</stp>
        <stp>912827G2 Govt</stp>
        <stp>ISSUE_DT</stp>
        <stp>[TREASURY.xlsx]Sheet1!R1034C15</stp>
        <tr r="O1034" s="1"/>
      </tp>
      <tp t="s">
        <v>T 5 5/8 11/30/02</v>
        <stp/>
        <stp>##V3_BDPV12</stp>
        <stp>9128276P Govt</stp>
        <stp>SECURITY_NAME</stp>
        <stp>[TREASURY.xlsx]Sheet1!R441C16</stp>
        <tr r="P441" s="1"/>
      </tp>
      <tp t="s">
        <v>T 2 1/8 05/15/22</v>
        <stp/>
        <stp>##V3_BDPV12</stp>
        <stp>9128286U Govt</stp>
        <stp>SECURITY_NAME</stp>
        <stp>[TREASURY.xlsx]Sheet1!R233C16</stp>
        <tr r="P233" s="1"/>
      </tp>
      <tp t="s">
        <v>USD</v>
        <stp/>
        <stp>##V3_BDPV12</stp>
        <stp>912827B4 Govt</stp>
        <stp>CRNCY</stp>
        <stp>[TREASURY.xlsx]Sheet1!R1476C7</stp>
        <tr r="G1476" s="1"/>
      </tp>
      <tp t="s">
        <v>11/17/2014</v>
        <stp/>
        <stp>##V3_BDPV12</stp>
        <stp>912828G2 Govt</stp>
        <stp>ISSUE_DT</stp>
        <stp>[TREASURY.xlsx]Sheet1!R1280C15</stp>
        <tr r="O1280" s="1"/>
      </tp>
      <tp t="s">
        <v>T 1 3/4 06/30/24</v>
        <stp/>
        <stp>##V3_BDPV12</stp>
        <stp>9128286Z Govt</stp>
        <stp>SECURITY_NAME</stp>
        <stp>[TREASURY.xlsx]Sheet1!R200C16</stp>
        <tr r="P200" s="1"/>
      </tp>
      <tp t="s">
        <v>9/30/1992</v>
        <stp/>
        <stp>##V3_BDPV12</stp>
        <stp>912827G9 Govt</stp>
        <stp>ISSUE_DT</stp>
        <stp>[TREASURY.xlsx]Sheet1!R1486C15</stp>
        <tr r="O1486" s="1"/>
      </tp>
      <tp t="s">
        <v>T 1 3/4 06/15/22</v>
        <stp/>
        <stp>##V3_BDPV12</stp>
        <stp>9128286Y Govt</stp>
        <stp>SECURITY_NAME</stp>
        <stp>[TREASURY.xlsx]Sheet1!R241C16</stp>
        <tr r="P241" s="1"/>
      </tp>
      <tp t="s">
        <v>T 2 1/8 05/31/26</v>
        <stp/>
        <stp>##V3_BDPV12</stp>
        <stp>9128286X Govt</stp>
        <stp>SECURITY_NAME</stp>
        <stp>[TREASURY.xlsx]Sheet1!R264C16</stp>
        <tr r="P264" s="1"/>
      </tp>
      <tp t="s">
        <v>9/30/1992</v>
        <stp/>
        <stp>##V3_BDPV12</stp>
        <stp>912827G8 Govt</stp>
        <stp>ISSUE_DT</stp>
        <stp>[TREASURY.xlsx]Sheet1!R1374C15</stp>
        <tr r="O1374" s="1"/>
      </tp>
      <tp t="s">
        <v>T</v>
        <stp/>
        <stp>##V3_BDPV12</stp>
        <stp>91282CCS Govt</stp>
        <stp>TICKER</stp>
        <stp>[TREASURY.xlsx]Sheet1!R2C2</stp>
        <tr r="B2" s="1"/>
      </tp>
      <tp t="s">
        <v>T 2 1/2 02/15/22</v>
        <stp/>
        <stp>##V3_BDPV12</stp>
        <stp>9128286C Govt</stp>
        <stp>SECURITY_NAME</stp>
        <stp>[TREASURY.xlsx]Sheet1!R272C16</stp>
        <tr r="P272" s="1"/>
      </tp>
      <tp t="s">
        <v>T 2 5/8 01/31/26</v>
        <stp/>
        <stp>##V3_BDPV12</stp>
        <stp>9128286A Govt</stp>
        <stp>SECURITY_NAME</stp>
        <stp>[TREASURY.xlsx]Sheet1!R265C16</stp>
        <tr r="P265" s="1"/>
      </tp>
      <tp t="s">
        <v>T 2 3/8 02/29/24</v>
        <stp/>
        <stp>##V3_BDPV12</stp>
        <stp>9128286G Govt</stp>
        <stp>SECURITY_NAME</stp>
        <stp>[TREASURY.xlsx]Sheet1!R240C16</stp>
        <tr r="P240" s="1"/>
      </tp>
      <tp t="s">
        <v>T 2 1/2 02/28/26</v>
        <stp/>
        <stp>##V3_BDPV12</stp>
        <stp>9128286F Govt</stp>
        <stp>SECURITY_NAME</stp>
        <stp>[TREASURY.xlsx]Sheet1!R225C16</stp>
        <tr r="P225" s="1"/>
      </tp>
      <tp t="s">
        <v>T 2 1/2 02/28/21</v>
        <stp/>
        <stp>##V3_BDPV12</stp>
        <stp>9128286D Govt</stp>
        <stp>SECURITY_NAME</stp>
        <stp>[TREASURY.xlsx]Sheet1!R348C16</stp>
        <tr r="P348" s="1"/>
      </tp>
      <tp t="s">
        <v>T 2 3/8 03/15/22</v>
        <stp/>
        <stp>##V3_BDPV12</stp>
        <stp>9128286H Govt</stp>
        <stp>SECURITY_NAME</stp>
        <stp>[TREASURY.xlsx]Sheet1!R228C16</stp>
        <tr r="P228" s="1"/>
      </tp>
      <tp t="s">
        <v>912827W57</v>
        <stp/>
        <stp>##V3_BDPV12</stp>
        <stp>912827W5 Govt</stp>
        <stp>ID_CUSIP</stp>
        <stp>[TREASURY.xlsx]Sheet1!R1414C19</stp>
        <tr r="S1414" s="1"/>
      </tp>
      <tp t="s">
        <v>912827W65</v>
        <stp/>
        <stp>##V3_BDPV12</stp>
        <stp>912827W6 Govt</stp>
        <stp>ID_CUSIP</stp>
        <stp>[TREASURY.xlsx]Sheet1!R1415C19</stp>
        <tr r="S1415" s="1"/>
      </tp>
      <tp t="s">
        <v>T 2 1/4 04/15/22</v>
        <stp/>
        <stp>##V3_BDPV12</stp>
        <stp>9128286M Govt</stp>
        <stp>SECURITY_NAME</stp>
        <stp>[TREASURY.xlsx]Sheet1!R218C16</stp>
        <tr r="P218" s="1"/>
      </tp>
      <tp t="s">
        <v>912827W73</v>
        <stp/>
        <stp>##V3_BDPV12</stp>
        <stp>912827W7 Govt</stp>
        <stp>ID_CUSIP</stp>
        <stp>[TREASURY.xlsx]Sheet1!R1416C19</stp>
        <tr r="S1416" s="1"/>
      </tp>
      <tp t="s">
        <v>T 5 3/4 08/15/10</v>
        <stp/>
        <stp>##V3_BDPV12</stp>
        <stp>9128276J Govt</stp>
        <stp>SECURITY_NAME</stp>
        <stp>[TREASURY.xlsx]Sheet1!R438C16</stp>
        <tr r="P438" s="1"/>
      </tp>
      <tp t="s">
        <v>T 2 1/4 03/31/26</v>
        <stp/>
        <stp>##V3_BDPV12</stp>
        <stp>9128286L Govt</stp>
        <stp>SECURITY_NAME</stp>
        <stp>[TREASURY.xlsx]Sheet1!R276C16</stp>
        <tr r="P276" s="1"/>
      </tp>
      <tp t="s">
        <v>ACT/ACT</v>
        <stp/>
        <stp>##V3_BDPV12</stp>
        <stp>912827S3 Govt</stp>
        <stp>DAY_CNT_DES</stp>
        <stp>[TREASURY.xlsx]Sheet1!R1585C17</stp>
        <tr r="Q1585" s="1"/>
      </tp>
      <tp t="s">
        <v>ACT/ACT</v>
        <stp/>
        <stp>##V3_BDPV12</stp>
        <stp>912827V2 Govt</stp>
        <stp>DAY_CNT_DES</stp>
        <stp>[TREASURY.xlsx]Sheet1!R1082C17</stp>
        <tr r="Q1082" s="1"/>
      </tp>
      <tp t="s">
        <v>ACT/ACT</v>
        <stp/>
        <stp>##V3_BDPV12</stp>
        <stp>912827V6 Govt</stp>
        <stp>DAY_CNT_DES</stp>
        <stp>[TREASURY.xlsx]Sheet1!R1084C17</stp>
        <tr r="Q1084" s="1"/>
      </tp>
      <tp t="s">
        <v>ACT/ACT</v>
        <stp/>
        <stp>##V3_BDPV12</stp>
        <stp>912827R4 Govt</stp>
        <stp>DAY_CNT_DES</stp>
        <stp>[TREASURY.xlsx]Sheet1!R1499C17</stp>
        <tr r="Q1499" s="1"/>
      </tp>
      <tp t="s">
        <v>ACT/ACT</v>
        <stp/>
        <stp>##V3_BDPV12</stp>
        <stp>912827V5 Govt</stp>
        <stp>DAY_CNT_DES</stp>
        <stp>[TREASURY.xlsx]Sheet1!R1083C17</stp>
        <tr r="Q1083" s="1"/>
      </tp>
      <tp t="s">
        <v>ACT/ACT</v>
        <stp/>
        <stp>##V3_BDPV12</stp>
        <stp>912827S8 Govt</stp>
        <stp>DAY_CNT_DES</stp>
        <stp>[TREASURY.xlsx]Sheet1!R1586C17</stp>
        <tr r="Q1586" s="1"/>
      </tp>
      <tp t="s">
        <v>ACT/ACT</v>
        <stp/>
        <stp>##V3_BDPV12</stp>
        <stp>912827S7 Govt</stp>
        <stp>DAY_CNT_DES</stp>
        <stp>[TREASURY.xlsx]Sheet1!R1504C17</stp>
        <tr r="Q1504" s="1"/>
      </tp>
      <tp t="s">
        <v>ACT/ACT</v>
        <stp/>
        <stp>##V3_BDPV12</stp>
        <stp>912827SA Govt</stp>
        <stp>DAY_CNT_DES</stp>
        <stp>[TREASURY.xlsx]Sheet1!R1587C17</stp>
        <tr r="Q1587" s="1"/>
      </tp>
      <tp t="s">
        <v>ACT/ACT</v>
        <stp/>
        <stp>##V3_BDPV12</stp>
        <stp>912827SG Govt</stp>
        <stp>DAY_CNT_DES</stp>
        <stp>[TREASURY.xlsx]Sheet1!R1588C17</stp>
        <tr r="Q1588" s="1"/>
      </tp>
      <tp t="s">
        <v>ACT/ACT</v>
        <stp/>
        <stp>##V3_BDPV12</stp>
        <stp>912827VF Govt</stp>
        <stp>DAY_CNT_DES</stp>
        <stp>[TREASURY.xlsx]Sheet1!R1086C17</stp>
        <tr r="Q1086" s="1"/>
      </tp>
      <tp t="s">
        <v>ACT/ACT</v>
        <stp/>
        <stp>##V3_BDPV12</stp>
        <stp>912827VD Govt</stp>
        <stp>DAY_CNT_DES</stp>
        <stp>[TREASURY.xlsx]Sheet1!R1085C17</stp>
        <tr r="Q1085" s="1"/>
      </tp>
      <tp t="s">
        <v>ACT/ACT</v>
        <stp/>
        <stp>##V3_BDPV12</stp>
        <stp>912827SK Govt</stp>
        <stp>DAY_CNT_DES</stp>
        <stp>[TREASURY.xlsx]Sheet1!R1589C17</stp>
        <tr r="Q1589" s="1"/>
      </tp>
      <tp t="s">
        <v>ACT/ACT</v>
        <stp/>
        <stp>##V3_BDPV12</stp>
        <stp>912827VM Govt</stp>
        <stp>DAY_CNT_DES</stp>
        <stp>[TREASURY.xlsx]Sheet1!R1088C17</stp>
        <tr r="Q1088" s="1"/>
      </tp>
      <tp t="s">
        <v>ACT/ACT</v>
        <stp/>
        <stp>##V3_BDPV12</stp>
        <stp>912827VL Govt</stp>
        <stp>DAY_CNT_DES</stp>
        <stp>[TREASURY.xlsx]Sheet1!R1087C17</stp>
        <tr r="Q1087" s="1"/>
      </tp>
      <tp t="s">
        <v>ACT/ACT</v>
        <stp/>
        <stp>##V3_BDPV12</stp>
        <stp>912827VZ Govt</stp>
        <stp>DAY_CNT_DES</stp>
        <stp>[TREASURY.xlsx]Sheet1!R1089C17</stp>
        <tr r="Q1089" s="1"/>
      </tp>
      <tp t="s">
        <v>ACT/ACT</v>
        <stp/>
        <stp>##V3_BDPV12</stp>
        <stp>912827R9 Govt</stp>
        <stp>DAY_CNT_DES</stp>
        <stp>[TREASURY.xlsx]Sheet1!R1578C17</stp>
        <tr r="Q1578" s="1"/>
      </tp>
      <tp t="s">
        <v>ACT/ACT</v>
        <stp/>
        <stp>##V3_BDPV12</stp>
        <stp>912827T4 Govt</stp>
        <stp>DAY_CNT_DES</stp>
        <stp>[TREASURY.xlsx]Sheet1!R1397C17</stp>
        <tr r="Q1397" s="1"/>
      </tp>
      <tp t="s">
        <v>ACT/ACT</v>
        <stp/>
        <stp>##V3_BDPV12</stp>
        <stp>912827R7 Govt</stp>
        <stp>DAY_CNT_DES</stp>
        <stp>[TREASURY.xlsx]Sheet1!R1577C17</stp>
        <tr r="Q1577" s="1"/>
      </tp>
      <tp t="s">
        <v>ACT/ACT</v>
        <stp/>
        <stp>##V3_BDPV12</stp>
        <stp>912827R6 Govt</stp>
        <stp>DAY_CNT_DES</stp>
        <stp>[TREASURY.xlsx]Sheet1!R1500C17</stp>
        <tr r="Q1500" s="1"/>
      </tp>
      <tp t="s">
        <v>ACT/ACT</v>
        <stp/>
        <stp>##V3_BDPV12</stp>
        <stp>912827UK Govt</stp>
        <stp>DAY_CNT_DES</stp>
        <stp>[TREASURY.xlsx]Sheet1!R1200C17</stp>
        <tr r="Q1200" s="1"/>
      </tp>
      <tp t="s">
        <v>ACT/ACT</v>
        <stp/>
        <stp>##V3_BDPV12</stp>
        <stp>912827RH Govt</stp>
        <stp>DAY_CNT_DES</stp>
        <stp>[TREASURY.xlsx]Sheet1!R1502C17</stp>
        <tr r="Q1502" s="1"/>
      </tp>
      <tp t="s">
        <v>ACT/ACT</v>
        <stp/>
        <stp>##V3_BDPV12</stp>
        <stp>912827TF Govt</stp>
        <stp>DAY_CNT_DES</stp>
        <stp>[TREASURY.xlsx]Sheet1!R1399C17</stp>
        <tr r="Q1399" s="1"/>
      </tp>
      <tp t="s">
        <v>ACT/ACT</v>
        <stp/>
        <stp>##V3_BDPV12</stp>
        <stp>912827WF Govt</stp>
        <stp>DAY_CNT_DES</stp>
        <stp>[TREASURY.xlsx]Sheet1!R1090C17</stp>
        <tr r="Q1090" s="1"/>
      </tp>
      <tp t="s">
        <v>ACT/ACT</v>
        <stp/>
        <stp>##V3_BDPV12</stp>
        <stp>912827WG Govt</stp>
        <stp>DAY_CNT_DES</stp>
        <stp>[TREASURY.xlsx]Sheet1!R1091C17</stp>
        <tr r="Q1091" s="1"/>
      </tp>
      <tp t="s">
        <v>ACT/ACT</v>
        <stp/>
        <stp>##V3_BDPV12</stp>
        <stp>912827TD Govt</stp>
        <stp>DAY_CNT_DES</stp>
        <stp>[TREASURY.xlsx]Sheet1!R1398C17</stp>
        <tr r="Q1398" s="1"/>
      </tp>
      <tp t="s">
        <v>ACT/ACT</v>
        <stp/>
        <stp>##V3_BDPV12</stp>
        <stp>912827RL Govt</stp>
        <stp>DAY_CNT_DES</stp>
        <stp>[TREASURY.xlsx]Sheet1!R1503C17</stp>
        <tr r="Q1503" s="1"/>
      </tp>
      <tp t="s">
        <v>ACT/ACT</v>
        <stp/>
        <stp>##V3_BDPV12</stp>
        <stp>912827UL Govt</stp>
        <stp>DAY_CNT_DES</stp>
        <stp>[TREASURY.xlsx]Sheet1!R1201C17</stp>
        <tr r="Q1201" s="1"/>
      </tp>
      <tp t="s">
        <v>ACT/ACT</v>
        <stp/>
        <stp>##V3_BDPV12</stp>
        <stp>912827RF Govt</stp>
        <stp>DAY_CNT_DES</stp>
        <stp>[TREASURY.xlsx]Sheet1!R1579C17</stp>
        <tr r="Q1579" s="1"/>
      </tp>
      <tp t="s">
        <v>ACT/ACT</v>
        <stp/>
        <stp>##V3_BDPV12</stp>
        <stp>912827WN Govt</stp>
        <stp>DAY_CNT_DES</stp>
        <stp>[TREASURY.xlsx]Sheet1!R1092C17</stp>
        <tr r="Q1092" s="1"/>
      </tp>
      <tp t="s">
        <v>ACT/ACT</v>
        <stp/>
        <stp>##V3_BDPV12</stp>
        <stp>912827RG Govt</stp>
        <stp>DAY_CNT_DES</stp>
        <stp>[TREASURY.xlsx]Sheet1!R1501C17</stp>
        <tr r="Q1501" s="1"/>
      </tp>
      <tp t="s">
        <v>ACT/ACT</v>
        <stp/>
        <stp>##V3_BDPV12</stp>
        <stp>912827RM Govt</stp>
        <stp>DAY_CNT_DES</stp>
        <stp>[TREASURY.xlsx]Sheet1!R1580C17</stp>
        <tr r="Q1580" s="1"/>
      </tp>
      <tp t="s">
        <v>ACT/ACT</v>
        <stp/>
        <stp>##V3_BDPV12</stp>
        <stp>912827WQ Govt</stp>
        <stp>DAY_CNT_DES</stp>
        <stp>[TREASURY.xlsx]Sheet1!R1093C17</stp>
        <tr r="Q1093" s="1"/>
      </tp>
      <tp t="s">
        <v>ACT/ACT</v>
        <stp/>
        <stp>##V3_BDPV12</stp>
        <stp>912827RV Govt</stp>
        <stp>DAY_CNT_DES</stp>
        <stp>[TREASURY.xlsx]Sheet1!R1582C17</stp>
        <tr r="Q1582" s="1"/>
      </tp>
      <tp t="s">
        <v>ACT/ACT</v>
        <stp/>
        <stp>##V3_BDPV12</stp>
        <stp>912827RT Govt</stp>
        <stp>DAY_CNT_DES</stp>
        <stp>[TREASURY.xlsx]Sheet1!R1581C17</stp>
        <tr r="Q1581" s="1"/>
      </tp>
      <tp t="s">
        <v>ACT/ACT</v>
        <stp/>
        <stp>##V3_BDPV12</stp>
        <stp>912827RZ Govt</stp>
        <stp>DAY_CNT_DES</stp>
        <stp>[TREASURY.xlsx]Sheet1!R1584C17</stp>
        <tr r="Q1584" s="1"/>
      </tp>
      <tp t="s">
        <v>ACT/ACT</v>
        <stp/>
        <stp>##V3_BDPV12</stp>
        <stp>912827RY Govt</stp>
        <stp>DAY_CNT_DES</stp>
        <stp>[TREASURY.xlsx]Sheet1!R1583C17</stp>
        <tr r="Q1583" s="1"/>
      </tp>
      <tp t="s">
        <v>ACT/ACT</v>
        <stp/>
        <stp>##V3_BDPV12</stp>
        <stp>912827UP Govt</stp>
        <stp>DAY_CNT_DES</stp>
        <stp>[TREASURY.xlsx]Sheet1!R1202C17</stp>
        <tr r="Q1202" s="1"/>
      </tp>
      <tp t="s">
        <v>ACT/ACT</v>
        <stp/>
        <stp>##V3_BDPV12</stp>
        <stp>912827Q8 Govt</stp>
        <stp>DAY_CNT_DES</stp>
        <stp>[TREASURY.xlsx]Sheet1!R1572C17</stp>
        <tr r="Q1572" s="1"/>
      </tp>
      <tp t="s">
        <v>ACT/ACT</v>
        <stp/>
        <stp>##V3_BDPV12</stp>
        <stp>912827T8 Govt</stp>
        <stp>DAY_CNT_DES</stp>
        <stp>[TREASURY.xlsx]Sheet1!R1071C17</stp>
        <tr r="Q1071" s="1"/>
      </tp>
      <tp t="s">
        <v>ACT/ACT</v>
        <stp/>
        <stp>##V3_BDPV12</stp>
        <stp>912827Q9 Govt</stp>
        <stp>DAY_CNT_DES</stp>
        <stp>[TREASURY.xlsx]Sheet1!R1573C17</stp>
        <tr r="Q1573" s="1"/>
      </tp>
      <tp t="s">
        <v>ACT/ACT</v>
        <stp/>
        <stp>##V3_BDPV12</stp>
        <stp>912827U5 Govt</stp>
        <stp>DAY_CNT_DES</stp>
        <stp>[TREASURY.xlsx]Sheet1!R1197C17</stp>
        <tr r="Q1197" s="1"/>
      </tp>
      <tp t="s">
        <v>ACT/ACT</v>
        <stp/>
        <stp>##V3_BDPV12</stp>
        <stp>912827U8 Govt</stp>
        <stp>DAY_CNT_DES</stp>
        <stp>[TREASURY.xlsx]Sheet1!R1198C17</stp>
        <tr r="Q1198" s="1"/>
      </tp>
      <tp t="s">
        <v>ACT/ACT</v>
        <stp/>
        <stp>##V3_BDPV12</stp>
        <stp>912827P8 Govt</stp>
        <stp>DAY_CNT_DES</stp>
        <stp>[TREASURY.xlsx]Sheet1!R1492C17</stp>
        <tr r="Q1492" s="1"/>
      </tp>
      <tp t="s">
        <v>ACT/ACT</v>
        <stp/>
        <stp>##V3_BDPV12</stp>
        <stp>912827T7 Govt</stp>
        <stp>DAY_CNT_DES</stp>
        <stp>[TREASURY.xlsx]Sheet1!R1070C17</stp>
        <tr r="Q1070" s="1"/>
      </tp>
      <tp t="s">
        <v>ACT/ACT</v>
        <stp/>
        <stp>##V3_BDPV12</stp>
        <stp>912827T3 Govt</stp>
        <stp>DAY_CNT_DES</stp>
        <stp>[TREASURY.xlsx]Sheet1!R1069C17</stp>
        <tr r="Q1069" s="1"/>
      </tp>
      <tp t="s">
        <v>8/16/2021</v>
        <stp/>
        <stp>##V3_BDPV12</stp>
        <stp>91282CCS Govt</stp>
        <stp>ISSUE_DT</stp>
        <stp>[TREASURY.xlsx]Sheet1!R2C15</stp>
        <tr r="O2" s="1"/>
      </tp>
      <tp t="s">
        <v>ACT/ACT</v>
        <stp/>
        <stp>##V3_BDPV12</stp>
        <stp>912827VJ Govt</stp>
        <stp>DAY_CNT_DES</stp>
        <stp>[TREASURY.xlsx]Sheet1!R1203C17</stp>
        <tr r="Q1203" s="1"/>
      </tp>
      <tp t="s">
        <v>ACT/ACT</v>
        <stp/>
        <stp>##V3_BDPV12</stp>
        <stp>912827TN Govt</stp>
        <stp>DAY_CNT_DES</stp>
        <stp>[TREASURY.xlsx]Sheet1!R1074C17</stp>
        <tr r="Q1074" s="1"/>
      </tp>
      <tp t="s">
        <v>ACT/ACT</v>
        <stp/>
        <stp>##V3_BDPV12</stp>
        <stp>912827UG Govt</stp>
        <stp>DAY_CNT_DES</stp>
        <stp>[TREASURY.xlsx]Sheet1!R1199C17</stp>
        <tr r="Q1199" s="1"/>
      </tp>
      <tp t="s">
        <v>ACT/ACT</v>
        <stp/>
        <stp>##V3_BDPV12</stp>
        <stp>912827TJ Govt</stp>
        <stp>DAY_CNT_DES</stp>
        <stp>[TREASURY.xlsx]Sheet1!R1073C17</stp>
        <tr r="Q1073" s="1"/>
      </tp>
      <tp t="s">
        <v>ACT/ACT</v>
        <stp/>
        <stp>##V3_BDPV12</stp>
        <stp>912827TB Govt</stp>
        <stp>DAY_CNT_DES</stp>
        <stp>[TREASURY.xlsx]Sheet1!R1072C17</stp>
        <tr r="Q1072" s="1"/>
      </tp>
      <tp t="s">
        <v>ACT/ACT</v>
        <stp/>
        <stp>##V3_BDPV12</stp>
        <stp>912827QB Govt</stp>
        <stp>DAY_CNT_DES</stp>
        <stp>[TREASURY.xlsx]Sheet1!R1574C17</stp>
        <tr r="Q1574" s="1"/>
      </tp>
      <tp t="s">
        <v>ACT/ACT</v>
        <stp/>
        <stp>##V3_BDPV12</stp>
        <stp>912827QX Govt</stp>
        <stp>DAY_CNT_DES</stp>
        <stp>[TREASURY.xlsx]Sheet1!R1575C17</stp>
        <tr r="Q1575" s="1"/>
      </tp>
      <tp t="s">
        <v>ACT/ACT</v>
        <stp/>
        <stp>##V3_BDPV12</stp>
        <stp>912827TY Govt</stp>
        <stp>DAY_CNT_DES</stp>
        <stp>[TREASURY.xlsx]Sheet1!R1076C17</stp>
        <tr r="Q1076" s="1"/>
      </tp>
      <tp t="s">
        <v>ACT/ACT</v>
        <stp/>
        <stp>##V3_BDPV12</stp>
        <stp>912827QZ Govt</stp>
        <stp>DAY_CNT_DES</stp>
        <stp>[TREASURY.xlsx]Sheet1!R1576C17</stp>
        <tr r="Q1576" s="1"/>
      </tp>
      <tp t="s">
        <v>ACT/ACT</v>
        <stp/>
        <stp>##V3_BDPV12</stp>
        <stp>912827VS Govt</stp>
        <stp>DAY_CNT_DES</stp>
        <stp>[TREASURY.xlsx]Sheet1!R1205C17</stp>
        <tr r="Q1205" s="1"/>
      </tp>
      <tp t="s">
        <v>ACT/ACT</v>
        <stp/>
        <stp>##V3_BDPV12</stp>
        <stp>912827PY Govt</stp>
        <stp>DAY_CNT_DES</stp>
        <stp>[TREASURY.xlsx]Sheet1!R1493C17</stp>
        <tr r="Q1493" s="1"/>
      </tp>
      <tp t="s">
        <v>ACT/ACT</v>
        <stp/>
        <stp>##V3_BDPV12</stp>
        <stp>912827VP Govt</stp>
        <stp>DAY_CNT_DES</stp>
        <stp>[TREASURY.xlsx]Sheet1!R1204C17</stp>
        <tr r="Q1204" s="1"/>
      </tp>
      <tp t="s">
        <v>ACT/ACT</v>
        <stp/>
        <stp>##V3_BDPV12</stp>
        <stp>912827TQ Govt</stp>
        <stp>DAY_CNT_DES</stp>
        <stp>[TREASURY.xlsx]Sheet1!R1075C17</stp>
        <tr r="Q1075" s="1"/>
      </tp>
      <tp t="s">
        <v>ACT/ACT</v>
        <stp/>
        <stp>##V3_BDPV12</stp>
        <stp>912827Q3 Govt</stp>
        <stp>DAY_CNT_DES</stp>
        <stp>[TREASURY.xlsx]Sheet1!R1494C17</stp>
        <tr r="Q1494" s="1"/>
      </tp>
      <tp t="s">
        <v>ACT/ACT</v>
        <stp/>
        <stp>##V3_BDPV12</stp>
        <stp>912827T6 Govt</stp>
        <stp>DAY_CNT_DES</stp>
        <stp>[TREASURY.xlsx]Sheet1!R1191C17</stp>
        <tr r="Q1191" s="1"/>
      </tp>
      <tp t="s">
        <v>ACT/ACT</v>
        <stp/>
        <stp>##V3_BDPV12</stp>
        <stp>912827WJ Govt</stp>
        <stp>DAY_CNT_DES</stp>
        <stp>[TREASURY.xlsx]Sheet1!R1207C17</stp>
        <tr r="Q1207" s="1"/>
      </tp>
      <tp t="s">
        <v>ACT/ACT</v>
        <stp/>
        <stp>##V3_BDPV12</stp>
        <stp>912827UH Govt</stp>
        <stp>DAY_CNT_DES</stp>
        <stp>[TREASURY.xlsx]Sheet1!R1078C17</stp>
        <tr r="Q1078" s="1"/>
      </tp>
      <tp t="s">
        <v>ACT/ACT</v>
        <stp/>
        <stp>##V3_BDPV12</stp>
        <stp>912827QF Govt</stp>
        <stp>DAY_CNT_DES</stp>
        <stp>[TREASURY.xlsx]Sheet1!R1495C17</stp>
        <tr r="Q1495" s="1"/>
      </tp>
      <tp t="s">
        <v>ACT/ACT</v>
        <stp/>
        <stp>##V3_BDPV12</stp>
        <stp>912827WL Govt</stp>
        <stp>DAY_CNT_DES</stp>
        <stp>[TREASURY.xlsx]Sheet1!R1208C17</stp>
        <tr r="Q1208" s="1"/>
      </tp>
      <tp t="s">
        <v>ACT/ACT</v>
        <stp/>
        <stp>##V3_BDPV12</stp>
        <stp>912827PD Govt</stp>
        <stp>DAY_CNT_DES</stp>
        <stp>[TREASURY.xlsx]Sheet1!R1569C17</stp>
        <tr r="Q1569" s="1"/>
      </tp>
      <tp t="s">
        <v>ACT/ACT</v>
        <stp/>
        <stp>##V3_BDPV12</stp>
        <stp>912827QK Govt</stp>
        <stp>DAY_CNT_DES</stp>
        <stp>[TREASURY.xlsx]Sheet1!R1496C17</stp>
        <tr r="Q1496" s="1"/>
      </tp>
      <tp t="s">
        <v>ACT/ACT</v>
        <stp/>
        <stp>##V3_BDPV12</stp>
        <stp>912827UE Govt</stp>
        <stp>DAY_CNT_DES</stp>
        <stp>[TREASURY.xlsx]Sheet1!R1077C17</stp>
        <tr r="Q1077" s="1"/>
      </tp>
      <tp t="s">
        <v>ACT/ACT</v>
        <stp/>
        <stp>##V3_BDPV12</stp>
        <stp>912827TH Govt</stp>
        <stp>DAY_CNT_DES</stp>
        <stp>[TREASURY.xlsx]Sheet1!R1192C17</stp>
        <tr r="Q1192" s="1"/>
      </tp>
      <tp t="s">
        <v>ACT/ACT</v>
        <stp/>
        <stp>##V3_BDPV12</stp>
        <stp>912827WA Govt</stp>
        <stp>DAY_CNT_DES</stp>
        <stp>[TREASURY.xlsx]Sheet1!R1206C17</stp>
        <tr r="Q1206" s="1"/>
      </tp>
      <tp t="s">
        <v>ACT/ACT</v>
        <stp/>
        <stp>##V3_BDPV12</stp>
        <stp>912827TR Govt</stp>
        <stp>DAY_CNT_DES</stp>
        <stp>[TREASURY.xlsx]Sheet1!R1194C17</stp>
        <tr r="Q1194" s="1"/>
      </tp>
      <tp t="s">
        <v>ACT/ACT</v>
        <stp/>
        <stp>##V3_BDPV12</stp>
        <stp>912827UR Govt</stp>
        <stp>DAY_CNT_DES</stp>
        <stp>[TREASURY.xlsx]Sheet1!R1080C17</stp>
        <tr r="Q1080" s="1"/>
      </tp>
      <tp t="s">
        <v>ACT/ACT</v>
        <stp/>
        <stp>##V3_BDPV12</stp>
        <stp>912827TP Govt</stp>
        <stp>DAY_CNT_DES</stp>
        <stp>[TREASURY.xlsx]Sheet1!R1193C17</stp>
        <tr r="Q1193" s="1"/>
      </tp>
      <tp t="s">
        <v>ACT/ACT</v>
        <stp/>
        <stp>##V3_BDPV12</stp>
        <stp>912827WY Govt</stp>
        <stp>DAY_CNT_DES</stp>
        <stp>[TREASURY.xlsx]Sheet1!R1210C17</stp>
        <tr r="Q1210" s="1"/>
      </tp>
      <tp t="s">
        <v>ACT/ACT</v>
        <stp/>
        <stp>##V3_BDPV12</stp>
        <stp>912827QV Govt</stp>
        <stp>DAY_CNT_DES</stp>
        <stp>[TREASURY.xlsx]Sheet1!R1498C17</stp>
        <tr r="Q1498" s="1"/>
      </tp>
      <tp t="s">
        <v>ACT/ACT</v>
        <stp/>
        <stp>##V3_BDPV12</stp>
        <stp>912827PX Govt</stp>
        <stp>DAY_CNT_DES</stp>
        <stp>[TREASURY.xlsx]Sheet1!R1570C17</stp>
        <tr r="Q1570" s="1"/>
      </tp>
      <tp t="s">
        <v>ACT/ACT</v>
        <stp/>
        <stp>##V3_BDPV12</stp>
        <stp>912827PZ Govt</stp>
        <stp>DAY_CNT_DES</stp>
        <stp>[TREASURY.xlsx]Sheet1!R1571C17</stp>
        <tr r="Q1571" s="1"/>
      </tp>
      <tp t="s">
        <v>ACT/ACT</v>
        <stp/>
        <stp>##V3_BDPV12</stp>
        <stp>912827TT Govt</stp>
        <stp>DAY_CNT_DES</stp>
        <stp>[TREASURY.xlsx]Sheet1!R1195C17</stp>
        <tr r="Q1195" s="1"/>
      </tp>
      <tp t="s">
        <v>ACT/ACT</v>
        <stp/>
        <stp>##V3_BDPV12</stp>
        <stp>912827QU Govt</stp>
        <stp>DAY_CNT_DES</stp>
        <stp>[TREASURY.xlsx]Sheet1!R1497C17</stp>
        <tr r="Q1497" s="1"/>
      </tp>
      <tp t="s">
        <v>ACT/ACT</v>
        <stp/>
        <stp>##V3_BDPV12</stp>
        <stp>912827TX Govt</stp>
        <stp>DAY_CNT_DES</stp>
        <stp>[TREASURY.xlsx]Sheet1!R1196C17</stp>
        <tr r="Q1196" s="1"/>
      </tp>
      <tp t="s">
        <v>ACT/ACT</v>
        <stp/>
        <stp>##V3_BDPV12</stp>
        <stp>912827UX Govt</stp>
        <stp>DAY_CNT_DES</stp>
        <stp>[TREASURY.xlsx]Sheet1!R1081C17</stp>
        <tr r="Q1081" s="1"/>
      </tp>
      <tp t="s">
        <v>ACT/ACT</v>
        <stp/>
        <stp>##V3_BDPV12</stp>
        <stp>912827UQ Govt</stp>
        <stp>DAY_CNT_DES</stp>
        <stp>[TREASURY.xlsx]Sheet1!R1079C17</stp>
        <tr r="Q1079" s="1"/>
      </tp>
      <tp t="s">
        <v>ACT/ACT</v>
        <stp/>
        <stp>##V3_BDPV12</stp>
        <stp>912827WV Govt</stp>
        <stp>DAY_CNT_DES</stp>
        <stp>[TREASURY.xlsx]Sheet1!R1209C17</stp>
        <tr r="Q1209" s="1"/>
      </tp>
      <tp t="s">
        <v>ACT/ACT</v>
        <stp/>
        <stp>##V3_BDPV12</stp>
        <stp>912827S2 Govt</stp>
        <stp>DAY_CNT_DES</stp>
        <stp>[TREASURY.xlsx]Sheet1!R1181C17</stp>
        <tr r="Q1181" s="1"/>
      </tp>
      <tp t="s">
        <v>ACT/ACT</v>
        <stp/>
        <stp>##V3_BDPV12</stp>
        <stp>912827S6 Govt</stp>
        <stp>DAY_CNT_DES</stp>
        <stp>[TREASURY.xlsx]Sheet1!R1182C17</stp>
        <tr r="Q1182" s="1"/>
      </tp>
      <tp t="s">
        <v>ACT/ACT</v>
        <stp/>
        <stp>##V3_BDPV12</stp>
        <stp>912827Q6 Govt</stp>
        <stp>DAY_CNT_DES</stp>
        <stp>[TREASURY.xlsx]Sheet1!R1343C17</stp>
        <tr r="Q1343" s="1"/>
      </tp>
      <tp t="s">
        <v>ACT/ACT</v>
        <stp/>
        <stp>##V3_BDPV12</stp>
        <stp>912827V7 Govt</stp>
        <stp>DAY_CNT_DES</stp>
        <stp>[TREASURY.xlsx]Sheet1!R1410C17</stp>
        <tr r="Q1410" s="1"/>
      </tp>
      <tp t="s">
        <v>ACT/ACT</v>
        <stp/>
        <stp>##V3_BDPV12</stp>
        <stp>912827R3 Govt</stp>
        <stp>DAY_CNT_DES</stp>
        <stp>[TREASURY.xlsx]Sheet1!R1060C17</stp>
        <tr r="Q1060" s="1"/>
      </tp>
      <tp t="s">
        <v>ACT/ACT</v>
        <stp/>
        <stp>##V3_BDPV12</stp>
        <stp>912827SB Govt</stp>
        <stp>DAY_CNT_DES</stp>
        <stp>[TREASURY.xlsx]Sheet1!R1183C17</stp>
        <tr r="Q1183" s="1"/>
      </tp>
      <tp t="s">
        <v>ACT/ACT</v>
        <stp/>
        <stp>##V3_BDPV12</stp>
        <stp>912827QA Govt</stp>
        <stp>DAY_CNT_DES</stp>
        <stp>[TREASURY.xlsx]Sheet1!R1392C17</stp>
        <tr r="Q1392" s="1"/>
      </tp>
      <tp t="s">
        <v>ACT/ACT</v>
        <stp/>
        <stp>##V3_BDPV12</stp>
        <stp>912827RN Govt</stp>
        <stp>DAY_CNT_DES</stp>
        <stp>[TREASURY.xlsx]Sheet1!R1064C17</stp>
        <tr r="Q1064" s="1"/>
      </tp>
      <tp t="s">
        <v>ACT/ACT</v>
        <stp/>
        <stp>##V3_BDPV12</stp>
        <stp>912827SE Govt</stp>
        <stp>DAY_CNT_DES</stp>
        <stp>[TREASURY.xlsx]Sheet1!R1184C17</stp>
        <tr r="Q1184" s="1"/>
      </tp>
      <tp t="s">
        <v>ACT/ACT</v>
        <stp/>
        <stp>##V3_BDPV12</stp>
        <stp>912827RE Govt</stp>
        <stp>DAY_CNT_DES</stp>
        <stp>[TREASURY.xlsx]Sheet1!R1063C17</stp>
        <tr r="Q1063" s="1"/>
      </tp>
      <tp t="s">
        <v>ACT/ACT</v>
        <stp/>
        <stp>##V3_BDPV12</stp>
        <stp>912827VB Govt</stp>
        <stp>DAY_CNT_DES</stp>
        <stp>[TREASURY.xlsx]Sheet1!R1411C17</stp>
        <tr r="Q1411" s="1"/>
      </tp>
      <tp t="s">
        <v>ACT/ACT</v>
        <stp/>
        <stp>##V3_BDPV12</stp>
        <stp>912827SJ Govt</stp>
        <stp>DAY_CNT_DES</stp>
        <stp>[TREASURY.xlsx]Sheet1!R1185C17</stp>
        <tr r="Q1185" s="1"/>
      </tp>
      <tp t="s">
        <v>ACT/ACT</v>
        <stp/>
        <stp>##V3_BDPV12</stp>
        <stp>912827RA Govt</stp>
        <stp>DAY_CNT_DES</stp>
        <stp>[TREASURY.xlsx]Sheet1!R1061C17</stp>
        <tr r="Q1061" s="1"/>
      </tp>
      <tp t="s">
        <v>ACT/ACT</v>
        <stp/>
        <stp>##V3_BDPV12</stp>
        <stp>912827RC Govt</stp>
        <stp>DAY_CNT_DES</stp>
        <stp>[TREASURY.xlsx]Sheet1!R1062C17</stp>
        <tr r="Q1062" s="1"/>
      </tp>
      <tp t="s">
        <v>ACT/ACT</v>
        <stp/>
        <stp>##V3_BDPV12</stp>
        <stp>912827SS Govt</stp>
        <stp>DAY_CNT_DES</stp>
        <stp>[TREASURY.xlsx]Sheet1!R1188C17</stp>
        <tr r="Q1188" s="1"/>
      </tp>
      <tp t="s">
        <v>ACT/ACT</v>
        <stp/>
        <stp>##V3_BDPV12</stp>
        <stp>912827QS Govt</stp>
        <stp>DAY_CNT_DES</stp>
        <stp>[TREASURY.xlsx]Sheet1!R1393C17</stp>
        <tr r="Q1393" s="1"/>
      </tp>
      <tp t="s">
        <v>ACT/ACT</v>
        <stp/>
        <stp>##V3_BDPV12</stp>
        <stp>912827SQ Govt</stp>
        <stp>DAY_CNT_DES</stp>
        <stp>[TREASURY.xlsx]Sheet1!R1187C17</stp>
        <tr r="Q1187" s="1"/>
      </tp>
      <tp t="s">
        <v>ACT/ACT</v>
        <stp/>
        <stp>##V3_BDPV12</stp>
        <stp>912827SP Govt</stp>
        <stp>DAY_CNT_DES</stp>
        <stp>[TREASURY.xlsx]Sheet1!R1186C17</stp>
        <tr r="Q1186" s="1"/>
      </tp>
      <tp t="s">
        <v>ACT/ACT</v>
        <stp/>
        <stp>##V3_BDPV12</stp>
        <stp>912827SW Govt</stp>
        <stp>DAY_CNT_DES</stp>
        <stp>[TREASURY.xlsx]Sheet1!R1189C17</stp>
        <tr r="Q1189" s="1"/>
      </tp>
      <tp t="s">
        <v>ACT/ACT</v>
        <stp/>
        <stp>##V3_BDPV12</stp>
        <stp>912827WW Govt</stp>
        <stp>DAY_CNT_DES</stp>
        <stp>[TREASURY.xlsx]Sheet1!R1592C17</stp>
        <tr r="Q1592" s="1"/>
      </tp>
      <tp t="s">
        <v>ACT/ACT</v>
        <stp/>
        <stp>##V3_BDPV12</stp>
        <stp>912827QW Govt</stp>
        <stp>DAY_CNT_DES</stp>
        <stp>[TREASURY.xlsx]Sheet1!R1394C17</stp>
        <tr r="Q1394" s="1"/>
      </tp>
      <tp t="s">
        <v>ACT/ACT</v>
        <stp/>
        <stp>##V3_BDPV12</stp>
        <stp>912827WX Govt</stp>
        <stp>DAY_CNT_DES</stp>
        <stp>[TREASURY.xlsx]Sheet1!R1593C17</stp>
        <tr r="Q1593" s="1"/>
      </tp>
      <tp t="s">
        <v>ACT/ACT</v>
        <stp/>
        <stp>##V3_BDPV12</stp>
        <stp>912827SY Govt</stp>
        <stp>DAY_CNT_DES</stp>
        <stp>[TREASURY.xlsx]Sheet1!R1190C17</stp>
        <tr r="Q1190" s="1"/>
      </tp>
      <tp t="s">
        <v>ACT/ACT</v>
        <stp/>
        <stp>##V3_BDPV12</stp>
        <stp>912827QY Govt</stp>
        <stp>DAY_CNT_DES</stp>
        <stp>[TREASURY.xlsx]Sheet1!R1395C17</stp>
        <tr r="Q1395" s="1"/>
      </tp>
      <tp t="s">
        <v>ACT/ACT</v>
        <stp/>
        <stp>##V3_BDPV12</stp>
        <stp>912827VW Govt</stp>
        <stp>DAY_CNT_DES</stp>
        <stp>[TREASURY.xlsx]Sheet1!R1413C17</stp>
        <tr r="Q1413" s="1"/>
      </tp>
      <tp t="s">
        <v>ACT/ACT</v>
        <stp/>
        <stp>##V3_BDPV12</stp>
        <stp>912827VU Govt</stp>
        <stp>DAY_CNT_DES</stp>
        <stp>[TREASURY.xlsx]Sheet1!R1412C17</stp>
        <tr r="Q1412" s="1"/>
      </tp>
      <tp t="s">
        <v>ACT/ACT</v>
        <stp/>
        <stp>##V3_BDPV12</stp>
        <stp>912827P3 Govt</stp>
        <stp>DAY_CNT_DES</stp>
        <stp>[TREASURY.xlsx]Sheet1!R1386C17</stp>
        <tr r="Q1386" s="1"/>
      </tp>
      <tp t="s">
        <v>ACT/ACT</v>
        <stp/>
        <stp>##V3_BDPV12</stp>
        <stp>912827P9 Govt</stp>
        <stp>DAY_CNT_DES</stp>
        <stp>[TREASURY.xlsx]Sheet1!R1339C17</stp>
        <tr r="Q1339" s="1"/>
      </tp>
      <tp t="s">
        <v>ACT/ACT</v>
        <stp/>
        <stp>##V3_BDPV12</stp>
        <stp>912827V3 Govt</stp>
        <stp>DAY_CNT_DES</stp>
        <stp>[TREASURY.xlsx]Sheet1!R1591C17</stp>
        <tr r="Q1591" s="1"/>
      </tp>
      <tp t="s">
        <v>ACT/ACT</v>
        <stp/>
        <stp>##V3_BDPV12</stp>
        <stp>912827P6 Govt</stp>
        <stp>DAY_CNT_DES</stp>
        <stp>[TREASURY.xlsx]Sheet1!R1387C17</stp>
        <tr r="Q1387" s="1"/>
      </tp>
      <tp t="s">
        <v>ACT/ACT</v>
        <stp/>
        <stp>##V3_BDPV12</stp>
        <stp>912827W6 Govt</stp>
        <stp>DAY_CNT_DES</stp>
        <stp>[TREASURY.xlsx]Sheet1!R1415C17</stp>
        <tr r="Q1415" s="1"/>
      </tp>
      <tp t="s">
        <v>ACT/ACT</v>
        <stp/>
        <stp>##V3_BDPV12</stp>
        <stp>912827W7 Govt</stp>
        <stp>DAY_CNT_DES</stp>
        <stp>[TREASURY.xlsx]Sheet1!R1416C17</stp>
        <tr r="Q1416" s="1"/>
      </tp>
      <tp t="s">
        <v>ACT/ACT</v>
        <stp/>
        <stp>##V3_BDPV12</stp>
        <stp>912827P5 Govt</stp>
        <stp>DAY_CNT_DES</stp>
        <stp>[TREASURY.xlsx]Sheet1!R1337C17</stp>
        <tr r="Q1337" s="1"/>
      </tp>
      <tp t="s">
        <v>ACT/ACT</v>
        <stp/>
        <stp>##V3_BDPV12</stp>
        <stp>912827P7 Govt</stp>
        <stp>DAY_CNT_DES</stp>
        <stp>[TREASURY.xlsx]Sheet1!R1338C17</stp>
        <tr r="Q1338" s="1"/>
      </tp>
      <tp t="s">
        <v>ACT/ACT</v>
        <stp/>
        <stp>##V3_BDPV12</stp>
        <stp>912827W5 Govt</stp>
        <stp>DAY_CNT_DES</stp>
        <stp>[TREASURY.xlsx]Sheet1!R1414C17</stp>
        <tr r="Q1414" s="1"/>
      </tp>
      <tp t="s">
        <v>ACT/ACT</v>
        <stp/>
        <stp>##V3_BDPV12</stp>
        <stp>912827PB Govt</stp>
        <stp>DAY_CNT_DES</stp>
        <stp>[TREASURY.xlsx]Sheet1!R1388C17</stp>
        <tr r="Q1388" s="1"/>
      </tp>
      <tp t="s">
        <v>ACT/ACT</v>
        <stp/>
        <stp>##V3_BDPV12</stp>
        <stp>912827WH Govt</stp>
        <stp>DAY_CNT_DES</stp>
        <stp>[TREASURY.xlsx]Sheet1!R1417C17</stp>
        <tr r="Q1417" s="1"/>
      </tp>
      <tp t="s">
        <v>ACT/ACT</v>
        <stp/>
        <stp>##V3_BDPV12</stp>
        <stp>912827SN Govt</stp>
        <stp>DAY_CNT_DES</stp>
        <stp>[TREASURY.xlsx]Sheet1!R1066C17</stp>
        <tr r="Q1066" s="1"/>
      </tp>
      <tp t="s">
        <v>ACT/ACT</v>
        <stp/>
        <stp>##V3_BDPV12</stp>
        <stp>912827PK Govt</stp>
        <stp>DAY_CNT_DES</stp>
        <stp>[TREASURY.xlsx]Sheet1!R1340C17</stp>
        <tr r="Q1340" s="1"/>
      </tp>
      <tp t="s">
        <v>ACT/ACT</v>
        <stp/>
        <stp>##V3_BDPV12</stp>
        <stp>912827WM Govt</stp>
        <stp>DAY_CNT_DES</stp>
        <stp>[TREASURY.xlsx]Sheet1!R1418C17</stp>
        <tr r="Q1418" s="1"/>
      </tp>
      <tp t="s">
        <v>ACT/ACT</v>
        <stp/>
        <stp>##V3_BDPV12</stp>
        <stp>912827PJ Govt</stp>
        <stp>DAY_CNT_DES</stp>
        <stp>[TREASURY.xlsx]Sheet1!R1389C17</stp>
        <tr r="Q1389" s="1"/>
      </tp>
      <tp t="s">
        <v>ACT/ACT</v>
        <stp/>
        <stp>##V3_BDPV12</stp>
        <stp>912827SF Govt</stp>
        <stp>DAY_CNT_DES</stp>
        <stp>[TREASURY.xlsx]Sheet1!R1065C17</stp>
        <tr r="Q1065" s="1"/>
      </tp>
      <tp t="s">
        <v>ACT/ACT</v>
        <stp/>
        <stp>##V3_BDPV12</stp>
        <stp>912827PS Govt</stp>
        <stp>DAY_CNT_DES</stp>
        <stp>[TREASURY.xlsx]Sheet1!R1390C17</stp>
        <tr r="Q1390" s="1"/>
      </tp>
      <tp t="s">
        <v>ACT/ACT</v>
        <stp/>
        <stp>##V3_BDPV12</stp>
        <stp>912827WZ Govt</stp>
        <stp>DAY_CNT_DES</stp>
        <stp>[TREASURY.xlsx]Sheet1!R1423C17</stp>
        <tr r="Q1423" s="1"/>
      </tp>
      <tp t="s">
        <v>ACT/ACT</v>
        <stp/>
        <stp>##V3_BDPV12</stp>
        <stp>912827PV Govt</stp>
        <stp>DAY_CNT_DES</stp>
        <stp>[TREASURY.xlsx]Sheet1!R1391C17</stp>
        <tr r="Q1391" s="1"/>
      </tp>
      <tp t="s">
        <v>ACT/ACT</v>
        <stp/>
        <stp>##V3_BDPV12</stp>
        <stp>912827SZ Govt</stp>
        <stp>DAY_CNT_DES</stp>
        <stp>[TREASURY.xlsx]Sheet1!R1068C17</stp>
        <tr r="Q1068" s="1"/>
      </tp>
      <tp t="s">
        <v>ACT/ACT</v>
        <stp/>
        <stp>##V3_BDPV12</stp>
        <stp>912827ST Govt</stp>
        <stp>DAY_CNT_DES</stp>
        <stp>[TREASURY.xlsx]Sheet1!R1067C17</stp>
        <tr r="Q1067" s="1"/>
      </tp>
      <tp t="s">
        <v>ACT/ACT</v>
        <stp/>
        <stp>##V3_BDPV12</stp>
        <stp>912827WP Govt</stp>
        <stp>DAY_CNT_DES</stp>
        <stp>[TREASURY.xlsx]Sheet1!R1419C17</stp>
        <tr r="Q1419" s="1"/>
      </tp>
      <tp t="s">
        <v>ACT/ACT</v>
        <stp/>
        <stp>##V3_BDPV12</stp>
        <stp>912827WS Govt</stp>
        <stp>DAY_CNT_DES</stp>
        <stp>[TREASURY.xlsx]Sheet1!R1420C17</stp>
        <tr r="Q1420" s="1"/>
      </tp>
      <tp t="s">
        <v>ACT/ACT</v>
        <stp/>
        <stp>##V3_BDPV12</stp>
        <stp>912827PT Govt</stp>
        <stp>DAY_CNT_DES</stp>
        <stp>[TREASURY.xlsx]Sheet1!R1342C17</stp>
        <tr r="Q1342" s="1"/>
      </tp>
      <tp t="s">
        <v>ACT/ACT</v>
        <stp/>
        <stp>##V3_BDPV12</stp>
        <stp>912827WU Govt</stp>
        <stp>DAY_CNT_DES</stp>
        <stp>[TREASURY.xlsx]Sheet1!R1422C17</stp>
        <tr r="Q1422" s="1"/>
      </tp>
      <tp t="s">
        <v>ACT/ACT</v>
        <stp/>
        <stp>##V3_BDPV12</stp>
        <stp>912827PR Govt</stp>
        <stp>DAY_CNT_DES</stp>
        <stp>[TREASURY.xlsx]Sheet1!R1341C17</stp>
        <tr r="Q1341" s="1"/>
      </tp>
      <tp t="s">
        <v>ACT/ACT</v>
        <stp/>
        <stp>##V3_BDPV12</stp>
        <stp>912827WT Govt</stp>
        <stp>DAY_CNT_DES</stp>
        <stp>[TREASURY.xlsx]Sheet1!R1421C17</stp>
        <tr r="Q1421" s="1"/>
      </tp>
      <tp t="s">
        <v>T</v>
        <stp/>
        <stp>##V3_BDPV12</stp>
        <stp>912828H8 Govt</stp>
        <stp>TICKER</stp>
        <stp>[TREASURY.xlsx]Sheet1!R247C2</stp>
        <tr r="B247" s="1"/>
      </tp>
      <tp t="s">
        <v>ACT/ACT</v>
        <stp/>
        <stp>##V3_BDPV12</stp>
        <stp>912827Q4 Govt</stp>
        <stp>DAY_CNT_DES</stp>
        <stp>[TREASURY.xlsx]Sheet1!R1177C17</stp>
        <tr r="Q1177" s="1"/>
      </tp>
      <tp t="s">
        <v>ACT/ACT</v>
        <stp/>
        <stp>##V3_BDPV12</stp>
        <stp>912827Q7 Govt</stp>
        <stp>DAY_CNT_DES</stp>
        <stp>[TREASURY.xlsx]Sheet1!R1178C17</stp>
        <tr r="Q1178" s="1"/>
      </tp>
      <tp t="s">
        <v>ACT/ACT</v>
        <stp/>
        <stp>##V3_BDPV12</stp>
        <stp>912827U7 Govt</stp>
        <stp>DAY_CNT_DES</stp>
        <stp>[TREASURY.xlsx]Sheet1!R1511C17</stp>
        <tr r="Q1511" s="1"/>
      </tp>
      <tp t="s">
        <v>ACT/ACT</v>
        <stp/>
        <stp>##V3_BDPV12</stp>
        <stp>912827Q2 Govt</stp>
        <stp>DAY_CNT_DES</stp>
        <stp>[TREASURY.xlsx]Sheet1!R1176C17</stp>
        <tr r="Q1176" s="1"/>
      </tp>
      <tp t="s">
        <v>ACT/ACT</v>
        <stp/>
        <stp>##V3_BDPV12</stp>
        <stp>912827QN Govt</stp>
        <stp>DAY_CNT_DES</stp>
        <stp>[TREASURY.xlsx]Sheet1!R1179C17</stp>
        <tr r="Q1179" s="1"/>
      </tp>
      <tp t="s">
        <v>ACT/ACT</v>
        <stp/>
        <stp>##V3_BDPV12</stp>
        <stp>912827TM Govt</stp>
        <stp>DAY_CNT_DES</stp>
        <stp>[TREASURY.xlsx]Sheet1!R1400C17</stp>
        <tr r="Q1400" s="1"/>
      </tp>
      <tp t="s">
        <v>ACT/ACT</v>
        <stp/>
        <stp>##V3_BDPV12</stp>
        <stp>912827PE Govt</stp>
        <stp>DAY_CNT_DES</stp>
        <stp>[TREASURY.xlsx]Sheet1!R1054C17</stp>
        <tr r="Q1054" s="1"/>
      </tp>
      <tp t="s">
        <v>ACT/ACT</v>
        <stp/>
        <stp>##V3_BDPV12</stp>
        <stp>912827UD Govt</stp>
        <stp>DAY_CNT_DES</stp>
        <stp>[TREASURY.xlsx]Sheet1!R1512C17</stp>
        <tr r="Q1512" s="1"/>
      </tp>
      <tp t="s">
        <v>ACT/ACT</v>
        <stp/>
        <stp>##V3_BDPV12</stp>
        <stp>912827SR Govt</stp>
        <stp>DAY_CNT_DES</stp>
        <stp>[TREASURY.xlsx]Sheet1!R1396C17</stp>
        <tr r="Q1396" s="1"/>
      </tp>
      <tp t="s">
        <v>ACT/ACT</v>
        <stp/>
        <stp>##V3_BDPV12</stp>
        <stp>912827QQ Govt</stp>
        <stp>DAY_CNT_DES</stp>
        <stp>[TREASURY.xlsx]Sheet1!R1180C17</stp>
        <tr r="Q1180" s="1"/>
      </tp>
      <tp t="s">
        <v>ACT/ACT</v>
        <stp/>
        <stp>##V3_BDPV12</stp>
        <stp>912827UY Govt</stp>
        <stp>DAY_CNT_DES</stp>
        <stp>[TREASURY.xlsx]Sheet1!R1590C17</stp>
        <tr r="Q1590" s="1"/>
      </tp>
      <tp t="s">
        <v>ACT/ACT</v>
        <stp/>
        <stp>##V3_BDPV12</stp>
        <stp>912827TW Govt</stp>
        <stp>DAY_CNT_DES</stp>
        <stp>[TREASURY.xlsx]Sheet1!R1402C17</stp>
        <tr r="Q1402" s="1"/>
      </tp>
      <tp t="s">
        <v>ACT/ACT</v>
        <stp/>
        <stp>##V3_BDPV12</stp>
        <stp>912827TU Govt</stp>
        <stp>DAY_CNT_DES</stp>
        <stp>[TREASURY.xlsx]Sheet1!R1401C17</stp>
        <tr r="Q1401" s="1"/>
      </tp>
      <tp t="s">
        <v>T</v>
        <stp/>
        <stp>##V3_BDPV12</stp>
        <stp>912828F9 Govt</stp>
        <stp>TICKER</stp>
        <stp>[TREASURY.xlsx]Sheet1!R199C2</stp>
        <tr r="B199" s="1"/>
      </tp>
      <tp t="s">
        <v>T</v>
        <stp/>
        <stp>##V3_BDPV12</stp>
        <stp>912828M9 Govt</stp>
        <stp>TICKER</stp>
        <stp>[TREASURY.xlsx]Sheet1!R592C2</stp>
        <tr r="B592" s="1"/>
      </tp>
      <tp t="s">
        <v>ACT/ACT</v>
        <stp/>
        <stp>##V3_BDPV12</stp>
        <stp>912827T9 Govt</stp>
        <stp>DAY_CNT_DES</stp>
        <stp>[TREASURY.xlsx]Sheet1!R1505C17</stp>
        <tr r="Q1505" s="1"/>
      </tp>
      <tp t="s">
        <v>ACT/ACT</v>
        <stp/>
        <stp>##V3_BDPV12</stp>
        <stp>912827P4 Govt</stp>
        <stp>DAY_CNT_DES</stp>
        <stp>[TREASURY.xlsx]Sheet1!R1171C17</stp>
        <tr r="Q1171" s="1"/>
      </tp>
      <tp t="s">
        <v>ACT/ACT</v>
        <stp/>
        <stp>##V3_BDPV12</stp>
        <stp>912827U4 Govt</stp>
        <stp>DAY_CNT_DES</stp>
        <stp>[TREASURY.xlsx]Sheet1!R1403C17</stp>
        <tr r="Q1403" s="1"/>
      </tp>
      <tp t="s">
        <v>ACT/ACT</v>
        <stp/>
        <stp>##V3_BDPV12</stp>
        <stp>912827TK Govt</stp>
        <stp>DAY_CNT_DES</stp>
        <stp>[TREASURY.xlsx]Sheet1!R1508C17</stp>
        <tr r="Q1508" s="1"/>
      </tp>
      <tp t="s">
        <v>ACT/ACT</v>
        <stp/>
        <stp>##V3_BDPV12</stp>
        <stp>912827PM Govt</stp>
        <stp>DAY_CNT_DES</stp>
        <stp>[TREASURY.xlsx]Sheet1!R1174C17</stp>
        <tr r="Q1174" s="1"/>
      </tp>
      <tp t="s">
        <v>ACT/ACT</v>
        <stp/>
        <stp>##V3_BDPV12</stp>
        <stp>912827QM Govt</stp>
        <stp>DAY_CNT_DES</stp>
        <stp>[TREASURY.xlsx]Sheet1!R1058C17</stp>
        <tr r="Q1058" s="1"/>
      </tp>
      <tp t="s">
        <v>ACT/ACT</v>
        <stp/>
        <stp>##V3_BDPV12</stp>
        <stp>912827UN Govt</stp>
        <stp>DAY_CNT_DES</stp>
        <stp>[TREASURY.xlsx]Sheet1!R1406C17</stp>
        <tr r="Q1406" s="1"/>
      </tp>
      <tp t="s">
        <v>ACT/ACT</v>
        <stp/>
        <stp>##V3_BDPV12</stp>
        <stp>912827QH Govt</stp>
        <stp>DAY_CNT_DES</stp>
        <stp>[TREASURY.xlsx]Sheet1!R1057C17</stp>
        <tr r="Q1057" s="1"/>
      </tp>
      <tp t="s">
        <v>ACT/ACT</v>
        <stp/>
        <stp>##V3_BDPV12</stp>
        <stp>912827UM Govt</stp>
        <stp>DAY_CNT_DES</stp>
        <stp>[TREASURY.xlsx]Sheet1!R1405C17</stp>
        <tr r="Q1405" s="1"/>
      </tp>
      <tp t="s">
        <v>ACT/ACT</v>
        <stp/>
        <stp>##V3_BDPV12</stp>
        <stp>912827TL Govt</stp>
        <stp>DAY_CNT_DES</stp>
        <stp>[TREASURY.xlsx]Sheet1!R1509C17</stp>
        <tr r="Q1509" s="1"/>
      </tp>
      <tp t="s">
        <v>ACT/ACT</v>
        <stp/>
        <stp>##V3_BDPV12</stp>
        <stp>912827TC Govt</stp>
        <stp>DAY_CNT_DES</stp>
        <stp>[TREASURY.xlsx]Sheet1!R1506C17</stp>
        <tr r="Q1506" s="1"/>
      </tp>
      <tp t="s">
        <v>ACT/ACT</v>
        <stp/>
        <stp>##V3_BDPV12</stp>
        <stp>912827QD Govt</stp>
        <stp>DAY_CNT_DES</stp>
        <stp>[TREASURY.xlsx]Sheet1!R1056C17</stp>
        <tr r="Q1056" s="1"/>
      </tp>
      <tp t="s">
        <v>ACT/ACT</v>
        <stp/>
        <stp>##V3_BDPV12</stp>
        <stp>912827PG Govt</stp>
        <stp>DAY_CNT_DES</stp>
        <stp>[TREASURY.xlsx]Sheet1!R1173C17</stp>
        <tr r="Q1173" s="1"/>
      </tp>
      <tp t="s">
        <v>ACT/ACT</v>
        <stp/>
        <stp>##V3_BDPV12</stp>
        <stp>912827PA Govt</stp>
        <stp>DAY_CNT_DES</stp>
        <stp>[TREASURY.xlsx]Sheet1!R1172C17</stp>
        <tr r="Q1172" s="1"/>
      </tp>
      <tp t="s">
        <v>ACT/ACT</v>
        <stp/>
        <stp>##V3_BDPV12</stp>
        <stp>912827UF Govt</stp>
        <stp>DAY_CNT_DES</stp>
        <stp>[TREASURY.xlsx]Sheet1!R1404C17</stp>
        <tr r="Q1404" s="1"/>
      </tp>
      <tp t="s">
        <v>ACT/ACT</v>
        <stp/>
        <stp>##V3_BDPV12</stp>
        <stp>912827QC Govt</stp>
        <stp>DAY_CNT_DES</stp>
        <stp>[TREASURY.xlsx]Sheet1!R1055C17</stp>
        <tr r="Q1055" s="1"/>
      </tp>
      <tp t="s">
        <v>ACT/ACT</v>
        <stp/>
        <stp>##V3_BDPV12</stp>
        <stp>912827TE Govt</stp>
        <stp>DAY_CNT_DES</stp>
        <stp>[TREASURY.xlsx]Sheet1!R1507C17</stp>
        <tr r="Q1507" s="1"/>
      </tp>
      <tp t="s">
        <v>ACT/ACT</v>
        <stp/>
        <stp>##V3_BDPV12</stp>
        <stp>912827UZ Govt</stp>
        <stp>DAY_CNT_DES</stp>
        <stp>[TREASURY.xlsx]Sheet1!R1409C17</stp>
        <tr r="Q1409" s="1"/>
      </tp>
      <tp t="s">
        <v>ACT/ACT</v>
        <stp/>
        <stp>##V3_BDPV12</stp>
        <stp>912827US Govt</stp>
        <stp>DAY_CNT_DES</stp>
        <stp>[TREASURY.xlsx]Sheet1!R1407C17</stp>
        <tr r="Q1407" s="1"/>
      </tp>
      <tp t="s">
        <v>ACT/ACT</v>
        <stp/>
        <stp>##V3_BDPV12</stp>
        <stp>912827PU Govt</stp>
        <stp>DAY_CNT_DES</stp>
        <stp>[TREASURY.xlsx]Sheet1!R1175C17</stp>
        <tr r="Q1175" s="1"/>
      </tp>
      <tp t="s">
        <v>ACT/ACT</v>
        <stp/>
        <stp>##V3_BDPV12</stp>
        <stp>912827QT Govt</stp>
        <stp>DAY_CNT_DES</stp>
        <stp>[TREASURY.xlsx]Sheet1!R1059C17</stp>
        <tr r="Q1059" s="1"/>
      </tp>
      <tp t="s">
        <v>ACT/ACT</v>
        <stp/>
        <stp>##V3_BDPV12</stp>
        <stp>912827TV Govt</stp>
        <stp>DAY_CNT_DES</stp>
        <stp>[TREASURY.xlsx]Sheet1!R1510C17</stp>
        <tr r="Q1510" s="1"/>
      </tp>
      <tp t="s">
        <v>ACT/ACT</v>
        <stp/>
        <stp>##V3_BDPV12</stp>
        <stp>912827UU Govt</stp>
        <stp>DAY_CNT_DES</stp>
        <stp>[TREASURY.xlsx]Sheet1!R1408C17</stp>
        <tr r="Q1408" s="1"/>
      </tp>
      <tp t="s">
        <v>T</v>
        <stp/>
        <stp>##V3_BDPV12</stp>
        <stp>912828N6 Govt</stp>
        <stp>TICKER</stp>
        <stp>[TREASURY.xlsx]Sheet1!R621C2</stp>
        <tr r="B621" s="1"/>
      </tp>
      <tp t="s">
        <v>ACT/ACT</v>
        <stp/>
        <stp>##V3_BDPV12</stp>
        <stp>912827XY Govt</stp>
        <stp>DAY_CNT_DES</stp>
        <stp>[TREASURY.xlsx]Sheet1!R1600C17</stp>
        <tr r="Q1600" s="1"/>
      </tp>
      <tp t="s">
        <v>ACT/ACT</v>
        <stp/>
        <stp>##V3_BDPV12</stp>
        <stp>912827Y3 Govt</stp>
        <stp>DAY_CNT_DES</stp>
        <stp>[TREASURY.xlsx]Sheet1!R1601C17</stp>
        <tr r="Q1601" s="1"/>
      </tp>
      <tp t="s">
        <v>ACT/ACT</v>
        <stp/>
        <stp>##V3_BDPV12</stp>
        <stp>912827Y4 Govt</stp>
        <stp>DAY_CNT_DES</stp>
        <stp>[TREASURY.xlsx]Sheet1!R1602C17</stp>
        <tr r="Q1602" s="1"/>
      </tp>
      <tp t="s">
        <v>ACT/ACT</v>
        <stp/>
        <stp>##V3_BDPV12</stp>
        <stp>912827YL Govt</stp>
        <stp>DAY_CNT_DES</stp>
        <stp>[TREASURY.xlsx]Sheet1!R1605C17</stp>
        <tr r="Q1605" s="1"/>
      </tp>
      <tp t="s">
        <v>ACT/ACT</v>
        <stp/>
        <stp>##V3_BDPV12</stp>
        <stp>912827YF Govt</stp>
        <stp>DAY_CNT_DES</stp>
        <stp>[TREASURY.xlsx]Sheet1!R1604C17</stp>
        <tr r="Q1604" s="1"/>
      </tp>
      <tp t="s">
        <v>ACT/ACT</v>
        <stp/>
        <stp>##V3_BDPV12</stp>
        <stp>912827YD Govt</stp>
        <stp>DAY_CNT_DES</stp>
        <stp>[TREASURY.xlsx]Sheet1!R1603C17</stp>
        <tr r="Q1603" s="1"/>
      </tp>
      <tp t="s">
        <v>ACT/ACT</v>
        <stp/>
        <stp>##V3_BDPV12</stp>
        <stp>912827YP Govt</stp>
        <stp>DAY_CNT_DES</stp>
        <stp>[TREASURY.xlsx]Sheet1!R1606C17</stp>
        <tr r="Q1606" s="1"/>
      </tp>
      <tp t="s">
        <v>ACT/ACT</v>
        <stp/>
        <stp>##V3_BDPV12</stp>
        <stp>912827YW Govt</stp>
        <stp>DAY_CNT_DES</stp>
        <stp>[TREASURY.xlsx]Sheet1!R1607C17</stp>
        <tr r="Q1607" s="1"/>
      </tp>
      <tp t="s">
        <v>ACT/ACT</v>
        <stp/>
        <stp>##V3_BDPV12</stp>
        <stp>912827Z3 Govt</stp>
        <stp>DAY_CNT_DES</stp>
        <stp>[TREASURY.xlsx]Sheet1!R1608C17</stp>
        <tr r="Q1608" s="1"/>
      </tp>
      <tp t="s">
        <v>ACT/ACT</v>
        <stp/>
        <stp>##V3_BDPV12</stp>
        <stp>912827Z5 Govt</stp>
        <stp>DAY_CNT_DES</stp>
        <stp>[TREASURY.xlsx]Sheet1!R1609C17</stp>
        <tr r="Q1609" s="1"/>
      </tp>
      <tp t="s">
        <v>ACT/ACT</v>
        <stp/>
        <stp>##V3_BDPV12</stp>
        <stp>912827ZD Govt</stp>
        <stp>DAY_CNT_DES</stp>
        <stp>[TREASURY.xlsx]Sheet1!R1610C17</stp>
        <tr r="Q1610" s="1"/>
      </tp>
      <tp t="s">
        <v>ACT/ACT</v>
        <stp/>
        <stp>##V3_BDPV12</stp>
        <stp>912827ZZ Govt</stp>
        <stp>DAY_CNT_DES</stp>
        <stp>[TREASURY.xlsx]Sheet1!R1614C17</stp>
        <tr r="Q1614" s="1"/>
      </tp>
      <tp t="s">
        <v>ACT/ACT</v>
        <stp/>
        <stp>##V3_BDPV12</stp>
        <stp>912827ZY Govt</stp>
        <stp>DAY_CNT_DES</stp>
        <stp>[TREASURY.xlsx]Sheet1!R1613C17</stp>
        <tr r="Q1613" s="1"/>
      </tp>
      <tp t="s">
        <v>ACT/ACT</v>
        <stp/>
        <stp>##V3_BDPV12</stp>
        <stp>912827ZQ Govt</stp>
        <stp>DAY_CNT_DES</stp>
        <stp>[TREASURY.xlsx]Sheet1!R1611C17</stp>
        <tr r="Q1611" s="1"/>
      </tp>
      <tp t="s">
        <v>ACT/ACT</v>
        <stp/>
        <stp>##V3_BDPV12</stp>
        <stp>912827ZT Govt</stp>
        <stp>DAY_CNT_DES</stp>
        <stp>[TREASURY.xlsx]Sheet1!R1612C17</stp>
        <tr r="Q1612" s="1"/>
      </tp>
      <tp t="s">
        <v>ACT/ACT</v>
        <stp/>
        <stp>##V3_BDPV12</stp>
        <stp>912827XB Govt</stp>
        <stp>DAY_CNT_DES</stp>
        <stp>[TREASURY.xlsx]Sheet1!R1595C17</stp>
        <tr r="Q1595" s="1"/>
      </tp>
      <tp t="s">
        <v>ACT/ACT</v>
        <stp/>
        <stp>##V3_BDPV12</stp>
        <stp>912827XA Govt</stp>
        <stp>DAY_CNT_DES</stp>
        <stp>[TREASURY.xlsx]Sheet1!R1594C17</stp>
        <tr r="Q1594" s="1"/>
      </tp>
      <tp t="s">
        <v>ACT/ACT</v>
        <stp/>
        <stp>##V3_BDPV12</stp>
        <stp>912827XF Govt</stp>
        <stp>DAY_CNT_DES</stp>
        <stp>[TREASURY.xlsx]Sheet1!R1596C17</stp>
        <tr r="Q1596" s="1"/>
      </tp>
      <tp t="s">
        <v>ACT/ACT</v>
        <stp/>
        <stp>##V3_BDPV12</stp>
        <stp>912827XG Govt</stp>
        <stp>DAY_CNT_DES</stp>
        <stp>[TREASURY.xlsx]Sheet1!R1597C17</stp>
        <tr r="Q1597" s="1"/>
      </tp>
      <tp t="s">
        <v>ACT/ACT</v>
        <stp/>
        <stp>##V3_BDPV12</stp>
        <stp>912827XN Govt</stp>
        <stp>DAY_CNT_DES</stp>
        <stp>[TREASURY.xlsx]Sheet1!R1598C17</stp>
        <tr r="Q1598" s="1"/>
      </tp>
      <tp t="s">
        <v>ACT/ACT</v>
        <stp/>
        <stp>##V3_BDPV12</stp>
        <stp>912827XV Govt</stp>
        <stp>DAY_CNT_DES</stp>
        <stp>[TREASURY.xlsx]Sheet1!R1599C17</stp>
        <tr r="Q1599" s="1"/>
      </tp>
      <tp t="s">
        <v>T</v>
        <stp/>
        <stp>##V3_BDPV12</stp>
        <stp>912828L2 Govt</stp>
        <stp>TICKER</stp>
        <stp>[TREASURY.xlsx]Sheet1!R173C2</stp>
        <tr r="B173" s="1"/>
      </tp>
      <tp t="s">
        <v>ACT/ACT</v>
        <stp/>
        <stp>##V3_BDPV12</stp>
        <stp>912827X8 Govt</stp>
        <stp>DAY_CNT_DES</stp>
        <stp>[TREASURY.xlsx]Sheet1!R1213C17</stp>
        <tr r="Q1213" s="1"/>
      </tp>
      <tp t="s">
        <v>ACT/ACT</v>
        <stp/>
        <stp>##V3_BDPV12</stp>
        <stp>912827X2 Govt</stp>
        <stp>DAY_CNT_DES</stp>
        <stp>[TREASURY.xlsx]Sheet1!R1211C17</stp>
        <tr r="Q1211" s="1"/>
      </tp>
      <tp t="s">
        <v>ACT/ACT</v>
        <stp/>
        <stp>##V3_BDPV12</stp>
        <stp>912827X6 Govt</stp>
        <stp>DAY_CNT_DES</stp>
        <stp>[TREASURY.xlsx]Sheet1!R1212C17</stp>
        <tr r="Q1212" s="1"/>
      </tp>
      <tp t="s">
        <v>ACT/ACT</v>
        <stp/>
        <stp>##V3_BDPV12</stp>
        <stp>912827XL Govt</stp>
        <stp>DAY_CNT_DES</stp>
        <stp>[TREASURY.xlsx]Sheet1!R1214C17</stp>
        <tr r="Q1214" s="1"/>
      </tp>
      <tp t="s">
        <v>ACT/ACT</v>
        <stp/>
        <stp>##V3_BDPV12</stp>
        <stp>912827XM Govt</stp>
        <stp>DAY_CNT_DES</stp>
        <stp>[TREASURY.xlsx]Sheet1!R1215C17</stp>
        <tr r="Q1215" s="1"/>
      </tp>
      <tp t="s">
        <v>ACT/ACT</v>
        <stp/>
        <stp>##V3_BDPV12</stp>
        <stp>912827XR Govt</stp>
        <stp>DAY_CNT_DES</stp>
        <stp>[TREASURY.xlsx]Sheet1!R1216C17</stp>
        <tr r="Q1216" s="1"/>
      </tp>
      <tp t="s">
        <v>ACT/ACT</v>
        <stp/>
        <stp>##V3_BDPV12</stp>
        <stp>912827XW Govt</stp>
        <stp>DAY_CNT_DES</stp>
        <stp>[TREASURY.xlsx]Sheet1!R1218C17</stp>
        <tr r="Q1218" s="1"/>
      </tp>
      <tp t="s">
        <v>ACT/ACT</v>
        <stp/>
        <stp>##V3_BDPV12</stp>
        <stp>912827XU Govt</stp>
        <stp>DAY_CNT_DES</stp>
        <stp>[TREASURY.xlsx]Sheet1!R1217C17</stp>
        <tr r="Q1217" s="1"/>
      </tp>
      <tp t="s">
        <v>ACT/ACT</v>
        <stp/>
        <stp>##V3_BDPV12</stp>
        <stp>912827Z8 Govt</stp>
        <stp>DAY_CNT_DES</stp>
        <stp>[TREASURY.xlsx]Sheet1!R1102C17</stp>
        <tr r="Q1102" s="1"/>
      </tp>
      <tp t="s">
        <v>ACT/ACT</v>
        <stp/>
        <stp>##V3_BDPV12</stp>
        <stp>912827Y7 Govt</stp>
        <stp>DAY_CNT_DES</stp>
        <stp>[TREASURY.xlsx]Sheet1!R1219C17</stp>
        <tr r="Q1219" s="1"/>
      </tp>
      <tp t="s">
        <v>ACT/ACT</v>
        <stp/>
        <stp>##V3_BDPV12</stp>
        <stp>912827YH Govt</stp>
        <stp>DAY_CNT_DES</stp>
        <stp>[TREASURY.xlsx]Sheet1!R1221C17</stp>
        <tr r="Q1221" s="1"/>
      </tp>
      <tp t="s">
        <v>ACT/ACT</v>
        <stp/>
        <stp>##V3_BDPV12</stp>
        <stp>912827YK Govt</stp>
        <stp>DAY_CNT_DES</stp>
        <stp>[TREASURY.xlsx]Sheet1!R1222C17</stp>
        <tr r="Q1222" s="1"/>
      </tp>
      <tp t="s">
        <v>ACT/ACT</v>
        <stp/>
        <stp>##V3_BDPV12</stp>
        <stp>912827YC Govt</stp>
        <stp>DAY_CNT_DES</stp>
        <stp>[TREASURY.xlsx]Sheet1!R1220C17</stp>
        <tr r="Q1220" s="1"/>
      </tp>
      <tp t="s">
        <v>ACT/ACT</v>
        <stp/>
        <stp>##V3_BDPV12</stp>
        <stp>912827ZG Govt</stp>
        <stp>DAY_CNT_DES</stp>
        <stp>[TREASURY.xlsx]Sheet1!R1103C17</stp>
        <tr r="Q1103" s="1"/>
      </tp>
      <tp t="s">
        <v>ACT/ACT</v>
        <stp/>
        <stp>##V3_BDPV12</stp>
        <stp>912827YQ Govt</stp>
        <stp>DAY_CNT_DES</stp>
        <stp>[TREASURY.xlsx]Sheet1!R1223C17</stp>
        <tr r="Q1223" s="1"/>
      </tp>
      <tp t="s">
        <v>ACT/ACT</v>
        <stp/>
        <stp>##V3_BDPV12</stp>
        <stp>912827YU Govt</stp>
        <stp>DAY_CNT_DES</stp>
        <stp>[TREASURY.xlsx]Sheet1!R1224C17</stp>
        <tr r="Q1224" s="1"/>
      </tp>
      <tp t="s">
        <v>ACT/ACT</v>
        <stp/>
        <stp>##V3_BDPV12</stp>
        <stp>912827ZW Govt</stp>
        <stp>DAY_CNT_DES</stp>
        <stp>[TREASURY.xlsx]Sheet1!R1104C17</stp>
        <tr r="Q1104" s="1"/>
      </tp>
      <tp t="s">
        <v>ACT/ACT</v>
        <stp/>
        <stp>##V3_BDPV12</stp>
        <stp>912827X3 Govt</stp>
        <stp>DAY_CNT_DES</stp>
        <stp>[TREASURY.xlsx]Sheet1!R1094C17</stp>
        <tr r="Q1094" s="1"/>
      </tp>
      <tp t="s">
        <v>ACT/ACT</v>
        <stp/>
        <stp>##V3_BDPV12</stp>
        <stp>912827X7 Govt</stp>
        <stp>DAY_CNT_DES</stp>
        <stp>[TREASURY.xlsx]Sheet1!R1095C17</stp>
        <tr r="Q1095" s="1"/>
      </tp>
      <tp t="s">
        <v>ACT/ACT</v>
        <stp/>
        <stp>##V3_BDPV12</stp>
        <stp>912827Z4 Govt</stp>
        <stp>DAY_CNT_DES</stp>
        <stp>[TREASURY.xlsx]Sheet1!R1225C17</stp>
        <tr r="Q1225" s="1"/>
      </tp>
      <tp t="s">
        <v>ACT/ACT</v>
        <stp/>
        <stp>##V3_BDPV12</stp>
        <stp>912827Z6 Govt</stp>
        <stp>DAY_CNT_DES</stp>
        <stp>[TREASURY.xlsx]Sheet1!R1226C17</stp>
        <tr r="Q1226" s="1"/>
      </tp>
      <tp t="s">
        <v>ACT/ACT</v>
        <stp/>
        <stp>##V3_BDPV12</stp>
        <stp>912827ZM Govt</stp>
        <stp>DAY_CNT_DES</stp>
        <stp>[TREASURY.xlsx]Sheet1!R1230C17</stp>
        <tr r="Q1230" s="1"/>
      </tp>
      <tp t="s">
        <v>ACT/ACT</v>
        <stp/>
        <stp>##V3_BDPV12</stp>
        <stp>912827ZA Govt</stp>
        <stp>DAY_CNT_DES</stp>
        <stp>[TREASURY.xlsx]Sheet1!R1227C17</stp>
        <tr r="Q1227" s="1"/>
      </tp>
      <tp t="s">
        <v>ACT/ACT</v>
        <stp/>
        <stp>##V3_BDPV12</stp>
        <stp>912827YB Govt</stp>
        <stp>DAY_CNT_DES</stp>
        <stp>[TREASURY.xlsx]Sheet1!R1100C17</stp>
        <tr r="Q1100" s="1"/>
      </tp>
      <tp t="s">
        <v>ACT/ACT</v>
        <stp/>
        <stp>##V3_BDPV12</stp>
        <stp>912827ZB Govt</stp>
        <stp>DAY_CNT_DES</stp>
        <stp>[TREASURY.xlsx]Sheet1!R1228C17</stp>
        <tr r="Q1228" s="1"/>
      </tp>
      <tp t="s">
        <v>ACT/ACT</v>
        <stp/>
        <stp>##V3_BDPV12</stp>
        <stp>912827ZF Govt</stp>
        <stp>DAY_CNT_DES</stp>
        <stp>[TREASURY.xlsx]Sheet1!R1229C17</stp>
        <tr r="Q1229" s="1"/>
      </tp>
      <tp t="s">
        <v>ACT/ACT</v>
        <stp/>
        <stp>##V3_BDPV12</stp>
        <stp>912827XQ Govt</stp>
        <stp>DAY_CNT_DES</stp>
        <stp>[TREASURY.xlsx]Sheet1!R1096C17</stp>
        <tr r="Q1096" s="1"/>
      </tp>
      <tp t="s">
        <v>ACT/ACT</v>
        <stp/>
        <stp>##V3_BDPV12</stp>
        <stp>912827XZ Govt</stp>
        <stp>DAY_CNT_DES</stp>
        <stp>[TREASURY.xlsx]Sheet1!R1097C17</stp>
        <tr r="Q1097" s="1"/>
      </tp>
      <tp t="s">
        <v>ACT/ACT</v>
        <stp/>
        <stp>##V3_BDPV12</stp>
        <stp>912827ZV Govt</stp>
        <stp>DAY_CNT_DES</stp>
        <stp>[TREASURY.xlsx]Sheet1!R1231C17</stp>
        <tr r="Q1231" s="1"/>
      </tp>
      <tp t="s">
        <v>ACT/ACT</v>
        <stp/>
        <stp>##V3_BDPV12</stp>
        <stp>912827YT Govt</stp>
        <stp>DAY_CNT_DES</stp>
        <stp>[TREASURY.xlsx]Sheet1!R1101C17</stp>
        <tr r="Q1101" s="1"/>
      </tp>
      <tp t="s">
        <v>ACT/ACT</v>
        <stp/>
        <stp>##V3_BDPV12</stp>
        <stp>912827Y2 Govt</stp>
        <stp>DAY_CNT_DES</stp>
        <stp>[TREASURY.xlsx]Sheet1!R1098C17</stp>
        <tr r="Q1098" s="1"/>
      </tp>
      <tp t="s">
        <v>ACT/ACT</v>
        <stp/>
        <stp>##V3_BDPV12</stp>
        <stp>912827Y6 Govt</stp>
        <stp>DAY_CNT_DES</stp>
        <stp>[TREASURY.xlsx]Sheet1!R1099C17</stp>
        <tr r="Q1099" s="1"/>
      </tp>
      <tp t="s">
        <v>ACT/ACT</v>
        <stp/>
        <stp>##V3_BDPV12</stp>
        <stp>912827B8 Govt</stp>
        <stp>DAY_CNT_DES</stp>
        <stp>[TREASURY.xlsx]Sheet1!R1478C17</stp>
        <tr r="Q1478" s="1"/>
      </tp>
      <tp t="s">
        <v>ACT/ACT</v>
        <stp/>
        <stp>##V3_BDPV12</stp>
        <stp>912827E9 Govt</stp>
        <stp>DAY_CNT_DES</stp>
        <stp>[TREASURY.xlsx]Sheet1!R1372C17</stp>
        <tr r="Q1372" s="1"/>
      </tp>
      <tp t="s">
        <v>ACT/ACT</v>
        <stp/>
        <stp>##V3_BDPV12</stp>
        <stp>912827C9 Govt</stp>
        <stp>DAY_CNT_DES</stp>
        <stp>[TREASURY.xlsx]Sheet1!R1556C17</stp>
        <tr r="Q1556" s="1"/>
      </tp>
      <tp t="s">
        <v>ACT/ACT</v>
        <stp/>
        <stp>##V3_BDPV12</stp>
        <stp>912827B4 Govt</stp>
        <stp>DAY_CNT_DES</stp>
        <stp>[TREASURY.xlsx]Sheet1!R1476C17</stp>
        <tr r="Q1476" s="1"/>
      </tp>
      <tp t="s">
        <v>ACT/ACT</v>
        <stp/>
        <stp>##V3_BDPV12</stp>
        <stp>912827C6 Govt</stp>
        <stp>DAY_CNT_DES</stp>
        <stp>[TREASURY.xlsx]Sheet1!R1554C17</stp>
        <tr r="Q1554" s="1"/>
      </tp>
      <tp t="s">
        <v>ACT/ACT</v>
        <stp/>
        <stp>##V3_BDPV12</stp>
        <stp>912827B5 Govt</stp>
        <stp>DAY_CNT_DES</stp>
        <stp>[TREASURY.xlsx]Sheet1!R1477C17</stp>
        <tr r="Q1477" s="1"/>
      </tp>
      <tp t="s">
        <v>ACT/ACT</v>
        <stp/>
        <stp>##V3_BDPV12</stp>
        <stp>912827C7 Govt</stp>
        <stp>DAY_CNT_DES</stp>
        <stp>[TREASURY.xlsx]Sheet1!R1555C17</stp>
        <tr r="Q1555" s="1"/>
      </tp>
      <tp t="s">
        <v>ACT/ACT</v>
        <stp/>
        <stp>##V3_BDPV12</stp>
        <stp>912827C4 Govt</stp>
        <stp>DAY_CNT_DES</stp>
        <stp>[TREASURY.xlsx]Sheet1!R1553C17</stp>
        <tr r="Q1553" s="1"/>
      </tp>
      <tp t="s">
        <v>ACT/ACT</v>
        <stp/>
        <stp>##V3_BDPV12</stp>
        <stp>912827E6 Govt</stp>
        <stp>DAY_CNT_DES</stp>
        <stp>[TREASURY.xlsx]Sheet1!R1371C17</stp>
        <tr r="Q1371" s="1"/>
      </tp>
      <tp t="s">
        <v>ACT/ACT</v>
        <stp/>
        <stp>##V3_BDPV12</stp>
        <stp>912827G5 Govt</stp>
        <stp>DAY_CNT_DES</stp>
        <stp>[TREASURY.xlsx]Sheet1!R1156C17</stp>
        <tr r="Q1156" s="1"/>
      </tp>
      <tp t="s">
        <v>ACT/ACT</v>
        <stp/>
        <stp>##V3_BDPV12</stp>
        <stp>912827E4 Govt</stp>
        <stp>DAY_CNT_DES</stp>
        <stp>[TREASURY.xlsx]Sheet1!R1313C17</stp>
        <tr r="Q1313" s="1"/>
      </tp>
      <tp t="s">
        <v>ACT/ACT</v>
        <stp/>
        <stp>##V3_BDPV12</stp>
        <stp>912827B2 Govt</stp>
        <stp>DAY_CNT_DES</stp>
        <stp>[TREASURY.xlsx]Sheet1!R1475C17</stp>
        <tr r="Q1475" s="1"/>
      </tp>
      <tp t="s">
        <v>ACT/ACT</v>
        <stp/>
        <stp>##V3_BDPV12</stp>
        <stp>912827C3 Govt</stp>
        <stp>DAY_CNT_DES</stp>
        <stp>[TREASURY.xlsx]Sheet1!R1480C17</stp>
        <tr r="Q1480" s="1"/>
      </tp>
      <tp t="s">
        <v>ACT/ACT</v>
        <stp/>
        <stp>##V3_BDPV12</stp>
        <stp>912827C5 Govt</stp>
        <stp>DAY_CNT_DES</stp>
        <stp>[TREASURY.xlsx]Sheet1!R1481C17</stp>
        <tr r="Q1481" s="1"/>
      </tp>
      <tp t="s">
        <v>ACT/ACT</v>
        <stp/>
        <stp>##V3_BDPV12</stp>
        <stp>912827F8 Govt</stp>
        <stp>DAY_CNT_DES</stp>
        <stp>[TREASURY.xlsx]Sheet1!R1154C17</stp>
        <tr r="Q1154" s="1"/>
      </tp>
      <tp t="s">
        <v>ACT/ACT</v>
        <stp/>
        <stp>##V3_BDPV12</stp>
        <stp>912827B9 Govt</stp>
        <stp>DAY_CNT_DES</stp>
        <stp>[TREASURY.xlsx]Sheet1!R1552C17</stp>
        <tr r="Q1552" s="1"/>
      </tp>
      <tp t="s">
        <v>ACT/ACT</v>
        <stp/>
        <stp>##V3_BDPV12</stp>
        <stp>912827F9 Govt</stp>
        <stp>DAY_CNT_DES</stp>
        <stp>[TREASURY.xlsx]Sheet1!R1155C17</stp>
        <tr r="Q1155" s="1"/>
      </tp>
      <tp t="s">
        <v>ACT/ACT</v>
        <stp/>
        <stp>##V3_BDPV12</stp>
        <stp>912827B6 Govt</stp>
        <stp>DAY_CNT_DES</stp>
        <stp>[TREASURY.xlsx]Sheet1!R1550C17</stp>
        <tr r="Q1550" s="1"/>
      </tp>
      <tp t="s">
        <v>ACT/ACT</v>
        <stp/>
        <stp>##V3_BDPV12</stp>
        <stp>912827B7 Govt</stp>
        <stp>DAY_CNT_DES</stp>
        <stp>[TREASURY.xlsx]Sheet1!R1551C17</stp>
        <tr r="Q1551" s="1"/>
      </tp>
      <tp t="s">
        <v>ACT/ACT</v>
        <stp/>
        <stp>##V3_BDPV12</stp>
        <stp>912827G2 Govt</stp>
        <stp>DAY_CNT_DES</stp>
        <stp>[TREASURY.xlsx]Sheet1!R1034C17</stp>
        <tr r="Q1034" s="1"/>
      </tp>
      <tp t="s">
        <v>ACT/ACT</v>
        <stp/>
        <stp>##V3_BDPV12</stp>
        <stp>912827C8 Govt</stp>
        <stp>DAY_CNT_DES</stp>
        <stp>[TREASURY.xlsx]Sheet1!R1482C17</stp>
        <tr r="Q1482" s="1"/>
      </tp>
      <tp t="s">
        <v>ACT/ACT</v>
        <stp/>
        <stp>##V3_BDPV12</stp>
        <stp>912827B3 Govt</stp>
        <stp>DAY_CNT_DES</stp>
        <stp>[TREASURY.xlsx]Sheet1!R1549C17</stp>
        <tr r="Q1549" s="1"/>
      </tp>
      <tp t="s">
        <v>ACT/ACT</v>
        <stp/>
        <stp>##V3_BDPV12</stp>
        <stp>912827G4 Govt</stp>
        <stp>DAY_CNT_DES</stp>
        <stp>[TREASURY.xlsx]Sheet1!R1035C17</stp>
        <tr r="Q1035" s="1"/>
      </tp>
      <tp t="s">
        <v>ACT/ACT</v>
        <stp/>
        <stp>##V3_BDPV12</stp>
        <stp>912827C2 Govt</stp>
        <stp>DAY_CNT_DES</stp>
        <stp>[TREASURY.xlsx]Sheet1!R1479C17</stp>
        <tr r="Q1479" s="1"/>
      </tp>
      <tp t="s">
        <v>ACT/ACT</v>
        <stp/>
        <stp>##V3_BDPV12</stp>
        <stp>912827G6 Govt</stp>
        <stp>DAY_CNT_DES</stp>
        <stp>[TREASURY.xlsx]Sheet1!R1036C17</stp>
        <tr r="Q1036" s="1"/>
      </tp>
      <tp t="s">
        <v>ACT/ACT</v>
        <stp/>
        <stp>##V3_BDPV12</stp>
        <stp>912827G7 Govt</stp>
        <stp>DAY_CNT_DES</stp>
        <stp>[TREASURY.xlsx]Sheet1!R1037C17</stp>
        <tr r="Q1037" s="1"/>
      </tp>
      <tp t="s">
        <v>ACT/ACT</v>
        <stp/>
        <stp>##V3_BDPV12</stp>
        <stp>912827G8 Govt</stp>
        <stp>DAY_CNT_DES</stp>
        <stp>[TREASURY.xlsx]Sheet1!R1374C17</stp>
        <tr r="Q1374" s="1"/>
      </tp>
      <tp t="s">
        <v>ACT/ACT</v>
        <stp/>
        <stp>##V3_BDPV12</stp>
        <stp>912827A9 Govt</stp>
        <stp>DAY_CNT_DES</stp>
        <stp>[TREASURY.xlsx]Sheet1!R1548C17</stp>
        <tr r="Q1548" s="1"/>
      </tp>
      <tp t="s">
        <v>ACT/ACT</v>
        <stp/>
        <stp>##V3_BDPV12</stp>
        <stp>912827D2 Govt</stp>
        <stp>DAY_CNT_DES</stp>
        <stp>[TREASURY.xlsx]Sheet1!R1033C17</stp>
        <tr r="Q1033" s="1"/>
      </tp>
      <tp t="s">
        <v>ACT/ACT</v>
        <stp/>
        <stp>##V3_BDPV12</stp>
        <stp>912827A4 Govt</stp>
        <stp>DAY_CNT_DES</stp>
        <stp>[TREASURY.xlsx]Sheet1!R1547C17</stp>
        <tr r="Q1547" s="1"/>
      </tp>
      <tp t="s">
        <v>ACT/ACT</v>
        <stp/>
        <stp>##V3_BDPV12</stp>
        <stp>912827E2 Govt</stp>
        <stp>DAY_CNT_DES</stp>
        <stp>[TREASURY.xlsx]Sheet1!R1153C17</stp>
        <tr r="Q1153" s="1"/>
      </tp>
      <tp t="s">
        <v>ACT/ACT</v>
        <stp/>
        <stp>##V3_BDPV12</stp>
        <stp>912827A5 Govt</stp>
        <stp>DAY_CNT_DES</stp>
        <stp>[TREASURY.xlsx]Sheet1!R1473C17</stp>
        <tr r="Q1473" s="1"/>
      </tp>
      <tp t="s">
        <v>ACT/ACT</v>
        <stp/>
        <stp>##V3_BDPV12</stp>
        <stp>912827F3 Govt</stp>
        <stp>DAY_CNT_DES</stp>
        <stp>[TREASURY.xlsx]Sheet1!R1314C17</stp>
        <tr r="Q1314" s="1"/>
      </tp>
      <tp t="s">
        <v>ACT/ACT</v>
        <stp/>
        <stp>##V3_BDPV12</stp>
        <stp>912827F6 Govt</stp>
        <stp>DAY_CNT_DES</stp>
        <stp>[TREASURY.xlsx]Sheet1!R1373C17</stp>
        <tr r="Q1373" s="1"/>
      </tp>
      <tp t="s">
        <v>ACT/ACT</v>
        <stp/>
        <stp>##V3_BDPV12</stp>
        <stp>912827A6 Govt</stp>
        <stp>DAY_CNT_DES</stp>
        <stp>[TREASURY.xlsx]Sheet1!R1474C17</stp>
        <tr r="Q1474" s="1"/>
      </tp>
      <tp t="s">
        <v>ACT/ACT</v>
        <stp/>
        <stp>##V3_BDPV12</stp>
        <stp>912827F7 Govt</stp>
        <stp>DAY_CNT_DES</stp>
        <stp>[TREASURY.xlsx]Sheet1!R1315C17</stp>
        <tr r="Q1315" s="1"/>
      </tp>
      <tp t="s">
        <v>ACT/ACT</v>
        <stp/>
        <stp>##V3_BDPV12</stp>
        <stp>912827F5 Govt</stp>
        <stp>DAY_CNT_DES</stp>
        <stp>[TREASURY.xlsx]Sheet1!R1560C17</stp>
        <tr r="Q1560" s="1"/>
      </tp>
      <tp t="s">
        <v>ACT/ACT</v>
        <stp/>
        <stp>##V3_BDPV12</stp>
        <stp>912827F4 Govt</stp>
        <stp>DAY_CNT_DES</stp>
        <stp>[TREASURY.xlsx]Sheet1!R1559C17</stp>
        <tr r="Q1559" s="1"/>
      </tp>
      <tp t="s">
        <v>ACT/ACT</v>
        <stp/>
        <stp>##V3_BDPV12</stp>
        <stp>912827G9 Govt</stp>
        <stp>DAY_CNT_DES</stp>
        <stp>[TREASURY.xlsx]Sheet1!R1486C17</stp>
        <tr r="Q1486" s="1"/>
      </tp>
      <tp t="s">
        <v>ACT/ACT</v>
        <stp/>
        <stp>##V3_BDPV12</stp>
        <stp>912827D3 Govt</stp>
        <stp>DAY_CNT_DES</stp>
        <stp>[TREASURY.xlsx]Sheet1!R1483C17</stp>
        <tr r="Q1483" s="1"/>
      </tp>
      <tp t="s">
        <v>ACT/ACT</v>
        <stp/>
        <stp>##V3_BDPV12</stp>
        <stp>912827E8 Govt</stp>
        <stp>DAY_CNT_DES</stp>
        <stp>[TREASURY.xlsx]Sheet1!R1558C17</stp>
        <tr r="Q1558" s="1"/>
      </tp>
      <tp t="s">
        <v>ACT/ACT</v>
        <stp/>
        <stp>##V3_BDPV12</stp>
        <stp>912827D5 Govt</stp>
        <stp>DAY_CNT_DES</stp>
        <stp>[TREASURY.xlsx]Sheet1!R1484C17</stp>
        <tr r="Q1484" s="1"/>
      </tp>
      <tp t="s">
        <v>ACT/ACT</v>
        <stp/>
        <stp>##V3_BDPV12</stp>
        <stp>912827D8 Govt</stp>
        <stp>DAY_CNT_DES</stp>
        <stp>[TREASURY.xlsx]Sheet1!R1485C17</stp>
        <tr r="Q1485" s="1"/>
      </tp>
      <tp t="s">
        <v>ACT/ACT</v>
        <stp/>
        <stp>##V3_BDPV12</stp>
        <stp>912827A8 Govt</stp>
        <stp>DAY_CNT_DES</stp>
        <stp>[TREASURY.xlsx]Sheet1!R1032C17</stp>
        <tr r="Q1032" s="1"/>
      </tp>
      <tp t="s">
        <v>ACT/ACT</v>
        <stp/>
        <stp>##V3_BDPV12</stp>
        <stp>912827D4 Govt</stp>
        <stp>DAY_CNT_DES</stp>
        <stp>[TREASURY.xlsx]Sheet1!R1557C17</stp>
        <tr r="Q1557" s="1"/>
      </tp>
      <tp t="s">
        <v>ACT/ACT</v>
        <stp/>
        <stp>##V3_BDPV12</stp>
        <stp>912827A2 Govt</stp>
        <stp>DAY_CNT_DES</stp>
        <stp>[TREASURY.xlsx]Sheet1!R1029C17</stp>
        <tr r="Q1029" s="1"/>
      </tp>
      <tp t="s">
        <v>ACT/ACT</v>
        <stp/>
        <stp>##V3_BDPV12</stp>
        <stp>912827A3 Govt</stp>
        <stp>DAY_CNT_DES</stp>
        <stp>[TREASURY.xlsx]Sheet1!R1030C17</stp>
        <tr r="Q1030" s="1"/>
      </tp>
      <tp t="s">
        <v>ACT/ACT</v>
        <stp/>
        <stp>##V3_BDPV12</stp>
        <stp>912827A7 Govt</stp>
        <stp>DAY_CNT_DES</stp>
        <stp>[TREASURY.xlsx]Sheet1!R1031C17</stp>
        <tr r="Q1031" s="1"/>
      </tp>
      <tp t="s">
        <v>ACT/ACT</v>
        <stp/>
        <stp>##V3_BDPV12</stp>
        <stp>912827J5 Govt</stp>
        <stp>DAY_CNT_DES</stp>
        <stp>[TREASURY.xlsx]Sheet1!R1488C17</stp>
        <tr r="Q1488" s="1"/>
      </tp>
      <tp t="s">
        <v>ACT/ACT</v>
        <stp/>
        <stp>##V3_BDPV12</stp>
        <stp>912827K7 Govt</stp>
        <stp>DAY_CNT_DES</stp>
        <stp>[TREASURY.xlsx]Sheet1!R1563C17</stp>
        <tr r="Q1563" s="1"/>
      </tp>
      <tp t="s">
        <v>ACT/ACT</v>
        <stp/>
        <stp>##V3_BDPV12</stp>
        <stp>912827N4 Govt</stp>
        <stp>DAY_CNT_DES</stp>
        <stp>[TREASURY.xlsx]Sheet1!R1048C17</stp>
        <tr r="Q1048" s="1"/>
      </tp>
      <tp t="s">
        <v>ACT/ACT</v>
        <stp/>
        <stp>##V3_BDPV12</stp>
        <stp>912827NN Govt</stp>
        <stp>DAY_CNT_DES</stp>
        <stp>[TREASURY.xlsx]Sheet1!R1051C17</stp>
        <tr r="Q1051" s="1"/>
      </tp>
      <tp t="s">
        <v>ACT/ACT</v>
        <stp/>
        <stp>##V3_BDPV12</stp>
        <stp>912827NJ Govt</stp>
        <stp>DAY_CNT_DES</stp>
        <stp>[TREASURY.xlsx]Sheet1!R1050C17</stp>
        <tr r="Q1050" s="1"/>
      </tp>
      <tp t="s">
        <v>ACT/ACT</v>
        <stp/>
        <stp>##V3_BDPV12</stp>
        <stp>912827ML Govt</stp>
        <stp>DAY_CNT_DES</stp>
        <stp>[TREASURY.xlsx]Sheet1!R1325C17</stp>
        <tr r="Q1325" s="1"/>
      </tp>
      <tp t="s">
        <v>ACT/ACT</v>
        <stp/>
        <stp>##V3_BDPV12</stp>
        <stp>912827MN Govt</stp>
        <stp>DAY_CNT_DES</stp>
        <stp>[TREASURY.xlsx]Sheet1!R1326C17</stp>
        <tr r="Q1326" s="1"/>
      </tp>
      <tp t="s">
        <v>ACT/ACT</v>
        <stp/>
        <stp>##V3_BDPV12</stp>
        <stp>912827NF Govt</stp>
        <stp>DAY_CNT_DES</stp>
        <stp>[TREASURY.xlsx]Sheet1!R1049C17</stp>
        <tr r="Q1049" s="1"/>
      </tp>
      <tp t="s">
        <v>ACT/ACT</v>
        <stp/>
        <stp>##V3_BDPV12</stp>
        <stp>912827MC Govt</stp>
        <stp>DAY_CNT_DES</stp>
        <stp>[TREASURY.xlsx]Sheet1!R1324C17</stp>
        <tr r="Q1324" s="1"/>
      </tp>
      <tp t="s">
        <v>ACT/ACT</v>
        <stp/>
        <stp>##V3_BDPV12</stp>
        <stp>912827MV Govt</stp>
        <stp>DAY_CNT_DES</stp>
        <stp>[TREASURY.xlsx]Sheet1!R1381C17</stp>
        <tr r="Q1381" s="1"/>
      </tp>
      <tp t="s">
        <v>ACT/ACT</v>
        <stp/>
        <stp>##V3_BDPV12</stp>
        <stp>912827NW Govt</stp>
        <stp>DAY_CNT_DES</stp>
        <stp>[TREASURY.xlsx]Sheet1!R1053C17</stp>
        <tr r="Q1053" s="1"/>
      </tp>
      <tp t="s">
        <v>ACT/ACT</v>
        <stp/>
        <stp>##V3_BDPV12</stp>
        <stp>912827MX Govt</stp>
        <stp>DAY_CNT_DES</stp>
        <stp>[TREASURY.xlsx]Sheet1!R1382C17</stp>
        <tr r="Q1382" s="1"/>
      </tp>
      <tp t="s">
        <v>ACT/ACT</v>
        <stp/>
        <stp>##V3_BDPV12</stp>
        <stp>912827MR Govt</stp>
        <stp>DAY_CNT_DES</stp>
        <stp>[TREASURY.xlsx]Sheet1!R1327C17</stp>
        <tr r="Q1327" s="1"/>
      </tp>
      <tp t="s">
        <v>ACT/ACT</v>
        <stp/>
        <stp>##V3_BDPV12</stp>
        <stp>912827MU Govt</stp>
        <stp>DAY_CNT_DES</stp>
        <stp>[TREASURY.xlsx]Sheet1!R1328C17</stp>
        <tr r="Q1328" s="1"/>
      </tp>
      <tp t="s">
        <v>ACT/ACT</v>
        <stp/>
        <stp>##V3_BDPV12</stp>
        <stp>912827NR Govt</stp>
        <stp>DAY_CNT_DES</stp>
        <stp>[TREASURY.xlsx]Sheet1!R1052C17</stp>
        <tr r="Q1052" s="1"/>
      </tp>
      <tp t="s">
        <v>ACT/ACT</v>
        <stp/>
        <stp>##V3_BDPV12</stp>
        <stp>912827K2 Govt</stp>
        <stp>DAY_CNT_DES</stp>
        <stp>[TREASURY.xlsx]Sheet1!R1489C17</stp>
        <tr r="Q1489" s="1"/>
      </tp>
      <tp t="s">
        <v>ACT/ACT</v>
        <stp/>
        <stp>##V3_BDPV12</stp>
        <stp>912827L8 Govt</stp>
        <stp>DAY_CNT_DES</stp>
        <stp>[TREASURY.xlsx]Sheet1!R1319C17</stp>
        <tr r="Q1319" s="1"/>
      </tp>
      <tp t="s">
        <v>ACT/ACT</v>
        <stp/>
        <stp>##V3_BDPV12</stp>
        <stp>912827K6 Govt</stp>
        <stp>DAY_CNT_DES</stp>
        <stp>[TREASURY.xlsx]Sheet1!R1490C17</stp>
        <tr r="Q1490" s="1"/>
      </tp>
      <tp t="s">
        <v>ACT/ACT</v>
        <stp/>
        <stp>##V3_BDPV12</stp>
        <stp>912827J4 Govt</stp>
        <stp>DAY_CNT_DES</stp>
        <stp>[TREASURY.xlsx]Sheet1!R1561C17</stp>
        <tr r="Q1561" s="1"/>
      </tp>
      <tp t="s">
        <v>ACT/ACT</v>
        <stp/>
        <stp>##V3_BDPV12</stp>
        <stp>912827J7 Govt</stp>
        <stp>DAY_CNT_DES</stp>
        <stp>[TREASURY.xlsx]Sheet1!R1562C17</stp>
        <tr r="Q1562" s="1"/>
      </tp>
      <tp t="s">
        <v>ACT/ACT</v>
        <stp/>
        <stp>##V3_BDPV12</stp>
        <stp>912827LD Govt</stp>
        <stp>DAY_CNT_DES</stp>
        <stp>[TREASURY.xlsx]Sheet1!R1378C17</stp>
        <tr r="Q1378" s="1"/>
      </tp>
      <tp t="s">
        <v>ACT/ACT</v>
        <stp/>
        <stp>##V3_BDPV12</stp>
        <stp>912827NG Govt</stp>
        <stp>DAY_CNT_DES</stp>
        <stp>[TREASURY.xlsx]Sheet1!R1169C17</stp>
        <tr r="Q1169" s="1"/>
      </tp>
      <tp t="s">
        <v>ACT/ACT</v>
        <stp/>
        <stp>##V3_BDPV12</stp>
        <stp>912827LB Govt</stp>
        <stp>DAY_CNT_DES</stp>
        <stp>[TREASURY.xlsx]Sheet1!R1320C17</stp>
        <tr r="Q1320" s="1"/>
      </tp>
      <tp t="s">
        <v>ACT/ACT</v>
        <stp/>
        <stp>##V3_BDPV12</stp>
        <stp>912827LG Govt</stp>
        <stp>DAY_CNT_DES</stp>
        <stp>[TREASURY.xlsx]Sheet1!R1321C17</stp>
        <tr r="Q1321" s="1"/>
      </tp>
      <tp t="s">
        <v>ACT/ACT</v>
        <stp/>
        <stp>##V3_BDPV12</stp>
        <stp>912827LW Govt</stp>
        <stp>DAY_CNT_DES</stp>
        <stp>[TREASURY.xlsx]Sheet1!R1380C17</stp>
        <tr r="Q1380" s="1"/>
      </tp>
      <tp t="s">
        <v>ACT/ACT</v>
        <stp/>
        <stp>##V3_BDPV12</stp>
        <stp>912827NY Govt</stp>
        <stp>DAY_CNT_DES</stp>
        <stp>[TREASURY.xlsx]Sheet1!R1170C17</stp>
        <tr r="Q1170" s="1"/>
      </tp>
      <tp t="s">
        <v>ACT/ACT</v>
        <stp/>
        <stp>##V3_BDPV12</stp>
        <stp>912827LT Govt</stp>
        <stp>DAY_CNT_DES</stp>
        <stp>[TREASURY.xlsx]Sheet1!R1379C17</stp>
        <tr r="Q1379" s="1"/>
      </tp>
      <tp t="s">
        <v>ACT/ACT</v>
        <stp/>
        <stp>##V3_BDPV12</stp>
        <stp>912827LQ Govt</stp>
        <stp>DAY_CNT_DES</stp>
        <stp>[TREASURY.xlsx]Sheet1!R1322C17</stp>
        <tr r="Q1322" s="1"/>
      </tp>
      <tp t="s">
        <v>ACT/ACT</v>
        <stp/>
        <stp>##V3_BDPV12</stp>
        <stp>912827LR Govt</stp>
        <stp>DAY_CNT_DES</stp>
        <stp>[TREASURY.xlsx]Sheet1!R1323C17</stp>
        <tr r="Q1323" s="1"/>
      </tp>
      <tp t="s">
        <v>ACT/ACT</v>
        <stp/>
        <stp>##V3_BDPV12</stp>
        <stp>912827M9 Govt</stp>
        <stp>DAY_CNT_DES</stp>
        <stp>[TREASURY.xlsx]Sheet1!R1166C17</stp>
        <tr r="Q1166" s="1"/>
      </tp>
      <tp t="s">
        <v>ACT/ACT</v>
        <stp/>
        <stp>##V3_BDPV12</stp>
        <stp>912827L6 Govt</stp>
        <stp>DAY_CNT_DES</stp>
        <stp>[TREASURY.xlsx]Sheet1!R1041C17</stp>
        <tr r="Q1041" s="1"/>
      </tp>
      <tp t="s">
        <v>ACT/ACT</v>
        <stp/>
        <stp>##V3_BDPV12</stp>
        <stp>912827M4 Govt</stp>
        <stp>DAY_CNT_DES</stp>
        <stp>[TREASURY.xlsx]Sheet1!R1165C17</stp>
        <tr r="Q1165" s="1"/>
      </tp>
      <tp t="s">
        <v>ACT/ACT</v>
        <stp/>
        <stp>##V3_BDPV12</stp>
        <stp>912827L4 Govt</stp>
        <stp>DAY_CNT_DES</stp>
        <stp>[TREASURY.xlsx]Sheet1!R1040C17</stp>
        <tr r="Q1040" s="1"/>
      </tp>
      <tp t="s">
        <v>ACT/ACT</v>
        <stp/>
        <stp>##V3_BDPV12</stp>
        <stp>912827H8 Govt</stp>
        <stp>DAY_CNT_DES</stp>
        <stp>[TREASURY.xlsx]Sheet1!R1487C17</stp>
        <tr r="Q1487" s="1"/>
      </tp>
      <tp t="s">
        <v>ACT/ACT</v>
        <stp/>
        <stp>##V3_BDPV12</stp>
        <stp>912827M2 Govt</stp>
        <stp>DAY_CNT_DES</stp>
        <stp>[TREASURY.xlsx]Sheet1!R1164C17</stp>
        <tr r="Q1164" s="1"/>
      </tp>
      <tp t="s">
        <v>ACT/ACT</v>
        <stp/>
        <stp>##V3_BDPV12</stp>
        <stp>912827LK Govt</stp>
        <stp>DAY_CNT_DES</stp>
        <stp>[TREASURY.xlsx]Sheet1!R1042C17</stp>
        <tr r="Q1042" s="1"/>
      </tp>
      <tp t="s">
        <v>ACT/ACT</v>
        <stp/>
        <stp>##V3_BDPV12</stp>
        <stp>912827MD Govt</stp>
        <stp>DAY_CNT_DES</stp>
        <stp>[TREASURY.xlsx]Sheet1!R1167C17</stp>
        <tr r="Q1167" s="1"/>
      </tp>
      <tp t="s">
        <v>ACT/ACT</v>
        <stp/>
        <stp>##V3_BDPV12</stp>
        <stp>912827MZ Govt</stp>
        <stp>DAY_CNT_DES</stp>
        <stp>[TREASURY.xlsx]Sheet1!R1168C17</stp>
        <tr r="Q1168" s="1"/>
      </tp>
      <tp t="s">
        <v>ACT/ACT</v>
        <stp/>
        <stp>##V3_BDPV12</stp>
        <stp>912827LS Govt</stp>
        <stp>DAY_CNT_DES</stp>
        <stp>[TREASURY.xlsx]Sheet1!R1043C17</stp>
        <tr r="Q1043" s="1"/>
      </tp>
      <tp t="s">
        <v>ACT/ACT</v>
        <stp/>
        <stp>##V3_BDPV12</stp>
        <stp>912827N9 Govt</stp>
        <stp>DAY_CNT_DES</stp>
        <stp>[TREASURY.xlsx]Sheet1!R1330C17</stp>
        <tr r="Q1330" s="1"/>
      </tp>
      <tp t="s">
        <v>ACT/ACT</v>
        <stp/>
        <stp>##V3_BDPV12</stp>
        <stp>912827M7 Govt</stp>
        <stp>DAY_CNT_DES</stp>
        <stp>[TREASURY.xlsx]Sheet1!R1044C17</stp>
        <tr r="Q1044" s="1"/>
      </tp>
      <tp t="s">
        <v>ACT/ACT</v>
        <stp/>
        <stp>##V3_BDPV12</stp>
        <stp>912827N2 Govt</stp>
        <stp>DAY_CNT_DES</stp>
        <stp>[TREASURY.xlsx]Sheet1!R1329C17</stp>
        <tr r="Q1329" s="1"/>
      </tp>
      <tp t="s">
        <v>ACT/ACT</v>
        <stp/>
        <stp>##V3_BDPV12</stp>
        <stp>912827L2 Govt</stp>
        <stp>DAY_CNT_DES</stp>
        <stp>[TREASURY.xlsx]Sheet1!R1163C17</stp>
        <tr r="Q1163" s="1"/>
      </tp>
      <tp t="s">
        <v>ACT/ACT</v>
        <stp/>
        <stp>##V3_BDPV12</stp>
        <stp>912827NH Govt</stp>
        <stp>DAY_CNT_DES</stp>
        <stp>[TREASURY.xlsx]Sheet1!R1333C17</stp>
        <tr r="Q1333" s="1"/>
      </tp>
      <tp t="s">
        <v>ACT/ACT</v>
        <stp/>
        <stp>##V3_BDPV12</stp>
        <stp>912827NB Govt</stp>
        <stp>DAY_CNT_DES</stp>
        <stp>[TREASURY.xlsx]Sheet1!R1383C17</stp>
        <tr r="Q1383" s="1"/>
      </tp>
      <tp t="s">
        <v>ACT/ACT</v>
        <stp/>
        <stp>##V3_BDPV12</stp>
        <stp>912827MM Govt</stp>
        <stp>DAY_CNT_DES</stp>
        <stp>[TREASURY.xlsx]Sheet1!R1045C17</stp>
        <tr r="Q1045" s="1"/>
      </tp>
      <tp t="s">
        <v>ACT/ACT</v>
        <stp/>
        <stp>##V3_BDPV12</stp>
        <stp>912827NA Govt</stp>
        <stp>DAY_CNT_DES</stp>
        <stp>[TREASURY.xlsx]Sheet1!R1331C17</stp>
        <tr r="Q1331" s="1"/>
      </tp>
      <tp t="s">
        <v>ACT/ACT</v>
        <stp/>
        <stp>##V3_BDPV12</stp>
        <stp>912827NE Govt</stp>
        <stp>DAY_CNT_DES</stp>
        <stp>[TREASURY.xlsx]Sheet1!R1332C17</stp>
        <tr r="Q1332" s="1"/>
      </tp>
      <tp t="s">
        <v>ACT/ACT</v>
        <stp/>
        <stp>##V3_BDPV12</stp>
        <stp>912827NZ Govt</stp>
        <stp>DAY_CNT_DES</stp>
        <stp>[TREASURY.xlsx]Sheet1!R1336C17</stp>
        <tr r="Q1336" s="1"/>
      </tp>
      <tp t="s">
        <v>ACT/ACT</v>
        <stp/>
        <stp>##V3_BDPV12</stp>
        <stp>912827NT Govt</stp>
        <stp>DAY_CNT_DES</stp>
        <stp>[TREASURY.xlsx]Sheet1!R1384C17</stp>
        <tr r="Q1384" s="1"/>
      </tp>
      <tp t="s">
        <v>ACT/ACT</v>
        <stp/>
        <stp>##V3_BDPV12</stp>
        <stp>912827MW Govt</stp>
        <stp>DAY_CNT_DES</stp>
        <stp>[TREASURY.xlsx]Sheet1!R1047C17</stp>
        <tr r="Q1047" s="1"/>
      </tp>
      <tp t="s">
        <v>ACT/ACT</v>
        <stp/>
        <stp>##V3_BDPV12</stp>
        <stp>912827NS Govt</stp>
        <stp>DAY_CNT_DES</stp>
        <stp>[TREASURY.xlsx]Sheet1!R1334C17</stp>
        <tr r="Q1334" s="1"/>
      </tp>
      <tp t="s">
        <v>ACT/ACT</v>
        <stp/>
        <stp>##V3_BDPV12</stp>
        <stp>912827NX Govt</stp>
        <stp>DAY_CNT_DES</stp>
        <stp>[TREASURY.xlsx]Sheet1!R1385C17</stp>
        <tr r="Q1385" s="1"/>
      </tp>
      <tp t="s">
        <v>ACT/ACT</v>
        <stp/>
        <stp>##V3_BDPV12</stp>
        <stp>912827MS Govt</stp>
        <stp>DAY_CNT_DES</stp>
        <stp>[TREASURY.xlsx]Sheet1!R1046C17</stp>
        <tr r="Q1046" s="1"/>
      </tp>
      <tp t="s">
        <v>ACT/ACT</v>
        <stp/>
        <stp>##V3_BDPV12</stp>
        <stp>912827NU Govt</stp>
        <stp>DAY_CNT_DES</stp>
        <stp>[TREASURY.xlsx]Sheet1!R1335C17</stp>
        <tr r="Q1335" s="1"/>
      </tp>
      <tp t="s">
        <v>ACT/ACT</v>
        <stp/>
        <stp>##V3_BDPV12</stp>
        <stp>912827J8 Govt</stp>
        <stp>DAY_CNT_DES</stp>
        <stp>[TREASURY.xlsx]Sheet1!R1038C17</stp>
        <tr r="Q1038" s="1"/>
      </tp>
      <tp t="s">
        <v>ACT/ACT</v>
        <stp/>
        <stp>##V3_BDPV12</stp>
        <stp>912827K9 Govt</stp>
        <stp>DAY_CNT_DES</stp>
        <stp>[TREASURY.xlsx]Sheet1!R1160C17</stp>
        <tr r="Q1160" s="1"/>
      </tp>
      <tp t="s">
        <v>ACT/ACT</v>
        <stp/>
        <stp>##V3_BDPV12</stp>
        <stp>912827K5 Govt</stp>
        <stp>DAY_CNT_DES</stp>
        <stp>[TREASURY.xlsx]Sheet1!R1159C17</stp>
        <tr r="Q1159" s="1"/>
      </tp>
      <tp t="s">
        <v>ACT/ACT</v>
        <stp/>
        <stp>##V3_BDPV12</stp>
        <stp>912827KX Govt</stp>
        <stp>DAY_CNT_DES</stp>
        <stp>[TREASURY.xlsx]Sheet1!R1162C17</stp>
        <tr r="Q1162" s="1"/>
      </tp>
      <tp t="s">
        <v>ACT/ACT</v>
        <stp/>
        <stp>##V3_BDPV12</stp>
        <stp>912827KR Govt</stp>
        <stp>DAY_CNT_DES</stp>
        <stp>[TREASURY.xlsx]Sheet1!R1161C17</stp>
        <tr r="Q1161" s="1"/>
      </tp>
      <tp t="s">
        <v>ACT/ACT</v>
        <stp/>
        <stp>##V3_BDPV12</stp>
        <stp>912827H9 Govt</stp>
        <stp>DAY_CNT_DES</stp>
        <stp>[TREASURY.xlsx]Sheet1!R1375C17</stp>
        <tr r="Q1375" s="1"/>
      </tp>
      <tp t="s">
        <v>ACT/ACT</v>
        <stp/>
        <stp>##V3_BDPV12</stp>
        <stp>912827H3 Govt</stp>
        <stp>DAY_CNT_DES</stp>
        <stp>[TREASURY.xlsx]Sheet1!R1316C17</stp>
        <tr r="Q1316" s="1"/>
      </tp>
      <tp t="s">
        <v>ACT/ACT</v>
        <stp/>
        <stp>##V3_BDPV12</stp>
        <stp>912827K3 Govt</stp>
        <stp>DAY_CNT_DES</stp>
        <stp>[TREASURY.xlsx]Sheet1!R1039C17</stp>
        <tr r="Q1039" s="1"/>
      </tp>
      <tp t="s">
        <v>ACT/ACT</v>
        <stp/>
        <stp>##V3_BDPV12</stp>
        <stp>912827M3 Govt</stp>
        <stp>DAY_CNT_DES</stp>
        <stp>[TREASURY.xlsx]Sheet1!R1568C17</stp>
        <tr r="Q1568" s="1"/>
      </tp>
      <tp t="s">
        <v>ACT/ACT</v>
        <stp/>
        <stp>##V3_BDPV12</stp>
        <stp>912827KL Govt</stp>
        <stp>DAY_CNT_DES</stp>
        <stp>[TREASURY.xlsx]Sheet1!R1377C17</stp>
        <tr r="Q1377" s="1"/>
      </tp>
      <tp t="s">
        <v>ACT/ACT</v>
        <stp/>
        <stp>##V3_BDPV12</stp>
        <stp>912827LP Govt</stp>
        <stp>DAY_CNT_DES</stp>
        <stp>[TREASURY.xlsx]Sheet1!R1491C17</stp>
        <tr r="Q1491" s="1"/>
      </tp>
      <tp t="s">
        <v>ACT/ACT</v>
        <stp/>
        <stp>##V3_BDPV12</stp>
        <stp>912827KT Govt</stp>
        <stp>DAY_CNT_DES</stp>
        <stp>[TREASURY.xlsx]Sheet1!R1318C17</stp>
        <tr r="Q1318" s="1"/>
      </tp>
      <tp t="s">
        <v>ACT/ACT</v>
        <stp/>
        <stp>##V3_BDPV12</stp>
        <stp>912827J9 Govt</stp>
        <stp>DAY_CNT_DES</stp>
        <stp>[TREASURY.xlsx]Sheet1!R1376C17</stp>
        <tr r="Q1376" s="1"/>
      </tp>
      <tp t="s">
        <v>ACT/ACT</v>
        <stp/>
        <stp>##V3_BDPV12</stp>
        <stp>912827H7 Govt</stp>
        <stp>DAY_CNT_DES</stp>
        <stp>[TREASURY.xlsx]Sheet1!R1158C17</stp>
        <tr r="Q1158" s="1"/>
      </tp>
      <tp t="s">
        <v>ACT/ACT</v>
        <stp/>
        <stp>##V3_BDPV12</stp>
        <stp>912827H4 Govt</stp>
        <stp>DAY_CNT_DES</stp>
        <stp>[TREASURY.xlsx]Sheet1!R1157C17</stp>
        <tr r="Q1157" s="1"/>
      </tp>
      <tp t="s">
        <v>ACT/ACT</v>
        <stp/>
        <stp>##V3_BDPV12</stp>
        <stp>912827L7 Govt</stp>
        <stp>DAY_CNT_DES</stp>
        <stp>[TREASURY.xlsx]Sheet1!R1565C17</stp>
        <tr r="Q1565" s="1"/>
      </tp>
      <tp t="s">
        <v>ACT/ACT</v>
        <stp/>
        <stp>##V3_BDPV12</stp>
        <stp>912827J6 Govt</stp>
        <stp>DAY_CNT_DES</stp>
        <stp>[TREASURY.xlsx]Sheet1!R1317C17</stp>
        <tr r="Q1317" s="1"/>
      </tp>
      <tp t="s">
        <v>ACT/ACT</v>
        <stp/>
        <stp>##V3_BDPV12</stp>
        <stp>912827L3 Govt</stp>
        <stp>DAY_CNT_DES</stp>
        <stp>[TREASURY.xlsx]Sheet1!R1564C17</stp>
        <tr r="Q1564" s="1"/>
      </tp>
      <tp t="s">
        <v>ACT/ACT</v>
        <stp/>
        <stp>##V3_BDPV12</stp>
        <stp>912827LH Govt</stp>
        <stp>DAY_CNT_DES</stp>
        <stp>[TREASURY.xlsx]Sheet1!R1566C17</stp>
        <tr r="Q1566" s="1"/>
      </tp>
      <tp t="s">
        <v>ACT/ACT</v>
        <stp/>
        <stp>##V3_BDPV12</stp>
        <stp>912827LZ Govt</stp>
        <stp>DAY_CNT_DES</stp>
        <stp>[TREASURY.xlsx]Sheet1!R1567C17</stp>
        <tr r="Q1567" s="1"/>
      </tp>
      <tp t="s">
        <v>ACT/ACT</v>
        <stp/>
        <stp>##V3_BDPV12</stp>
        <stp>9128273H Govt</stp>
        <stp>DAY_CNT_DES</stp>
        <stp>[TREASURY.xlsx]Sheet1!R1527C17</stp>
        <tr r="Q1527" s="1"/>
      </tp>
      <tp t="s">
        <v>ACT/ACT</v>
        <stp/>
        <stp>##V3_BDPV12</stp>
        <stp>9128272L Govt</stp>
        <stp>DAY_CNT_DES</stp>
        <stp>[TREASURY.xlsx]Sheet1!R1452C17</stp>
        <tr r="Q1452" s="1"/>
      </tp>
      <tp t="s">
        <v>ACT/ACT</v>
        <stp/>
        <stp>##V3_BDPV12</stp>
        <stp>9128276K Govt</stp>
        <stp>DAY_CNT_DES</stp>
        <stp>[TREASURY.xlsx]Sheet1!R1023C17</stp>
        <tr r="Q1023" s="1"/>
      </tp>
      <tp t="s">
        <v>ACT/ACT</v>
        <stp/>
        <stp>##V3_BDPV12</stp>
        <stp>9128273J Govt</stp>
        <stp>DAY_CNT_DES</stp>
        <stp>[TREASURY.xlsx]Sheet1!R1528C17</stp>
        <tr r="Q1528" s="1"/>
      </tp>
      <tp t="s">
        <v>ACT/ACT</v>
        <stp/>
        <stp>##V3_BDPV12</stp>
        <stp>9128275H Govt</stp>
        <stp>DAY_CNT_DES</stp>
        <stp>[TREASURY.xlsx]Sheet1!R1370C17</stp>
        <tr r="Q1370" s="1"/>
      </tp>
      <tp t="s">
        <v>ACT/ACT</v>
        <stp/>
        <stp>##V3_BDPV12</stp>
        <stp>9128272J Govt</stp>
        <stp>DAY_CNT_DES</stp>
        <stp>[TREASURY.xlsx]Sheet1!R1451C17</stp>
        <tr r="Q1451" s="1"/>
      </tp>
      <tp t="s">
        <v>ACT/ACT</v>
        <stp/>
        <stp>##V3_BDPV12</stp>
        <stp>9128273L Govt</stp>
        <stp>DAY_CNT_DES</stp>
        <stp>[TREASURY.xlsx]Sheet1!R1529C17</stp>
        <tr r="Q1529" s="1"/>
      </tp>
      <tp t="s">
        <v>ACT/ACT</v>
        <stp/>
        <stp>##V3_BDPV12</stp>
        <stp>9128272H Govt</stp>
        <stp>DAY_CNT_DES</stp>
        <stp>[TREASURY.xlsx]Sheet1!R1450C17</stp>
        <tr r="Q1450" s="1"/>
      </tp>
      <tp t="s">
        <v>ACT/ACT</v>
        <stp/>
        <stp>##V3_BDPV12</stp>
        <stp>9128276N Govt</stp>
        <stp>DAY_CNT_DES</stp>
        <stp>[TREASURY.xlsx]Sheet1!R1024C17</stp>
        <tr r="Q1024" s="1"/>
      </tp>
      <tp t="s">
        <v>ACT/ACT</v>
        <stp/>
        <stp>##V3_BDPV12</stp>
        <stp>9128276A Govt</stp>
        <stp>DAY_CNT_DES</stp>
        <stp>[TREASURY.xlsx]Sheet1!R1020C17</stp>
        <tr r="Q1020" s="1"/>
      </tp>
      <tp t="s">
        <v>ACT/ACT</v>
        <stp/>
        <stp>##V3_BDPV12</stp>
        <stp>9128275G Govt</stp>
        <stp>DAY_CNT_DES</stp>
        <stp>[TREASURY.xlsx]Sheet1!R1369C17</stp>
        <tr r="Q1369" s="1"/>
      </tp>
      <tp t="s">
        <v>ACT/ACT</v>
        <stp/>
        <stp>##V3_BDPV12</stp>
        <stp>9128276C Govt</stp>
        <stp>DAY_CNT_DES</stp>
        <stp>[TREASURY.xlsx]Sheet1!R1022C17</stp>
        <tr r="Q1022" s="1"/>
      </tp>
      <tp t="s">
        <v>ACT/ACT</v>
        <stp/>
        <stp>##V3_BDPV12</stp>
        <stp>9128276B Govt</stp>
        <stp>DAY_CNT_DES</stp>
        <stp>[TREASURY.xlsx]Sheet1!R1021C17</stp>
        <tr r="Q1021" s="1"/>
      </tp>
      <tp t="s">
        <v>ACT/ACT</v>
        <stp/>
        <stp>##V3_BDPV12</stp>
        <stp>9128272C Govt</stp>
        <stp>DAY_CNT_DES</stp>
        <stp>[TREASURY.xlsx]Sheet1!R1449C17</stp>
        <tr r="Q1449" s="1"/>
      </tp>
      <tp t="s">
        <v>ACT/ACT</v>
        <stp/>
        <stp>##V3_BDPV12</stp>
        <stp>9128273E Govt</stp>
        <stp>DAY_CNT_DES</stp>
        <stp>[TREASURY.xlsx]Sheet1!R1526C17</stp>
        <tr r="Q1526" s="1"/>
      </tp>
      <tp t="s">
        <v>ACT/ACT</v>
        <stp/>
        <stp>##V3_BDPV12</stp>
        <stp>9128276Z Govt</stp>
        <stp>DAY_CNT_DES</stp>
        <stp>[TREASURY.xlsx]Sheet1!R1026C17</stp>
        <tr r="Q1026" s="1"/>
      </tp>
      <tp t="s">
        <v>ACT/ACT</v>
        <stp/>
        <stp>##V3_BDPV12</stp>
        <stp>9128273P Govt</stp>
        <stp>DAY_CNT_DES</stp>
        <stp>[TREASURY.xlsx]Sheet1!R1530C17</stp>
        <tr r="Q1530" s="1"/>
      </tp>
      <tp t="s">
        <v>ACT/ACT</v>
        <stp/>
        <stp>##V3_BDPV12</stp>
        <stp>9128273S Govt</stp>
        <stp>DAY_CNT_DES</stp>
        <stp>[TREASURY.xlsx]Sheet1!R1531C17</stp>
        <tr r="Q1531" s="1"/>
      </tp>
      <tp t="s">
        <v>ACT/ACT</v>
        <stp/>
        <stp>##V3_BDPV12</stp>
        <stp>9128272U Govt</stp>
        <stp>DAY_CNT_DES</stp>
        <stp>[TREASURY.xlsx]Sheet1!R1454C17</stp>
        <tr r="Q1454" s="1"/>
      </tp>
      <tp t="s">
        <v>ACT/ACT</v>
        <stp/>
        <stp>##V3_BDPV12</stp>
        <stp>9128272R Govt</stp>
        <stp>DAY_CNT_DES</stp>
        <stp>[TREASURY.xlsx]Sheet1!R1453C17</stp>
        <tr r="Q1453" s="1"/>
      </tp>
      <tp t="s">
        <v>ACT/ACT</v>
        <stp/>
        <stp>##V3_BDPV12</stp>
        <stp>9128276T Govt</stp>
        <stp>DAY_CNT_DES</stp>
        <stp>[TREASURY.xlsx]Sheet1!R1025C17</stp>
        <tr r="Q1025" s="1"/>
      </tp>
      <tp t="s">
        <v>ACT/ACT</v>
        <stp/>
        <stp>##V3_BDPV12</stp>
        <stp>9128272K Govt</stp>
        <stp>DAY_CNT_DES</stp>
        <stp>[TREASURY.xlsx]Sheet1!R1518C17</stp>
        <tr r="Q1518" s="1"/>
      </tp>
      <tp t="s">
        <v>ACT/ACT</v>
        <stp/>
        <stp>##V3_BDPV12</stp>
        <stp>9128277H Govt</stp>
        <stp>DAY_CNT_DES</stp>
        <stp>[TREASURY.xlsx]Sheet1!R1028C17</stp>
        <tr r="Q1028" s="1"/>
      </tp>
      <tp t="s">
        <v>ACT/ACT</v>
        <stp/>
        <stp>##V3_BDPV12</stp>
        <stp>9128274K Govt</stp>
        <stp>DAY_CNT_DES</stp>
        <stp>[TREASURY.xlsx]Sheet1!R1366C17</stp>
        <tr r="Q1366" s="1"/>
      </tp>
      <tp t="s">
        <v>ACT/ACT</v>
        <stp/>
        <stp>##V3_BDPV12</stp>
        <stp>9128274J Govt</stp>
        <stp>DAY_CNT_DES</stp>
        <stp>[TREASURY.xlsx]Sheet1!R1365C17</stp>
        <tr r="Q1365" s="1"/>
      </tp>
      <tp t="s">
        <v>ACT/ACT</v>
        <stp/>
        <stp>##V3_BDPV12</stp>
        <stp>9128274E Govt</stp>
        <stp>DAY_CNT_DES</stp>
        <stp>[TREASURY.xlsx]Sheet1!R1363C17</stp>
        <tr r="Q1363" s="1"/>
      </tp>
      <tp t="s">
        <v>ACT/ACT</v>
        <stp/>
        <stp>##V3_BDPV12</stp>
        <stp>9128274G Govt</stp>
        <stp>DAY_CNT_DES</stp>
        <stp>[TREASURY.xlsx]Sheet1!R1364C17</stp>
        <tr r="Q1364" s="1"/>
      </tp>
      <tp t="s">
        <v>ACT/ACT</v>
        <stp/>
        <stp>##V3_BDPV12</stp>
        <stp>9128272G Govt</stp>
        <stp>DAY_CNT_DES</stp>
        <stp>[TREASURY.xlsx]Sheet1!R1517C17</stp>
        <tr r="Q1517" s="1"/>
      </tp>
      <tp t="s">
        <v>ACT/ACT</v>
        <stp/>
        <stp>##V3_BDPV12</stp>
        <stp>9128274B Govt</stp>
        <stp>DAY_CNT_DES</stp>
        <stp>[TREASURY.xlsx]Sheet1!R1362C17</stp>
        <tr r="Q1362" s="1"/>
      </tp>
      <tp t="s">
        <v>ACT/ACT</v>
        <stp/>
        <stp>##V3_BDPV12</stp>
        <stp>9128277F Govt</stp>
        <stp>DAY_CNT_DES</stp>
        <stp>[TREASURY.xlsx]Sheet1!R1027C17</stp>
        <tr r="Q1027" s="1"/>
      </tp>
      <tp t="s">
        <v>ACT/ACT</v>
        <stp/>
        <stp>##V3_BDPV12</stp>
        <stp>9128272Y Govt</stp>
        <stp>DAY_CNT_DES</stp>
        <stp>[TREASURY.xlsx]Sheet1!R1525C17</stp>
        <tr r="Q1525" s="1"/>
      </tp>
      <tp t="s">
        <v>ACT/ACT</v>
        <stp/>
        <stp>##V3_BDPV12</stp>
        <stp>9128272X Govt</stp>
        <stp>DAY_CNT_DES</stp>
        <stp>[TREASURY.xlsx]Sheet1!R1524C17</stp>
        <tr r="Q1524" s="1"/>
      </tp>
      <tp t="s">
        <v>ACT/ACT</v>
        <stp/>
        <stp>##V3_BDPV12</stp>
        <stp>9128274X Govt</stp>
        <stp>DAY_CNT_DES</stp>
        <stp>[TREASURY.xlsx]Sheet1!R1368C17</stp>
        <tr r="Q1368" s="1"/>
      </tp>
      <tp t="s">
        <v>ACT/ACT</v>
        <stp/>
        <stp>##V3_BDPV12</stp>
        <stp>9128273W Govt</stp>
        <stp>DAY_CNT_DES</stp>
        <stp>[TREASURY.xlsx]Sheet1!R1456C17</stp>
        <tr r="Q1456" s="1"/>
      </tp>
      <tp t="s">
        <v>ACT/ACT</v>
        <stp/>
        <stp>##V3_BDPV12</stp>
        <stp>9128272P Govt</stp>
        <stp>DAY_CNT_DES</stp>
        <stp>[TREASURY.xlsx]Sheet1!R1519C17</stp>
        <tr r="Q1519" s="1"/>
      </tp>
      <tp t="s">
        <v>ACT/ACT</v>
        <stp/>
        <stp>##V3_BDPV12</stp>
        <stp>9128272S Govt</stp>
        <stp>DAY_CNT_DES</stp>
        <stp>[TREASURY.xlsx]Sheet1!R1520C17</stp>
        <tr r="Q1520" s="1"/>
      </tp>
      <tp t="s">
        <v>ACT/ACT</v>
        <stp/>
        <stp>##V3_BDPV12</stp>
        <stp>9128273U Govt</stp>
        <stp>DAY_CNT_DES</stp>
        <stp>[TREASURY.xlsx]Sheet1!R1455C17</stp>
        <tr r="Q1455" s="1"/>
      </tp>
      <tp t="s">
        <v>ACT/ACT</v>
        <stp/>
        <stp>##V3_BDPV12</stp>
        <stp>9128274Q Govt</stp>
        <stp>DAY_CNT_DES</stp>
        <stp>[TREASURY.xlsx]Sheet1!R1367C17</stp>
        <tr r="Q1367" s="1"/>
      </tp>
      <tp t="s">
        <v>ACT/ACT</v>
        <stp/>
        <stp>##V3_BDPV12</stp>
        <stp>9128272T Govt</stp>
        <stp>DAY_CNT_DES</stp>
        <stp>[TREASURY.xlsx]Sheet1!R1521C17</stp>
        <tr r="Q1521" s="1"/>
      </tp>
      <tp t="s">
        <v>ACT/ACT</v>
        <stp/>
        <stp>##V3_BDPV12</stp>
        <stp>9128272W Govt</stp>
        <stp>DAY_CNT_DES</stp>
        <stp>[TREASURY.xlsx]Sheet1!R1523C17</stp>
        <tr r="Q1523" s="1"/>
      </tp>
      <tp t="s">
        <v>ACT/ACT</v>
        <stp/>
        <stp>##V3_BDPV12</stp>
        <stp>9128272V Govt</stp>
        <stp>DAY_CNT_DES</stp>
        <stp>[TREASURY.xlsx]Sheet1!R1522C17</stp>
        <tr r="Q1522" s="1"/>
      </tp>
      <tp t="s">
        <v>ACT/ACT</v>
        <stp/>
        <stp>##V3_BDPV12</stp>
        <stp>9128274U Govt</stp>
        <stp>DAY_CNT_DES</stp>
        <stp>[TREASURY.xlsx]Sheet1!R1012C17</stp>
        <tr r="Q1012" s="1"/>
      </tp>
      <tp t="s">
        <v>ACT/ACT</v>
        <stp/>
        <stp>##V3_BDPV12</stp>
        <stp>9128275J Govt</stp>
        <stp>DAY_CNT_DES</stp>
        <stp>[TREASURY.xlsx]Sheet1!R1014C17</stp>
        <tr r="Q1014" s="1"/>
      </tp>
      <tp t="s">
        <v>ACT/ACT</v>
        <stp/>
        <stp>##V3_BDPV12</stp>
        <stp>9128275M Govt</stp>
        <stp>DAY_CNT_DES</stp>
        <stp>[TREASURY.xlsx]Sheet1!R1015C17</stp>
        <tr r="Q1015" s="1"/>
      </tp>
      <tp t="s">
        <v>ACT/ACT</v>
        <stp/>
        <stp>##V3_BDPV12</stp>
        <stp>9128275D Govt</stp>
        <stp>DAY_CNT_DES</stp>
        <stp>[TREASURY.xlsx]Sheet1!R1013C17</stp>
        <tr r="Q1013" s="1"/>
      </tp>
      <tp t="s">
        <v>ACT/ACT</v>
        <stp/>
        <stp>##V3_BDPV12</stp>
        <stp>9128275R Govt</stp>
        <stp>DAY_CNT_DES</stp>
        <stp>[TREASURY.xlsx]Sheet1!R1018C17</stp>
        <tr r="Q1018" s="1"/>
      </tp>
      <tp t="s">
        <v>ACT/ACT</v>
        <stp/>
        <stp>##V3_BDPV12</stp>
        <stp>9128275S Govt</stp>
        <stp>DAY_CNT_DES</stp>
        <stp>[TREASURY.xlsx]Sheet1!R1019C17</stp>
        <tr r="Q1019" s="1"/>
      </tp>
      <tp t="s">
        <v>ACT/ACT</v>
        <stp/>
        <stp>##V3_BDPV12</stp>
        <stp>9128275P Govt</stp>
        <stp>DAY_CNT_DES</stp>
        <stp>[TREASURY.xlsx]Sheet1!R1016C17</stp>
        <tr r="Q1016" s="1"/>
      </tp>
      <tp t="s">
        <v>ACT/ACT</v>
        <stp/>
        <stp>##V3_BDPV12</stp>
        <stp>9128275Q Govt</stp>
        <stp>DAY_CNT_DES</stp>
        <stp>[TREASURY.xlsx]Sheet1!R1017C17</stp>
        <tr r="Q1017" s="1"/>
      </tp>
      <tp t="s">
        <v>T</v>
        <stp/>
        <stp>##V3_BDPV12</stp>
        <stp>912828KZ Govt</stp>
        <stp>TICKER</stp>
        <stp>[TREASURY.xlsx]Sheet1!R974C2</stp>
        <tr r="B974" s="1"/>
      </tp>
      <tp t="s">
        <v>ACT/ACT</v>
        <stp/>
        <stp>##V3_BDPV12</stp>
        <stp>9128277L Govt</stp>
        <stp>DAY_CNT_DES</stp>
        <stp>[TREASURY.xlsx]Sheet1!R1546C17</stp>
        <tr r="Q1546" s="1"/>
      </tp>
      <tp t="s">
        <v>ACT/ACT</v>
        <stp/>
        <stp>##V3_BDPV12</stp>
        <stp>9128272B Govt</stp>
        <stp>DAY_CNT_DES</stp>
        <stp>[TREASURY.xlsx]Sheet1!R1008C17</stp>
        <tr r="Q1008" s="1"/>
      </tp>
      <tp t="s">
        <v>ACT/ACT</v>
        <stp/>
        <stp>##V3_BDPV12</stp>
        <stp>9128276D Govt</stp>
        <stp>DAY_CNT_DES</stp>
        <stp>[TREASURY.xlsx]Sheet1!R1465C17</stp>
        <tr r="Q1465" s="1"/>
      </tp>
      <tp t="s">
        <v>ACT/ACT</v>
        <stp/>
        <stp>##V3_BDPV12</stp>
        <stp>9128277E Govt</stp>
        <stp>DAY_CNT_DES</stp>
        <stp>[TREASURY.xlsx]Sheet1!R1545C17</stp>
        <tr r="Q1545" s="1"/>
      </tp>
      <tp t="s">
        <v>ACT/ACT</v>
        <stp/>
        <stp>##V3_BDPV12</stp>
        <stp>9128276F Govt</stp>
        <stp>DAY_CNT_DES</stp>
        <stp>[TREASURY.xlsx]Sheet1!R1466C17</stp>
        <tr r="Q1466" s="1"/>
      </tp>
      <tp t="s">
        <v>ACT/ACT</v>
        <stp/>
        <stp>##V3_BDPV12</stp>
        <stp>9128277C Govt</stp>
        <stp>DAY_CNT_DES</stp>
        <stp>[TREASURY.xlsx]Sheet1!R1544C17</stp>
        <tr r="Q1544" s="1"/>
      </tp>
      <tp t="s">
        <v>ACT/ACT</v>
        <stp/>
        <stp>##V3_BDPV12</stp>
        <stp>9128272E Govt</stp>
        <stp>DAY_CNT_DES</stp>
        <stp>[TREASURY.xlsx]Sheet1!R1009C17</stp>
        <tr r="Q1009" s="1"/>
      </tp>
      <tp t="s">
        <v>ACT/ACT</v>
        <stp/>
        <stp>##V3_BDPV12</stp>
        <stp>9128277A Govt</stp>
        <stp>DAY_CNT_DES</stp>
        <stp>[TREASURY.xlsx]Sheet1!R1543C17</stp>
        <tr r="Q1543" s="1"/>
      </tp>
      <tp t="s">
        <v>ACT/ACT</v>
        <stp/>
        <stp>##V3_BDPV12</stp>
        <stp>9128276X Govt</stp>
        <stp>DAY_CNT_DES</stp>
        <stp>[TREASURY.xlsx]Sheet1!R1469C17</stp>
        <tr r="Q1469" s="1"/>
      </tp>
      <tp t="s">
        <v>ACT/ACT</v>
        <stp/>
        <stp>##V3_BDPV12</stp>
        <stp>9128276U Govt</stp>
        <stp>DAY_CNT_DES</stp>
        <stp>[TREASURY.xlsx]Sheet1!R1467C17</stp>
        <tr r="Q1467" s="1"/>
      </tp>
      <tp t="s">
        <v>ACT/ACT</v>
        <stp/>
        <stp>##V3_BDPV12</stp>
        <stp>9128276V Govt</stp>
        <stp>DAY_CNT_DES</stp>
        <stp>[TREASURY.xlsx]Sheet1!R1468C17</stp>
        <tr r="Q1468" s="1"/>
      </tp>
      <tp t="s">
        <v>ACT/ACT</v>
        <stp/>
        <stp>##V3_BDPV12</stp>
        <stp>9128276H Govt</stp>
        <stp>DAY_CNT_DES</stp>
        <stp>[TREASURY.xlsx]Sheet1!R1537C17</stp>
        <tr r="Q1537" s="1"/>
      </tp>
      <tp t="s">
        <v>ACT/ACT</v>
        <stp/>
        <stp>##V3_BDPV12</stp>
        <stp>9128277M Govt</stp>
        <stp>DAY_CNT_DES</stp>
        <stp>[TREASURY.xlsx]Sheet1!R1472C17</stp>
        <tr r="Q1472" s="1"/>
      </tp>
      <tp t="s">
        <v>ACT/ACT</v>
        <stp/>
        <stp>##V3_BDPV12</stp>
        <stp>9128276L Govt</stp>
        <stp>DAY_CNT_DES</stp>
        <stp>[TREASURY.xlsx]Sheet1!R1538C17</stp>
        <tr r="Q1538" s="1"/>
      </tp>
      <tp t="s">
        <v>ACT/ACT</v>
        <stp/>
        <stp>##V3_BDPV12</stp>
        <stp>9128277D Govt</stp>
        <stp>DAY_CNT_DES</stp>
        <stp>[TREASURY.xlsx]Sheet1!R1470C17</stp>
        <tr r="Q1470" s="1"/>
      </tp>
      <tp t="s">
        <v>ACT/ACT</v>
        <stp/>
        <stp>##V3_BDPV12</stp>
        <stp>9128273C Govt</stp>
        <stp>DAY_CNT_DES</stp>
        <stp>[TREASURY.xlsx]Sheet1!R1010C17</stp>
        <tr r="Q1010" s="1"/>
      </tp>
      <tp t="s">
        <v>ACT/ACT</v>
        <stp/>
        <stp>##V3_BDPV12</stp>
        <stp>9128277G Govt</stp>
        <stp>DAY_CNT_DES</stp>
        <stp>[TREASURY.xlsx]Sheet1!R1471C17</stp>
        <tr r="Q1471" s="1"/>
      </tp>
      <tp t="s">
        <v>ACT/ACT</v>
        <stp/>
        <stp>##V3_BDPV12</stp>
        <stp>9128273G Govt</stp>
        <stp>DAY_CNT_DES</stp>
        <stp>[TREASURY.xlsx]Sheet1!R1011C17</stp>
        <tr r="Q1011" s="1"/>
      </tp>
      <tp t="s">
        <v>ACT/ACT</v>
        <stp/>
        <stp>##V3_BDPV12</stp>
        <stp>9128276E Govt</stp>
        <stp>DAY_CNT_DES</stp>
        <stp>[TREASURY.xlsx]Sheet1!R1536C17</stp>
        <tr r="Q1536" s="1"/>
      </tp>
      <tp t="s">
        <v>ACT/ACT</v>
        <stp/>
        <stp>##V3_BDPV12</stp>
        <stp>9128276Y Govt</stp>
        <stp>DAY_CNT_DES</stp>
        <stp>[TREASURY.xlsx]Sheet1!R1542C17</stp>
        <tr r="Q1542" s="1"/>
      </tp>
      <tp t="s">
        <v>ACT/ACT</v>
        <stp/>
        <stp>##V3_BDPV12</stp>
        <stp>9128276W Govt</stp>
        <stp>DAY_CNT_DES</stp>
        <stp>[TREASURY.xlsx]Sheet1!R1541C17</stp>
        <tr r="Q1541" s="1"/>
      </tp>
      <tp t="s">
        <v>ACT/ACT</v>
        <stp/>
        <stp>##V3_BDPV12</stp>
        <stp>9128276Q Govt</stp>
        <stp>DAY_CNT_DES</stp>
        <stp>[TREASURY.xlsx]Sheet1!R1539C17</stp>
        <tr r="Q1539" s="1"/>
      </tp>
      <tp t="s">
        <v>ACT/ACT</v>
        <stp/>
        <stp>##V3_BDPV12</stp>
        <stp>9128276S Govt</stp>
        <stp>DAY_CNT_DES</stp>
        <stp>[TREASURY.xlsx]Sheet1!R1540C17</stp>
        <tr r="Q1540" s="1"/>
      </tp>
      <tp t="s">
        <v>T</v>
        <stp/>
        <stp>##V3_BDPV12</stp>
        <stp>912827LX Govt</stp>
        <stp>TICKER</stp>
        <stp>[TREASURY.xlsx]Sheet1!R893C2</stp>
        <tr r="B893" s="1"/>
      </tp>
      <tp t="s">
        <v>ACT/ACT</v>
        <stp/>
        <stp>##V3_BDPV12</stp>
        <stp>9128274M Govt</stp>
        <stp>DAY_CNT_DES</stp>
        <stp>[TREASURY.xlsx]Sheet1!R1461C17</stp>
        <tr r="Q1461" s="1"/>
      </tp>
      <tp t="s">
        <v>ACT/ACT</v>
        <stp/>
        <stp>##V3_BDPV12</stp>
        <stp>9128274N Govt</stp>
        <stp>DAY_CNT_DES</stp>
        <stp>[TREASURY.xlsx]Sheet1!R1462C17</stp>
        <tr r="Q1462" s="1"/>
      </tp>
      <tp t="s">
        <v>ACT/ACT</v>
        <stp/>
        <stp>##V3_BDPV12</stp>
        <stp>9128273M Govt</stp>
        <stp>DAY_CNT_DES</stp>
        <stp>[TREASURY.xlsx]Sheet1!R1357C17</stp>
        <tr r="Q1357" s="1"/>
      </tp>
      <tp t="s">
        <v>ACT/ACT</v>
        <stp/>
        <stp>##V3_BDPV12</stp>
        <stp>9128274H Govt</stp>
        <stp>DAY_CNT_DES</stp>
        <stp>[TREASURY.xlsx]Sheet1!R1460C17</stp>
        <tr r="Q1460" s="1"/>
      </tp>
      <tp t="s">
        <v>ACT/ACT</v>
        <stp/>
        <stp>##V3_BDPV12</stp>
        <stp>9128273K Govt</stp>
        <stp>DAY_CNT_DES</stp>
        <stp>[TREASURY.xlsx]Sheet1!R1356C17</stp>
        <tr r="Q1356" s="1"/>
      </tp>
      <tp t="s">
        <v>ACT/ACT</v>
        <stp/>
        <stp>##V3_BDPV12</stp>
        <stp>9128273F Govt</stp>
        <stp>DAY_CNT_DES</stp>
        <stp>[TREASURY.xlsx]Sheet1!R1355C17</stp>
        <tr r="Q1355" s="1"/>
      </tp>
      <tp t="s">
        <v>ACT/ACT</v>
        <stp/>
        <stp>##V3_BDPV12</stp>
        <stp>9128274D Govt</stp>
        <stp>DAY_CNT_DES</stp>
        <stp>[TREASURY.xlsx]Sheet1!R1459C17</stp>
        <tr r="Q1459" s="1"/>
      </tp>
      <tp t="s">
        <v>ACT/ACT</v>
        <stp/>
        <stp>##V3_BDPV12</stp>
        <stp>9128273D Govt</stp>
        <stp>DAY_CNT_DES</stp>
        <stp>[TREASURY.xlsx]Sheet1!R1354C17</stp>
        <tr r="Q1354" s="1"/>
      </tp>
      <tp t="s">
        <v>ACT/ACT</v>
        <stp/>
        <stp>##V3_BDPV12</stp>
        <stp>9128275C Govt</stp>
        <stp>DAY_CNT_DES</stp>
        <stp>[TREASURY.xlsx]Sheet1!R1535C17</stp>
        <tr r="Q1535" s="1"/>
      </tp>
      <tp t="s">
        <v>ACT/ACT</v>
        <stp/>
        <stp>##V3_BDPV12</stp>
        <stp>9128273B Govt</stp>
        <stp>DAY_CNT_DES</stp>
        <stp>[TREASURY.xlsx]Sheet1!R1353C17</stp>
        <tr r="Q1353" s="1"/>
      </tp>
      <tp t="s">
        <v>ACT/ACT</v>
        <stp/>
        <stp>##V3_BDPV12</stp>
        <stp>9128274C Govt</stp>
        <stp>DAY_CNT_DES</stp>
        <stp>[TREASURY.xlsx]Sheet1!R1458C17</stp>
        <tr r="Q1458" s="1"/>
      </tp>
      <tp t="s">
        <v>ACT/ACT</v>
        <stp/>
        <stp>##V3_BDPV12</stp>
        <stp>9128274A Govt</stp>
        <stp>DAY_CNT_DES</stp>
        <stp>[TREASURY.xlsx]Sheet1!R1457C17</stp>
        <tr r="Q1457" s="1"/>
      </tp>
      <tp t="s">
        <v>ACT/ACT</v>
        <stp/>
        <stp>##V3_BDPV12</stp>
        <stp>9128273Z Govt</stp>
        <stp>DAY_CNT_DES</stp>
        <stp>[TREASURY.xlsx]Sheet1!R1361C17</stp>
        <tr r="Q1361" s="1"/>
      </tp>
      <tp t="s">
        <v>ACT/ACT</v>
        <stp/>
        <stp>##V3_BDPV12</stp>
        <stp>9128273V Govt</stp>
        <stp>DAY_CNT_DES</stp>
        <stp>[TREASURY.xlsx]Sheet1!R1360C17</stp>
        <tr r="Q1360" s="1"/>
      </tp>
      <tp t="s">
        <v>ACT/ACT</v>
        <stp/>
        <stp>##V3_BDPV12</stp>
        <stp>9128273R Govt</stp>
        <stp>DAY_CNT_DES</stp>
        <stp>[TREASURY.xlsx]Sheet1!R1359C17</stp>
        <tr r="Q1359" s="1"/>
      </tp>
      <tp t="s">
        <v>ACT/ACT</v>
        <stp/>
        <stp>##V3_BDPV12</stp>
        <stp>9128273Q Govt</stp>
        <stp>DAY_CNT_DES</stp>
        <stp>[TREASURY.xlsx]Sheet1!R1358C17</stp>
        <tr r="Q1358" s="1"/>
      </tp>
      <tp t="s">
        <v>T</v>
        <stp/>
        <stp>##V3_BDPV12</stp>
        <stp>912828LY Govt</stp>
        <stp>TICKER</stp>
        <stp>[TREASURY.xlsx]Sheet1!R353C2</stp>
        <tr r="B353" s="1"/>
      </tp>
      <tp t="s">
        <v>T</v>
        <stp/>
        <stp>##V3_BDPV12</stp>
        <stp>912828KY Govt</stp>
        <stp>TICKER</stp>
        <stp>[TREASURY.xlsx]Sheet1!R644C2</stp>
        <tr r="B644" s="1"/>
      </tp>
      <tp t="s">
        <v>ACT/ACT</v>
        <stp/>
        <stp>##V3_BDPV12</stp>
        <stp>9128272N Govt</stp>
        <stp>DAY_CNT_DES</stp>
        <stp>[TREASURY.xlsx]Sheet1!R1352C17</stp>
        <tr r="Q1352" s="1"/>
      </tp>
      <tp t="s">
        <v>ACT/ACT</v>
        <stp/>
        <stp>##V3_BDPV12</stp>
        <stp>9128275L Govt</stp>
        <stp>DAY_CNT_DES</stp>
        <stp>[TREASURY.xlsx]Sheet1!R1464C17</stp>
        <tr r="Q1464" s="1"/>
      </tp>
      <tp t="s">
        <v>ACT/ACT</v>
        <stp/>
        <stp>##V3_BDPV12</stp>
        <stp>9128272F Govt</stp>
        <stp>DAY_CNT_DES</stp>
        <stp>[TREASURY.xlsx]Sheet1!R1351C17</stp>
        <tr r="Q1351" s="1"/>
      </tp>
      <tp t="s">
        <v>ACT/ACT</v>
        <stp/>
        <stp>##V3_BDPV12</stp>
        <stp>9128272D Govt</stp>
        <stp>DAY_CNT_DES</stp>
        <stp>[TREASURY.xlsx]Sheet1!R1350C17</stp>
        <tr r="Q1350" s="1"/>
      </tp>
      <tp t="s">
        <v>ACT/ACT</v>
        <stp/>
        <stp>##V3_BDPV12</stp>
        <stp>9128275A Govt</stp>
        <stp>DAY_CNT_DES</stp>
        <stp>[TREASURY.xlsx]Sheet1!R1463C17</stp>
        <tr r="Q1463" s="1"/>
      </tp>
      <tp t="s">
        <v>ACT/ACT</v>
        <stp/>
        <stp>##V3_BDPV12</stp>
        <stp>9128274Z Govt</stp>
        <stp>DAY_CNT_DES</stp>
        <stp>[TREASURY.xlsx]Sheet1!R1534C17</stp>
        <tr r="Q1534" s="1"/>
      </tp>
      <tp t="s">
        <v>ACT/ACT</v>
        <stp/>
        <stp>##V3_BDPV12</stp>
        <stp>9128274R Govt</stp>
        <stp>DAY_CNT_DES</stp>
        <stp>[TREASURY.xlsx]Sheet1!R1532C17</stp>
        <tr r="Q1532" s="1"/>
      </tp>
      <tp t="s">
        <v>ACT/ACT</v>
        <stp/>
        <stp>##V3_BDPV12</stp>
        <stp>9128274V Govt</stp>
        <stp>DAY_CNT_DES</stp>
        <stp>[TREASURY.xlsx]Sheet1!R1533C17</stp>
        <tr r="Q1533" s="1"/>
      </tp>
      <tp t="s">
        <v>T</v>
        <stp/>
        <stp>##V3_BDPV12</stp>
        <stp>912828NT Govt</stp>
        <stp>TICKER</stp>
        <stp>[TREASURY.xlsx]Sheet1!R351C2</stp>
        <tr r="B351" s="1"/>
      </tp>
      <tp t="s">
        <v>T</v>
        <stp/>
        <stp>##V3_BDPV12</stp>
        <stp>912828GU Govt</stp>
        <stp>TICKER</stp>
        <stp>[TREASURY.xlsx]Sheet1!R848C2</stp>
        <tr r="B848" s="1"/>
      </tp>
      <tp t="s">
        <v>T</v>
        <stp/>
        <stp>##V3_BDPV12</stp>
        <stp>912828JU Govt</stp>
        <stp>TICKER</stp>
        <stp>[TREASURY.xlsx]Sheet1!R855C2</stp>
        <tr r="B855" s="1"/>
      </tp>
      <tp t="s">
        <v>CALLABLE</v>
        <stp/>
        <stp>##V3_BDPV12</stp>
        <stp>912810CY Govt</stp>
        <stp>MTY_TYP</stp>
        <stp>[TREASURY.xlsx]Sheet1!R414C6</stp>
        <tr r="F414" s="1"/>
      </tp>
      <tp t="s">
        <v>NORMAL</v>
        <stp/>
        <stp>##V3_BDPV12</stp>
        <stp>912810QX Govt</stp>
        <stp>MTY_TYP</stp>
        <stp>[TREASURY.xlsx]Sheet1!R275C6</stp>
        <tr r="F275" s="1"/>
      </tp>
      <tp t="s">
        <v>NORMAL</v>
        <stp/>
        <stp>##V3_BDPV12</stp>
        <stp>912828LU Govt</stp>
        <stp>MTY_TYP</stp>
        <stp>[TREASURY.xlsx]Sheet1!R818C6</stp>
        <tr r="F818" s="1"/>
      </tp>
      <tp t="s">
        <v>NORMAL</v>
        <stp/>
        <stp>##V3_BDPV12</stp>
        <stp>912828MX Govt</stp>
        <stp>MTY_TYP</stp>
        <stp>[TREASURY.xlsx]Sheet1!R825C6</stp>
        <tr r="F825" s="1"/>
      </tp>
      <tp t="s">
        <v>NORMAL</v>
        <stp/>
        <stp>##V3_BDPV12</stp>
        <stp>912828HU Govt</stp>
        <stp>MTY_TYP</stp>
        <stp>[TREASURY.xlsx]Sheet1!R808C6</stp>
        <tr r="F808" s="1"/>
      </tp>
      <tp t="s">
        <v>NORMAL</v>
        <stp/>
        <stp>##V3_BDPV12</stp>
        <stp>912828GU Govt</stp>
        <stp>MTY_TYP</stp>
        <stp>[TREASURY.xlsx]Sheet1!R848C6</stp>
        <tr r="F848" s="1"/>
      </tp>
      <tp t="s">
        <v>NORMAL</v>
        <stp/>
        <stp>##V3_BDPV12</stp>
        <stp>912828PY Govt</stp>
        <stp>MTY_TYP</stp>
        <stp>[TREASURY.xlsx]Sheet1!R594C6</stp>
        <tr r="F594" s="1"/>
      </tp>
      <tp t="s">
        <v>NORMAL</v>
        <stp/>
        <stp>##V3_BDPV12</stp>
        <stp>912828LX Govt</stp>
        <stp>MTY_TYP</stp>
        <stp>[TREASURY.xlsx]Sheet1!R535C6</stp>
        <tr r="F535" s="1"/>
      </tp>
      <tp t="s">
        <v>NORMAL</v>
        <stp/>
        <stp>##V3_BDPV12</stp>
        <stp>912827RX Govt</stp>
        <stp>MTY_TYP</stp>
        <stp>[TREASURY.xlsx]Sheet1!R915C6</stp>
        <tr r="F915" s="1"/>
      </tp>
      <tp t="s">
        <v>NORMAL</v>
        <stp/>
        <stp>##V3_BDPV12</stp>
        <stp>912828KY Govt</stp>
        <stp>MTY_TYP</stp>
        <stp>[TREASURY.xlsx]Sheet1!R644C6</stp>
        <tr r="F644" s="1"/>
      </tp>
      <tp t="s">
        <v>NORMAL</v>
        <stp/>
        <stp>##V3_BDPV12</stp>
        <stp>912827LY Govt</stp>
        <stp>MTY_TYP</stp>
        <stp>[TREASURY.xlsx]Sheet1!R894C6</stp>
        <tr r="F894" s="1"/>
      </tp>
      <tp t="s">
        <v>NORMAL</v>
        <stp/>
        <stp>##V3_BDPV12</stp>
        <stp>9128284U Govt</stp>
        <stp>MTY_TYP</stp>
        <stp>[TREASURY.xlsx]Sheet1!R128C6</stp>
        <tr r="F128" s="1"/>
      </tp>
      <tp t="s">
        <v>NORMAL</v>
        <stp/>
        <stp>##V3_BDPV12</stp>
        <stp>912828ZY Govt</stp>
        <stp>MTY_TYP</stp>
        <stp>[TREASURY.xlsx]Sheet1!R184C6</stp>
        <tr r="F184" s="1"/>
      </tp>
      <tp t="s">
        <v>NORMAL</v>
        <stp/>
        <stp>##V3_BDPV12</stp>
        <stp>9128283U Govt</stp>
        <stp>MTY_TYP</stp>
        <stp>[TREASURY.xlsx]Sheet1!R268C6</stp>
        <tr r="F268" s="1"/>
      </tp>
      <tp t="s">
        <v>NORMAL</v>
        <stp/>
        <stp>##V3_BDPV12</stp>
        <stp>9128285T Govt</stp>
        <stp>MTY_TYP</stp>
        <stp>[TREASURY.xlsx]Sheet1!R239C6</stp>
        <tr r="F239" s="1"/>
      </tp>
      <tp t="s">
        <v>NORMAL</v>
        <stp/>
        <stp>##V3_BDPV12</stp>
        <stp>912828PX Govt</stp>
        <stp>MTY_TYP</stp>
        <stp>[TREASURY.xlsx]Sheet1!R355C6</stp>
        <tr r="F355" s="1"/>
      </tp>
      <tp t="s">
        <v>NORMAL</v>
        <stp/>
        <stp>##V3_BDPV12</stp>
        <stp>912828FY Govt</stp>
        <stp>MTY_TYP</stp>
        <stp>[TREASURY.xlsx]Sheet1!R394C6</stp>
        <tr r="F394" s="1"/>
      </tp>
      <tp t="s">
        <v>NORMAL</v>
        <stp/>
        <stp>##V3_BDPV12</stp>
        <stp>91282CAY Govt</stp>
        <stp>MTY_TYP</stp>
        <stp>[TREASURY.xlsx]Sheet1!R144C6</stp>
        <tr r="F144" s="1"/>
      </tp>
      <tp t="s">
        <v>T</v>
        <stp/>
        <stp>##V3_BDPV12</stp>
        <stp>912828MN Govt</stp>
        <stp>TICKER</stp>
        <stp>[TREASURY.xlsx]Sheet1!R822C2</stp>
        <tr r="B822" s="1"/>
      </tp>
      <tp t="s">
        <v>T</v>
        <stp/>
        <stp>##V3_BDPV12</stp>
        <stp>912828FJ Govt</stp>
        <stp>TICKER</stp>
        <stp>[TREASURY.xlsx]Sheet1!R799C2</stp>
        <tr r="B799" s="1"/>
      </tp>
      <tp t="s">
        <v>T</v>
        <stp/>
        <stp>##V3_BDPV12</stp>
        <stp>912827KJ Govt</stp>
        <stp>TICKER</stp>
        <stp>[TREASURY.xlsx]Sheet1!R884C2</stp>
        <tr r="B884" s="1"/>
      </tp>
      <tp t="s">
        <v>T</v>
        <stp/>
        <stp>##V3_BDPV12</stp>
        <stp>912828HJ Govt</stp>
        <stp>TICKER</stp>
        <stp>[TREASURY.xlsx]Sheet1!R807C2</stp>
        <tr r="B807" s="1"/>
      </tp>
      <tp t="s">
        <v>T</v>
        <stp/>
        <stp>##V3_BDPV12</stp>
        <stp>912827NK Govt</stp>
        <stp>TICKER</stp>
        <stp>[TREASURY.xlsx]Sheet1!R901C2</stp>
        <tr r="B901" s="1"/>
      </tp>
      <tp t="s">
        <v>T</v>
        <stp/>
        <stp>##V3_BDPV12</stp>
        <stp>912827MF Govt</stp>
        <stp>TICKER</stp>
        <stp>[TREASURY.xlsx]Sheet1!R722C2</stp>
        <tr r="B722" s="1"/>
      </tp>
      <tp t="s">
        <v>T</v>
        <stp/>
        <stp>##V3_BDPV12</stp>
        <stp>912828KD Govt</stp>
        <stp>TICKER</stp>
        <stp>[TREASURY.xlsx]Sheet1!R364C2</stp>
        <tr r="B364" s="1"/>
      </tp>
      <tp t="s">
        <v>T</v>
        <stp/>
        <stp>##V3_BDPV12</stp>
        <stp>912827ND Govt</stp>
        <stp>TICKER</stp>
        <stp>[TREASURY.xlsx]Sheet1!R731C2</stp>
        <tr r="B731" s="1"/>
      </tp>
      <tp t="s">
        <v>NORMAL</v>
        <stp/>
        <stp>##V3_BDPV12</stp>
        <stp>9128283W Govt</stp>
        <stp>MTY_TYP</stp>
        <stp>[TREASURY.xlsx]Sheet1!R68C6</stp>
        <tr r="F68" s="1"/>
      </tp>
      <tp t="s">
        <v>912827WH1</v>
        <stp/>
        <stp>##V3_BDPV12</stp>
        <stp>912827WH Govt</stp>
        <stp>ID_CUSIP</stp>
        <stp>[TREASURY.xlsx]Sheet1!R1417C19</stp>
        <tr r="S1417" s="1"/>
      </tp>
      <tp t="s">
        <v>912828WL0</v>
        <stp/>
        <stp>##V3_BDPV12</stp>
        <stp>912828WL Govt</stp>
        <stp>ID_CUSIP</stp>
        <stp>[TREASURY.xlsx]Sheet1!R1150C19</stp>
        <tr r="S1150" s="1"/>
      </tp>
      <tp t="s">
        <v>T</v>
        <stp/>
        <stp>##V3_BDPV12</stp>
        <stp>912828AM Govt</stp>
        <stp>TICKER</stp>
        <stp>[TREASURY.xlsx]Sheet1!R1616C2</stp>
        <tr r="B1616" s="1"/>
      </tp>
      <tp t="s">
        <v>T</v>
        <stp/>
        <stp>##V3_BDPV12</stp>
        <stp>912828KH Govt</stp>
        <stp>TICKER</stp>
        <stp>[TREASURY.xlsx]Sheet1!R1123C2</stp>
        <tr r="B1123" s="1"/>
      </tp>
      <tp t="s">
        <v>T</v>
        <stp/>
        <stp>##V3_BDPV12</stp>
        <stp>912828DJ Govt</stp>
        <stp>TICKER</stp>
        <stp>[TREASURY.xlsx]Sheet1!R1111C2</stp>
        <tr r="B1111" s="1"/>
      </tp>
      <tp t="s">
        <v>T</v>
        <stp/>
        <stp>##V3_BDPV12</stp>
        <stp>912828FN Govt</stp>
        <stp>TICKER</stp>
        <stp>[TREASURY.xlsx]Sheet1!R1275C2</stp>
        <tr r="B1275" s="1"/>
      </tp>
      <tp t="s">
        <v>T</v>
        <stp/>
        <stp>##V3_BDPV12</stp>
        <stp>912827NH Govt</stp>
        <stp>TICKER</stp>
        <stp>[TREASURY.xlsx]Sheet1!R1333C2</stp>
        <tr r="B1333" s="1"/>
      </tp>
      <tp t="s">
        <v>T</v>
        <stp/>
        <stp>##V3_BDPV12</stp>
        <stp>912827KL Govt</stp>
        <stp>TICKER</stp>
        <stp>[TREASURY.xlsx]Sheet1!R1377C2</stp>
        <tr r="B1377" s="1"/>
      </tp>
      <tp t="s">
        <v>T</v>
        <stp/>
        <stp>##V3_BDPV12</stp>
        <stp>912827PK Govt</stp>
        <stp>TICKER</stp>
        <stp>[TREASURY.xlsx]Sheet1!R1340C2</stp>
        <tr r="B1340" s="1"/>
      </tp>
      <tp t="s">
        <v>T</v>
        <stp/>
        <stp>##V3_BDPV12</stp>
        <stp>912827UK Govt</stp>
        <stp>TICKER</stp>
        <stp>[TREASURY.xlsx]Sheet1!R1200C2</stp>
        <tr r="B1200" s="1"/>
      </tp>
      <tp t="s">
        <v>T</v>
        <stp/>
        <stp>##V3_BDPV12</stp>
        <stp>912827VL Govt</stp>
        <stp>TICKER</stp>
        <stp>[TREASURY.xlsx]Sheet1!R1087C2</stp>
        <tr r="B1087" s="1"/>
      </tp>
      <tp t="s">
        <v>T</v>
        <stp/>
        <stp>##V3_BDPV12</stp>
        <stp>9128274C Govt</stp>
        <stp>TICKER</stp>
        <stp>[TREASURY.xlsx]Sheet1!R1458C2</stp>
        <tr r="B1458" s="1"/>
      </tp>
      <tp t="s">
        <v>T</v>
        <stp/>
        <stp>##V3_BDPV12</stp>
        <stp>9128272J Govt</stp>
        <stp>TICKER</stp>
        <stp>[TREASURY.xlsx]Sheet1!R1451C2</stp>
        <tr r="B1451" s="1"/>
      </tp>
      <tp t="s">
        <v>912827WN8</v>
        <stp/>
        <stp>##V3_BDPV12</stp>
        <stp>912827WN Govt</stp>
        <stp>ID_CUSIP</stp>
        <stp>[TREASURY.xlsx]Sheet1!R1092C19</stp>
        <tr r="S1092" s="1"/>
      </tp>
      <tp t="s">
        <v>912827WL2</v>
        <stp/>
        <stp>##V3_BDPV12</stp>
        <stp>912827WL Govt</stp>
        <stp>ID_CUSIP</stp>
        <stp>[TREASURY.xlsx]Sheet1!R1208C19</stp>
        <tr r="S1208" s="1"/>
      </tp>
      <tp t="s">
        <v>T</v>
        <stp/>
        <stp>##V3_BDPV12</stp>
        <stp>912810CL Govt</stp>
        <stp>TICKER</stp>
        <stp>[TREASURY.xlsx]Sheet1!R1617C2</stp>
        <tr r="B1617" s="1"/>
      </tp>
      <tp t="s">
        <v>7/2/2007</v>
        <stp/>
        <stp>##V3_BDPV12</stp>
        <stp>912828GW Govt</stp>
        <stp>ISSUE_DT</stp>
        <stp>[TREASURY.xlsx]Sheet1!R1436C15</stp>
        <tr r="O1436" s="1"/>
      </tp>
      <tp t="s">
        <v>912827WJ7</v>
        <stp/>
        <stp>##V3_BDPV12</stp>
        <stp>912827WJ Govt</stp>
        <stp>ID_CUSIP</stp>
        <stp>[TREASURY.xlsx]Sheet1!R1207C19</stp>
        <tr r="S1207" s="1"/>
      </tp>
      <tp t="s">
        <v>912827WM0</v>
        <stp/>
        <stp>##V3_BDPV12</stp>
        <stp>912827WM Govt</stp>
        <stp>ID_CUSIP</stp>
        <stp>[TREASURY.xlsx]Sheet1!R1418C19</stp>
        <tr r="S1418" s="1"/>
      </tp>
      <tp t="s">
        <v>912828WH9</v>
        <stp/>
        <stp>##V3_BDPV12</stp>
        <stp>912828WH Govt</stp>
        <stp>ID_CUSIP</stp>
        <stp>[TREASURY.xlsx]Sheet1!R1306C19</stp>
        <tr r="S1306" s="1"/>
      </tp>
      <tp t="s">
        <v>912827WF5</v>
        <stp/>
        <stp>##V3_BDPV12</stp>
        <stp>912827WF Govt</stp>
        <stp>ID_CUSIP</stp>
        <stp>[TREASURY.xlsx]Sheet1!R1090C19</stp>
        <tr r="S1090" s="1"/>
      </tp>
      <tp t="s">
        <v>912827WG3</v>
        <stp/>
        <stp>##V3_BDPV12</stp>
        <stp>912827WG Govt</stp>
        <stp>ID_CUSIP</stp>
        <stp>[TREASURY.xlsx]Sheet1!R1091C19</stp>
        <tr r="S1091" s="1"/>
      </tp>
      <tp t="s">
        <v>USD</v>
        <stp/>
        <stp>##V3_BDPV12</stp>
        <stp>912828DY Govt</stp>
        <stp>CRNCY</stp>
        <stp>[TREASURY.xlsx]Sheet1!R1430C7</stp>
        <tr r="G1430" s="1"/>
      </tp>
      <tp t="s">
        <v>7/31/2007</v>
        <stp/>
        <stp>##V3_BDPV12</stp>
        <stp>912828GZ Govt</stp>
        <stp>ISSUE_DT</stp>
        <stp>[TREASURY.xlsx]Sheet1!R1121C15</stp>
        <tr r="O1121" s="1"/>
      </tp>
      <tp t="s">
        <v>912828WA4</v>
        <stp/>
        <stp>##V3_BDPV12</stp>
        <stp>912828WA Govt</stp>
        <stp>ID_CUSIP</stp>
        <stp>[TREASURY.xlsx]Sheet1!R1005C19</stp>
        <tr r="S1005" s="1"/>
      </tp>
      <tp t="s">
        <v>912828WC0</v>
        <stp/>
        <stp>##V3_BDPV12</stp>
        <stp>912828WC Govt</stp>
        <stp>ID_CUSIP</stp>
        <stp>[TREASURY.xlsx]Sheet1!R1139C19</stp>
        <tr r="S1139" s="1"/>
      </tp>
      <tp t="s">
        <v>7/31/2007</v>
        <stp/>
        <stp>##V3_BDPV12</stp>
        <stp>912828GY Govt</stp>
        <stp>ISSUE_DT</stp>
        <stp>[TREASURY.xlsx]Sheet1!R1120C15</stp>
        <tr r="O1120" s="1"/>
      </tp>
      <tp t="s">
        <v>912827WA6</v>
        <stp/>
        <stp>##V3_BDPV12</stp>
        <stp>912827WA Govt</stp>
        <stp>ID_CUSIP</stp>
        <stp>[TREASURY.xlsx]Sheet1!R1206C19</stp>
        <tr r="S1206" s="1"/>
      </tp>
      <tp t="s">
        <v>1/31/2007</v>
        <stp/>
        <stp>##V3_BDPV12</stp>
        <stp>912828GE Govt</stp>
        <stp>ISSUE_DT</stp>
        <stp>[TREASURY.xlsx]Sheet1!R1242C15</stp>
        <tr r="O1242" s="1"/>
      </tp>
      <tp t="s">
        <v>USD</v>
        <stp/>
        <stp>##V3_BDPV12</stp>
        <stp>912828GB Govt</stp>
        <stp>CRNCY</stp>
        <stp>[TREASURY.xlsx]Sheet1!R1433C7</stp>
        <tr r="G1433" s="1"/>
      </tp>
      <tp t="s">
        <v>912827WX6</v>
        <stp/>
        <stp>##V3_BDPV12</stp>
        <stp>912827WX Govt</stp>
        <stp>ID_CUSIP</stp>
        <stp>[TREASURY.xlsx]Sheet1!R1593C19</stp>
        <tr r="S1593" s="1"/>
      </tp>
      <tp t="s">
        <v>1/2/2007</v>
        <stp/>
        <stp>##V3_BDPV12</stp>
        <stp>912828GB Govt</stp>
        <stp>ISSUE_DT</stp>
        <stp>[TREASURY.xlsx]Sheet1!R1433C15</stp>
        <tr r="O1433" s="1"/>
      </tp>
      <tp t="s">
        <v>912827WZ1</v>
        <stp/>
        <stp>##V3_BDPV12</stp>
        <stp>912827WZ Govt</stp>
        <stp>ID_CUSIP</stp>
        <stp>[TREASURY.xlsx]Sheet1!R1423C19</stp>
        <tr r="S1423" s="1"/>
      </tp>
      <tp t="s">
        <v>USD</v>
        <stp/>
        <stp>##V3_BDPV12</stp>
        <stp>912828FA Govt</stp>
        <stp>CRNCY</stp>
        <stp>[TREASURY.xlsx]Sheet1!R1432C7</stp>
        <tr r="G1432" s="1"/>
      </tp>
      <tp t="s">
        <v>USD</v>
        <stp/>
        <stp>##V3_BDPV12</stp>
        <stp>912828EF Govt</stp>
        <stp>CRNCY</stp>
        <stp>[TREASURY.xlsx]Sheet1!R1431C7</stp>
        <tr r="G1431" s="1"/>
      </tp>
      <tp t="s">
        <v>USD</v>
        <stp/>
        <stp>##V3_BDPV12</stp>
        <stp>91282CCS Govt</stp>
        <stp>CRNCY</stp>
        <stp>[TREASURY.xlsx]Sheet1!R2C7</stp>
        <tr r="G2" s="1"/>
      </tp>
      <tp t="s">
        <v>1/31/2007</v>
        <stp/>
        <stp>##V3_BDPV12</stp>
        <stp>912828GF Govt</stp>
        <stp>ISSUE_DT</stp>
        <stp>[TREASURY.xlsx]Sheet1!R1434C15</stp>
        <tr r="O1434" s="1"/>
      </tp>
      <tp t="s">
        <v>USD</v>
        <stp/>
        <stp>##V3_BDPV12</stp>
        <stp>912828DG Govt</stp>
        <stp>CRNCY</stp>
        <stp>[TREASURY.xlsx]Sheet1!R1110C7</stp>
        <tr r="G1110" s="1"/>
      </tp>
      <tp t="s">
        <v>1/2/2007</v>
        <stp/>
        <stp>##V3_BDPV12</stp>
        <stp>912828GC Govt</stp>
        <stp>ISSUE_DT</stp>
        <stp>[TREASURY.xlsx]Sheet1!R1282C15</stp>
        <tr r="O1282" s="1"/>
      </tp>
      <tp t="s">
        <v>USD</v>
        <stp/>
        <stp>##V3_BDPV12</stp>
        <stp>912827LD Govt</stp>
        <stp>CRNCY</stp>
        <stp>[TREASURY.xlsx]Sheet1!R1378C7</stp>
        <tr r="G1378" s="1"/>
      </tp>
      <tp t="s">
        <v>912827WY4</v>
        <stp/>
        <stp>##V3_BDPV12</stp>
        <stp>912827WY Govt</stp>
        <stp>ID_CUSIP</stp>
        <stp>[TREASURY.xlsx]Sheet1!R1210C19</stp>
        <tr r="S1210" s="1"/>
      </tp>
      <tp t="s">
        <v>912827WP3</v>
        <stp/>
        <stp>##V3_BDPV12</stp>
        <stp>912827WP Govt</stp>
        <stp>ID_CUSIP</stp>
        <stp>[TREASURY.xlsx]Sheet1!R1419C19</stp>
        <tr r="S1419" s="1"/>
      </tp>
      <tp t="s">
        <v>912827WV0</v>
        <stp/>
        <stp>##V3_BDPV12</stp>
        <stp>912827WV Govt</stp>
        <stp>ID_CUSIP</stp>
        <stp>[TREASURY.xlsx]Sheet1!R1209C19</stp>
        <tr r="S1209" s="1"/>
      </tp>
      <tp t="s">
        <v>912828WT3</v>
        <stp/>
        <stp>##V3_BDPV12</stp>
        <stp>912828WT Govt</stp>
        <stp>ID_CUSIP</stp>
        <stp>[TREASURY.xlsx]Sheet1!R1007C19</stp>
        <tr r="S1007" s="1"/>
      </tp>
      <tp t="s">
        <v>USD</v>
        <stp/>
        <stp>##V3_BDPV12</stp>
        <stp>912828LH Govt</stp>
        <stp>CRNCY</stp>
        <stp>[TREASURY.xlsx]Sheet1!R1128C7</stp>
        <tr r="G1128" s="1"/>
      </tp>
      <tp t="s">
        <v>2/15/2007</v>
        <stp/>
        <stp>##V3_BDPV12</stp>
        <stp>912828GH Govt</stp>
        <stp>ISSUE_DT</stp>
        <stp>[TREASURY.xlsx]Sheet1!R1435C15</stp>
        <tr r="O1435" s="1"/>
      </tp>
      <tp t="s">
        <v>912827WS7</v>
        <stp/>
        <stp>##V3_BDPV12</stp>
        <stp>912827WS Govt</stp>
        <stp>ID_CUSIP</stp>
        <stp>[TREASURY.xlsx]Sheet1!R1420C19</stp>
        <tr r="S1420" s="1"/>
      </tp>
      <tp t="s">
        <v>912827WT5</v>
        <stp/>
        <stp>##V3_BDPV12</stp>
        <stp>912827WT Govt</stp>
        <stp>ID_CUSIP</stp>
        <stp>[TREASURY.xlsx]Sheet1!R1421C19</stp>
        <tr r="S1421" s="1"/>
      </tp>
      <tp t="s">
        <v>912827WQ1</v>
        <stp/>
        <stp>##V3_BDPV12</stp>
        <stp>912827WQ Govt</stp>
        <stp>ID_CUSIP</stp>
        <stp>[TREASURY.xlsx]Sheet1!R1093C19</stp>
        <tr r="S1093" s="1"/>
      </tp>
      <tp t="s">
        <v>2/28/2007</v>
        <stp/>
        <stp>##V3_BDPV12</stp>
        <stp>912828GK Govt</stp>
        <stp>ISSUE_DT</stp>
        <stp>[TREASURY.xlsx]Sheet1!R1119C15</stp>
        <tr r="O1119" s="1"/>
      </tp>
      <tp t="s">
        <v>912827WU2</v>
        <stp/>
        <stp>##V3_BDPV12</stp>
        <stp>912827WU Govt</stp>
        <stp>ID_CUSIP</stp>
        <stp>[TREASURY.xlsx]Sheet1!R1422C19</stp>
        <tr r="S1422" s="1"/>
      </tp>
      <tp t="s">
        <v>912828WQ9</v>
        <stp/>
        <stp>##V3_BDPV12</stp>
        <stp>912828WQ Govt</stp>
        <stp>ID_CUSIP</stp>
        <stp>[TREASURY.xlsx]Sheet1!R1006C19</stp>
        <tr r="S1006" s="1"/>
      </tp>
      <tp t="s">
        <v>912827WW8</v>
        <stp/>
        <stp>##V3_BDPV12</stp>
        <stp>912827WW Govt</stp>
        <stp>ID_CUSIP</stp>
        <stp>[TREASURY.xlsx]Sheet1!R1592C19</stp>
        <tr r="S1592" s="1"/>
      </tp>
      <tp t="s">
        <v>USD</v>
        <stp/>
        <stp>##V3_BDPV12</stp>
        <stp>912810CL Govt</stp>
        <stp>CRNCY</stp>
        <stp>[TREASURY.xlsx]Sheet1!R1617C7</stp>
        <tr r="G1617" s="1"/>
      </tp>
      <tp t="s">
        <v>USD</v>
        <stp/>
        <stp>##V3_BDPV12</stp>
        <stp>912810DL Govt</stp>
        <stp>CRNCY</stp>
        <stp>[TREASURY.xlsx]Sheet1!R1620C7</stp>
        <tr r="G1620" s="1"/>
      </tp>
      <tp t="s">
        <v>10/15/2014</v>
        <stp/>
        <stp>##V3_BDPV12</stp>
        <stp>912828F5 Govt</stp>
        <stp>ISSUE_DT</stp>
        <stp>[TREASURY.xlsx]Sheet1!R1240C15</stp>
        <tr r="O1240" s="1"/>
      </tp>
      <tp t="s">
        <v>USD</v>
        <stp/>
        <stp>##V3_BDPV12</stp>
        <stp>912827M3 Govt</stp>
        <stp>CRNCY</stp>
        <stp>[TREASURY.xlsx]Sheet1!R1568C7</stp>
        <tr r="G1568" s="1"/>
      </tp>
      <tp t="s">
        <v>6/1/1992</v>
        <stp/>
        <stp>##V3_BDPV12</stp>
        <stp>912827F6 Govt</stp>
        <stp>ISSUE_DT</stp>
        <stp>[TREASURY.xlsx]Sheet1!R1373C15</stp>
        <tr r="O1373" s="1"/>
      </tp>
      <tp t="s">
        <v>9/30/2014</v>
        <stp/>
        <stp>##V3_BDPV12</stp>
        <stp>912828F4 Govt</stp>
        <stp>ISSUE_DT</stp>
        <stp>[TREASURY.xlsx]Sheet1!R1117C15</stp>
        <tr r="O1117" s="1"/>
      </tp>
      <tp t="s">
        <v>6/30/1992</v>
        <stp/>
        <stp>##V3_BDPV12</stp>
        <stp>912827F7 Govt</stp>
        <stp>ISSUE_DT</stp>
        <stp>[TREASURY.xlsx]Sheet1!R1315C15</stp>
        <tr r="O1315" s="1"/>
      </tp>
      <tp t="s">
        <v>USD</v>
        <stp/>
        <stp>##V3_BDPV12</stp>
        <stp>912827F6 Govt</stp>
        <stp>CRNCY</stp>
        <stp>[TREASURY.xlsx]Sheet1!R1373C7</stp>
        <tr r="G1373" s="1"/>
      </tp>
      <tp t="s">
        <v>USD</v>
        <stp/>
        <stp>##V3_BDPV12</stp>
        <stp>912827A6 Govt</stp>
        <stp>CRNCY</stp>
        <stp>[TREASURY.xlsx]Sheet1!R1474C7</stp>
        <tr r="G1474" s="1"/>
      </tp>
      <tp t="s">
        <v>5/15/1992</v>
        <stp/>
        <stp>##V3_BDPV12</stp>
        <stp>912827F4 Govt</stp>
        <stp>ISSUE_DT</stp>
        <stp>[TREASURY.xlsx]Sheet1!R1559C15</stp>
        <tr r="O1559" s="1"/>
      </tp>
      <tp t="s">
        <v>6/1/1992</v>
        <stp/>
        <stp>##V3_BDPV12</stp>
        <stp>912827F5 Govt</stp>
        <stp>ISSUE_DT</stp>
        <stp>[TREASURY.xlsx]Sheet1!R1560C15</stp>
        <tr r="O1560" s="1"/>
      </tp>
      <tp t="s">
        <v>5/15/1992</v>
        <stp/>
        <stp>##V3_BDPV12</stp>
        <stp>912827F3 Govt</stp>
        <stp>ISSUE_DT</stp>
        <stp>[TREASURY.xlsx]Sheet1!R1314C15</stp>
        <tr r="O1314" s="1"/>
      </tp>
      <tp t="s">
        <v>USD</v>
        <stp/>
        <stp>##V3_BDPV12</stp>
        <stp>912827B5 Govt</stp>
        <stp>CRNCY</stp>
        <stp>[TREASURY.xlsx]Sheet1!R1477C7</stp>
        <tr r="G1477" s="1"/>
      </tp>
      <tp t="s">
        <v>USD</v>
        <stp/>
        <stp>##V3_BDPV12</stp>
        <stp>912827L8 Govt</stp>
        <stp>CRNCY</stp>
        <stp>[TREASURY.xlsx]Sheet1!R1319C7</stp>
        <tr r="G1319" s="1"/>
      </tp>
      <tp t="s">
        <v>USD</v>
        <stp/>
        <stp>##V3_BDPV12</stp>
        <stp>912827C9 Govt</stp>
        <stp>CRNCY</stp>
        <stp>[TREASURY.xlsx]Sheet1!R1556C7</stp>
        <tr r="G1556" s="1"/>
      </tp>
      <tp t="s">
        <v>6/30/1992</v>
        <stp/>
        <stp>##V3_BDPV12</stp>
        <stp>912827F8 Govt</stp>
        <stp>ISSUE_DT</stp>
        <stp>[TREASURY.xlsx]Sheet1!R1154C15</stp>
        <tr r="O1154" s="1"/>
      </tp>
      <tp t="s">
        <v>10/31/2014</v>
        <stp/>
        <stp>##V3_BDPV12</stp>
        <stp>912828F8 Govt</stp>
        <stp>ISSUE_DT</stp>
        <stp>[TREASURY.xlsx]Sheet1!R1118C15</stp>
        <tr r="O1118" s="1"/>
      </tp>
      <tp t="s">
        <v>7/15/1992</v>
        <stp/>
        <stp>##V3_BDPV12</stp>
        <stp>912827F9 Govt</stp>
        <stp>ISSUE_DT</stp>
        <stp>[TREASURY.xlsx]Sheet1!R1155C15</stp>
        <tr r="O1155" s="1"/>
      </tp>
      <tp t="s">
        <v>T 1 7/8 06/30/26</v>
        <stp/>
        <stp>##V3_BDPV12</stp>
        <stp>9128287B Govt</stp>
        <stp>SECURITY_NAME</stp>
        <stp>[TREASURY.xlsx]Sheet1!R306C16</stp>
        <tr r="P306" s="1"/>
      </tp>
      <tp t="s">
        <v>T 1 3/4 07/15/22</v>
        <stp/>
        <stp>##V3_BDPV12</stp>
        <stp>9128287C Govt</stp>
        <stp>SECURITY_NAME</stp>
        <stp>[TREASURY.xlsx]Sheet1!R219C16</stp>
        <tr r="P219" s="1"/>
      </tp>
      <tp t="s">
        <v>T 5 08/15/11</v>
        <stp/>
        <stp>##V3_BDPV12</stp>
        <stp>9128277B Govt</stp>
        <stp>SECURITY_NAME</stp>
        <stp>[TREASURY.xlsx]Sheet1!R354C16</stp>
        <tr r="P354" s="1"/>
      </tp>
      <tp t="s">
        <v>T 1 5/8 06/30/21</v>
        <stp/>
        <stp>##V3_BDPV12</stp>
        <stp>9128287A Govt</stp>
        <stp>SECURITY_NAME</stp>
        <stp>[TREASURY.xlsx]Sheet1!R339C16</stp>
        <tr r="P339" s="1"/>
      </tp>
      <tp t="s">
        <v>T 1 3/4 07/31/21</v>
        <stp/>
        <stp>##V3_BDPV12</stp>
        <stp>9128287F Govt</stp>
        <stp>SECURITY_NAME</stp>
        <stp>[TREASURY.xlsx]Sheet1!R329C16</stp>
        <tr r="P329" s="1"/>
      </tp>
      <tp t="s">
        <v>912827V58</v>
        <stp/>
        <stp>##V3_BDPV12</stp>
        <stp>912827V5 Govt</stp>
        <stp>ID_CUSIP</stp>
        <stp>[TREASURY.xlsx]Sheet1!R1083C19</stp>
        <tr r="S1083" s="1"/>
      </tp>
      <tp t="s">
        <v>912827V33</v>
        <stp/>
        <stp>##V3_BDPV12</stp>
        <stp>912827V3 Govt</stp>
        <stp>ID_CUSIP</stp>
        <stp>[TREASURY.xlsx]Sheet1!R1591C19</stp>
        <tr r="S1591" s="1"/>
      </tp>
      <tp t="s">
        <v>912827V66</v>
        <stp/>
        <stp>##V3_BDPV12</stp>
        <stp>912827V6 Govt</stp>
        <stp>ID_CUSIP</stp>
        <stp>[TREASURY.xlsx]Sheet1!R1084C19</stp>
        <tr r="S1084" s="1"/>
      </tp>
      <tp t="s">
        <v>912827V25</v>
        <stp/>
        <stp>##V3_BDPV12</stp>
        <stp>912827V2 Govt</stp>
        <stp>ID_CUSIP</stp>
        <stp>[TREASURY.xlsx]Sheet1!R1082C19</stp>
        <tr r="S1082" s="1"/>
      </tp>
      <tp t="s">
        <v>912827V74</v>
        <stp/>
        <stp>##V3_BDPV12</stp>
        <stp>912827V7 Govt</stp>
        <stp>ID_CUSIP</stp>
        <stp>[TREASURY.xlsx]Sheet1!R1410C19</stp>
        <tr r="S1410" s="1"/>
      </tp>
      <tp t="s">
        <v>T 3 01/31/04</v>
        <stp/>
        <stp>##V3_BDPV12</stp>
        <stp>9128277K Govt</stp>
        <stp>SECURITY_NAME</stp>
        <stp>[TREASURY.xlsx]Sheet1!R528C16</stp>
        <tr r="P528" s="1"/>
      </tp>
      <tp t="s">
        <v>T</v>
        <stp/>
        <stp>##V3_BDPV12</stp>
        <stp>912828G8 Govt</stp>
        <stp>TICKER</stp>
        <stp>[TREASURY.xlsx]Sheet1!R209C2</stp>
        <tr r="B209" s="1"/>
      </tp>
      <tp t="s">
        <v>T</v>
        <stp/>
        <stp>##V3_BDPV12</stp>
        <stp>912828J7 Govt</stp>
        <stp>TICKER</stp>
        <stp>[TREASURY.xlsx]Sheet1!R204C2</stp>
        <tr r="B204" s="1"/>
      </tp>
      <tp t="s">
        <v>T</v>
        <stp/>
        <stp>##V3_BDPV12</stp>
        <stp>912828M7 Govt</stp>
        <stp>TICKER</stp>
        <stp>[TREASURY.xlsx]Sheet1!R443C2</stp>
        <tr r="B443" s="1"/>
      </tp>
      <tp t="s">
        <v>T</v>
        <stp/>
        <stp>##V3_BDPV12</stp>
        <stp>912827N7 Govt</stp>
        <stp>TICKER</stp>
        <stp>[TREASURY.xlsx]Sheet1!R900C2</stp>
        <tr r="B900" s="1"/>
      </tp>
      <tp t="s">
        <v>T</v>
        <stp/>
        <stp>##V3_BDPV12</stp>
        <stp>912828N5 Govt</stp>
        <stp>TICKER</stp>
        <stp>[TREASURY.xlsx]Sheet1!R600C2</stp>
        <tr r="B600" s="1"/>
      </tp>
      <tp t="s">
        <v>T</v>
        <stp/>
        <stp>##V3_BDPV12</stp>
        <stp>912828N2 Govt</stp>
        <stp>TICKER</stp>
        <stp>[TREASURY.xlsx]Sheet1!R440C2</stp>
        <tr r="B440" s="1"/>
      </tp>
      <tp t="s">
        <v>T</v>
        <stp/>
        <stp>##V3_BDPV12</stp>
        <stp>912828HZ Govt</stp>
        <stp>TICKER</stp>
        <stp>[TREASURY.xlsx]Sheet1!R356C2</stp>
        <tr r="B356" s="1"/>
      </tp>
      <tp t="s">
        <v>T</v>
        <stp/>
        <stp>##V3_BDPV12</stp>
        <stp>912828NX Govt</stp>
        <stp>TICKER</stp>
        <stp>[TREASURY.xlsx]Sheet1!R980C2</stp>
        <tr r="B980" s="1"/>
      </tp>
      <tp t="s">
        <v>T</v>
        <stp/>
        <stp>##V3_BDPV12</stp>
        <stp>912827LU Govt</stp>
        <stp>TICKER</stp>
        <stp>[TREASURY.xlsx]Sheet1!R892C2</stp>
        <tr r="B892" s="1"/>
      </tp>
      <tp t="s">
        <v>T</v>
        <stp/>
        <stp>##V3_BDPV12</stp>
        <stp>912828HR Govt</stp>
        <stp>TICKER</stp>
        <stp>[TREASURY.xlsx]Sheet1!R476C2</stp>
        <tr r="B476" s="1"/>
      </tp>
      <tp t="s">
        <v>T</v>
        <stp/>
        <stp>##V3_BDPV12</stp>
        <stp>912828MR Govt</stp>
        <stp>TICKER</stp>
        <stp>[TREASURY.xlsx]Sheet1!R823C2</stp>
        <tr r="B823" s="1"/>
      </tp>
      <tp t="s">
        <v>NORMAL</v>
        <stp/>
        <stp>##V3_BDPV12</stp>
        <stp>912810EX Govt</stp>
        <stp>MTY_TYP</stp>
        <stp>[TREASURY.xlsx]Sheet1!R324C6</stp>
        <tr r="F324" s="1"/>
      </tp>
      <tp t="s">
        <v>NORMAL</v>
        <stp/>
        <stp>##V3_BDPV12</stp>
        <stp>912827MY Govt</stp>
        <stp>MTY_TYP</stp>
        <stp>[TREASURY.xlsx]Sheet1!R725C6</stp>
        <tr r="F725" s="1"/>
      </tp>
      <tp t="s">
        <v>NORMAL</v>
        <stp/>
        <stp>##V3_BDPV12</stp>
        <stp>912828BZ Govt</stp>
        <stp>MTY_TYP</stp>
        <stp>[TREASURY.xlsx]Sheet1!R436C6</stp>
        <tr r="F436" s="1"/>
      </tp>
      <tp t="s">
        <v>NORMAL</v>
        <stp/>
        <stp>##V3_BDPV12</stp>
        <stp>9128282X Govt</stp>
        <stp>MTY_TYP</stp>
        <stp>[TREASURY.xlsx]Sheet1!R554C6</stp>
        <tr r="F554" s="1"/>
      </tp>
      <tp t="s">
        <v>NORMAL</v>
        <stp/>
        <stp>##V3_BDPV12</stp>
        <stp>912828TU Govt</stp>
        <stp>MTY_TYP</stp>
        <stp>[TREASURY.xlsx]Sheet1!R539C6</stp>
        <tr r="F539" s="1"/>
      </tp>
      <tp t="s">
        <v>NORMAL</v>
        <stp/>
        <stp>##V3_BDPV12</stp>
        <stp>912828XU Govt</stp>
        <stp>MTY_TYP</stp>
        <stp>[TREASURY.xlsx]Sheet1!R639C6</stp>
        <tr r="F639" s="1"/>
      </tp>
      <tp t="s">
        <v>NORMAL</v>
        <stp/>
        <stp>##V3_BDPV12</stp>
        <stp>9128282Y Govt</stp>
        <stp>MTY_TYP</stp>
        <stp>[TREASURY.xlsx]Sheet1!R145C6</stp>
        <tr r="F145" s="1"/>
      </tp>
      <tp t="s">
        <v>NORMAL</v>
        <stp/>
        <stp>##V3_BDPV12</stp>
        <stp>912828YX Govt</stp>
        <stp>MTY_TYP</stp>
        <stp>[TREASURY.xlsx]Sheet1!R104C6</stp>
        <tr r="F104" s="1"/>
      </tp>
      <tp t="s">
        <v>NORMAL</v>
        <stp/>
        <stp>##V3_BDPV12</stp>
        <stp>912828YT Govt</stp>
        <stp>MTY_TYP</stp>
        <stp>[TREASURY.xlsx]Sheet1!R198C6</stp>
        <tr r="F198" s="1"/>
      </tp>
      <tp t="s">
        <v>NORMAL</v>
        <stp/>
        <stp>##V3_BDPV12</stp>
        <stp>9128286X Govt</stp>
        <stp>MTY_TYP</stp>
        <stp>[TREASURY.xlsx]Sheet1!R264C6</stp>
        <tr r="F264" s="1"/>
      </tp>
      <tp t="s">
        <v>NORMAL</v>
        <stp/>
        <stp>##V3_BDPV12</stp>
        <stp>9128283Y Govt</stp>
        <stp>MTY_TYP</stp>
        <stp>[TREASURY.xlsx]Sheet1!R395C6</stp>
        <tr r="F395" s="1"/>
      </tp>
      <tp t="s">
        <v>NORMAL</v>
        <stp/>
        <stp>##V3_BDPV12</stp>
        <stp>912828RX Govt</stp>
        <stp>MTY_TYP</stp>
        <stp>[TREASURY.xlsx]Sheet1!R374C6</stp>
        <tr r="F374" s="1"/>
      </tp>
      <tp t="s">
        <v>NORMAL</v>
        <stp/>
        <stp>##V3_BDPV12</stp>
        <stp>912828HZ Govt</stp>
        <stp>MTY_TYP</stp>
        <stp>[TREASURY.xlsx]Sheet1!R356C6</stp>
        <tr r="F356" s="1"/>
      </tp>
      <tp t="s">
        <v>T</v>
        <stp/>
        <stp>##V3_BDPV12</stp>
        <stp>912827KP Govt</stp>
        <stp>TICKER</stp>
        <stp>[TREASURY.xlsx]Sheet1!R885C2</stp>
        <tr r="B885" s="1"/>
      </tp>
      <tp t="s">
        <v>NORMAL</v>
        <stp/>
        <stp>##V3_BDPV12</stp>
        <stp>91282CBZ Govt</stp>
        <stp>MTY_TYP</stp>
        <stp>[TREASURY.xlsx]Sheet1!R126C6</stp>
        <tr r="F126" s="1"/>
      </tp>
      <tp t="s">
        <v>T</v>
        <stp/>
        <stp>##V3_BDPV12</stp>
        <stp>912828MQ Govt</stp>
        <stp>TICKER</stp>
        <stp>[TREASURY.xlsx]Sheet1!R483C2</stp>
        <tr r="B483" s="1"/>
      </tp>
      <tp t="s">
        <v>T</v>
        <stp/>
        <stp>##V3_BDPV12</stp>
        <stp>912827MQ Govt</stp>
        <stp>TICKER</stp>
        <stp>[TREASURY.xlsx]Sheet1!R723C2</stp>
        <tr r="B723" s="1"/>
      </tp>
      <tp t="s">
        <v>T</v>
        <stp/>
        <stp>##V3_BDPV12</stp>
        <stp>912810FM Govt</stp>
        <stp>TICKER</stp>
        <stp>[TREASURY.xlsx]Sheet1!R188C2</stp>
        <tr r="B188" s="1"/>
      </tp>
      <tp t="s">
        <v>T</v>
        <stp/>
        <stp>##V3_BDPV12</stp>
        <stp>912828GM Govt</stp>
        <stp>TICKER</stp>
        <stp>[TREASURY.xlsx]Sheet1!R379C2</stp>
        <tr r="B379" s="1"/>
      </tp>
      <tp t="s">
        <v>T</v>
        <stp/>
        <stp>##V3_BDPV12</stp>
        <stp>912828JK Govt</stp>
        <stp>TICKER</stp>
        <stp>[TREASURY.xlsx]Sheet1!R854C2</stp>
        <tr r="B854" s="1"/>
      </tp>
      <tp t="s">
        <v>T</v>
        <stp/>
        <stp>##V3_BDPV12</stp>
        <stp>912827KH Govt</stp>
        <stp>TICKER</stp>
        <stp>[TREASURY.xlsx]Sheet1!R455C2</stp>
        <tr r="B455" s="1"/>
      </tp>
      <tp t="s">
        <v>T</v>
        <stp/>
        <stp>##V3_BDPV12</stp>
        <stp>912828HG Govt</stp>
        <stp>TICKER</stp>
        <stp>[TREASURY.xlsx]Sheet1!R806C2</stp>
        <tr r="B806" s="1"/>
      </tp>
      <tp t="s">
        <v>NORMAL</v>
        <stp/>
        <stp>##V3_BDPV12</stp>
        <stp>9128282R Govt</stp>
        <stp>MTY_TYP</stp>
        <stp>[TREASURY.xlsx]Sheet1!R98C6</stp>
        <tr r="F98" s="1"/>
      </tp>
      <tp t="s">
        <v>T</v>
        <stp/>
        <stp>##V3_BDPV12</stp>
        <stp>912827NC Govt</stp>
        <stp>TICKER</stp>
        <stp>[TREASURY.xlsx]Sheet1!R730C2</stp>
        <tr r="B730" s="1"/>
      </tp>
      <tp t="s">
        <v>T</v>
        <stp/>
        <stp>##V3_BDPV12</stp>
        <stp>912828FC Govt</stp>
        <stp>TICKER</stp>
        <stp>[TREASURY.xlsx]Sheet1!R798C2</stp>
        <tr r="B798" s="1"/>
      </tp>
      <tp t="s">
        <v>912827VL3</v>
        <stp/>
        <stp>##V3_BDPV12</stp>
        <stp>912827VL Govt</stp>
        <stp>ID_CUSIP</stp>
        <stp>[TREASURY.xlsx]Sheet1!R1087C19</stp>
        <tr r="S1087" s="1"/>
      </tp>
      <tp t="s">
        <v>912827VM1</v>
        <stp/>
        <stp>##V3_BDPV12</stp>
        <stp>912827VM Govt</stp>
        <stp>ID_CUSIP</stp>
        <stp>[TREASURY.xlsx]Sheet1!R1088C19</stp>
        <tr r="S1088" s="1"/>
      </tp>
      <tp t="s">
        <v>T</v>
        <stp/>
        <stp>##V3_BDPV12</stp>
        <stp>912828DM Govt</stp>
        <stp>TICKER</stp>
        <stp>[TREASURY.xlsx]Sheet1!R1427C2</stp>
        <tr r="B1427" s="1"/>
      </tp>
      <tp t="s">
        <v>T</v>
        <stp/>
        <stp>##V3_BDPV12</stp>
        <stp>912828WC Govt</stp>
        <stp>TICKER</stp>
        <stp>[TREASURY.xlsx]Sheet1!R1139C2</stp>
        <tr r="B1139" s="1"/>
      </tp>
      <tp t="s">
        <v>T</v>
        <stp/>
        <stp>##V3_BDPV12</stp>
        <stp>912828KC Govt</stp>
        <stp>TICKER</stp>
        <stp>[TREASURY.xlsx]Sheet1!R1249C2</stp>
        <tr r="B1249" s="1"/>
      </tp>
      <tp t="s">
        <v>T</v>
        <stp/>
        <stp>##V3_BDPV12</stp>
        <stp>912828DK Govt</stp>
        <stp>TICKER</stp>
        <stp>[TREASURY.xlsx]Sheet1!R1271C2</stp>
        <tr r="B1271" s="1"/>
      </tp>
      <tp t="s">
        <v>T</v>
        <stp/>
        <stp>##V3_BDPV12</stp>
        <stp>912828LC Govt</stp>
        <stp>TICKER</stp>
        <stp>[TREASURY.xlsx]Sheet1!R1289C2</stp>
        <tr r="B1289" s="1"/>
      </tp>
      <tp t="s">
        <v>T</v>
        <stp/>
        <stp>##V3_BDPV12</stp>
        <stp>912827PB Govt</stp>
        <stp>TICKER</stp>
        <stp>[TREASURY.xlsx]Sheet1!R1388C2</stp>
        <tr r="B1388" s="1"/>
      </tp>
      <tp t="s">
        <v>T</v>
        <stp/>
        <stp>##V3_BDPV12</stp>
        <stp>9128273M Govt</stp>
        <stp>TICKER</stp>
        <stp>[TREASURY.xlsx]Sheet1!R1357C2</stp>
        <tr r="B1357" s="1"/>
      </tp>
      <tp t="s">
        <v>T</v>
        <stp/>
        <stp>##V3_BDPV12</stp>
        <stp>912827ZB Govt</stp>
        <stp>TICKER</stp>
        <stp>[TREASURY.xlsx]Sheet1!R1228C2</stp>
        <tr r="B1228" s="1"/>
      </tp>
      <tp t="s">
        <v>T</v>
        <stp/>
        <stp>##V3_BDPV12</stp>
        <stp>912827TH Govt</stp>
        <stp>TICKER</stp>
        <stp>[TREASURY.xlsx]Sheet1!R1192C2</stp>
        <tr r="B1192" s="1"/>
      </tp>
      <tp t="s">
        <v>T</v>
        <stp/>
        <stp>##V3_BDPV12</stp>
        <stp>912827NJ Govt</stp>
        <stp>TICKER</stp>
        <stp>[TREASURY.xlsx]Sheet1!R1050C2</stp>
        <tr r="B1050" s="1"/>
      </tp>
      <tp t="s">
        <v>T</v>
        <stp/>
        <stp>##V3_BDPV12</stp>
        <stp>912827TN Govt</stp>
        <stp>TICKER</stp>
        <stp>[TREASURY.xlsx]Sheet1!R1074C2</stp>
        <tr r="B1074" s="1"/>
      </tp>
      <tp t="s">
        <v>T</v>
        <stp/>
        <stp>##V3_BDPV12</stp>
        <stp>912827RN Govt</stp>
        <stp>TICKER</stp>
        <stp>[TREASURY.xlsx]Sheet1!R1064C2</stp>
        <tr r="B1064" s="1"/>
      </tp>
      <tp t="s">
        <v>T</v>
        <stp/>
        <stp>##V3_BDPV12</stp>
        <stp>9128272B Govt</stp>
        <stp>TICKER</stp>
        <stp>[TREASURY.xlsx]Sheet1!R1008C2</stp>
        <tr r="B1008" s="1"/>
      </tp>
      <tp t="s">
        <v>T</v>
        <stp/>
        <stp>##V3_BDPV12</stp>
        <stp>9128276N Govt</stp>
        <stp>TICKER</stp>
        <stp>[TREASURY.xlsx]Sheet1!R1024C2</stp>
        <tr r="B1024" s="1"/>
      </tp>
      <tp t="s">
        <v>T</v>
        <stp/>
        <stp>##V3_BDPV12</stp>
        <stp>912827RH Govt</stp>
        <stp>TICKER</stp>
        <stp>[TREASURY.xlsx]Sheet1!R1502C2</stp>
        <tr r="B1502" s="1"/>
      </tp>
      <tp t="s">
        <v>T</v>
        <stp/>
        <stp>##V3_BDPV12</stp>
        <stp>9128277L Govt</stp>
        <stp>TICKER</stp>
        <stp>[TREASURY.xlsx]Sheet1!R1546C2</stp>
        <tr r="B1546" s="1"/>
      </tp>
      <tp t="s">
        <v>T</v>
        <stp/>
        <stp>##V3_BDPV12</stp>
        <stp>9128272C Govt</stp>
        <stp>TICKER</stp>
        <stp>[TREASURY.xlsx]Sheet1!R1449C2</stp>
        <tr r="B1449" s="1"/>
      </tp>
      <tp t="s">
        <v>USD</v>
        <stp/>
        <stp>##V3_BDPV12</stp>
        <stp>912828AP Govt</stp>
        <stp>CRNCY</stp>
        <stp>[TREASURY.xlsx]Sheet1!R1424C7</stp>
        <tr r="G1424" s="1"/>
      </tp>
      <tp t="s">
        <v>USD</v>
        <stp/>
        <stp>##V3_BDPV12</stp>
        <stp>912828CQ Govt</stp>
        <stp>CRNCY</stp>
        <stp>[TREASURY.xlsx]Sheet1!R1236C7</stp>
        <tr r="G1236" s="1"/>
      </tp>
      <tp t="s">
        <v>USD</v>
        <stp/>
        <stp>##V3_BDPV12</stp>
        <stp>912810DQ Govt</stp>
        <stp>CRNCY</stp>
        <stp>[TREASURY.xlsx]Sheet1!R1621C7</stp>
        <tr r="G1621" s="1"/>
      </tp>
      <tp t="s">
        <v>912827VJ8</v>
        <stp/>
        <stp>##V3_BDPV12</stp>
        <stp>912827VJ Govt</stp>
        <stp>ID_CUSIP</stp>
        <stp>[TREASURY.xlsx]Sheet1!R1203C19</stp>
        <tr r="S1203" s="1"/>
      </tp>
      <tp t="s">
        <v>8/15/2006</v>
        <stp/>
        <stp>##V3_BDPV12</stp>
        <stp>912828FP Govt</stp>
        <stp>ISSUE_DT</stp>
        <stp>[TREASURY.xlsx]Sheet1!R1276C15</stp>
        <tr r="O1276" s="1"/>
      </tp>
      <tp t="s">
        <v>912828VK3</v>
        <stp/>
        <stp>##V3_BDPV12</stp>
        <stp>912828VK Govt</stp>
        <stp>ID_CUSIP</stp>
        <stp>[TREASURY.xlsx]Sheet1!R1148C19</stp>
        <tr r="S1148" s="1"/>
      </tp>
      <tp t="s">
        <v>USD</v>
        <stp/>
        <stp>##V3_BDPV12</stp>
        <stp>912827LT Govt</stp>
        <stp>CRNCY</stp>
        <stp>[TREASURY.xlsx]Sheet1!R1379C7</stp>
        <tr r="G1379" s="1"/>
      </tp>
      <tp t="s">
        <v>8/31/2006</v>
        <stp/>
        <stp>##V3_BDPV12</stp>
        <stp>912828FR Govt</stp>
        <stp>ISSUE_DT</stp>
        <stp>[TREASURY.xlsx]Sheet1!R1277C15</stp>
        <tr r="O1277" s="1"/>
      </tp>
      <tp t="s">
        <v>USD</v>
        <stp/>
        <stp>##V3_BDPV12</stp>
        <stp>912827MU Govt</stp>
        <stp>CRNCY</stp>
        <stp>[TREASURY.xlsx]Sheet1!R1328C7</stp>
        <tr r="G1328" s="1"/>
      </tp>
      <tp t="s">
        <v>912827VD1</v>
        <stp/>
        <stp>##V3_BDPV12</stp>
        <stp>912827VD Govt</stp>
        <stp>ID_CUSIP</stp>
        <stp>[TREASURY.xlsx]Sheet1!R1085C19</stp>
        <tr r="S1085" s="1"/>
      </tp>
      <tp t="s">
        <v>USD</v>
        <stp/>
        <stp>##V3_BDPV12</stp>
        <stp>912827MZ Govt</stp>
        <stp>CRNCY</stp>
        <stp>[TREASURY.xlsx]Sheet1!R1168C7</stp>
        <tr r="G1168" s="1"/>
      </tp>
      <tp t="s">
        <v>USD</v>
        <stp/>
        <stp>##V3_BDPV12</stp>
        <stp>912810CZ Govt</stp>
        <stp>CRNCY</stp>
        <stp>[TREASURY.xlsx]Sheet1!R1446C7</stp>
        <tr r="G1446" s="1"/>
      </tp>
      <tp t="s">
        <v>912828VD9</v>
        <stp/>
        <stp>##V3_BDPV12</stp>
        <stp>912828VD Govt</stp>
        <stp>ID_CUSIP</stp>
        <stp>[TREASURY.xlsx]Sheet1!R1147C19</stp>
        <tr r="S1147" s="1"/>
      </tp>
      <tp t="s">
        <v>912827VF6</v>
        <stp/>
        <stp>##V3_BDPV12</stp>
        <stp>912827VF Govt</stp>
        <stp>ID_CUSIP</stp>
        <stp>[TREASURY.xlsx]Sheet1!R1086C19</stp>
        <tr r="S1086" s="1"/>
      </tp>
      <tp t="s">
        <v>912827VB5</v>
        <stp/>
        <stp>##V3_BDPV12</stp>
        <stp>912827VB Govt</stp>
        <stp>ID_CUSIP</stp>
        <stp>[TREASURY.xlsx]Sheet1!R1411C19</stp>
        <tr r="S1411" s="1"/>
      </tp>
      <tp t="s">
        <v>2/15/2022</v>
        <stp/>
        <stp>##V3_BDPV12</stp>
        <stp>912810SZ Govt</stp>
        <stp>FIRST_CPN_DT</stp>
        <stp>[TREASURY.xlsx]Sheet1!R3C9</stp>
        <tr r="I3" s="1"/>
      </tp>
      <tp t="s">
        <v>11/15/2006</v>
        <stp/>
        <stp>##V3_BDPV12</stp>
        <stp>912828FX Govt</stp>
        <stp>ISSUE_DT</stp>
        <stp>[TREASURY.xlsx]Sheet1!R1278C15</stp>
        <tr r="O1278" s="1"/>
      </tp>
      <tp t="s">
        <v>11/30/2006</v>
        <stp/>
        <stp>##V3_BDPV12</stp>
        <stp>912828FZ Govt</stp>
        <stp>ISSUE_DT</stp>
        <stp>[TREASURY.xlsx]Sheet1!R1279C15</stp>
        <tr r="O1279" s="1"/>
      </tp>
      <tp t="s">
        <v>5/15/2006</v>
        <stp/>
        <stp>##V3_BDPV12</stp>
        <stp>912828FE Govt</stp>
        <stp>ISSUE_DT</stp>
        <stp>[TREASURY.xlsx]Sheet1!R1274C15</stp>
        <tr r="O1274" s="1"/>
      </tp>
      <tp t="s">
        <v>#N/A Field Not Applicable</v>
        <stp/>
        <stp>##V3_BDPV12</stp>
        <stp>912810EA Govt</stp>
        <stp>IDX_RATIO</stp>
        <stp>[TREASURY.xlsx]Sheet1!R1445C20</stp>
        <tr r="T1445" s="1"/>
      </tp>
      <tp t="s">
        <v>USD</v>
        <stp/>
        <stp>##V3_BDPV12</stp>
        <stp>912828AC Govt</stp>
        <stp>CRNCY</stp>
        <stp>[TREASURY.xlsx]Sheet1!R1234C7</stp>
        <tr r="G1234" s="1"/>
      </tp>
      <tp t="s">
        <v>USD</v>
        <stp/>
        <stp>##V3_BDPV12</stp>
        <stp>912828GC Govt</stp>
        <stp>CRNCY</stp>
        <stp>[TREASURY.xlsx]Sheet1!R1282C7</stp>
        <tr r="G1282" s="1"/>
      </tp>
      <tp t="s">
        <v>USD</v>
        <stp/>
        <stp>##V3_BDPV12</stp>
        <stp>912828LC Govt</stp>
        <stp>CRNCY</stp>
        <stp>[TREASURY.xlsx]Sheet1!R1289C7</stp>
        <tr r="G1289" s="1"/>
      </tp>
      <tp t="s">
        <v>#N/A Field Not Applicable</v>
        <stp/>
        <stp>##V3_BDPV12</stp>
        <stp>9128275A Govt</stp>
        <stp>IDX_RATIO</stp>
        <stp>[TREASURY.xlsx]Sheet1!R1463C20</stp>
        <tr r="T1463" s="1"/>
      </tp>
      <tp t="s">
        <v>#N/A Field Not Applicable</v>
        <stp/>
        <stp>##V3_BDPV12</stp>
        <stp>9128274A Govt</stp>
        <stp>IDX_RATIO</stp>
        <stp>[TREASURY.xlsx]Sheet1!R1457C20</stp>
        <tr r="T1457" s="1"/>
      </tp>
      <tp t="s">
        <v>5/31/2006</v>
        <stp/>
        <stp>##V3_BDPV12</stp>
        <stp>912828FG Govt</stp>
        <stp>ISSUE_DT</stp>
        <stp>[TREASURY.xlsx]Sheet1!R1241C15</stp>
        <tr r="O1241" s="1"/>
      </tp>
      <tp t="s">
        <v>3/31/2006</v>
        <stp/>
        <stp>##V3_BDPV12</stp>
        <stp>912828FA Govt</stp>
        <stp>ISSUE_DT</stp>
        <stp>[TREASURY.xlsx]Sheet1!R1432C15</stp>
        <tr r="O1432" s="1"/>
      </tp>
      <tp t="s">
        <v>#N/A Field Not Applicable</v>
        <stp/>
        <stp>##V3_BDPV12</stp>
        <stp>912828HA Govt</stp>
        <stp>IDX_RATIO</stp>
        <stp>[TREASURY.xlsx]Sheet1!R1437C20</stp>
        <tr r="T1437" s="1"/>
      </tp>
      <tp t="s">
        <v>#N/A Field Not Applicable</v>
        <stp/>
        <stp>##V3_BDPV12</stp>
        <stp>912828FA Govt</stp>
        <stp>IDX_RATIO</stp>
        <stp>[TREASURY.xlsx]Sheet1!R1432C20</stp>
        <tr r="T1432" s="1"/>
      </tp>
      <tp t="s">
        <v>#N/A Field Not Applicable</v>
        <stp/>
        <stp>##V3_BDPV12</stp>
        <stp>9128277A Govt</stp>
        <stp>IDX_RATIO</stp>
        <stp>[TREASURY.xlsx]Sheet1!R1543C20</stp>
        <tr r="T1543" s="1"/>
      </tp>
      <tp t="s">
        <v>#N/A Field Not Applicable</v>
        <stp/>
        <stp>##V3_BDPV12</stp>
        <stp>912827XA Govt</stp>
        <stp>IDX_RATIO</stp>
        <stp>[TREASURY.xlsx]Sheet1!R1594C20</stp>
        <tr r="T1594" s="1"/>
      </tp>
      <tp t="s">
        <v>#N/A Field Not Applicable</v>
        <stp/>
        <stp>##V3_BDPV12</stp>
        <stp>912827SA Govt</stp>
        <stp>IDX_RATIO</stp>
        <stp>[TREASURY.xlsx]Sheet1!R1587C20</stp>
        <tr r="T1587" s="1"/>
      </tp>
      <tp t="s">
        <v>#N/A Field Not Applicable</v>
        <stp/>
        <stp>##V3_BDPV12</stp>
        <stp>912828JA Govt</stp>
        <stp>IDX_RATIO</stp>
        <stp>[TREASURY.xlsx]Sheet1!R1285C20</stp>
        <tr r="T1285" s="1"/>
      </tp>
      <tp t="s">
        <v>#N/A Field Not Applicable</v>
        <stp/>
        <stp>##V3_BDPV12</stp>
        <stp>912828NA Govt</stp>
        <stp>IDX_RATIO</stp>
        <stp>[TREASURY.xlsx]Sheet1!R1292C20</stp>
        <tr r="T1292" s="1"/>
      </tp>
      <tp t="s">
        <v>#N/A Field Not Applicable</v>
        <stp/>
        <stp>##V3_BDPV12</stp>
        <stp>912828PA Govt</stp>
        <stp>IDX_RATIO</stp>
        <stp>[TREASURY.xlsx]Sheet1!R1296C20</stp>
        <tr r="T1296" s="1"/>
      </tp>
      <tp t="s">
        <v>#N/A Field Not Applicable</v>
        <stp/>
        <stp>##V3_BDPV12</stp>
        <stp>912827ZA Govt</stp>
        <stp>IDX_RATIO</stp>
        <stp>[TREASURY.xlsx]Sheet1!R1227C20</stp>
        <tr r="T1227" s="1"/>
      </tp>
      <tp t="s">
        <v>#N/A Field Not Applicable</v>
        <stp/>
        <stp>##V3_BDPV12</stp>
        <stp>912827WA Govt</stp>
        <stp>IDX_RATIO</stp>
        <stp>[TREASURY.xlsx]Sheet1!R1206C20</stp>
        <tr r="T1206" s="1"/>
      </tp>
      <tp t="s">
        <v>#N/A Field Not Applicable</v>
        <stp/>
        <stp>##V3_BDPV12</stp>
        <stp>912828MA Govt</stp>
        <stp>IDX_RATIO</stp>
        <stp>[TREASURY.xlsx]Sheet1!R1252C20</stp>
        <tr r="T1252" s="1"/>
      </tp>
      <tp t="s">
        <v>#N/A Field Not Applicable</v>
        <stp/>
        <stp>##V3_BDPV12</stp>
        <stp>912827NA Govt</stp>
        <stp>IDX_RATIO</stp>
        <stp>[TREASURY.xlsx]Sheet1!R1331C20</stp>
        <tr r="T1331" s="1"/>
      </tp>
      <tp t="s">
        <v>912828VY3</v>
        <stp/>
        <stp>##V3_BDPV12</stp>
        <stp>912828VY Govt</stp>
        <stp>ID_CUSIP</stp>
        <stp>[TREASURY.xlsx]Sheet1!R1004C19</stp>
        <tr r="S1004" s="1"/>
      </tp>
      <tp t="s">
        <v>#N/A Field Not Applicable</v>
        <stp/>
        <stp>##V3_BDPV12</stp>
        <stp>912827QA Govt</stp>
        <stp>IDX_RATIO</stp>
        <stp>[TREASURY.xlsx]Sheet1!R1392C20</stp>
        <tr r="T1392" s="1"/>
      </tp>
      <tp t="s">
        <v>#N/A Field Not Applicable</v>
        <stp/>
        <stp>##V3_BDPV12</stp>
        <stp>912827RA Govt</stp>
        <stp>IDX_RATIO</stp>
        <stp>[TREASURY.xlsx]Sheet1!R1061C20</stp>
        <tr r="T1061" s="1"/>
      </tp>
      <tp t="s">
        <v>912827VZ2</v>
        <stp/>
        <stp>##V3_BDPV12</stp>
        <stp>912827VZ Govt</stp>
        <stp>ID_CUSIP</stp>
        <stp>[TREASURY.xlsx]Sheet1!R1089C19</stp>
        <tr r="S1089" s="1"/>
      </tp>
      <tp t="s">
        <v>#N/A Field Not Applicable</v>
        <stp/>
        <stp>##V3_BDPV12</stp>
        <stp>9128276A Govt</stp>
        <stp>IDX_RATIO</stp>
        <stp>[TREASURY.xlsx]Sheet1!R1020C20</stp>
        <tr r="T1020" s="1"/>
      </tp>
      <tp t="s">
        <v>#N/A Field Not Applicable</v>
        <stp/>
        <stp>##V3_BDPV12</stp>
        <stp>912828WA Govt</stp>
        <stp>IDX_RATIO</stp>
        <stp>[TREASURY.xlsx]Sheet1!R1005C20</stp>
        <tr r="T1005" s="1"/>
      </tp>
      <tp t="s">
        <v>USD</v>
        <stp/>
        <stp>##V3_BDPV12</stp>
        <stp>912810SX Govt</stp>
        <stp>CRNCY</stp>
        <stp>[TREASURY.xlsx]Sheet1!R8C7</stp>
        <tr r="G8" s="1"/>
      </tp>
      <tp t="s">
        <v>#N/A Field Not Applicable</v>
        <stp/>
        <stp>##V3_BDPV12</stp>
        <stp>912827PA Govt</stp>
        <stp>IDX_RATIO</stp>
        <stp>[TREASURY.xlsx]Sheet1!R1172C20</stp>
        <tr r="T1172" s="1"/>
      </tp>
      <tp t="s">
        <v>USD</v>
        <stp/>
        <stp>##V3_BDPV12</stp>
        <stp>912810DE Govt</stp>
        <stp>CRNCY</stp>
        <stp>[TREASURY.xlsx]Sheet1!R1311C7</stp>
        <tr r="G1311" s="1"/>
      </tp>
      <tp t="s">
        <v>USD</v>
        <stp/>
        <stp>##V3_BDPV12</stp>
        <stp>912828GE Govt</stp>
        <stp>CRNCY</stp>
        <stp>[TREASURY.xlsx]Sheet1!R1242C7</stp>
        <tr r="G1242" s="1"/>
      </tp>
      <tp t="s">
        <v>USD</v>
        <stp/>
        <stp>##V3_BDPV12</stp>
        <stp>912828CE Govt</stp>
        <stp>CRNCY</stp>
        <stp>[TREASURY.xlsx]Sheet1!R1426C7</stp>
        <tr r="G1426" s="1"/>
      </tp>
      <tp t="s">
        <v>USD</v>
        <stp/>
        <stp>##V3_BDPV12</stp>
        <stp>912828DJ Govt</stp>
        <stp>CRNCY</stp>
        <stp>[TREASURY.xlsx]Sheet1!R1111C7</stp>
        <tr r="G1111" s="1"/>
      </tp>
      <tp t="s">
        <v>912828VV9</v>
        <stp/>
        <stp>##V3_BDPV12</stp>
        <stp>912828VV Govt</stp>
        <stp>ID_CUSIP</stp>
        <stp>[TREASURY.xlsx]Sheet1!R1305C19</stp>
        <tr r="S1305" s="1"/>
      </tp>
      <tp t="s">
        <v>912828VU1</v>
        <stp/>
        <stp>##V3_BDPV12</stp>
        <stp>912828VU Govt</stp>
        <stp>ID_CUSIP</stp>
        <stp>[TREASURY.xlsx]Sheet1!R1003C19</stp>
        <tr r="S1003" s="1"/>
      </tp>
      <tp t="s">
        <v>USD</v>
        <stp/>
        <stp>##V3_BDPV12</stp>
        <stp>912828DK Govt</stp>
        <stp>CRNCY</stp>
        <stp>[TREASURY.xlsx]Sheet1!R1271C7</stp>
        <tr r="G1271" s="1"/>
      </tp>
      <tp t="s">
        <v>912828VW7</v>
        <stp/>
        <stp>##V3_BDPV12</stp>
        <stp>912828VW Govt</stp>
        <stp>ID_CUSIP</stp>
        <stp>[TREASURY.xlsx]Sheet1!R1149C19</stp>
        <tr r="S1149" s="1"/>
      </tp>
      <tp t="s">
        <v>7/31/2006</v>
        <stp/>
        <stp>##V3_BDPV12</stp>
        <stp>912828FN Govt</stp>
        <stp>ISSUE_DT</stp>
        <stp>[TREASURY.xlsx]Sheet1!R1275C15</stp>
        <tr r="O1275" s="1"/>
      </tp>
      <tp t="s">
        <v>912827VU3</v>
        <stp/>
        <stp>##V3_BDPV12</stp>
        <stp>912827VU Govt</stp>
        <stp>ID_CUSIP</stp>
        <stp>[TREASURY.xlsx]Sheet1!R1412C19</stp>
        <tr r="S1412" s="1"/>
      </tp>
      <tp t="s">
        <v>912827VS8</v>
        <stp/>
        <stp>##V3_BDPV12</stp>
        <stp>912827VS Govt</stp>
        <stp>ID_CUSIP</stp>
        <stp>[TREASURY.xlsx]Sheet1!R1205C19</stp>
        <tr r="S1205" s="1"/>
      </tp>
      <tp t="s">
        <v>912827VP4</v>
        <stp/>
        <stp>##V3_BDPV12</stp>
        <stp>912827VP Govt</stp>
        <stp>ID_CUSIP</stp>
        <stp>[TREASURY.xlsx]Sheet1!R1204C19</stp>
        <tr r="S1204" s="1"/>
      </tp>
      <tp t="s">
        <v>912827VW9</v>
        <stp/>
        <stp>##V3_BDPV12</stp>
        <stp>912827VW Govt</stp>
        <stp>ID_CUSIP</stp>
        <stp>[TREASURY.xlsx]Sheet1!R1413C19</stp>
        <tr r="S1413" s="1"/>
      </tp>
      <tp t="s">
        <v>USD</v>
        <stp/>
        <stp>##V3_BDPV12</stp>
        <stp>912828LM Govt</stp>
        <stp>CRNCY</stp>
        <stp>[TREASURY.xlsx]Sheet1!R1129C7</stp>
        <tr r="G1129" s="1"/>
      </tp>
      <tp t="s">
        <v>USD</v>
        <stp/>
        <stp>##V3_BDPV12</stp>
        <stp>912827C2 Govt</stp>
        <stp>CRNCY</stp>
        <stp>[TREASURY.xlsx]Sheet1!R1479C7</stp>
        <tr r="G1479" s="1"/>
      </tp>
      <tp t="s">
        <v>USD</v>
        <stp/>
        <stp>##V3_BDPV12</stp>
        <stp>912828B3 Govt</stp>
        <stp>CRNCY</stp>
        <stp>[TREASURY.xlsx]Sheet1!R1108C7</stp>
        <tr r="G1108" s="1"/>
      </tp>
      <tp t="s">
        <v>USD</v>
        <stp/>
        <stp>##V3_BDPV12</stp>
        <stp>912827B8 Govt</stp>
        <stp>CRNCY</stp>
        <stp>[TREASURY.xlsx]Sheet1!R1478C7</stp>
        <tr r="G1478" s="1"/>
      </tp>
      <tp t="s">
        <v>912827Y71</v>
        <stp/>
        <stp>##V3_BDPV12</stp>
        <stp>912827Y7 Govt</stp>
        <stp>ID_CUSIP</stp>
        <stp>[TREASURY.xlsx]Sheet1!R1219C19</stp>
        <tr r="S1219" s="1"/>
      </tp>
      <tp t="s">
        <v>912827Y30</v>
        <stp/>
        <stp>##V3_BDPV12</stp>
        <stp>912827Y3 Govt</stp>
        <stp>ID_CUSIP</stp>
        <stp>[TREASURY.xlsx]Sheet1!R1601C19</stp>
        <tr r="S1601" s="1"/>
      </tp>
      <tp t="s">
        <v>912827Y63</v>
        <stp/>
        <stp>##V3_BDPV12</stp>
        <stp>912827Y6 Govt</stp>
        <stp>ID_CUSIP</stp>
        <stp>[TREASURY.xlsx]Sheet1!R1099C19</stp>
        <tr r="S1099" s="1"/>
      </tp>
      <tp t="s">
        <v>912827Y22</v>
        <stp/>
        <stp>##V3_BDPV12</stp>
        <stp>912827Y2 Govt</stp>
        <stp>ID_CUSIP</stp>
        <stp>[TREASURY.xlsx]Sheet1!R1098C19</stp>
        <tr r="S1098" s="1"/>
      </tp>
      <tp t="s">
        <v>912827Y48</v>
        <stp/>
        <stp>##V3_BDPV12</stp>
        <stp>912827Y4 Govt</stp>
        <stp>ID_CUSIP</stp>
        <stp>[TREASURY.xlsx]Sheet1!R1602C19</stp>
        <tr r="S1602" s="1"/>
      </tp>
      <tp t="s">
        <v>T</v>
        <stp/>
        <stp>##V3_BDPV12</stp>
        <stp>912828D8 Govt</stp>
        <stp>TICKER</stp>
        <stp>[TREASURY.xlsx]Sheet1!R545C2</stp>
        <tr r="B545" s="1"/>
      </tp>
      <tp t="s">
        <v>T</v>
        <stp/>
        <stp>##V3_BDPV12</stp>
        <stp>912828A9 Govt</stp>
        <stp>TICKER</stp>
        <stp>[TREASURY.xlsx]Sheet1!R640C2</stp>
        <tr r="B640" s="1"/>
      </tp>
      <tp t="s">
        <v>T</v>
        <stp/>
        <stp>##V3_BDPV12</stp>
        <stp>912828A6 Govt</stp>
        <stp>TICKER</stp>
        <stp>[TREASURY.xlsx]Sheet1!R580C2</stp>
        <tr r="B580" s="1"/>
      </tp>
      <tp t="s">
        <v>T</v>
        <stp/>
        <stp>##V3_BDPV12</stp>
        <stp>912828G6 Govt</stp>
        <stp>TICKER</stp>
        <stp>[TREASURY.xlsx]Sheet1!R966C2</stp>
        <tr r="B966" s="1"/>
      </tp>
      <tp t="s">
        <v>T</v>
        <stp/>
        <stp>##V3_BDPV12</stp>
        <stp>912828C4 Govt</stp>
        <stp>TICKER</stp>
        <stp>[TREASURY.xlsx]Sheet1!R492C2</stp>
        <tr r="B492" s="1"/>
      </tp>
      <tp t="s">
        <v>T</v>
        <stp/>
        <stp>##V3_BDPV12</stp>
        <stp>912828C5 Govt</stp>
        <stp>TICKER</stp>
        <stp>[TREASURY.xlsx]Sheet1!R342C2</stp>
        <tr r="B342" s="1"/>
      </tp>
      <tp t="s">
        <v>T</v>
        <stp/>
        <stp>##V3_BDPV12</stp>
        <stp>912828H5 Govt</stp>
        <stp>TICKER</stp>
        <stp>[TREASURY.xlsx]Sheet1!R419C2</stp>
        <tr r="B419" s="1"/>
      </tp>
      <tp t="s">
        <v>T</v>
        <stp/>
        <stp>##V3_BDPV12</stp>
        <stp>912828F2 Govt</stp>
        <stp>TICKER</stp>
        <stp>[TREASURY.xlsx]Sheet1!R207C2</stp>
        <tr r="B207" s="1"/>
      </tp>
      <tp t="s">
        <v>T</v>
        <stp/>
        <stp>##V3_BDPV12</stp>
        <stp>912810EX Govt</stp>
        <stp>TICKER</stp>
        <stp>[TREASURY.xlsx]Sheet1!R324C2</stp>
        <tr r="B324" s="1"/>
      </tp>
      <tp t="s">
        <v>T</v>
        <stp/>
        <stp>##V3_BDPV12</stp>
        <stp>912828HX Govt</stp>
        <stp>TICKER</stp>
        <stp>[TREASURY.xlsx]Sheet1!R809C2</stp>
        <tr r="B809" s="1"/>
      </tp>
      <tp t="s">
        <v>NORMAL</v>
        <stp/>
        <stp>##V3_BDPV12</stp>
        <stp>9128284N Govt</stp>
        <stp>MTY_TYP</stp>
        <stp>[TREASURY.xlsx]Sheet1!R71C6</stp>
        <tr r="F71" s="1"/>
      </tp>
      <tp t="s">
        <v>T</v>
        <stp/>
        <stp>##V3_BDPV12</stp>
        <stp>912828FT Govt</stp>
        <stp>TICKER</stp>
        <stp>[TREASURY.xlsx]Sheet1!R597C2</stp>
        <tr r="B597" s="1"/>
      </tp>
      <tp t="s">
        <v>NORMAL</v>
        <stp/>
        <stp>##V3_BDPV12</stp>
        <stp>9128286B Govt</stp>
        <stp>MTY_TYP</stp>
        <stp>[TREASURY.xlsx]Sheet1!R43C6</stp>
        <tr r="F43" s="1"/>
      </tp>
      <tp t="s">
        <v>T</v>
        <stp/>
        <stp>##V3_BDPV12</stp>
        <stp>912828BU Govt</stp>
        <stp>TICKER</stp>
        <stp>[TREASURY.xlsx]Sheet1!R533C2</stp>
        <tr r="B533" s="1"/>
      </tp>
      <tp t="s">
        <v>T</v>
        <stp/>
        <stp>##V3_BDPV12</stp>
        <stp>912828ER Govt</stp>
        <stp>TICKER</stp>
        <stp>[TREASURY.xlsx]Sheet1!R604C2</stp>
        <tr r="B604" s="1"/>
      </tp>
      <tp t="s">
        <v>NORMAL</v>
        <stp/>
        <stp>##V3_BDPV12</stp>
        <stp>912810DZ Govt</stp>
        <stp>MTY_TYP</stp>
        <stp>[TREASURY.xlsx]Sheet1!R699C6</stp>
        <tr r="F699" s="1"/>
      </tp>
      <tp t="s">
        <v>CALLABLE</v>
        <stp/>
        <stp>##V3_BDPV12</stp>
        <stp>912810CS Govt</stp>
        <stp>MTY_TYP</stp>
        <stp>[TREASURY.xlsx]Sheet1!R660C6</stp>
        <tr r="F660" s="1"/>
      </tp>
      <tp t="s">
        <v>NORMAL</v>
        <stp/>
        <stp>##V3_BDPV12</stp>
        <stp>912810RQ Govt</stp>
        <stp>MTY_TYP</stp>
        <stp>[TREASURY.xlsx]Sheet1!R172C6</stp>
        <tr r="F172" s="1"/>
      </tp>
      <tp t="s">
        <v>NORMAL</v>
        <stp/>
        <stp>##V3_BDPV12</stp>
        <stp>912810QT Govt</stp>
        <stp>MTY_TYP</stp>
        <stp>[TREASURY.xlsx]Sheet1!R237C6</stp>
        <tr r="F237" s="1"/>
      </tp>
      <tp t="s">
        <v>T</v>
        <stp/>
        <stp>##V3_BDPV12</stp>
        <stp>912828CS Govt</stp>
        <stp>TICKER</stp>
        <stp>[TREASURY.xlsx]Sheet1!R462C2</stp>
        <tr r="B462" s="1"/>
      </tp>
      <tp t="s">
        <v>NORMAL</v>
        <stp/>
        <stp>##V3_BDPV12</stp>
        <stp>912828QT Govt</stp>
        <stp>MTY_TYP</stp>
        <stp>[TREASURY.xlsx]Sheet1!R867C6</stp>
        <tr r="F867" s="1"/>
      </tp>
      <tp t="s">
        <v>NORMAL</v>
        <stp/>
        <stp>##V3_BDPV12</stp>
        <stp>912827TS Govt</stp>
        <stp>MTY_TYP</stp>
        <stp>[TREASURY.xlsx]Sheet1!R750C6</stp>
        <tr r="F750" s="1"/>
      </tp>
      <tp t="s">
        <v>NORMAL</v>
        <stp/>
        <stp>##V3_BDPV12</stp>
        <stp>912828QU Govt</stp>
        <stp>MTY_TYP</stp>
        <stp>[TREASURY.xlsx]Sheet1!R826C6</stp>
        <tr r="F826" s="1"/>
      </tp>
      <tp t="s">
        <v>NORMAL</v>
        <stp/>
        <stp>##V3_BDPV12</stp>
        <stp>912827NP Govt</stp>
        <stp>MTY_TYP</stp>
        <stp>[TREASURY.xlsx]Sheet1!R733C6</stp>
        <tr r="F733" s="1"/>
      </tp>
      <tp t="s">
        <v>NORMAL</v>
        <stp/>
        <stp>##V3_BDPV12</stp>
        <stp>912828GP Govt</stp>
        <stp>MTY_TYP</stp>
        <stp>[TREASURY.xlsx]Sheet1!R803C6</stp>
        <tr r="F803" s="1"/>
      </tp>
      <tp t="s">
        <v>NORMAL</v>
        <stp/>
        <stp>##V3_BDPV12</stp>
        <stp>912828GV Govt</stp>
        <stp>MTY_TYP</stp>
        <stp>[TREASURY.xlsx]Sheet1!R805C6</stp>
        <tr r="F805" s="1"/>
      </tp>
      <tp t="s">
        <v>NORMAL</v>
        <stp/>
        <stp>##V3_BDPV12</stp>
        <stp>912828FS Govt</stp>
        <stp>MTY_TYP</stp>
        <stp>[TREASURY.xlsx]Sheet1!R800C6</stp>
        <tr r="F800" s="1"/>
      </tp>
      <tp t="s">
        <v>NORMAL</v>
        <stp/>
        <stp>##V3_BDPV12</stp>
        <stp>912828FV Govt</stp>
        <stp>MTY_TYP</stp>
        <stp>[TREASURY.xlsx]Sheet1!R845C6</stp>
        <tr r="F845" s="1"/>
      </tp>
      <tp t="s">
        <v>NORMAL</v>
        <stp/>
        <stp>##V3_BDPV12</stp>
        <stp>912828TS Govt</stp>
        <stp>MTY_TYP</stp>
        <stp>[TREASURY.xlsx]Sheet1!R490C6</stp>
        <tr r="F490" s="1"/>
      </tp>
      <tp t="s">
        <v>NORMAL</v>
        <stp/>
        <stp>##V3_BDPV12</stp>
        <stp>912828ST Govt</stp>
        <stp>MTY_TYP</stp>
        <stp>[TREASURY.xlsx]Sheet1!R497C6</stp>
        <tr r="F497" s="1"/>
      </tp>
      <tp t="s">
        <v>NORMAL</v>
        <stp/>
        <stp>##V3_BDPV12</stp>
        <stp>912828QZ Govt</stp>
        <stp>MTY_TYP</stp>
        <stp>[TREASURY.xlsx]Sheet1!R449C6</stp>
        <tr r="F449" s="1"/>
      </tp>
      <tp t="s">
        <v>NORMAL</v>
        <stp/>
        <stp>##V3_BDPV12</stp>
        <stp>912828BV Govt</stp>
        <stp>MTY_TYP</stp>
        <stp>[TREASURY.xlsx]Sheet1!R495C6</stp>
        <tr r="F495" s="1"/>
      </tp>
      <tp t="s">
        <v>NORMAL</v>
        <stp/>
        <stp>##V3_BDPV12</stp>
        <stp>912828EU Govt</stp>
        <stp>MTY_TYP</stp>
        <stp>[TREASURY.xlsx]Sheet1!R466C6</stp>
        <tr r="F466" s="1"/>
      </tp>
      <tp t="s">
        <v>NORMAL</v>
        <stp/>
        <stp>##V3_BDPV12</stp>
        <stp>912828FT Govt</stp>
        <stp>MTY_TYP</stp>
        <stp>[TREASURY.xlsx]Sheet1!R597C6</stp>
        <tr r="F597" s="1"/>
      </tp>
      <tp t="s">
        <v>NORMAL</v>
        <stp/>
        <stp>##V3_BDPV12</stp>
        <stp>912828BR Govt</stp>
        <stp>MTY_TYP</stp>
        <stp>[TREASURY.xlsx]Sheet1!R541C6</stp>
        <tr r="F541" s="1"/>
      </tp>
      <tp t="s">
        <v>NORMAL</v>
        <stp/>
        <stp>##V3_BDPV12</stp>
        <stp>912828AQ Govt</stp>
        <stp>MTY_TYP</stp>
        <stp>[TREASURY.xlsx]Sheet1!R512C6</stp>
        <tr r="F512" s="1"/>
      </tp>
      <tp t="s">
        <v>NORMAL</v>
        <stp/>
        <stp>##V3_BDPV12</stp>
        <stp>912827ZP Govt</stp>
        <stp>MTY_TYP</stp>
        <stp>[TREASURY.xlsx]Sheet1!R953C6</stp>
        <tr r="F953" s="1"/>
      </tp>
      <tp t="s">
        <v>NORMAL</v>
        <stp/>
        <stp>##V3_BDPV12</stp>
        <stp>912828CU Govt</stp>
        <stp>MTY_TYP</stp>
        <stp>[TREASURY.xlsx]Sheet1!R636C6</stp>
        <tr r="F636" s="1"/>
      </tp>
      <tp t="s">
        <v>NORMAL</v>
        <stp/>
        <stp>##V3_BDPV12</stp>
        <stp>912828GQ Govt</stp>
        <stp>MTY_TYP</stp>
        <stp>[TREASURY.xlsx]Sheet1!R672C6</stp>
        <tr r="F672" s="1"/>
      </tp>
      <tp t="s">
        <v>NORMAL</v>
        <stp/>
        <stp>##V3_BDPV12</stp>
        <stp>912828BT Govt</stp>
        <stp>MTY_TYP</stp>
        <stp>[TREASURY.xlsx]Sheet1!R787C6</stp>
        <tr r="F787" s="1"/>
      </tp>
      <tp t="s">
        <v>NORMAL</v>
        <stp/>
        <stp>##V3_BDPV12</stp>
        <stp>912828ZP Govt</stp>
        <stp>MTY_TYP</stp>
        <stp>[TREASURY.xlsx]Sheet1!R153C6</stp>
        <tr r="F153" s="1"/>
      </tp>
      <tp t="s">
        <v>NORMAL</v>
        <stp/>
        <stp>##V3_BDPV12</stp>
        <stp>9128286R Govt</stp>
        <stp>MTY_TYP</stp>
        <stp>[TREASURY.xlsx]Sheet1!R201C6</stp>
        <tr r="F201" s="1"/>
      </tp>
      <tp t="s">
        <v>NORMAL</v>
        <stp/>
        <stp>##V3_BDPV12</stp>
        <stp>912828XZ Govt</stp>
        <stp>MTY_TYP</stp>
        <stp>[TREASURY.xlsx]Sheet1!R279C6</stp>
        <tr r="F279" s="1"/>
      </tp>
      <tp t="s">
        <v>NORMAL</v>
        <stp/>
        <stp>##V3_BDPV12</stp>
        <stp>912828WR Govt</stp>
        <stp>MTY_TYP</stp>
        <stp>[TREASURY.xlsx]Sheet1!R341C6</stp>
        <tr r="F341" s="1"/>
      </tp>
      <tp t="s">
        <v>T</v>
        <stp/>
        <stp>##V3_BDPV12</stp>
        <stp>912828EQ Govt</stp>
        <stp>TICKER</stp>
        <stp>[TREASURY.xlsx]Sheet1!R524C2</stp>
        <tr r="B524" s="1"/>
      </tp>
      <tp t="s">
        <v>T</v>
        <stp/>
        <stp>##V3_BDPV12</stp>
        <stp>912828BL Govt</stp>
        <stp>TICKER</stp>
        <stp>[TREASURY.xlsx]Sheet1!R513C2</stp>
        <tr r="B513" s="1"/>
      </tp>
      <tp t="s">
        <v>T</v>
        <stp/>
        <stp>##V3_BDPV12</stp>
        <stp>912810EM Govt</stp>
        <stp>TICKER</stp>
        <stp>[TREASURY.xlsx]Sheet1!R304C2</stp>
        <tr r="B304" s="1"/>
      </tp>
      <tp t="s">
        <v>T</v>
        <stp/>
        <stp>##V3_BDPV12</stp>
        <stp>912828BM Govt</stp>
        <stp>TICKER</stp>
        <stp>[TREASURY.xlsx]Sheet1!R453C2</stp>
        <tr r="B453" s="1"/>
      </tp>
      <tp t="s">
        <v>T</v>
        <stp/>
        <stp>##V3_BDPV12</stp>
        <stp>912810FJ Govt</stp>
        <stp>TICKER</stp>
        <stp>[TREASURY.xlsx]Sheet1!R267C2</stp>
        <tr r="B267" s="1"/>
      </tp>
      <tp t="s">
        <v>T</v>
        <stp/>
        <stp>##V3_BDPV12</stp>
        <stp>91282CBJ Govt</stp>
        <stp>TICKER</stp>
        <stp>[TREASURY.xlsx]Sheet1!R123C2</stp>
        <tr r="B123" s="1"/>
      </tp>
      <tp t="s">
        <v>T</v>
        <stp/>
        <stp>##V3_BDPV12</stp>
        <stp>912810ED Govt</stp>
        <stp>TICKER</stp>
        <stp>[TREASURY.xlsx]Sheet1!R664C2</stp>
        <tr r="B664" s="1"/>
      </tp>
      <tp t="s">
        <v>T</v>
        <stp/>
        <stp>##V3_BDPV12</stp>
        <stp>912828ED Govt</stp>
        <stp>TICKER</stp>
        <stp>[TREASURY.xlsx]Sheet1!R964C2</stp>
        <tr r="B964" s="1"/>
      </tp>
      <tp t="s">
        <v>T</v>
        <stp/>
        <stp>##V3_BDPV12</stp>
        <stp>912828HD Govt</stp>
        <stp>TICKER</stp>
        <stp>[TREASURY.xlsx]Sheet1!R969C2</stp>
        <tr r="B969" s="1"/>
      </tp>
      <tp t="s">
        <v>T</v>
        <stp/>
        <stp>##V3_BDPV12</stp>
        <stp>912828AE Govt</stp>
        <stp>TICKER</stp>
        <stp>[TREASURY.xlsx]Sheet1!R530C2</stp>
        <tr r="B530" s="1"/>
      </tp>
      <tp t="s">
        <v>T</v>
        <stp/>
        <stp>##V3_BDPV12</stp>
        <stp>912828HB Govt</stp>
        <stp>TICKER</stp>
        <stp>[TREASURY.xlsx]Sheet1!R849C2</stp>
        <tr r="B849" s="1"/>
      </tp>
      <tp t="s">
        <v>T</v>
        <stp/>
        <stp>##V3_BDPV12</stp>
        <stp>91282CAC Govt</stp>
        <stp>TICKER</stp>
        <stp>[TREASURY.xlsx]Sheet1!R120C2</stp>
        <tr r="B120" s="1"/>
      </tp>
      <tp t="s">
        <v>T</v>
        <stp/>
        <stp>##V3_BDPV12</stp>
        <stp>912828EC Govt</stp>
        <stp>TICKER</stp>
        <stp>[TREASURY.xlsx]Sheet1!R794C2</stp>
        <tr r="B794" s="1"/>
      </tp>
      <tp t="s">
        <v>USD</v>
        <stp/>
        <stp>##V3_BDPV12</stp>
        <stp>912827KR Govt</stp>
        <stp>CRNCY</stp>
        <stp>[TREASURY.xlsx]Sheet1!R1161C7</stp>
        <tr r="G1161" s="1"/>
      </tp>
      <tp t="s">
        <v>USD</v>
        <stp/>
        <stp>##V3_BDPV12</stp>
        <stp>912827MR Govt</stp>
        <stp>CRNCY</stp>
        <stp>[TREASURY.xlsx]Sheet1!R1327C7</stp>
        <tr r="G1327" s="1"/>
      </tp>
      <tp t="s">
        <v>USD</v>
        <stp/>
        <stp>##V3_BDPV12</stp>
        <stp>912827NS Govt</stp>
        <stp>CRNCY</stp>
        <stp>[TREASURY.xlsx]Sheet1!R1334C7</stp>
        <tr r="G1334" s="1"/>
      </tp>
      <tp t="s">
        <v>T</v>
        <stp/>
        <stp>##V3_BDPV12</stp>
        <stp>912828PB Govt</stp>
        <stp>TICKER</stp>
        <stp>[TREASURY.xlsx]Sheet1!R1297C2</stp>
        <tr r="B1297" s="1"/>
      </tp>
      <tp t="s">
        <v>T</v>
        <stp/>
        <stp>##V3_BDPV12</stp>
        <stp>912827VM Govt</stp>
        <stp>TICKER</stp>
        <stp>[TREASURY.xlsx]Sheet1!R1088C2</stp>
        <tr r="B1088" s="1"/>
      </tp>
      <tp t="s">
        <v>T</v>
        <stp/>
        <stp>##V3_BDPV12</stp>
        <stp>912827QM Govt</stp>
        <stp>TICKER</stp>
        <stp>[TREASURY.xlsx]Sheet1!R1058C2</stp>
        <tr r="B1058" s="1"/>
      </tp>
      <tp t="s">
        <v>T</v>
        <stp/>
        <stp>##V3_BDPV12</stp>
        <stp>912827XA Govt</stp>
        <stp>TICKER</stp>
        <stp>[TREASURY.xlsx]Sheet1!R1594C2</stp>
        <tr r="B1594" s="1"/>
      </tp>
      <tp t="s">
        <v>T</v>
        <stp/>
        <stp>##V3_BDPV12</stp>
        <stp>912827TC Govt</stp>
        <stp>TICKER</stp>
        <stp>[TREASURY.xlsx]Sheet1!R1506C2</stp>
        <tr r="B1506" s="1"/>
      </tp>
      <tp t="s">
        <v>T</v>
        <stp/>
        <stp>##V3_BDPV12</stp>
        <stp>912827TL Govt</stp>
        <stp>TICKER</stp>
        <stp>[TREASURY.xlsx]Sheet1!R1509C2</stp>
        <tr r="B1509" s="1"/>
      </tp>
      <tp t="s">
        <v>T</v>
        <stp/>
        <stp>##V3_BDPV12</stp>
        <stp>9128273L Govt</stp>
        <stp>TICKER</stp>
        <stp>[TREASURY.xlsx]Sheet1!R1529C2</stp>
        <tr r="B1529" s="1"/>
      </tp>
      <tp t="s">
        <v>T</v>
        <stp/>
        <stp>##V3_BDPV12</stp>
        <stp>912827WM Govt</stp>
        <stp>TICKER</stp>
        <stp>[TREASURY.xlsx]Sheet1!R1418C2</stp>
        <tr r="B1418" s="1"/>
      </tp>
      <tp t="s">
        <v>912827YK2</v>
        <stp/>
        <stp>##V3_BDPV12</stp>
        <stp>912827YK Govt</stp>
        <stp>ID_CUSIP</stp>
        <stp>[TREASURY.xlsx]Sheet1!R1222C19</stp>
        <tr r="S1222" s="1"/>
      </tp>
      <tp t="s">
        <v>USD</v>
        <stp/>
        <stp>##V3_BDPV12</stp>
        <stp>912827MW Govt</stp>
        <stp>CRNCY</stp>
        <stp>[TREASURY.xlsx]Sheet1!R1047C7</stp>
        <tr r="G1047" s="1"/>
      </tp>
      <tp t="s">
        <v>USD</v>
        <stp/>
        <stp>##V3_BDPV12</stp>
        <stp>912828NW Govt</stp>
        <stp>CRNCY</stp>
        <stp>[TREASURY.xlsx]Sheet1!R1294C7</stp>
        <tr r="G1294" s="1"/>
      </tp>
      <tp t="s">
        <v>912827YH9</v>
        <stp/>
        <stp>##V3_BDPV12</stp>
        <stp>912827YH Govt</stp>
        <stp>ID_CUSIP</stp>
        <stp>[TREASURY.xlsx]Sheet1!R1221C19</stp>
        <tr r="S1221" s="1"/>
      </tp>
      <tp t="s">
        <v>912827YL0</v>
        <stp/>
        <stp>##V3_BDPV12</stp>
        <stp>912827YL Govt</stp>
        <stp>ID_CUSIP</stp>
        <stp>[TREASURY.xlsx]Sheet1!R1605C19</stp>
        <tr r="S1605" s="1"/>
      </tp>
      <tp t="s">
        <v>USD</v>
        <stp/>
        <stp>##V3_BDPV12</stp>
        <stp>912827NT Govt</stp>
        <stp>CRNCY</stp>
        <stp>[TREASURY.xlsx]Sheet1!R1384C7</stp>
        <tr r="G1384" s="1"/>
      </tp>
      <tp t="s">
        <v>912827YF3</v>
        <stp/>
        <stp>##V3_BDPV12</stp>
        <stp>912827YF Govt</stp>
        <stp>ID_CUSIP</stp>
        <stp>[TREASURY.xlsx]Sheet1!R1604C19</stp>
        <tr r="S1604" s="1"/>
      </tp>
      <tp t="s">
        <v>912827YC0</v>
        <stp/>
        <stp>##V3_BDPV12</stp>
        <stp>912827YC Govt</stp>
        <stp>ID_CUSIP</stp>
        <stp>[TREASURY.xlsx]Sheet1!R1220C19</stp>
        <tr r="S1220" s="1"/>
      </tp>
      <tp t="s">
        <v>912827YD8</v>
        <stp/>
        <stp>##V3_BDPV12</stp>
        <stp>912827YD Govt</stp>
        <stp>ID_CUSIP</stp>
        <stp>[TREASURY.xlsx]Sheet1!R1603C19</stp>
        <tr r="S1603" s="1"/>
      </tp>
      <tp t="s">
        <v>912827YB2</v>
        <stp/>
        <stp>##V3_BDPV12</stp>
        <stp>912827YB Govt</stp>
        <stp>ID_CUSIP</stp>
        <stp>[TREASURY.xlsx]Sheet1!R1100C19</stp>
        <tr r="S1100" s="1"/>
      </tp>
      <tp t="s">
        <v>#N/A Field Not Applicable</v>
        <stp/>
        <stp>##V3_BDPV12</stp>
        <stp>912810CN Govt</stp>
        <stp>IDX_RATIO</stp>
        <stp>[TREASURY.xlsx]Sheet1!R1442C20</stp>
        <tr r="T1442" s="1"/>
      </tp>
      <tp t="s">
        <v>#N/A Field Not Applicable</v>
        <stp/>
        <stp>##V3_BDPV12</stp>
        <stp>9128274N Govt</stp>
        <stp>IDX_RATIO</stp>
        <stp>[TREASURY.xlsx]Sheet1!R1462C20</stp>
        <tr r="T1462" s="1"/>
      </tp>
      <tp t="s">
        <v>#N/A Field Not Applicable</v>
        <stp/>
        <stp>##V3_BDPV12</stp>
        <stp>912827UN Govt</stp>
        <stp>IDX_RATIO</stp>
        <stp>[TREASURY.xlsx]Sheet1!R1406C20</stp>
        <tr r="T1406" s="1"/>
      </tp>
      <tp t="s">
        <v>#N/A Field Not Applicable</v>
        <stp/>
        <stp>##V3_BDPV12</stp>
        <stp>912827XN Govt</stp>
        <stp>IDX_RATIO</stp>
        <stp>[TREASURY.xlsx]Sheet1!R1598C20</stp>
        <tr r="T1598" s="1"/>
      </tp>
      <tp t="s">
        <v>#N/A Field Not Applicable</v>
        <stp/>
        <stp>##V3_BDPV12</stp>
        <stp>912828KN Govt</stp>
        <stp>IDX_RATIO</stp>
        <stp>[TREASURY.xlsx]Sheet1!R1250C20</stp>
        <tr r="T1250" s="1"/>
      </tp>
      <tp t="s">
        <v>#N/A Field Not Applicable</v>
        <stp/>
        <stp>##V3_BDPV12</stp>
        <stp>912828FN Govt</stp>
        <stp>IDX_RATIO</stp>
        <stp>[TREASURY.xlsx]Sheet1!R1275C20</stp>
        <tr r="T1275" s="1"/>
      </tp>
      <tp t="s">
        <v>USD</v>
        <stp/>
        <stp>##V3_BDPV12</stp>
        <stp>91282CCV Govt</stp>
        <stp>CRNCY</stp>
        <stp>[TREASURY.xlsx]Sheet1!R9C7</stp>
        <tr r="G9" s="1"/>
      </tp>
      <tp t="s">
        <v>#N/A Field Not Applicable</v>
        <stp/>
        <stp>##V3_BDPV12</stp>
        <stp>9128272N Govt</stp>
        <stp>IDX_RATIO</stp>
        <stp>[TREASURY.xlsx]Sheet1!R1352C20</stp>
        <tr r="T1352" s="1"/>
      </tp>
      <tp t="s">
        <v>#N/A Field Not Applicable</v>
        <stp/>
        <stp>##V3_BDPV12</stp>
        <stp>912827MN Govt</stp>
        <stp>IDX_RATIO</stp>
        <stp>[TREASURY.xlsx]Sheet1!R1326C20</stp>
        <tr r="T1326" s="1"/>
      </tp>
      <tp t="s">
        <v>#N/A Field Not Applicable</v>
        <stp/>
        <stp>##V3_BDPV12</stp>
        <stp>912827TN Govt</stp>
        <stp>IDX_RATIO</stp>
        <stp>[TREASURY.xlsx]Sheet1!R1074C20</stp>
        <tr r="T1074" s="1"/>
      </tp>
      <tp t="s">
        <v>#N/A Field Not Applicable</v>
        <stp/>
        <stp>##V3_BDPV12</stp>
        <stp>912827SN Govt</stp>
        <stp>IDX_RATIO</stp>
        <stp>[TREASURY.xlsx]Sheet1!R1066C20</stp>
        <tr r="T1066" s="1"/>
      </tp>
      <tp t="s">
        <v>#N/A Field Not Applicable</v>
        <stp/>
        <stp>##V3_BDPV12</stp>
        <stp>912827RN Govt</stp>
        <stp>IDX_RATIO</stp>
        <stp>[TREASURY.xlsx]Sheet1!R1064C20</stp>
        <tr r="T1064" s="1"/>
      </tp>
      <tp t="s">
        <v>#N/A Field Not Applicable</v>
        <stp/>
        <stp>##V3_BDPV12</stp>
        <stp>912827NN Govt</stp>
        <stp>IDX_RATIO</stp>
        <stp>[TREASURY.xlsx]Sheet1!R1051C20</stp>
        <tr r="T1051" s="1"/>
      </tp>
      <tp t="s">
        <v>#N/A Field Not Applicable</v>
        <stp/>
        <stp>##V3_BDPV12</stp>
        <stp>912810DN Govt</stp>
        <stp>IDX_RATIO</stp>
        <stp>[TREASURY.xlsx]Sheet1!R1348C20</stp>
        <tr r="T1348" s="1"/>
      </tp>
      <tp t="s">
        <v>#N/A Field Not Applicable</v>
        <stp/>
        <stp>##V3_BDPV12</stp>
        <stp>9128276N Govt</stp>
        <stp>IDX_RATIO</stp>
        <stp>[TREASURY.xlsx]Sheet1!R1024C20</stp>
        <tr r="T1024" s="1"/>
      </tp>
      <tp t="s">
        <v>#N/A Field Not Applicable</v>
        <stp/>
        <stp>##V3_BDPV12</stp>
        <stp>912827WN Govt</stp>
        <stp>IDX_RATIO</stp>
        <stp>[TREASURY.xlsx]Sheet1!R1092C20</stp>
        <tr r="T1092" s="1"/>
      </tp>
      <tp t="s">
        <v>USD</v>
        <stp/>
        <stp>##V3_BDPV12</stp>
        <stp>912827MD Govt</stp>
        <stp>CRNCY</stp>
        <stp>[TREASURY.xlsx]Sheet1!R1167C7</stp>
        <tr r="G1167" s="1"/>
      </tp>
      <tp t="s">
        <v>#N/A Field Not Applicable</v>
        <stp/>
        <stp>##V3_BDPV12</stp>
        <stp>912827QN Govt</stp>
        <stp>IDX_RATIO</stp>
        <stp>[TREASURY.xlsx]Sheet1!R1179C20</stp>
        <tr r="T1179" s="1"/>
      </tp>
      <tp t="s">
        <v>#N/A Field Not Applicable</v>
        <stp/>
        <stp>##V3_BDPV12</stp>
        <stp>912828TN Govt</stp>
        <stp>IDX_RATIO</stp>
        <stp>[TREASURY.xlsx]Sheet1!R1143C20</stp>
        <tr r="T1143" s="1"/>
      </tp>
      <tp t="s">
        <v>#N/A Field Not Applicable</v>
        <stp/>
        <stp>##V3_BDPV12</stp>
        <stp>912828RN Govt</stp>
        <stp>IDX_RATIO</stp>
        <stp>[TREASURY.xlsx]Sheet1!R1140C20</stp>
        <tr r="T1140" s="1"/>
      </tp>
      <tp t="s">
        <v>912827YT3</v>
        <stp/>
        <stp>##V3_BDPV12</stp>
        <stp>912827YT Govt</stp>
        <stp>ID_CUSIP</stp>
        <stp>[TREASURY.xlsx]Sheet1!R1101C19</stp>
        <tr r="S1101" s="1"/>
      </tp>
      <tp t="s">
        <v>USD</v>
        <stp/>
        <stp>##V3_BDPV12</stp>
        <stp>912810CK Govt</stp>
        <stp>CRNCY</stp>
        <stp>[TREASURY.xlsx]Sheet1!R1309C7</stp>
        <tr r="G1309" s="1"/>
      </tp>
      <tp t="s">
        <v>912827YP1</v>
        <stp/>
        <stp>##V3_BDPV12</stp>
        <stp>912827YP Govt</stp>
        <stp>ID_CUSIP</stp>
        <stp>[TREASURY.xlsx]Sheet1!R1606C19</stp>
        <tr r="S1606" s="1"/>
      </tp>
      <tp t="s">
        <v>USD</v>
        <stp/>
        <stp>##V3_BDPV12</stp>
        <stp>912827LH Govt</stp>
        <stp>CRNCY</stp>
        <stp>[TREASURY.xlsx]Sheet1!R1566C7</stp>
        <tr r="G1566" s="1"/>
      </tp>
      <tp t="s">
        <v>912827YU0</v>
        <stp/>
        <stp>##V3_BDPV12</stp>
        <stp>912827YU Govt</stp>
        <stp>ID_CUSIP</stp>
        <stp>[TREASURY.xlsx]Sheet1!R1224C19</stp>
        <tr r="S1224" s="1"/>
      </tp>
      <tp t="s">
        <v>912827YW6</v>
        <stp/>
        <stp>##V3_BDPV12</stp>
        <stp>912827YW Govt</stp>
        <stp>ID_CUSIP</stp>
        <stp>[TREASURY.xlsx]Sheet1!R1607C19</stp>
        <tr r="S1607" s="1"/>
      </tp>
      <tp t="s">
        <v>912827YQ9</v>
        <stp/>
        <stp>##V3_BDPV12</stp>
        <stp>912827YQ Govt</stp>
        <stp>ID_CUSIP</stp>
        <stp>[TREASURY.xlsx]Sheet1!R1223C19</stp>
        <tr r="S1223" s="1"/>
      </tp>
      <tp t="s">
        <v>11/30/1992</v>
        <stp/>
        <stp>##V3_BDPV12</stp>
        <stp>912827H7 Govt</stp>
        <stp>ISSUE_DT</stp>
        <stp>[TREASURY.xlsx]Sheet1!R1158C15</stp>
        <tr r="O1158" s="1"/>
      </tp>
      <tp t="s">
        <v>USD</v>
        <stp/>
        <stp>##V3_BDPV12</stp>
        <stp>912827B3 Govt</stp>
        <stp>CRNCY</stp>
        <stp>[TREASURY.xlsx]Sheet1!R1549C7</stp>
        <tr r="G1549" s="1"/>
      </tp>
      <tp t="s">
        <v>11/2/1992</v>
        <stp/>
        <stp>##V3_BDPV12</stp>
        <stp>912827H4 Govt</stp>
        <stp>ISSUE_DT</stp>
        <stp>[TREASURY.xlsx]Sheet1!R1157C15</stp>
        <tr r="O1157" s="1"/>
      </tp>
      <tp t="s">
        <v>USD</v>
        <stp/>
        <stp>##V3_BDPV12</stp>
        <stp>912827K6 Govt</stp>
        <stp>CRNCY</stp>
        <stp>[TREASURY.xlsx]Sheet1!R1490C7</stp>
        <tr r="G1490" s="1"/>
      </tp>
      <tp t="s">
        <v>USD</v>
        <stp/>
        <stp>##V3_BDPV12</stp>
        <stp>912827J4 Govt</stp>
        <stp>CRNCY</stp>
        <stp>[TREASURY.xlsx]Sheet1!R1561C7</stp>
        <tr r="G1561" s="1"/>
      </tp>
      <tp t="s">
        <v>11/2/1992</v>
        <stp/>
        <stp>##V3_BDPV12</stp>
        <stp>912827H3 Govt</stp>
        <stp>ISSUE_DT</stp>
        <stp>[TREASURY.xlsx]Sheet1!R1316C15</stp>
        <tr r="O1316" s="1"/>
      </tp>
      <tp t="s">
        <v>USD</v>
        <stp/>
        <stp>##V3_BDPV12</stp>
        <stp>912828L8 Govt</stp>
        <stp>CRNCY</stp>
        <stp>[TREASURY.xlsx]Sheet1!R1127C7</stp>
        <tr r="G1127" s="1"/>
      </tp>
      <tp t="s">
        <v>11/30/1992</v>
        <stp/>
        <stp>##V3_BDPV12</stp>
        <stp>912827H8 Govt</stp>
        <stp>ISSUE_DT</stp>
        <stp>[TREASURY.xlsx]Sheet1!R1487C15</stp>
        <tr r="O1487" s="1"/>
      </tp>
      <tp t="s">
        <v>USD</v>
        <stp/>
        <stp>##V3_BDPV12</stp>
        <stp>912827K9 Govt</stp>
        <stp>CRNCY</stp>
        <stp>[TREASURY.xlsx]Sheet1!R1160C7</stp>
        <tr r="G1160" s="1"/>
      </tp>
      <tp t="s">
        <v>USD</v>
        <stp/>
        <stp>##V3_BDPV12</stp>
        <stp>912827M9 Govt</stp>
        <stp>CRNCY</stp>
        <stp>[TREASURY.xlsx]Sheet1!R1166C7</stp>
        <tr r="G1166" s="1"/>
      </tp>
      <tp t="s">
        <v>USD</v>
        <stp/>
        <stp>##V3_BDPV12</stp>
        <stp>912828H9 Govt</stp>
        <stp>CRNCY</stp>
        <stp>[TREASURY.xlsx]Sheet1!R1243C7</stp>
        <tr r="G1243" s="1"/>
      </tp>
      <tp t="s">
        <v>2/17/2015</v>
        <stp/>
        <stp>##V3_BDPV12</stp>
        <stp>912828H9 Govt</stp>
        <stp>ISSUE_DT</stp>
        <stp>[TREASURY.xlsx]Sheet1!R1243C15</stp>
        <tr r="O1243" s="1"/>
      </tp>
      <tp t="s">
        <v>12/31/1992</v>
        <stp/>
        <stp>##V3_BDPV12</stp>
        <stp>912827H9 Govt</stp>
        <stp>ISSUE_DT</stp>
        <stp>[TREASURY.xlsx]Sheet1!R1375C15</stp>
        <tr r="O1375" s="1"/>
      </tp>
      <tp t="s">
        <v>912827X80</v>
        <stp/>
        <stp>##V3_BDPV12</stp>
        <stp>912827X8 Govt</stp>
        <stp>ID_CUSIP</stp>
        <stp>[TREASURY.xlsx]Sheet1!R1213C19</stp>
        <tr r="S1213" s="1"/>
      </tp>
      <tp t="s">
        <v>912827X64</v>
        <stp/>
        <stp>##V3_BDPV12</stp>
        <stp>912827X6 Govt</stp>
        <stp>ID_CUSIP</stp>
        <stp>[TREASURY.xlsx]Sheet1!R1212C19</stp>
        <tr r="S1212" s="1"/>
      </tp>
      <tp t="s">
        <v>912827X72</v>
        <stp/>
        <stp>##V3_BDPV12</stp>
        <stp>912827X7 Govt</stp>
        <stp>ID_CUSIP</stp>
        <stp>[TREASURY.xlsx]Sheet1!R1095C19</stp>
        <tr r="S1095" s="1"/>
      </tp>
      <tp t="s">
        <v>912827X23</v>
        <stp/>
        <stp>##V3_BDPV12</stp>
        <stp>912827X2 Govt</stp>
        <stp>ID_CUSIP</stp>
        <stp>[TREASURY.xlsx]Sheet1!R1211C19</stp>
        <tr r="S1211" s="1"/>
      </tp>
      <tp t="s">
        <v>912827X31</v>
        <stp/>
        <stp>##V3_BDPV12</stp>
        <stp>912827X3 Govt</stp>
        <stp>ID_CUSIP</stp>
        <stp>[TREASURY.xlsx]Sheet1!R1094C19</stp>
        <tr r="S1094" s="1"/>
      </tp>
      <tp t="s">
        <v>ACT/ACT</v>
        <stp/>
        <stp>##V3_BDPV12</stp>
        <stp>912828WL Govt</stp>
        <stp>DAY_CNT_DES</stp>
        <stp>[TREASURY.xlsx]Sheet1!R1150C17</stp>
        <tr r="Q1150" s="1"/>
      </tp>
      <tp t="s">
        <v>ACT/ACT</v>
        <stp/>
        <stp>##V3_BDPV12</stp>
        <stp>912828WC Govt</stp>
        <stp>DAY_CNT_DES</stp>
        <stp>[TREASURY.xlsx]Sheet1!R1139C17</stp>
        <tr r="Q1139" s="1"/>
      </tp>
      <tp t="s">
        <v>ACT/ACT</v>
        <stp/>
        <stp>##V3_BDPV12</stp>
        <stp>912828VY Govt</stp>
        <stp>DAY_CNT_DES</stp>
        <stp>[TREASURY.xlsx]Sheet1!R1004C17</stp>
        <tr r="Q1004" s="1"/>
      </tp>
      <tp t="s">
        <v>ACT/ACT</v>
        <stp/>
        <stp>##V3_BDPV12</stp>
        <stp>912828VU Govt</stp>
        <stp>DAY_CNT_DES</stp>
        <stp>[TREASURY.xlsx]Sheet1!R1003C17</stp>
        <tr r="Q1003" s="1"/>
      </tp>
      <tp t="s">
        <v>ACT/ACT</v>
        <stp/>
        <stp>##V3_BDPV12</stp>
        <stp>912828T8 Govt</stp>
        <stp>DAY_CNT_DES</stp>
        <stp>[TREASURY.xlsx]Sheet1!R1304C17</stp>
        <tr r="Q1304" s="1"/>
      </tp>
      <tp t="s">
        <v>ACT/ACT</v>
        <stp/>
        <stp>##V3_BDPV12</stp>
        <stp>912828VK Govt</stp>
        <stp>DAY_CNT_DES</stp>
        <stp>[TREASURY.xlsx]Sheet1!R1148C17</stp>
        <tr r="Q1148" s="1"/>
      </tp>
      <tp t="s">
        <v>ACT/ACT</v>
        <stp/>
        <stp>##V3_BDPV12</stp>
        <stp>912828WA Govt</stp>
        <stp>DAY_CNT_DES</stp>
        <stp>[TREASURY.xlsx]Sheet1!R1005C17</stp>
        <tr r="Q1005" s="1"/>
      </tp>
      <tp t="s">
        <v>ACT/ACT</v>
        <stp/>
        <stp>##V3_BDPV12</stp>
        <stp>912828VD Govt</stp>
        <stp>DAY_CNT_DES</stp>
        <stp>[TREASURY.xlsx]Sheet1!R1147C17</stp>
        <tr r="Q1147" s="1"/>
      </tp>
      <tp t="s">
        <v>ACT/ACT</v>
        <stp/>
        <stp>##V3_BDPV12</stp>
        <stp>912828VW Govt</stp>
        <stp>DAY_CNT_DES</stp>
        <stp>[TREASURY.xlsx]Sheet1!R1149C17</stp>
        <tr r="Q1149" s="1"/>
      </tp>
      <tp t="s">
        <v>ACT/ACT</v>
        <stp/>
        <stp>##V3_BDPV12</stp>
        <stp>912828WQ Govt</stp>
        <stp>DAY_CNT_DES</stp>
        <stp>[TREASURY.xlsx]Sheet1!R1006C17</stp>
        <tr r="Q1006" s="1"/>
      </tp>
      <tp t="s">
        <v>ACT/ACT</v>
        <stp/>
        <stp>##V3_BDPV12</stp>
        <stp>912828WT Govt</stp>
        <stp>DAY_CNT_DES</stp>
        <stp>[TREASURY.xlsx]Sheet1!R1007C17</stp>
        <tr r="Q1007" s="1"/>
      </tp>
      <tp t="s">
        <v>ACT/ACT</v>
        <stp/>
        <stp>##V3_BDPV12</stp>
        <stp>912828UK Govt</stp>
        <stp>DAY_CNT_DES</stp>
        <stp>[TREASURY.xlsx]Sheet1!R1136C17</stp>
        <tr r="Q1136" s="1"/>
      </tp>
      <tp t="s">
        <v>ACT/ACT</v>
        <stp/>
        <stp>##V3_BDPV12</stp>
        <stp>912828WH Govt</stp>
        <stp>DAY_CNT_DES</stp>
        <stp>[TREASURY.xlsx]Sheet1!R1306C17</stp>
        <tr r="Q1306" s="1"/>
      </tp>
      <tp t="s">
        <v>ACT/ACT</v>
        <stp/>
        <stp>##V3_BDPV12</stp>
        <stp>912828UC Govt</stp>
        <stp>DAY_CNT_DES</stp>
        <stp>[TREASURY.xlsx]Sheet1!R1144C17</stp>
        <tr r="Q1144" s="1"/>
      </tp>
      <tp t="s">
        <v>ACT/ACT</v>
        <stp/>
        <stp>##V3_BDPV12</stp>
        <stp>912828UG Govt</stp>
        <stp>DAY_CNT_DES</stp>
        <stp>[TREASURY.xlsx]Sheet1!R1135C17</stp>
        <tr r="Q1135" s="1"/>
      </tp>
      <tp t="s">
        <v>ACT/ACT</v>
        <stp/>
        <stp>##V3_BDPV12</stp>
        <stp>912828UY Govt</stp>
        <stp>DAY_CNT_DES</stp>
        <stp>[TREASURY.xlsx]Sheet1!R1138C17</stp>
        <tr r="Q1138" s="1"/>
      </tp>
      <tp t="s">
        <v>ACT/ACT</v>
        <stp/>
        <stp>##V3_BDPV12</stp>
        <stp>912828US Govt</stp>
        <stp>DAY_CNT_DES</stp>
        <stp>[TREASURY.xlsx]Sheet1!R1137C17</stp>
        <tr r="Q1137" s="1"/>
      </tp>
      <tp t="s">
        <v>ACT/ACT</v>
        <stp/>
        <stp>##V3_BDPV12</stp>
        <stp>912828UR Govt</stp>
        <stp>DAY_CNT_DES</stp>
        <stp>[TREASURY.xlsx]Sheet1!R1146C17</stp>
        <tr r="Q1146" s="1"/>
      </tp>
      <tp t="s">
        <v>ACT/ACT</v>
        <stp/>
        <stp>##V3_BDPV12</stp>
        <stp>912828UP Govt</stp>
        <stp>DAY_CNT_DES</stp>
        <stp>[TREASURY.xlsx]Sheet1!R1145C17</stp>
        <tr r="Q1145" s="1"/>
      </tp>
      <tp t="s">
        <v>ACT/ACT</v>
        <stp/>
        <stp>##V3_BDPV12</stp>
        <stp>912828TN Govt</stp>
        <stp>DAY_CNT_DES</stp>
        <stp>[TREASURY.xlsx]Sheet1!R1143C17</stp>
        <tr r="Q1143" s="1"/>
      </tp>
      <tp t="s">
        <v>ACT/ACT</v>
        <stp/>
        <stp>##V3_BDPV12</stp>
        <stp>912828UL Govt</stp>
        <stp>DAY_CNT_DES</stp>
        <stp>[TREASURY.xlsx]Sheet1!R1000C17</stp>
        <tr r="Q1000" s="1"/>
      </tp>
      <tp t="s">
        <v>ACT/ACT</v>
        <stp/>
        <stp>##V3_BDPV12</stp>
        <stp>912828UW Govt</stp>
        <stp>DAY_CNT_DES</stp>
        <stp>[TREASURY.xlsx]Sheet1!R1002C17</stp>
        <tr r="Q1002" s="1"/>
      </tp>
      <tp t="s">
        <v>ACT/ACT</v>
        <stp/>
        <stp>##V3_BDPV12</stp>
        <stp>912828TT Govt</stp>
        <stp>DAY_CNT_DES</stp>
        <stp>[TREASURY.xlsx]Sheet1!R1134C17</stp>
        <tr r="Q1134" s="1"/>
      </tp>
      <tp t="s">
        <v>ACT/ACT</v>
        <stp/>
        <stp>##V3_BDPV12</stp>
        <stp>912828VV Govt</stp>
        <stp>DAY_CNT_DES</stp>
        <stp>[TREASURY.xlsx]Sheet1!R1305C17</stp>
        <tr r="Q1305" s="1"/>
      </tp>
      <tp t="s">
        <v>ACT/ACT</v>
        <stp/>
        <stp>##V3_BDPV12</stp>
        <stp>912828UU Govt</stp>
        <stp>DAY_CNT_DES</stp>
        <stp>[TREASURY.xlsx]Sheet1!R1001C17</stp>
        <tr r="Q1001" s="1"/>
      </tp>
      <tp t="s">
        <v>ACT/ACT</v>
        <stp/>
        <stp>##V3_BDPV12</stp>
        <stp>912828P5 Govt</stp>
        <stp>DAY_CNT_DES</stp>
        <stp>[TREASURY.xlsx]Sheet1!R1259C17</stp>
        <tr r="Q1259" s="1"/>
      </tp>
      <tp t="s">
        <v>ACT/ACT</v>
        <stp/>
        <stp>##V3_BDPV12</stp>
        <stp>912828PB Govt</stp>
        <stp>DAY_CNT_DES</stp>
        <stp>[TREASURY.xlsx]Sheet1!R1297C17</stp>
        <tr r="Q1297" s="1"/>
      </tp>
      <tp t="s">
        <v>ACT/ACT</v>
        <stp/>
        <stp>##V3_BDPV12</stp>
        <stp>912828SK Govt</stp>
        <stp>DAY_CNT_DES</stp>
        <stp>[TREASURY.xlsx]Sheet1!R1132C17</stp>
        <tr r="Q1132" s="1"/>
      </tp>
      <tp t="s">
        <v>ACT/ACT</v>
        <stp/>
        <stp>##V3_BDPV12</stp>
        <stp>912828PA Govt</stp>
        <stp>DAY_CNT_DES</stp>
        <stp>[TREASURY.xlsx]Sheet1!R1296C17</stp>
        <tr r="Q1296" s="1"/>
      </tp>
      <tp t="s">
        <v>ACT/ACT</v>
        <stp/>
        <stp>##V3_BDPV12</stp>
        <stp>912828PF Govt</stp>
        <stp>DAY_CNT_DES</stp>
        <stp>[TREASURY.xlsx]Sheet1!R1299C17</stp>
        <tr r="Q1299" s="1"/>
      </tp>
      <tp t="s">
        <v>ACT/ACT</v>
        <stp/>
        <stp>##V3_BDPV12</stp>
        <stp>912828PD Govt</stp>
        <stp>DAY_CNT_DES</stp>
        <stp>[TREASURY.xlsx]Sheet1!R1298C17</stp>
        <tr r="Q1298" s="1"/>
      </tp>
      <tp t="s">
        <v>ACT/ACT</v>
        <stp/>
        <stp>##V3_BDPV12</stp>
        <stp>912828QC Govt</stp>
        <stp>DAY_CNT_DES</stp>
        <stp>[TREASURY.xlsx]Sheet1!R1301C17</stp>
        <tr r="Q1301" s="1"/>
      </tp>
      <tp t="s">
        <v>ACT/ACT</v>
        <stp/>
        <stp>##V3_BDPV12</stp>
        <stp>912828SC Govt</stp>
        <stp>DAY_CNT_DES</stp>
        <stp>[TREASURY.xlsx]Sheet1!R1141C17</stp>
        <tr r="Q1141" s="1"/>
      </tp>
      <tp t="s">
        <v>ACT/ACT</v>
        <stp/>
        <stp>##V3_BDPV12</stp>
        <stp>912828SY Govt</stp>
        <stp>DAY_CNT_DES</stp>
        <stp>[TREASURY.xlsx]Sheet1!R1133C17</stp>
        <tr r="Q1133" s="1"/>
      </tp>
      <tp t="s">
        <v>ACT/ACT</v>
        <stp/>
        <stp>##V3_BDPV12</stp>
        <stp>912828PU Govt</stp>
        <stp>DAY_CNT_DES</stp>
        <stp>[TREASURY.xlsx]Sheet1!R1261C17</stp>
        <tr r="Q1261" s="1"/>
      </tp>
      <tp t="s">
        <v>ACT/ACT</v>
        <stp/>
        <stp>##V3_BDPV12</stp>
        <stp>912828SR Govt</stp>
        <stp>DAY_CNT_DES</stp>
        <stp>[TREASURY.xlsx]Sheet1!R1142C17</stp>
        <tr r="Q1142" s="1"/>
      </tp>
      <tp t="s">
        <v>ACT/ACT</v>
        <stp/>
        <stp>##V3_BDPV12</stp>
        <stp>912828PR Govt</stp>
        <stp>DAY_CNT_DES</stp>
        <stp>[TREASURY.xlsx]Sheet1!R1260C17</stp>
        <tr r="Q1260" s="1"/>
      </tp>
      <tp t="s">
        <v>ACT/ACT</v>
        <stp/>
        <stp>##V3_BDPV12</stp>
        <stp>912828Q5 Govt</stp>
        <stp>DAY_CNT_DES</stp>
        <stp>[TREASURY.xlsx]Sheet1!R1262C17</stp>
        <tr r="Q1262" s="1"/>
      </tp>
      <tp t="s">
        <v>ACT/ACT</v>
        <stp/>
        <stp>##V3_BDPV12</stp>
        <stp>912828RN Govt</stp>
        <stp>DAY_CNT_DES</stp>
        <stp>[TREASURY.xlsx]Sheet1!R1140C17</stp>
        <tr r="Q1140" s="1"/>
      </tp>
      <tp t="s">
        <v>ACT/ACT</v>
        <stp/>
        <stp>##V3_BDPV12</stp>
        <stp>912828RL Govt</stp>
        <stp>DAY_CNT_DES</stp>
        <stp>[TREASURY.xlsx]Sheet1!R1131C17</stp>
        <tr r="Q1131" s="1"/>
      </tp>
      <tp t="s">
        <v>ACT/ACT</v>
        <stp/>
        <stp>##V3_BDPV12</stp>
        <stp>912828QK Govt</stp>
        <stp>DAY_CNT_DES</stp>
        <stp>[TREASURY.xlsx]Sheet1!R1263C17</stp>
        <tr r="Q1263" s="1"/>
      </tp>
      <tp t="s">
        <v>ACT/ACT</v>
        <stp/>
        <stp>##V3_BDPV12</stp>
        <stp>912828PT Govt</stp>
        <stp>DAY_CNT_DES</stp>
        <stp>[TREASURY.xlsx]Sheet1!R1300C17</stp>
        <tr r="Q1300" s="1"/>
      </tp>
      <tp t="s">
        <v>ACT/ACT</v>
        <stp/>
        <stp>##V3_BDPV12</stp>
        <stp>912828R5 Govt</stp>
        <stp>DAY_CNT_DES</stp>
        <stp>[TREASURY.xlsx]Sheet1!R1284C17</stp>
        <tr r="Q1284" s="1"/>
      </tp>
      <tp t="s">
        <v>ACT/ACT</v>
        <stp/>
        <stp>##V3_BDPV12</stp>
        <stp>912828R4 Govt</stp>
        <stp>DAY_CNT_DES</stp>
        <stp>[TREASURY.xlsx]Sheet1!R1264C17</stp>
        <tr r="Q1264" s="1"/>
      </tp>
      <tp t="s">
        <v>ACT/ACT</v>
        <stp/>
        <stp>##V3_BDPV12</stp>
        <stp>912828QM Govt</stp>
        <stp>DAY_CNT_DES</stp>
        <stp>[TREASURY.xlsx]Sheet1!R1130C17</stp>
        <tr r="Q1130" s="1"/>
      </tp>
      <tp t="s">
        <v>ACT/ACT</v>
        <stp/>
        <stp>##V3_BDPV12</stp>
        <stp>912828RK Govt</stp>
        <stp>DAY_CNT_DES</stp>
        <stp>[TREASURY.xlsx]Sheet1!R1266C17</stp>
        <tr r="Q1266" s="1"/>
      </tp>
      <tp t="s">
        <v>ACT/ACT</v>
        <stp/>
        <stp>##V3_BDPV12</stp>
        <stp>912828RD Govt</stp>
        <stp>DAY_CNT_DES</stp>
        <stp>[TREASURY.xlsx]Sheet1!R1265C17</stp>
        <tr r="Q1265" s="1"/>
      </tp>
      <tp t="s">
        <v>ACT/ACT</v>
        <stp/>
        <stp>##V3_BDPV12</stp>
        <stp>912828RY Govt</stp>
        <stp>DAY_CNT_DES</stp>
        <stp>[TREASURY.xlsx]Sheet1!R1267C17</stp>
        <tr r="Q1267" s="1"/>
      </tp>
      <tp t="s">
        <v>ACT/ACT</v>
        <stp/>
        <stp>##V3_BDPV12</stp>
        <stp>912828RZ Govt</stp>
        <stp>DAY_CNT_DES</stp>
        <stp>[TREASURY.xlsx]Sheet1!R1268C17</stp>
        <tr r="Q1268" s="1"/>
      </tp>
      <tp t="s">
        <v>ACT/ACT</v>
        <stp/>
        <stp>##V3_BDPV12</stp>
        <stp>912828RW Govt</stp>
        <stp>DAY_CNT_DES</stp>
        <stp>[TREASURY.xlsx]Sheet1!R1303C17</stp>
        <tr r="Q1303" s="1"/>
      </tp>
      <tp t="s">
        <v>ACT/ACT</v>
        <stp/>
        <stp>##V3_BDPV12</stp>
        <stp>912828RU Govt</stp>
        <stp>DAY_CNT_DES</stp>
        <stp>[TREASURY.xlsx]Sheet1!R1302C17</stp>
        <tr r="Q1302" s="1"/>
      </tp>
      <tp t="s">
        <v>T</v>
        <stp/>
        <stp>##V3_BDPV12</stp>
        <stp>912828A7 Govt</stp>
        <stp>TICKER</stp>
        <stp>[TREASURY.xlsx]Sheet1!R481C2</stp>
        <tr r="B481" s="1"/>
      </tp>
      <tp t="s">
        <v>T</v>
        <stp/>
        <stp>##V3_BDPV12</stp>
        <stp>912828G3 Govt</stp>
        <stp>TICKER</stp>
        <stp>[TREASURY.xlsx]Sheet1!R137C2</stp>
        <tr r="B137" s="1"/>
      </tp>
      <tp t="s">
        <v>T</v>
        <stp/>
        <stp>##V3_BDPV12</stp>
        <stp>912828F3 Govt</stp>
        <stp>TICKER</stp>
        <stp>[TREASURY.xlsx]Sheet1!R406C2</stp>
        <tr r="B406" s="1"/>
      </tp>
      <tp t="s">
        <v>T</v>
        <stp/>
        <stp>##V3_BDPV12</stp>
        <stp>912828H3 Govt</stp>
        <stp>TICKER</stp>
        <stp>[TREASURY.xlsx]Sheet1!R968C2</stp>
        <tr r="B968" s="1"/>
      </tp>
      <tp t="s">
        <v>ACT/ACT</v>
        <stp/>
        <stp>##V3_BDPV12</stp>
        <stp>912828XS Govt</stp>
        <stp>DAY_CNT_DES</stp>
        <stp>[TREASURY.xlsx]Sheet1!R1307C17</stp>
        <tr r="Q1307" s="1"/>
      </tp>
      <tp t="s">
        <v>ACT/ACT</v>
        <stp/>
        <stp>##V3_BDPV12</stp>
        <stp>912828XJ Govt</stp>
        <stp>DAY_CNT_DES</stp>
        <stp>[TREASURY.xlsx]Sheet1!R1152C17</stp>
        <tr r="Q1152" s="1"/>
      </tp>
      <tp t="s">
        <v>ACT/ACT</v>
        <stp/>
        <stp>##V3_BDPV12</stp>
        <stp>912828XF Govt</stp>
        <stp>DAY_CNT_DES</stp>
        <stp>[TREASURY.xlsx]Sheet1!R1151C17</stp>
        <tr r="Q1151" s="1"/>
      </tp>
      <tp t="s">
        <v>ACT/ACT</v>
        <stp/>
        <stp>##V3_BDPV12</stp>
        <stp>912828GK Govt</stp>
        <stp>DAY_CNT_DES</stp>
        <stp>[TREASURY.xlsx]Sheet1!R1119C17</stp>
        <tr r="Q1119" s="1"/>
      </tp>
      <tp t="s">
        <v>ACT/ACT</v>
        <stp/>
        <stp>##V3_BDPV12</stp>
        <stp>912828DK Govt</stp>
        <stp>DAY_CNT_DES</stp>
        <stp>[TREASURY.xlsx]Sheet1!R1271C17</stp>
        <tr r="Q1271" s="1"/>
      </tp>
      <tp t="s">
        <v>ACT/ACT</v>
        <stp/>
        <stp>##V3_BDPV12</stp>
        <stp>912828BE Govt</stp>
        <stp>DAY_CNT_DES</stp>
        <stp>[TREASURY.xlsx]Sheet1!R1425C17</stp>
        <tr r="Q1425" s="1"/>
      </tp>
      <tp t="s">
        <v>ACT/ACT</v>
        <stp/>
        <stp>##V3_BDPV12</stp>
        <stp>912828GY Govt</stp>
        <stp>DAY_CNT_DES</stp>
        <stp>[TREASURY.xlsx]Sheet1!R1120C17</stp>
        <tr r="Q1120" s="1"/>
      </tp>
      <tp t="s">
        <v>ACT/ACT</v>
        <stp/>
        <stp>##V3_BDPV12</stp>
        <stp>912828GZ Govt</stp>
        <stp>DAY_CNT_DES</stp>
        <stp>[TREASURY.xlsx]Sheet1!R1121C17</stp>
        <tr r="Q1121" s="1"/>
      </tp>
      <tp t="s">
        <v>ACT/ACT</v>
        <stp/>
        <stp>##V3_BDPV12</stp>
        <stp>912828DZ Govt</stp>
        <stp>DAY_CNT_DES</stp>
        <stp>[TREASURY.xlsx]Sheet1!R1273C17</stp>
        <tr r="Q1273" s="1"/>
      </tp>
      <tp t="s">
        <v>ACT/ACT</v>
        <stp/>
        <stp>##V3_BDPV12</stp>
        <stp>912828DT Govt</stp>
        <stp>DAY_CNT_DES</stp>
        <stp>[TREASURY.xlsx]Sheet1!R1272C17</stp>
        <tr r="Q1272" s="1"/>
      </tp>
      <tp t="s">
        <v>ACT/ACT</v>
        <stp/>
        <stp>##V3_BDPV12</stp>
        <stp>912828DU Govt</stp>
        <stp>DAY_CNT_DES</stp>
        <stp>[TREASURY.xlsx]Sheet1!R1237C17</stp>
        <tr r="Q1237" s="1"/>
      </tp>
      <tp t="s">
        <v>ACT/ACT</v>
        <stp/>
        <stp>##V3_BDPV12</stp>
        <stp>912828F8 Govt</stp>
        <stp>DAY_CNT_DES</stp>
        <stp>[TREASURY.xlsx]Sheet1!R1118C17</stp>
        <tr r="Q1118" s="1"/>
      </tp>
      <tp t="s">
        <v>ACT/ACT</v>
        <stp/>
        <stp>##V3_BDPV12</stp>
        <stp>912828F4 Govt</stp>
        <stp>DAY_CNT_DES</stp>
        <stp>[TREASURY.xlsx]Sheet1!R1117C17</stp>
        <tr r="Q1117" s="1"/>
      </tp>
      <tp t="s">
        <v>ACT/ACT</v>
        <stp/>
        <stp>##V3_BDPV12</stp>
        <stp>912828EJ Govt</stp>
        <stp>DAY_CNT_DES</stp>
        <stp>[TREASURY.xlsx]Sheet1!R1238C17</stp>
        <tr r="Q1238" s="1"/>
      </tp>
      <tp t="s">
        <v>ACT/ACT</v>
        <stp/>
        <stp>##V3_BDPV12</stp>
        <stp>912828AM Govt</stp>
        <stp>DAY_CNT_DES</stp>
        <stp>[TREASURY.xlsx]Sheet1!R1616C17</stp>
        <tr r="Q1616" s="1"/>
      </tp>
      <tp t="s">
        <v>ACT/ACT</v>
        <stp/>
        <stp>##V3_BDPV12</stp>
        <stp>912828CE Govt</stp>
        <stp>DAY_CNT_DES</stp>
        <stp>[TREASURY.xlsx]Sheet1!R1426C17</stp>
        <tr r="Q1426" s="1"/>
      </tp>
      <tp t="s">
        <v>ACT/ACT</v>
        <stp/>
        <stp>##V3_BDPV12</stp>
        <stp>912828EY Govt</stp>
        <stp>DAY_CNT_DES</stp>
        <stp>[TREASURY.xlsx]Sheet1!R1239C17</stp>
        <tr r="Q1239" s="1"/>
      </tp>
      <tp t="s">
        <v>ACT/ACT</v>
        <stp/>
        <stp>##V3_BDPV12</stp>
        <stp>912828F5 Govt</stp>
        <stp>DAY_CNT_DES</stp>
        <stp>[TREASURY.xlsx]Sheet1!R1240C17</stp>
        <tr r="Q1240" s="1"/>
      </tp>
      <tp t="s">
        <v>ACT/ACT</v>
        <stp/>
        <stp>##V3_BDPV12</stp>
        <stp>912828EH Govt</stp>
        <stp>DAY_CNT_DES</stp>
        <stp>[TREASURY.xlsx]Sheet1!R1114C17</stp>
        <tr r="Q1114" s="1"/>
      </tp>
      <tp t="s">
        <v>ACT/ACT</v>
        <stp/>
        <stp>##V3_BDPV12</stp>
        <stp>912828FN Govt</stp>
        <stp>DAY_CNT_DES</stp>
        <stp>[TREASURY.xlsx]Sheet1!R1275C17</stp>
        <tr r="Q1275" s="1"/>
      </tp>
      <tp t="s">
        <v>ACT/ACT</v>
        <stp/>
        <stp>##V3_BDPV12</stp>
        <stp>912828EM Govt</stp>
        <stp>DAY_CNT_DES</stp>
        <stp>[TREASURY.xlsx]Sheet1!R1115C17</stp>
        <tr r="Q1115" s="1"/>
      </tp>
      <tp t="s">
        <v>ACT/ACT</v>
        <stp/>
        <stp>##V3_BDPV12</stp>
        <stp>912828EB Govt</stp>
        <stp>DAY_CNT_DES</stp>
        <stp>[TREASURY.xlsx]Sheet1!R1113C17</stp>
        <tr r="Q1113" s="1"/>
      </tp>
      <tp t="s">
        <v>ACT/ACT</v>
        <stp/>
        <stp>##V3_BDPV12</stp>
        <stp>912828FG Govt</stp>
        <stp>DAY_CNT_DES</stp>
        <stp>[TREASURY.xlsx]Sheet1!R1241C17</stp>
        <tr r="Q1241" s="1"/>
      </tp>
      <tp t="s">
        <v>ACT/ACT</v>
        <stp/>
        <stp>##V3_BDPV12</stp>
        <stp>912828FE Govt</stp>
        <stp>DAY_CNT_DES</stp>
        <stp>[TREASURY.xlsx]Sheet1!R1274C17</stp>
        <tr r="Q1274" s="1"/>
      </tp>
      <tp t="s">
        <v>ACT/ACT</v>
        <stp/>
        <stp>##V3_BDPV12</stp>
        <stp>912828FX Govt</stp>
        <stp>DAY_CNT_DES</stp>
        <stp>[TREASURY.xlsx]Sheet1!R1278C17</stp>
        <tr r="Q1278" s="1"/>
      </tp>
      <tp t="s">
        <v>ACT/ACT</v>
        <stp/>
        <stp>##V3_BDPV12</stp>
        <stp>912828FZ Govt</stp>
        <stp>DAY_CNT_DES</stp>
        <stp>[TREASURY.xlsx]Sheet1!R1279C17</stp>
        <tr r="Q1279" s="1"/>
      </tp>
      <tp t="s">
        <v>ACT/ACT</v>
        <stp/>
        <stp>##V3_BDPV12</stp>
        <stp>912828ES Govt</stp>
        <stp>DAY_CNT_DES</stp>
        <stp>[TREASURY.xlsx]Sheet1!R1116C17</stp>
        <tr r="Q1116" s="1"/>
      </tp>
      <tp t="s">
        <v>ACT/ACT</v>
        <stp/>
        <stp>##V3_BDPV12</stp>
        <stp>912828FP Govt</stp>
        <stp>DAY_CNT_DES</stp>
        <stp>[TREASURY.xlsx]Sheet1!R1276C17</stp>
        <tr r="Q1276" s="1"/>
      </tp>
      <tp t="s">
        <v>ACT/ACT</v>
        <stp/>
        <stp>##V3_BDPV12</stp>
        <stp>912828FR Govt</stp>
        <stp>DAY_CNT_DES</stp>
        <stp>[TREASURY.xlsx]Sheet1!R1277C17</stp>
        <tr r="Q1277" s="1"/>
      </tp>
      <tp t="s">
        <v>ACT/ACT</v>
        <stp/>
        <stp>##V3_BDPV12</stp>
        <stp>912828G2 Govt</stp>
        <stp>DAY_CNT_DES</stp>
        <stp>[TREASURY.xlsx]Sheet1!R1280C17</stp>
        <tr r="Q1280" s="1"/>
      </tp>
      <tp t="s">
        <v>ACT/ACT</v>
        <stp/>
        <stp>##V3_BDPV12</stp>
        <stp>912828G4 Govt</stp>
        <stp>DAY_CNT_DES</stp>
        <stp>[TREASURY.xlsx]Sheet1!R1281C17</stp>
        <tr r="Q1281" s="1"/>
      </tp>
      <tp t="s">
        <v>ACT/ACT</v>
        <stp/>
        <stp>##V3_BDPV12</stp>
        <stp>912828GC Govt</stp>
        <stp>DAY_CNT_DES</stp>
        <stp>[TREASURY.xlsx]Sheet1!R1282C17</stp>
        <tr r="Q1282" s="1"/>
      </tp>
      <tp t="s">
        <v>ACT/ACT</v>
        <stp/>
        <stp>##V3_BDPV12</stp>
        <stp>912828DJ Govt</stp>
        <stp>DAY_CNT_DES</stp>
        <stp>[TREASURY.xlsx]Sheet1!R1111C17</stp>
        <tr r="Q1111" s="1"/>
      </tp>
      <tp t="s">
        <v>ACT/ACT</v>
        <stp/>
        <stp>##V3_BDPV12</stp>
        <stp>912828GE Govt</stp>
        <stp>DAY_CNT_DES</stp>
        <stp>[TREASURY.xlsx]Sheet1!R1242C17</stp>
        <tr r="Q1242" s="1"/>
      </tp>
      <tp t="s">
        <v>ACT/ACT</v>
        <stp/>
        <stp>##V3_BDPV12</stp>
        <stp>912828DG Govt</stp>
        <stp>DAY_CNT_DES</stp>
        <stp>[TREASURY.xlsx]Sheet1!R1110C17</stp>
        <tr r="Q1110" s="1"/>
      </tp>
      <tp t="s">
        <v>ACT/ACT</v>
        <stp/>
        <stp>##V3_BDPV12</stp>
        <stp>912828DE Govt</stp>
        <stp>DAY_CNT_DES</stp>
        <stp>[TREASURY.xlsx]Sheet1!R1109C17</stp>
        <tr r="Q1109" s="1"/>
      </tp>
      <tp t="s">
        <v>ACT/ACT</v>
        <stp/>
        <stp>##V3_BDPV12</stp>
        <stp>912828AP Govt</stp>
        <stp>DAY_CNT_DES</stp>
        <stp>[TREASURY.xlsx]Sheet1!R1424C17</stp>
        <tr r="Q1424" s="1"/>
      </tp>
      <tp t="s">
        <v>ACT/ACT</v>
        <stp/>
        <stp>##V3_BDPV12</stp>
        <stp>912828DQ Govt</stp>
        <stp>DAY_CNT_DES</stp>
        <stp>[TREASURY.xlsx]Sheet1!R1112C17</stp>
        <tr r="Q1112" s="1"/>
      </tp>
      <tp t="s">
        <v>ACT/ACT</v>
        <stp/>
        <stp>##V3_BDPV12</stp>
        <stp>912828FA Govt</stp>
        <stp>DAY_CNT_DES</stp>
        <stp>[TREASURY.xlsx]Sheet1!R1432C17</stp>
        <tr r="Q1432" s="1"/>
      </tp>
      <tp t="s">
        <v>ACT/ACT</v>
        <stp/>
        <stp>##V3_BDPV12</stp>
        <stp>912828B3 Govt</stp>
        <stp>DAY_CNT_DES</stp>
        <stp>[TREASURY.xlsx]Sheet1!R1108C17</stp>
        <tr r="Q1108" s="1"/>
      </tp>
      <tp t="s">
        <v>ACT/ACT</v>
        <stp/>
        <stp>##V3_BDPV12</stp>
        <stp>912828A2 Govt</stp>
        <stp>DAY_CNT_DES</stp>
        <stp>[TREASURY.xlsx]Sheet1!R1232C17</stp>
        <tr r="Q1232" s="1"/>
      </tp>
      <tp t="s">
        <v>ACT/ACT</v>
        <stp/>
        <stp>##V3_BDPV12</stp>
        <stp>912828A5 Govt</stp>
        <stp>DAY_CNT_DES</stp>
        <stp>[TREASURY.xlsx]Sheet1!R1233C17</stp>
        <tr r="Q1233" s="1"/>
      </tp>
      <tp t="s">
        <v>ACT/ACT</v>
        <stp/>
        <stp>##V3_BDPV12</stp>
        <stp>912828GH Govt</stp>
        <stp>DAY_CNT_DES</stp>
        <stp>[TREASURY.xlsx]Sheet1!R1435C17</stp>
        <tr r="Q1435" s="1"/>
      </tp>
      <tp t="s">
        <v>ACT/ACT</v>
        <stp/>
        <stp>##V3_BDPV12</stp>
        <stp>912828GB Govt</stp>
        <stp>DAY_CNT_DES</stp>
        <stp>[TREASURY.xlsx]Sheet1!R1433C17</stp>
        <tr r="Q1433" s="1"/>
      </tp>
      <tp t="s">
        <v>ACT/ACT</v>
        <stp/>
        <stp>##V3_BDPV12</stp>
        <stp>912828AC Govt</stp>
        <stp>DAY_CNT_DES</stp>
        <stp>[TREASURY.xlsx]Sheet1!R1234C17</stp>
        <tr r="Q1234" s="1"/>
      </tp>
      <tp t="s">
        <v>ACT/ACT</v>
        <stp/>
        <stp>##V3_BDPV12</stp>
        <stp>912828GF Govt</stp>
        <stp>DAY_CNT_DES</stp>
        <stp>[TREASURY.xlsx]Sheet1!R1434C17</stp>
        <tr r="Q1434" s="1"/>
      </tp>
      <tp t="s">
        <v>ACT/ACT</v>
        <stp/>
        <stp>##V3_BDPV12</stp>
        <stp>912828GW Govt</stp>
        <stp>DAY_CNT_DES</stp>
        <stp>[TREASURY.xlsx]Sheet1!R1436C17</stp>
        <tr r="Q1436" s="1"/>
      </tp>
      <tp t="s">
        <v>ACT/ACT</v>
        <stp/>
        <stp>##V3_BDPV12</stp>
        <stp>912828B7 Govt</stp>
        <stp>DAY_CNT_DES</stp>
        <stp>[TREASURY.xlsx]Sheet1!R1270C17</stp>
        <tr r="Q1270" s="1"/>
      </tp>
      <tp t="s">
        <v>ACT/ACT</v>
        <stp/>
        <stp>##V3_BDPV12</stp>
        <stp>912828AH Govt</stp>
        <stp>DAY_CNT_DES</stp>
        <stp>[TREASURY.xlsx]Sheet1!R1107C17</stp>
        <tr r="Q1107" s="1"/>
      </tp>
      <tp t="s">
        <v>ACT/ACT</v>
        <stp/>
        <stp>##V3_BDPV12</stp>
        <stp>912828DM Govt</stp>
        <stp>DAY_CNT_DES</stp>
        <stp>[TREASURY.xlsx]Sheet1!R1427C17</stp>
        <tr r="Q1427" s="1"/>
      </tp>
      <tp t="s">
        <v>ACT/ACT</v>
        <stp/>
        <stp>##V3_BDPV12</stp>
        <stp>912828BF Govt</stp>
        <stp>DAY_CNT_DES</stp>
        <stp>[TREASURY.xlsx]Sheet1!R1235C17</stp>
        <tr r="Q1235" s="1"/>
      </tp>
      <tp t="s">
        <v>ACT/ACT</v>
        <stp/>
        <stp>##V3_BDPV12</stp>
        <stp>912828DX Govt</stp>
        <stp>DAY_CNT_DES</stp>
        <stp>[TREASURY.xlsx]Sheet1!R1429C17</stp>
        <tr r="Q1429" s="1"/>
      </tp>
      <tp t="s">
        <v>ACT/ACT</v>
        <stp/>
        <stp>##V3_BDPV12</stp>
        <stp>912828DY Govt</stp>
        <stp>DAY_CNT_DES</stp>
        <stp>[TREASURY.xlsx]Sheet1!R1430C17</stp>
        <tr r="Q1430" s="1"/>
      </tp>
      <tp t="s">
        <v>ACT/ACT</v>
        <stp/>
        <stp>##V3_BDPV12</stp>
        <stp>912828DS Govt</stp>
        <stp>DAY_CNT_DES</stp>
        <stp>[TREASURY.xlsx]Sheet1!R1428C17</stp>
        <tr r="Q1428" s="1"/>
      </tp>
      <tp t="s">
        <v>ACT/ACT</v>
        <stp/>
        <stp>##V3_BDPV12</stp>
        <stp>912828EF Govt</stp>
        <stp>DAY_CNT_DES</stp>
        <stp>[TREASURY.xlsx]Sheet1!R1431C17</stp>
        <tr r="Q1431" s="1"/>
      </tp>
      <tp t="s">
        <v>ACT/ACT</v>
        <stp/>
        <stp>##V3_BDPV12</stp>
        <stp>912828CQ Govt</stp>
        <stp>DAY_CNT_DES</stp>
        <stp>[TREASURY.xlsx]Sheet1!R1236C17</stp>
        <tr r="Q1236" s="1"/>
      </tp>
      <tp t="s">
        <v>ACT/ACT</v>
        <stp/>
        <stp>##V3_BDPV12</stp>
        <stp>912828LC Govt</stp>
        <stp>DAY_CNT_DES</stp>
        <stp>[TREASURY.xlsx]Sheet1!R1289C17</stp>
        <tr r="Q1289" s="1"/>
      </tp>
      <tp t="s">
        <v>ACT/ACT</v>
        <stp/>
        <stp>##V3_BDPV12</stp>
        <stp>912828LL Govt</stp>
        <stp>DAY_CNT_DES</stp>
        <stp>[TREASURY.xlsx]Sheet1!R1290C17</stp>
        <tr r="Q1290" s="1"/>
      </tp>
      <tp t="s">
        <v>ACT/ACT</v>
        <stp/>
        <stp>##V3_BDPV12</stp>
        <stp>912828LV Govt</stp>
        <stp>DAY_CNT_DES</stp>
        <stp>[TREASURY.xlsx]Sheet1!R1291C17</stp>
        <tr r="Q1291" s="1"/>
      </tp>
      <tp t="s">
        <v>ACT/ACT</v>
        <stp/>
        <stp>##V3_BDPV12</stp>
        <stp>912828M6 Govt</stp>
        <stp>DAY_CNT_DES</stp>
        <stp>[TREASURY.xlsx]Sheet1!R1251C17</stp>
        <tr r="Q1251" s="1"/>
      </tp>
      <tp t="s">
        <v>ACT/ACT</v>
        <stp/>
        <stp>##V3_BDPV12</stp>
        <stp>912828ML Govt</stp>
        <stp>DAY_CNT_DES</stp>
        <stp>[TREASURY.xlsx]Sheet1!R1253C17</stp>
        <tr r="Q1253" s="1"/>
      </tp>
      <tp t="s">
        <v>ACT/ACT</v>
        <stp/>
        <stp>##V3_BDPV12</stp>
        <stp>912828MA Govt</stp>
        <stp>DAY_CNT_DES</stp>
        <stp>[TREASURY.xlsx]Sheet1!R1252C17</stp>
        <tr r="Q1252" s="1"/>
      </tp>
      <tp t="s">
        <v>ACT/ACT</v>
        <stp/>
        <stp>##V3_BDPV12</stp>
        <stp>912828MZ Govt</stp>
        <stp>DAY_CNT_DES</stp>
        <stp>[TREASURY.xlsx]Sheet1!R1255C17</stp>
        <tr r="Q1255" s="1"/>
      </tp>
      <tp t="s">
        <v>ACT/ACT</v>
        <stp/>
        <stp>##V3_BDPV12</stp>
        <stp>912828MT Govt</stp>
        <stp>DAY_CNT_DES</stp>
        <stp>[TREASURY.xlsx]Sheet1!R1254C17</stp>
        <tr r="Q1254" s="1"/>
      </tp>
      <tp t="s">
        <v>ACT/ACT</v>
        <stp/>
        <stp>##V3_BDPV12</stp>
        <stp>912828NA Govt</stp>
        <stp>DAY_CNT_DES</stp>
        <stp>[TREASURY.xlsx]Sheet1!R1292C17</stp>
        <tr r="Q1292" s="1"/>
      </tp>
      <tp t="s">
        <v>ACT/ACT</v>
        <stp/>
        <stp>##V3_BDPV12</stp>
        <stp>912828NF Govt</stp>
        <stp>DAY_CNT_DES</stp>
        <stp>[TREASURY.xlsx]Sheet1!R1256C17</stp>
        <tr r="Q1256" s="1"/>
      </tp>
      <tp t="s">
        <v>ACT/ACT</v>
        <stp/>
        <stp>##V3_BDPV12</stp>
        <stp>912828HA Govt</stp>
        <stp>DAY_CNT_DES</stp>
        <stp>[TREASURY.xlsx]Sheet1!R1437C17</stp>
        <tr r="Q1437" s="1"/>
      </tp>
      <tp t="s">
        <v>ACT/ACT</v>
        <stp/>
        <stp>##V3_BDPV12</stp>
        <stp>912828NQ Govt</stp>
        <stp>DAY_CNT_DES</stp>
        <stp>[TREASURY.xlsx]Sheet1!R1293C17</stp>
        <tr r="Q1293" s="1"/>
      </tp>
      <tp t="s">
        <v>ACT/ACT</v>
        <stp/>
        <stp>##V3_BDPV12</stp>
        <stp>912828NW Govt</stp>
        <stp>DAY_CNT_DES</stp>
        <stp>[TREASURY.xlsx]Sheet1!R1294C17</stp>
        <tr r="Q1294" s="1"/>
      </tp>
      <tp t="s">
        <v>ACT/ACT</v>
        <stp/>
        <stp>##V3_BDPV12</stp>
        <stp>912828NY Govt</stp>
        <stp>DAY_CNT_DES</stp>
        <stp>[TREASURY.xlsx]Sheet1!R1258C17</stp>
        <tr r="Q1258" s="1"/>
      </tp>
      <tp t="s">
        <v>ACT/ACT</v>
        <stp/>
        <stp>##V3_BDPV12</stp>
        <stp>912828HP Govt</stp>
        <stp>DAY_CNT_DES</stp>
        <stp>[TREASURY.xlsx]Sheet1!R1438C17</stp>
        <tr r="Q1438" s="1"/>
      </tp>
      <tp t="s">
        <v>ACT/ACT</v>
        <stp/>
        <stp>##V3_BDPV12</stp>
        <stp>912828NZ Govt</stp>
        <stp>DAY_CNT_DES</stp>
        <stp>[TREASURY.xlsx]Sheet1!R1295C17</stp>
        <tr r="Q1295" s="1"/>
      </tp>
      <tp t="s">
        <v>ACT/ACT</v>
        <stp/>
        <stp>##V3_BDPV12</stp>
        <stp>912828NR Govt</stp>
        <stp>DAY_CNT_DES</stp>
        <stp>[TREASURY.xlsx]Sheet1!R1257C17</stp>
        <tr r="Q1257" s="1"/>
      </tp>
      <tp t="s">
        <v>ACT/ACT</v>
        <stp/>
        <stp>##V3_BDPV12</stp>
        <stp>912828L8 Govt</stp>
        <stp>DAY_CNT_DES</stp>
        <stp>[TREASURY.xlsx]Sheet1!R1127C17</stp>
        <tr r="Q1127" s="1"/>
      </tp>
      <tp t="s">
        <v>ACT/ACT</v>
        <stp/>
        <stp>##V3_BDPV12</stp>
        <stp>912828LH Govt</stp>
        <stp>DAY_CNT_DES</stp>
        <stp>[TREASURY.xlsx]Sheet1!R1128C17</stp>
        <tr r="Q1128" s="1"/>
      </tp>
      <tp t="s">
        <v>ACT/ACT</v>
        <stp/>
        <stp>##V3_BDPV12</stp>
        <stp>912828LM Govt</stp>
        <stp>DAY_CNT_DES</stp>
        <stp>[TREASURY.xlsx]Sheet1!R1129C17</stp>
        <tr r="Q1129" s="1"/>
      </tp>
      <tp t="s">
        <v>ACT/ACT</v>
        <stp/>
        <stp>##V3_BDPV12</stp>
        <stp>912828H9 Govt</stp>
        <stp>DAY_CNT_DES</stp>
        <stp>[TREASURY.xlsx]Sheet1!R1243C17</stp>
        <tr r="Q1243" s="1"/>
      </tp>
      <tp t="s">
        <v>ACT/ACT</v>
        <stp/>
        <stp>##V3_BDPV12</stp>
        <stp>912828HC Govt</stp>
        <stp>DAY_CNT_DES</stp>
        <stp>[TREASURY.xlsx]Sheet1!R1283C17</stp>
        <tr r="Q1283" s="1"/>
      </tp>
      <tp t="s">
        <v>ACT/ACT</v>
        <stp/>
        <stp>##V3_BDPV12</stp>
        <stp>912828KH Govt</stp>
        <stp>DAY_CNT_DES</stp>
        <stp>[TREASURY.xlsx]Sheet1!R1123C17</stp>
        <tr r="Q1123" s="1"/>
      </tp>
      <tp t="s">
        <v>ACT/ACT</v>
        <stp/>
        <stp>##V3_BDPV12</stp>
        <stp>912828KK Govt</stp>
        <stp>DAY_CNT_DES</stp>
        <stp>[TREASURY.xlsx]Sheet1!R1124C17</stp>
        <tr r="Q1124" s="1"/>
      </tp>
      <tp t="s">
        <v>ACT/ACT</v>
        <stp/>
        <stp>##V3_BDPV12</stp>
        <stp>912828KX Govt</stp>
        <stp>DAY_CNT_DES</stp>
        <stp>[TREASURY.xlsx]Sheet1!R1126C17</stp>
        <tr r="Q1126" s="1"/>
      </tp>
      <tp t="s">
        <v>ACT/ACT</v>
        <stp/>
        <stp>##V3_BDPV12</stp>
        <stp>912828KP Govt</stp>
        <stp>DAY_CNT_DES</stp>
        <stp>[TREASURY.xlsx]Sheet1!R1125C17</stp>
        <tr r="Q1125" s="1"/>
      </tp>
      <tp t="s">
        <v>ACT/ACT</v>
        <stp/>
        <stp>##V3_BDPV12</stp>
        <stp>912828HS Govt</stp>
        <stp>DAY_CNT_DES</stp>
        <stp>[TREASURY.xlsx]Sheet1!R1245C17</stp>
        <tr r="Q1245" s="1"/>
      </tp>
      <tp t="s">
        <v>ACT/ACT</v>
        <stp/>
        <stp>##V3_BDPV12</stp>
        <stp>912828HQ Govt</stp>
        <stp>DAY_CNT_DES</stp>
        <stp>[TREASURY.xlsx]Sheet1!R1244C17</stp>
        <tr r="Q1244" s="1"/>
      </tp>
      <tp t="s">
        <v>ACT/ACT</v>
        <stp/>
        <stp>##V3_BDPV12</stp>
        <stp>912828JL Govt</stp>
        <stp>DAY_CNT_DES</stp>
        <stp>[TREASURY.xlsx]Sheet1!R1122C17</stp>
        <tr r="Q1122" s="1"/>
      </tp>
      <tp t="s">
        <v>ACT/ACT</v>
        <stp/>
        <stp>##V3_BDPV12</stp>
        <stp>912828J3 Govt</stp>
        <stp>DAY_CNT_DES</stp>
        <stp>[TREASURY.xlsx]Sheet1!R1246C17</stp>
        <tr r="Q1246" s="1"/>
      </tp>
      <tp t="s">
        <v>ACT/ACT</v>
        <stp/>
        <stp>##V3_BDPV12</stp>
        <stp>912828JA Govt</stp>
        <stp>DAY_CNT_DES</stp>
        <stp>[TREASURY.xlsx]Sheet1!R1285C17</stp>
        <tr r="Q1285" s="1"/>
      </tp>
      <tp t="s">
        <v>ACT/ACT</v>
        <stp/>
        <stp>##V3_BDPV12</stp>
        <stp>912828JP Govt</stp>
        <stp>DAY_CNT_DES</stp>
        <stp>[TREASURY.xlsx]Sheet1!R1286C17</stp>
        <tr r="Q1286" s="1"/>
      </tp>
      <tp t="s">
        <v>ACT/ACT</v>
        <stp/>
        <stp>##V3_BDPV12</stp>
        <stp>912828JS Govt</stp>
        <stp>DAY_CNT_DES</stp>
        <stp>[TREASURY.xlsx]Sheet1!R1247C17</stp>
        <tr r="Q1247" s="1"/>
      </tp>
      <tp t="s">
        <v>ACT/ACT</v>
        <stp/>
        <stp>##V3_BDPV12</stp>
        <stp>912828K2 Govt</stp>
        <stp>DAY_CNT_DES</stp>
        <stp>[TREASURY.xlsx]Sheet1!R1287C17</stp>
        <tr r="Q1287" s="1"/>
      </tp>
      <tp t="s">
        <v>ACT/ACT</v>
        <stp/>
        <stp>##V3_BDPV12</stp>
        <stp>912828K6 Govt</stp>
        <stp>DAY_CNT_DES</stp>
        <stp>[TREASURY.xlsx]Sheet1!R1248C17</stp>
        <tr r="Q1248" s="1"/>
      </tp>
      <tp t="s">
        <v>ACT/ACT</v>
        <stp/>
        <stp>##V3_BDPV12</stp>
        <stp>912828KN Govt</stp>
        <stp>DAY_CNT_DES</stp>
        <stp>[TREASURY.xlsx]Sheet1!R1250C17</stp>
        <tr r="Q1250" s="1"/>
      </tp>
      <tp t="s">
        <v>ACT/ACT</v>
        <stp/>
        <stp>##V3_BDPV12</stp>
        <stp>912828KG Govt</stp>
        <stp>DAY_CNT_DES</stp>
        <stp>[TREASURY.xlsx]Sheet1!R1288C17</stp>
        <tr r="Q1288" s="1"/>
      </tp>
      <tp t="s">
        <v>ACT/ACT</v>
        <stp/>
        <stp>##V3_BDPV12</stp>
        <stp>912828KC Govt</stp>
        <stp>DAY_CNT_DES</stp>
        <stp>[TREASURY.xlsx]Sheet1!R1249C17</stp>
        <tr r="Q1249" s="1"/>
      </tp>
      <tp t="s">
        <v>ACT/ACT</v>
        <stp/>
        <stp>##V3_BDPV12</stp>
        <stp>9128282Z Govt</stp>
        <stp>DAY_CNT_DES</stp>
        <stp>[TREASURY.xlsx]Sheet1!R1615C17</stp>
        <tr r="Q1615" s="1"/>
      </tp>
      <tp t="s">
        <v>ACT/ACT</v>
        <stp/>
        <stp>##V3_BDPV12</stp>
        <stp>9128284B Govt</stp>
        <stp>DAY_CNT_DES</stp>
        <stp>[TREASURY.xlsx]Sheet1!R1106C17</stp>
        <tr r="Q1106" s="1"/>
      </tp>
      <tp t="s">
        <v>NORMAL</v>
        <stp/>
        <stp>##V3_BDPV12</stp>
        <stp>9128285M Govt</stp>
        <stp>MTY_TYP</stp>
        <stp>[TREASURY.xlsx]Sheet1!R51C6</stp>
        <tr r="F51" s="1"/>
      </tp>
      <tp t="s">
        <v>ACT/ACT</v>
        <stp/>
        <stp>##V3_BDPV12</stp>
        <stp>9128282G Govt</stp>
        <stp>DAY_CNT_DES</stp>
        <stp>[TREASURY.xlsx]Sheet1!R1105C17</stp>
        <tr r="Q1105" s="1"/>
      </tp>
      <tp t="s">
        <v>ACT/ACT</v>
        <stp/>
        <stp>##V3_BDPV12</stp>
        <stp>9128283X Govt</stp>
        <stp>DAY_CNT_DES</stp>
        <stp>[TREASURY.xlsx]Sheet1!R1269C17</stp>
        <tr r="Q1269" s="1"/>
      </tp>
      <tp t="s">
        <v>T</v>
        <stp/>
        <stp>##V3_BDPV12</stp>
        <stp>912828CW Govt</stp>
        <stp>TICKER</stp>
        <stp>[TREASURY.xlsx]Sheet1!R603C2</stp>
        <tr r="B603" s="1"/>
      </tp>
      <tp t="s">
        <v>T</v>
        <stp/>
        <stp>##V3_BDPV12</stp>
        <stp>912828FW Govt</stp>
        <stp>TICKER</stp>
        <stp>[TREASURY.xlsx]Sheet1!R846C2</stp>
        <tr r="B846" s="1"/>
      </tp>
      <tp t="s">
        <v>NORMAL</v>
        <stp/>
        <stp>##V3_BDPV12</stp>
        <stp>9128282A Govt</stp>
        <stp>MTY_TYP</stp>
        <stp>[TREASURY.xlsx]Sheet1!R56C6</stp>
        <tr r="F56" s="1"/>
      </tp>
      <tp t="s">
        <v>T</v>
        <stp/>
        <stp>##V3_BDPV12</stp>
        <stp>912828HU Govt</stp>
        <stp>TICKER</stp>
        <stp>[TREASURY.xlsx]Sheet1!R808C2</stp>
        <tr r="B808" s="1"/>
      </tp>
      <tp t="s">
        <v>NORMAL</v>
        <stp/>
        <stp>##V3_BDPV12</stp>
        <stp>912810SR Govt</stp>
        <stp>MTY_TYP</stp>
        <stp>[TREASURY.xlsx]Sheet1!R100C6</stp>
        <tr r="F100" s="1"/>
      </tp>
      <tp t="s">
        <v>NORMAL</v>
        <stp/>
        <stp>##V3_BDPV12</stp>
        <stp>912810QU Govt</stp>
        <stp>MTY_TYP</stp>
        <stp>[TREASURY.xlsx]Sheet1!R287C6</stp>
        <tr r="F287" s="1"/>
      </tp>
      <tp t="s">
        <v>NORMAL</v>
        <stp/>
        <stp>##V3_BDPV12</stp>
        <stp>912810PT Govt</stp>
        <stp>MTY_TYP</stp>
        <stp>[TREASURY.xlsx]Sheet1!R226C6</stp>
        <tr r="F226" s="1"/>
      </tp>
      <tp t="s">
        <v>T</v>
        <stp/>
        <stp>##V3_BDPV12</stp>
        <stp>912810DS Govt</stp>
        <stp>TICKER</stp>
        <stp>[TREASURY.xlsx]Sheet1!R454C2</stp>
        <tr r="B454" s="1"/>
      </tp>
      <tp t="s">
        <v>NORMAL</v>
        <stp/>
        <stp>##V3_BDPV12</stp>
        <stp>912827QP Govt</stp>
        <stp>MTY_TYP</stp>
        <stp>[TREASURY.xlsx]Sheet1!R742C6</stp>
        <tr r="F742" s="1"/>
      </tp>
      <tp t="s">
        <v>NORMAL</v>
        <stp/>
        <stp>##V3_BDPV12</stp>
        <stp>912827UT Govt</stp>
        <stp>MTY_TYP</stp>
        <stp>[TREASURY.xlsx]Sheet1!R756C6</stp>
        <tr r="F756" s="1"/>
      </tp>
      <tp t="s">
        <v>NORMAL</v>
        <stp/>
        <stp>##V3_BDPV12</stp>
        <stp>912827VQ Govt</stp>
        <stp>MTY_TYP</stp>
        <stp>[TREASURY.xlsx]Sheet1!R763C6</stp>
        <tr r="F763" s="1"/>
      </tp>
      <tp t="s">
        <v>NORMAL</v>
        <stp/>
        <stp>##V3_BDPV12</stp>
        <stp>912827NV Govt</stp>
        <stp>MTY_TYP</stp>
        <stp>[TREASURY.xlsx]Sheet1!R734C6</stp>
        <tr r="F734" s="1"/>
      </tp>
      <tp t="s">
        <v>NORMAL</v>
        <stp/>
        <stp>##V3_BDPV12</stp>
        <stp>912827MQ Govt</stp>
        <stp>MTY_TYP</stp>
        <stp>[TREASURY.xlsx]Sheet1!R723C6</stp>
        <tr r="F723" s="1"/>
      </tp>
      <tp t="s">
        <v>NORMAL</v>
        <stp/>
        <stp>##V3_BDPV12</stp>
        <stp>912828MV Govt</stp>
        <stp>MTY_TYP</stp>
        <stp>[TREASURY.xlsx]Sheet1!R824C6</stp>
        <tr r="F824" s="1"/>
      </tp>
      <tp t="s">
        <v>NORMAL</v>
        <stp/>
        <stp>##V3_BDPV12</stp>
        <stp>912828MS Govt</stp>
        <stp>MTY_TYP</stp>
        <stp>[TREASURY.xlsx]Sheet1!R861C6</stp>
        <tr r="F861" s="1"/>
      </tp>
      <tp t="s">
        <v>NORMAL</v>
        <stp/>
        <stp>##V3_BDPV12</stp>
        <stp>9128275Z Govt</stp>
        <stp>MTY_TYP</stp>
        <stp>[TREASURY.xlsx]Sheet1!R428C6</stp>
        <tr r="F428" s="1"/>
      </tp>
      <tp t="s">
        <v>NORMAL</v>
        <stp/>
        <stp>##V3_BDPV12</stp>
        <stp>912828JZ Govt</stp>
        <stp>MTY_TYP</stp>
        <stp>[TREASURY.xlsx]Sheet1!R478C6</stp>
        <tr r="F478" s="1"/>
      </tp>
      <tp t="s">
        <v>NORMAL</v>
        <stp/>
        <stp>##V3_BDPV12</stp>
        <stp>912828MQ Govt</stp>
        <stp>MTY_TYP</stp>
        <stp>[TREASURY.xlsx]Sheet1!R483C6</stp>
        <tr r="F483" s="1"/>
      </tp>
      <tp t="s">
        <v>NORMAL</v>
        <stp/>
        <stp>##V3_BDPV12</stp>
        <stp>912828NU Govt</stp>
        <stp>MTY_TYP</stp>
        <stp>[TREASURY.xlsx]Sheet1!R547C6</stp>
        <tr r="F547" s="1"/>
      </tp>
      <tp t="s">
        <v>NORMAL</v>
        <stp/>
        <stp>##V3_BDPV12</stp>
        <stp>912828KQ Govt</stp>
        <stp>MTY_TYP</stp>
        <stp>[TREASURY.xlsx]Sheet1!R583C6</stp>
        <tr r="F583" s="1"/>
      </tp>
      <tp t="s">
        <v>NORMAL</v>
        <stp/>
        <stp>##V3_BDPV12</stp>
        <stp>912828CR Govt</stp>
        <stp>MTY_TYP</stp>
        <stp>[TREASURY.xlsx]Sheet1!R510C6</stp>
        <tr r="F510" s="1"/>
      </tp>
      <tp t="s">
        <v>NORMAL</v>
        <stp/>
        <stp>##V3_BDPV12</stp>
        <stp>912827RP Govt</stp>
        <stp>MTY_TYP</stp>
        <stp>[TREASURY.xlsx]Sheet1!R912C6</stp>
        <tr r="F912" s="1"/>
      </tp>
      <tp t="s">
        <v>NORMAL</v>
        <stp/>
        <stp>##V3_BDPV12</stp>
        <stp>9128285R Govt</stp>
        <stp>MTY_TYP</stp>
        <stp>[TREASURY.xlsx]Sheet1!R140C6</stp>
        <tr r="F140" s="1"/>
      </tp>
      <tp t="s">
        <v>NORMAL</v>
        <stp/>
        <stp>##V3_BDPV12</stp>
        <stp>912828ZS Govt</stp>
        <stp>MTY_TYP</stp>
        <stp>[TREASURY.xlsx]Sheet1!R171C6</stp>
        <tr r="F171" s="1"/>
      </tp>
      <tp t="s">
        <v>NORMAL</v>
        <stp/>
        <stp>##V3_BDPV12</stp>
        <stp>912828SV Govt</stp>
        <stp>MTY_TYP</stp>
        <stp>[TREASURY.xlsx]Sheet1!R164C6</stp>
        <tr r="F164" s="1"/>
      </tp>
      <tp t="s">
        <v>T</v>
        <stp/>
        <stp>##V3_BDPV12</stp>
        <stp>91282CAP Govt</stp>
        <stp>TICKER</stp>
        <stp>[TREASURY.xlsx]Sheet1!R151C2</stp>
        <tr r="B151" s="1"/>
      </tp>
      <tp t="s">
        <v>T</v>
        <stp/>
        <stp>##V3_BDPV12</stp>
        <stp>912828EP Govt</stp>
        <stp>TICKER</stp>
        <stp>[TREASURY.xlsx]Sheet1!R965C2</stp>
        <tr r="B965" s="1"/>
      </tp>
      <tp t="s">
        <v>T</v>
        <stp/>
        <stp>##V3_BDPV12</stp>
        <stp>912828GL Govt</stp>
        <stp>TICKER</stp>
        <stp>[TREASURY.xlsx]Sheet1!R847C2</stp>
        <tr r="B847" s="1"/>
      </tp>
      <tp t="s">
        <v>T</v>
        <stp/>
        <stp>##V3_BDPV12</stp>
        <stp>912828CM Govt</stp>
        <stp>TICKER</stp>
        <stp>[TREASURY.xlsx]Sheet1!R493C2</stp>
        <tr r="B493" s="1"/>
      </tp>
      <tp t="s">
        <v>T</v>
        <stp/>
        <stp>##V3_BDPV12</stp>
        <stp>912828CJ Govt</stp>
        <stp>TICKER</stp>
        <stp>[TREASURY.xlsx]Sheet1!R393C2</stp>
        <tr r="B393" s="1"/>
      </tp>
      <tp t="s">
        <v>T</v>
        <stp/>
        <stp>##V3_BDPV12</stp>
        <stp>912828AJ Govt</stp>
        <stp>TICKER</stp>
        <stp>[TREASURY.xlsx]Sheet1!R531C2</stp>
        <tr r="B531" s="1"/>
      </tp>
      <tp t="s">
        <v>T</v>
        <stp/>
        <stp>##V3_BDPV12</stp>
        <stp>912828BJ Govt</stp>
        <stp>TICKER</stp>
        <stp>[TREASURY.xlsx]Sheet1!R642C2</stp>
        <tr r="B642" s="1"/>
      </tp>
      <tp t="s">
        <v>T</v>
        <stp/>
        <stp>##V3_BDPV12</stp>
        <stp>912828BH Govt</stp>
        <stp>TICKER</stp>
        <stp>[TREASURY.xlsx]Sheet1!R452C2</stp>
        <tr r="B452" s="1"/>
      </tp>
      <tp t="s">
        <v>T</v>
        <stp/>
        <stp>##V3_BDPV12</stp>
        <stp>912828GG Govt</stp>
        <stp>TICKER</stp>
        <stp>[TREASURY.xlsx]Sheet1!R967C2</stp>
        <tr r="B967" s="1"/>
      </tp>
      <tp t="s">
        <v>T</v>
        <stp/>
        <stp>##V3_BDPV12</stp>
        <stp>912828EE Govt</stp>
        <stp>TICKER</stp>
        <stp>[TREASURY.xlsx]Sheet1!R795C2</stp>
        <tr r="B795" s="1"/>
      </tp>
      <tp t="s">
        <v>T</v>
        <stp/>
        <stp>##V3_BDPV12</stp>
        <stp>912828BB Govt</stp>
        <stp>TICKER</stp>
        <stp>[TREASURY.xlsx]Sheet1!R482C2</stp>
        <tr r="B482" s="1"/>
      </tp>
      <tp t="s">
        <v>USD</v>
        <stp/>
        <stp>##V3_BDPV12</stp>
        <stp>912827MS Govt</stp>
        <stp>CRNCY</stp>
        <stp>[TREASURY.xlsx]Sheet1!R1046C7</stp>
        <tr r="G1046" s="1"/>
      </tp>
      <tp t="s">
        <v>T</v>
        <stp/>
        <stp>##V3_BDPV12</stp>
        <stp>912828WA Govt</stp>
        <stp>TICKER</stp>
        <stp>[TREASURY.xlsx]Sheet1!R1005C2</stp>
        <tr r="B1005" s="1"/>
      </tp>
      <tp t="s">
        <v>T</v>
        <stp/>
        <stp>##V3_BDPV12</stp>
        <stp>912828LM Govt</stp>
        <stp>TICKER</stp>
        <stp>[TREASURY.xlsx]Sheet1!R1129C2</stp>
        <tr r="B1129" s="1"/>
      </tp>
      <tp t="s">
        <v>T</v>
        <stp/>
        <stp>##V3_BDPV12</stp>
        <stp>9128284B Govt</stp>
        <stp>TICKER</stp>
        <stp>[TREASURY.xlsx]Sheet1!R1106C2</stp>
        <tr r="B1106" s="1"/>
      </tp>
      <tp t="s">
        <v>T</v>
        <stp/>
        <stp>##V3_BDPV12</stp>
        <stp>912828JA Govt</stp>
        <stp>TICKER</stp>
        <stp>[TREASURY.xlsx]Sheet1!R1285C2</stp>
        <tr r="B1285" s="1"/>
      </tp>
      <tp t="s">
        <v>T</v>
        <stp/>
        <stp>##V3_BDPV12</stp>
        <stp>9128272D Govt</stp>
        <stp>TICKER</stp>
        <stp>[TREASURY.xlsx]Sheet1!R1350C2</stp>
        <tr r="B1350" s="1"/>
      </tp>
      <tp t="s">
        <v>T</v>
        <stp/>
        <stp>##V3_BDPV12</stp>
        <stp>912827WL Govt</stp>
        <stp>TICKER</stp>
        <stp>[TREASURY.xlsx]Sheet1!R1208C2</stp>
        <tr r="B1208" s="1"/>
      </tp>
      <tp t="s">
        <v>T</v>
        <stp/>
        <stp>##V3_BDPV12</stp>
        <stp>912827ZG Govt</stp>
        <stp>TICKER</stp>
        <stp>[TREASURY.xlsx]Sheet1!R1103C2</stp>
        <tr r="B1103" s="1"/>
      </tp>
      <tp t="s">
        <v>T</v>
        <stp/>
        <stp>##V3_BDPV12</stp>
        <stp>912827PG Govt</stp>
        <stp>TICKER</stp>
        <stp>[TREASURY.xlsx]Sheet1!R1173C2</stp>
        <tr r="B1173" s="1"/>
      </tp>
      <tp t="s">
        <v>T</v>
        <stp/>
        <stp>##V3_BDPV12</stp>
        <stp>912827ZD Govt</stp>
        <stp>TICKER</stp>
        <stp>[TREASURY.xlsx]Sheet1!R1610C2</stp>
        <tr r="B1610" s="1"/>
      </tp>
      <tp t="s">
        <v>T</v>
        <stp/>
        <stp>##V3_BDPV12</stp>
        <stp>9128276L Govt</stp>
        <stp>TICKER</stp>
        <stp>[TREASURY.xlsx]Sheet1!R1538C2</stp>
        <tr r="B1538" s="1"/>
      </tp>
      <tp t="s">
        <v>T</v>
        <stp/>
        <stp>##V3_BDPV12</stp>
        <stp>9128277D Govt</stp>
        <stp>TICKER</stp>
        <stp>[TREASURY.xlsx]Sheet1!R1470C2</stp>
        <tr r="B1470" s="1"/>
      </tp>
      <tp t="s">
        <v>912827XL1</v>
        <stp/>
        <stp>##V3_BDPV12</stp>
        <stp>912827XL Govt</stp>
        <stp>ID_CUSIP</stp>
        <stp>[TREASURY.xlsx]Sheet1!R1214C19</stp>
        <tr r="S1214" s="1"/>
      </tp>
      <tp t="s">
        <v>T</v>
        <stp/>
        <stp>##V3_BDPV12</stp>
        <stp>912810EA Govt</stp>
        <stp>TICKER</stp>
        <stp>[TREASURY.xlsx]Sheet1!R1445C2</stp>
        <tr r="B1445" s="1"/>
      </tp>
      <tp t="s">
        <v>T</v>
        <stp/>
        <stp>##V3_BDPV12</stp>
        <stp>912810CE Govt</stp>
        <stp>TICKER</stp>
        <stp>[TREASURY.xlsx]Sheet1!R1441C2</stp>
        <tr r="B1441" s="1"/>
      </tp>
      <tp t="s">
        <v>T</v>
        <stp/>
        <stp>##V3_BDPV12</stp>
        <stp>912810BG Govt</stp>
        <stp>TICKER</stp>
        <stp>[TREASURY.xlsx]Sheet1!R1513C2</stp>
        <tr r="B1513" s="1"/>
      </tp>
      <tp t="s">
        <v>T</v>
        <stp/>
        <stp>##V3_BDPV12</stp>
        <stp>912810DB Govt</stp>
        <stp>TICKER</stp>
        <stp>[TREASURY.xlsx]Sheet1!R1346C2</stp>
        <tr r="B1346" s="1"/>
      </tp>
      <tp t="s">
        <v>T</v>
        <stp/>
        <stp>##V3_BDPV12</stp>
        <stp>912810DE Govt</stp>
        <stp>TICKER</stp>
        <stp>[TREASURY.xlsx]Sheet1!R1311C2</stp>
        <tr r="B1311" s="1"/>
      </tp>
      <tp t="s">
        <v>T</v>
        <stp/>
        <stp>##V3_BDPV12</stp>
        <stp>912810DF Govt</stp>
        <stp>TICKER</stp>
        <stp>[TREASURY.xlsx]Sheet1!R1312C2</stp>
        <tr r="B1312" s="1"/>
      </tp>
      <tp t="s">
        <v>1/31/2008</v>
        <stp/>
        <stp>##V3_BDPV12</stp>
        <stp>912828HP Govt</stp>
        <stp>ISSUE_DT</stp>
        <stp>[TREASURY.xlsx]Sheet1!R1438C15</stp>
        <tr r="O1438" s="1"/>
      </tp>
      <tp t="s">
        <v>912827XM9</v>
        <stp/>
        <stp>##V3_BDPV12</stp>
        <stp>912827XM Govt</stp>
        <stp>ID_CUSIP</stp>
        <stp>[TREASURY.xlsx]Sheet1!R1215C19</stp>
        <tr r="S1215" s="1"/>
      </tp>
      <tp t="s">
        <v>1/31/2008</v>
        <stp/>
        <stp>##V3_BDPV12</stp>
        <stp>912828HQ Govt</stp>
        <stp>ISSUE_DT</stp>
        <stp>[TREASURY.xlsx]Sheet1!R1244C15</stp>
        <tr r="O1244" s="1"/>
      </tp>
      <tp t="s">
        <v>USD</v>
        <stp/>
        <stp>##V3_BDPV12</stp>
        <stp>912810CW Govt</stp>
        <stp>CRNCY</stp>
        <stp>[TREASURY.xlsx]Sheet1!R1618C7</stp>
        <tr r="G1618" s="1"/>
      </tp>
      <tp t="s">
        <v>2/29/2008</v>
        <stp/>
        <stp>##V3_BDPV12</stp>
        <stp>912828HS Govt</stp>
        <stp>ISSUE_DT</stp>
        <stp>[TREASURY.xlsx]Sheet1!R1245C15</stp>
        <tr r="O1245" s="1"/>
      </tp>
      <tp t="s">
        <v>912827XN7</v>
        <stp/>
        <stp>##V3_BDPV12</stp>
        <stp>912827XN Govt</stp>
        <stp>ID_CUSIP</stp>
        <stp>[TREASURY.xlsx]Sheet1!R1598C19</stp>
        <tr r="S1598" s="1"/>
      </tp>
      <tp t="s">
        <v>912828XJ4</v>
        <stp/>
        <stp>##V3_BDPV12</stp>
        <stp>912828XJ Govt</stp>
        <stp>ID_CUSIP</stp>
        <stp>[TREASURY.xlsx]Sheet1!R1152C19</stp>
        <tr r="S1152" s="1"/>
      </tp>
      <tp t="s">
        <v>USD</v>
        <stp/>
        <stp>##V3_BDPV12</stp>
        <stp>912827NU Govt</stp>
        <stp>CRNCY</stp>
        <stp>[TREASURY.xlsx]Sheet1!R1335C7</stp>
        <tr r="G1335" s="1"/>
      </tp>
      <tp t="s">
        <v>USD</v>
        <stp/>
        <stp>##V3_BDPV12</stp>
        <stp>912810BU Govt</stp>
        <stp>CRNCY</stp>
        <stp>[TREASURY.xlsx]Sheet1!R1439C7</stp>
        <tr r="G1439" s="1"/>
      </tp>
      <tp t="s">
        <v>912827XA5</v>
        <stp/>
        <stp>##V3_BDPV12</stp>
        <stp>912827XA Govt</stp>
        <stp>ID_CUSIP</stp>
        <stp>[TREASURY.xlsx]Sheet1!R1594C19</stp>
        <tr r="S1594" s="1"/>
      </tp>
      <tp t="s">
        <v>USD</v>
        <stp/>
        <stp>##V3_BDPV12</stp>
        <stp>912828NZ Govt</stp>
        <stp>CRNCY</stp>
        <stp>[TREASURY.xlsx]Sheet1!R1295C7</stp>
        <tr r="G1295" s="1"/>
      </tp>
      <tp t="s">
        <v>USD</v>
        <stp/>
        <stp>##V3_BDPV12</stp>
        <stp>912827LZ Govt</stp>
        <stp>CRNCY</stp>
        <stp>[TREASURY.xlsx]Sheet1!R1567C7</stp>
        <tr r="G1567" s="1"/>
      </tp>
      <tp t="s">
        <v>USD</v>
        <stp/>
        <stp>##V3_BDPV12</stp>
        <stp>912827NX Govt</stp>
        <stp>CRNCY</stp>
        <stp>[TREASURY.xlsx]Sheet1!R1385C7</stp>
        <tr r="G1385" s="1"/>
      </tp>
      <tp t="s">
        <v>912827XB3</v>
        <stp/>
        <stp>##V3_BDPV12</stp>
        <stp>912827XB Govt</stp>
        <stp>ID_CUSIP</stp>
        <stp>[TREASURY.xlsx]Sheet1!R1595C19</stp>
        <tr r="S1595" s="1"/>
      </tp>
      <tp t="s">
        <v>912828XF2</v>
        <stp/>
        <stp>##V3_BDPV12</stp>
        <stp>912828XF Govt</stp>
        <stp>ID_CUSIP</stp>
        <stp>[TREASURY.xlsx]Sheet1!R1151C19</stp>
        <tr r="S1151" s="1"/>
      </tp>
      <tp t="s">
        <v>912827XG2</v>
        <stp/>
        <stp>##V3_BDPV12</stp>
        <stp>912827XG Govt</stp>
        <stp>ID_CUSIP</stp>
        <stp>[TREASURY.xlsx]Sheet1!R1597C19</stp>
        <tr r="S1597" s="1"/>
      </tp>
      <tp t="s">
        <v>912827XF4</v>
        <stp/>
        <stp>##V3_BDPV12</stp>
        <stp>912827XF Govt</stp>
        <stp>ID_CUSIP</stp>
        <stp>[TREASURY.xlsx]Sheet1!R1596C19</stp>
        <tr r="S1596" s="1"/>
      </tp>
      <tp t="s">
        <v>USD</v>
        <stp/>
        <stp>##V3_BDPV12</stp>
        <stp>912828HC Govt</stp>
        <stp>CRNCY</stp>
        <stp>[TREASURY.xlsx]Sheet1!R1283C7</stp>
        <tr r="G1283" s="1"/>
      </tp>
      <tp t="s">
        <v>8/15/2007</v>
        <stp/>
        <stp>##V3_BDPV12</stp>
        <stp>912828HA Govt</stp>
        <stp>ISSUE_DT</stp>
        <stp>[TREASURY.xlsx]Sheet1!R1437C15</stp>
        <tr r="O1437" s="1"/>
      </tp>
      <tp t="s">
        <v>912827XY3</v>
        <stp/>
        <stp>##V3_BDPV12</stp>
        <stp>912827XY Govt</stp>
        <stp>ID_CUSIP</stp>
        <stp>[TREASURY.xlsx]Sheet1!R1600C19</stp>
        <tr r="S1600" s="1"/>
      </tp>
      <tp t="s">
        <v>USD</v>
        <stp/>
        <stp>##V3_BDPV12</stp>
        <stp>912810CG Govt</stp>
        <stp>CRNCY</stp>
        <stp>[TREASURY.xlsx]Sheet1!R1308C7</stp>
        <tr r="G1308" s="1"/>
      </tp>
      <tp t="s">
        <v>912827XZ0</v>
        <stp/>
        <stp>##V3_BDPV12</stp>
        <stp>912827XZ Govt</stp>
        <stp>ID_CUSIP</stp>
        <stp>[TREASURY.xlsx]Sheet1!R1097C19</stp>
        <tr r="S1097" s="1"/>
      </tp>
      <tp t="s">
        <v>8/31/2007</v>
        <stp/>
        <stp>##V3_BDPV12</stp>
        <stp>912828HC Govt</stp>
        <stp>ISSUE_DT</stp>
        <stp>[TREASURY.xlsx]Sheet1!R1283C15</stp>
        <tr r="O1283" s="1"/>
      </tp>
      <tp t="s">
        <v>912827XW7</v>
        <stp/>
        <stp>##V3_BDPV12</stp>
        <stp>912827XW Govt</stp>
        <stp>ID_CUSIP</stp>
        <stp>[TREASURY.xlsx]Sheet1!R1218C19</stp>
        <tr r="S1218" s="1"/>
      </tp>
      <tp t="s">
        <v>912827XU1</v>
        <stp/>
        <stp>##V3_BDPV12</stp>
        <stp>912827XU Govt</stp>
        <stp>ID_CUSIP</stp>
        <stp>[TREASURY.xlsx]Sheet1!R1217C19</stp>
        <tr r="S1217" s="1"/>
      </tp>
      <tp t="s">
        <v>912827XR8</v>
        <stp/>
        <stp>##V3_BDPV12</stp>
        <stp>912827XR Govt</stp>
        <stp>ID_CUSIP</stp>
        <stp>[TREASURY.xlsx]Sheet1!R1216C19</stp>
        <tr r="S1216" s="1"/>
      </tp>
      <tp t="s">
        <v>912828XS4</v>
        <stp/>
        <stp>##V3_BDPV12</stp>
        <stp>912828XS Govt</stp>
        <stp>ID_CUSIP</stp>
        <stp>[TREASURY.xlsx]Sheet1!R1307C19</stp>
        <tr r="S1307" s="1"/>
      </tp>
      <tp t="s">
        <v>USD</v>
        <stp/>
        <stp>##V3_BDPV12</stp>
        <stp>912827MN Govt</stp>
        <stp>CRNCY</stp>
        <stp>[TREASURY.xlsx]Sheet1!R1326C7</stp>
        <tr r="G1326" s="1"/>
      </tp>
      <tp t="s">
        <v>USD</v>
        <stp/>
        <stp>##V3_BDPV12</stp>
        <stp>912828KN Govt</stp>
        <stp>CRNCY</stp>
        <stp>[TREASURY.xlsx]Sheet1!R1250C7</stp>
        <tr r="G1250" s="1"/>
      </tp>
      <tp t="s">
        <v>912827XQ0</v>
        <stp/>
        <stp>##V3_BDPV12</stp>
        <stp>912827XQ Govt</stp>
        <stp>ID_CUSIP</stp>
        <stp>[TREASURY.xlsx]Sheet1!R1096C19</stp>
        <tr r="S1096" s="1"/>
      </tp>
      <tp t="s">
        <v>912827XV9</v>
        <stp/>
        <stp>##V3_BDPV12</stp>
        <stp>912827XV Govt</stp>
        <stp>ID_CUSIP</stp>
        <stp>[TREASURY.xlsx]Sheet1!R1599C19</stp>
        <tr r="S1599" s="1"/>
      </tp>
      <tp t="s">
        <v>USD</v>
        <stp/>
        <stp>##V3_BDPV12</stp>
        <stp>912827A2 Govt</stp>
        <stp>CRNCY</stp>
        <stp>[TREASURY.xlsx]Sheet1!R1029C7</stp>
        <tr r="G1029" s="1"/>
      </tp>
      <tp t="s">
        <v>3/31/1993</v>
        <stp/>
        <stp>##V3_BDPV12</stp>
        <stp>912827K2 Govt</stp>
        <stp>ISSUE_DT</stp>
        <stp>[TREASURY.xlsx]Sheet1!R1489C15</stp>
        <tr r="O1489" s="1"/>
      </tp>
      <tp t="s">
        <v>USD</v>
        <stp/>
        <stp>##V3_BDPV12</stp>
        <stp>912827L3 Govt</stp>
        <stp>CRNCY</stp>
        <stp>[TREASURY.xlsx]Sheet1!R1564C7</stp>
        <tr r="G1564" s="1"/>
      </tp>
      <tp t="s">
        <v>4/30/2015</v>
        <stp/>
        <stp>##V3_BDPV12</stp>
        <stp>912828K6 Govt</stp>
        <stp>ISSUE_DT</stp>
        <stp>[TREASURY.xlsx]Sheet1!R1248C15</stp>
        <tr r="O1248" s="1"/>
      </tp>
      <tp t="s">
        <v>4/30/1993</v>
        <stp/>
        <stp>##V3_BDPV12</stp>
        <stp>912827K5 Govt</stp>
        <stp>ISSUE_DT</stp>
        <stp>[TREASURY.xlsx]Sheet1!R1159C15</stp>
        <tr r="O1159" s="1"/>
      </tp>
      <tp t="s">
        <v>3/31/1993</v>
        <stp/>
        <stp>##V3_BDPV12</stp>
        <stp>912827K3 Govt</stp>
        <stp>ISSUE_DT</stp>
        <stp>[TREASURY.xlsx]Sheet1!R1039C15</stp>
        <tr r="O1039" s="1"/>
      </tp>
      <tp t="s">
        <v>5/17/1993</v>
        <stp/>
        <stp>##V3_BDPV12</stp>
        <stp>912827K7 Govt</stp>
        <stp>ISSUE_DT</stp>
        <stp>[TREASURY.xlsx]Sheet1!R1563C15</stp>
        <tr r="O1563" s="1"/>
      </tp>
      <tp t="s">
        <v>4/30/1993</v>
        <stp/>
        <stp>##V3_BDPV12</stp>
        <stp>912827K6 Govt</stp>
        <stp>ISSUE_DT</stp>
        <stp>[TREASURY.xlsx]Sheet1!R1490C15</stp>
        <tr r="O1490" s="1"/>
      </tp>
      <tp t="s">
        <v>USD</v>
        <stp/>
        <stp>##V3_BDPV12</stp>
        <stp>912827J7 Govt</stp>
        <stp>CRNCY</stp>
        <stp>[TREASURY.xlsx]Sheet1!R1562C7</stp>
        <tr r="G1562" s="1"/>
      </tp>
      <tp t="s">
        <v>USD</v>
        <stp/>
        <stp>##V3_BDPV12</stp>
        <stp>912827K7 Govt</stp>
        <stp>CRNCY</stp>
        <stp>[TREASURY.xlsx]Sheet1!R1563C7</stp>
        <tr r="G1563" s="1"/>
      </tp>
      <tp t="s">
        <v>USD</v>
        <stp/>
        <stp>##V3_BDPV12</stp>
        <stp>912827M4 Govt</stp>
        <stp>CRNCY</stp>
        <stp>[TREASURY.xlsx]Sheet1!R1165C7</stp>
        <tr r="G1165" s="1"/>
      </tp>
      <tp t="s">
        <v>4/15/2015</v>
        <stp/>
        <stp>##V3_BDPV12</stp>
        <stp>912828K2 Govt</stp>
        <stp>ISSUE_DT</stp>
        <stp>[TREASURY.xlsx]Sheet1!R1287C15</stp>
        <tr r="O1287" s="1"/>
      </tp>
      <tp t="s">
        <v>6/1/1993</v>
        <stp/>
        <stp>##V3_BDPV12</stp>
        <stp>912827K9 Govt</stp>
        <stp>ISSUE_DT</stp>
        <stp>[TREASURY.xlsx]Sheet1!R1160C15</stp>
        <tr r="O1160" s="1"/>
      </tp>
      <tp t="s">
        <v>T</v>
        <stp/>
        <stp>##V3_BDPV12</stp>
        <stp>912828B8 Govt</stp>
        <stp>TICKER</stp>
        <stp>[TREASURY.xlsx]Sheet1!R571C2</stp>
        <tr r="B571" s="1"/>
      </tp>
      <tp t="s">
        <v>T</v>
        <stp/>
        <stp>##V3_BDPV12</stp>
        <stp>912828B9 Govt</stp>
        <stp>TICKER</stp>
        <stp>[TREASURY.xlsx]Sheet1!R371C2</stp>
        <tr r="B371" s="1"/>
      </tp>
      <tp t="s">
        <v>T</v>
        <stp/>
        <stp>##V3_BDPV12</stp>
        <stp>912827K4 Govt</stp>
        <stp>TICKER</stp>
        <stp>[TREASURY.xlsx]Sheet1!R568C2</stp>
        <tr r="B568" s="1"/>
      </tp>
      <tp t="s">
        <v>T</v>
        <stp/>
        <stp>##V3_BDPV12</stp>
        <stp>912828K5 Govt</stp>
        <stp>TICKER</stp>
        <stp>[TREASURY.xlsx]Sheet1!R518C2</stp>
        <tr r="B518" s="1"/>
      </tp>
      <tp t="s">
        <v>T</v>
        <stp/>
        <stp>##V3_BDPV12</stp>
        <stp>912828AX Govt</stp>
        <stp>TICKER</stp>
        <stp>[TREASURY.xlsx]Sheet1!R502C2</stp>
        <tr r="B502" s="1"/>
      </tp>
      <tp t="s">
        <v>T</v>
        <stp/>
        <stp>##V3_BDPV12</stp>
        <stp>912810EV Govt</stp>
        <stp>TICKER</stp>
        <stp>[TREASURY.xlsx]Sheet1!R326C2</stp>
        <tr r="B326" s="1"/>
      </tp>
      <tp t="s">
        <v>T</v>
        <stp/>
        <stp>##V3_BDPV12</stp>
        <stp>912828AV Govt</stp>
        <stp>TICKER</stp>
        <stp>[TREASURY.xlsx]Sheet1!R602C2</stp>
        <tr r="B602" s="1"/>
      </tp>
      <tp t="s">
        <v>T</v>
        <stp/>
        <stp>##V3_BDPV12</stp>
        <stp>912810DV Govt</stp>
        <stp>TICKER</stp>
        <stp>[TREASURY.xlsx]Sheet1!R527C2</stp>
        <tr r="B527" s="1"/>
      </tp>
      <tp t="s">
        <v>T</v>
        <stp/>
        <stp>##V3_BDPV12</stp>
        <stp>912828FV Govt</stp>
        <stp>TICKER</stp>
        <stp>[TREASURY.xlsx]Sheet1!R845C2</stp>
        <tr r="B845" s="1"/>
      </tp>
      <tp t="s">
        <v>T</v>
        <stp/>
        <stp>##V3_BDPV12</stp>
        <stp>912828GT Govt</stp>
        <stp>TICKER</stp>
        <stp>[TREASURY.xlsx]Sheet1!R804C2</stp>
        <tr r="B804" s="1"/>
      </tp>
      <tp t="s">
        <v>T</v>
        <stp/>
        <stp>##V3_BDPV12</stp>
        <stp>91282CAU Govt</stp>
        <stp>TICKER</stp>
        <stp>[TREASURY.xlsx]Sheet1!R102C2</stp>
        <tr r="B102" s="1"/>
      </tp>
      <tp t="s">
        <v>T</v>
        <stp/>
        <stp>##V3_BDPV12</stp>
        <stp>912828EU Govt</stp>
        <stp>TICKER</stp>
        <stp>[TREASURY.xlsx]Sheet1!R466C2</stp>
        <tr r="B466" s="1"/>
      </tp>
      <tp t="s">
        <v>T</v>
        <stp/>
        <stp>##V3_BDPV12</stp>
        <stp>912828BR Govt</stp>
        <stp>TICKER</stp>
        <stp>[TREASURY.xlsx]Sheet1!R541C2</stp>
        <tr r="B541" s="1"/>
      </tp>
      <tp t="s">
        <v>T</v>
        <stp/>
        <stp>##V3_BDPV12</stp>
        <stp>912828GR Govt</stp>
        <stp>TICKER</stp>
        <stp>[TREASURY.xlsx]Sheet1!R504C2</stp>
        <tr r="B504" s="1"/>
      </tp>
      <tp t="s">
        <v>T</v>
        <stp/>
        <stp>##V3_BDPV12</stp>
        <stp>912828CR Govt</stp>
        <stp>TICKER</stp>
        <stp>[TREASURY.xlsx]Sheet1!R510C2</stp>
        <tr r="B510" s="1"/>
      </tp>
      <tp t="s">
        <v>NORMAL</v>
        <stp/>
        <stp>##V3_BDPV12</stp>
        <stp>912810DV Govt</stp>
        <stp>MTY_TYP</stp>
        <stp>[TREASURY.xlsx]Sheet1!R527C6</stp>
        <tr r="F527" s="1"/>
      </tp>
      <tp t="s">
        <v>NORMAL</v>
        <stp/>
        <stp>##V3_BDPV12</stp>
        <stp>912810RU Govt</stp>
        <stp>MTY_TYP</stp>
        <stp>[TREASURY.xlsx]Sheet1!R154C6</stp>
        <tr r="F154" s="1"/>
      </tp>
      <tp t="s">
        <v>NORMAL</v>
        <stp/>
        <stp>##V3_BDPV12</stp>
        <stp>912810QW Govt</stp>
        <stp>MTY_TYP</stp>
        <stp>[TREASURY.xlsx]Sheet1!R286C6</stp>
        <tr r="F286" s="1"/>
      </tp>
      <tp t="s">
        <v>NORMAL</v>
        <stp/>
        <stp>##V3_BDPV12</stp>
        <stp>912810ES Govt</stp>
        <stp>MTY_TYP</stp>
        <stp>[TREASURY.xlsx]Sheet1!R312C6</stp>
        <tr r="F312" s="1"/>
      </tp>
      <tp t="s">
        <v>NORMAL</v>
        <stp/>
        <stp>##V3_BDPV12</stp>
        <stp>912810EY Govt</stp>
        <stp>MTY_TYP</stp>
        <stp>[TREASURY.xlsx]Sheet1!R328C6</stp>
        <tr r="F328" s="1"/>
      </tp>
      <tp t="s">
        <v>T</v>
        <stp/>
        <stp>##V3_BDPV12</stp>
        <stp>912828KS Govt</stp>
        <stp>TICKER</stp>
        <stp>[TREASURY.xlsx]Sheet1!R418C2</stp>
        <tr r="B418" s="1"/>
      </tp>
      <tp t="s">
        <v>T</v>
        <stp/>
        <stp>##V3_BDPV12</stp>
        <stp>912810CS Govt</stp>
        <stp>TICKER</stp>
        <stp>[TREASURY.xlsx]Sheet1!R660C2</stp>
        <tr r="B660" s="1"/>
      </tp>
      <tp t="s">
        <v>T</v>
        <stp/>
        <stp>##V3_BDPV12</stp>
        <stp>912827KS Govt</stp>
        <stp>TICKER</stp>
        <stp>[TREASURY.xlsx]Sheet1!R668C2</stp>
        <tr r="B668" s="1"/>
      </tp>
      <tp t="s">
        <v>NORMAL</v>
        <stp/>
        <stp>##V3_BDPV12</stp>
        <stp>912828VQ Govt</stp>
        <stp>MTY_TYP</stp>
        <stp>[TREASURY.xlsx]Sheet1!R880C6</stp>
        <tr r="F880" s="1"/>
      </tp>
      <tp t="s">
        <v>NORMAL</v>
        <stp/>
        <stp>##V3_BDPV12</stp>
        <stp>912827SX Govt</stp>
        <stp>MTY_TYP</stp>
        <stp>[TREASURY.xlsx]Sheet1!R749C6</stp>
        <tr r="F749" s="1"/>
      </tp>
      <tp t="s">
        <v>NORMAL</v>
        <stp/>
        <stp>##V3_BDPV12</stp>
        <stp>912827VT Govt</stp>
        <stp>MTY_TYP</stp>
        <stp>[TREASURY.xlsx]Sheet1!R765C6</stp>
        <tr r="F765" s="1"/>
      </tp>
      <tp t="s">
        <v>NORMAL</v>
        <stp/>
        <stp>##V3_BDPV12</stp>
        <stp>912827ZR Govt</stp>
        <stp>MTY_TYP</stp>
        <stp>[TREASURY.xlsx]Sheet1!R783C6</stp>
        <tr r="F783" s="1"/>
      </tp>
      <tp t="s">
        <v>NORMAL</v>
        <stp/>
        <stp>##V3_BDPV12</stp>
        <stp>912827LV Govt</stp>
        <stp>MTY_TYP</stp>
        <stp>[TREASURY.xlsx]Sheet1!R717C6</stp>
        <tr r="F717" s="1"/>
      </tp>
      <tp t="s">
        <v>NORMAL</v>
        <stp/>
        <stp>##V3_BDPV12</stp>
        <stp>912828MR Govt</stp>
        <stp>MTY_TYP</stp>
        <stp>[TREASURY.xlsx]Sheet1!R823C6</stp>
        <tr r="F823" s="1"/>
      </tp>
      <tp t="s">
        <v>NORMAL</v>
        <stp/>
        <stp>##V3_BDPV12</stp>
        <stp>912828HX Govt</stp>
        <stp>MTY_TYP</stp>
        <stp>[TREASURY.xlsx]Sheet1!R809C6</stp>
        <tr r="F809" s="1"/>
      </tp>
      <tp t="s">
        <v>NORMAL</v>
        <stp/>
        <stp>##V3_BDPV12</stp>
        <stp>912827KQ Govt</stp>
        <stp>MTY_TYP</stp>
        <stp>[TREASURY.xlsx]Sheet1!R710C6</stp>
        <tr r="F710" s="1"/>
      </tp>
      <tp t="s">
        <v>NORMAL</v>
        <stp/>
        <stp>##V3_BDPV12</stp>
        <stp>912828FW Govt</stp>
        <stp>MTY_TYP</stp>
        <stp>[TREASURY.xlsx]Sheet1!R846C6</stp>
        <tr r="F846" s="1"/>
      </tp>
      <tp t="s">
        <v>NORMAL</v>
        <stp/>
        <stp>##V3_BDPV12</stp>
        <stp>912828QS Govt</stp>
        <stp>MTY_TYP</stp>
        <stp>[TREASURY.xlsx]Sheet1!R992C6</stp>
        <tr r="F992" s="1"/>
      </tp>
      <tp t="s">
        <v>NORMAL</v>
        <stp/>
        <stp>##V3_BDPV12</stp>
        <stp>912828LT Govt</stp>
        <stp>MTY_TYP</stp>
        <stp>[TREASURY.xlsx]Sheet1!R975C6</stp>
        <tr r="F975" s="1"/>
      </tp>
      <tp t="s">
        <v>NORMAL</v>
        <stp/>
        <stp>##V3_BDPV12</stp>
        <stp>9128276P Govt</stp>
        <stp>MTY_TYP</stp>
        <stp>[TREASURY.xlsx]Sheet1!R441C6</stp>
        <tr r="F441" s="1"/>
      </tp>
      <tp t="s">
        <v>NORMAL</v>
        <stp/>
        <stp>##V3_BDPV12</stp>
        <stp>9128285Q Govt</stp>
        <stp>MTY_TYP</stp>
        <stp>[TREASURY.xlsx]Sheet1!R410C6</stp>
        <tr r="F410" s="1"/>
      </tp>
      <tp t="s">
        <v>NORMAL</v>
        <stp/>
        <stp>##V3_BDPV12</stp>
        <stp>912828SU Govt</stp>
        <stp>MTY_TYP</stp>
        <stp>[TREASURY.xlsx]Sheet1!R404C6</stp>
        <tr r="F404" s="1"/>
      </tp>
      <tp t="s">
        <v>NORMAL</v>
        <stp/>
        <stp>##V3_BDPV12</stp>
        <stp>912828CS Govt</stp>
        <stp>MTY_TYP</stp>
        <stp>[TREASURY.xlsx]Sheet1!R462C6</stp>
        <tr r="F462" s="1"/>
      </tp>
      <tp t="s">
        <v>NORMAL</v>
        <stp/>
        <stp>##V3_BDPV12</stp>
        <stp>912828MU Govt</stp>
        <stp>MTY_TYP</stp>
        <stp>[TREASURY.xlsx]Sheet1!R494C6</stp>
        <tr r="F494" s="1"/>
      </tp>
      <tp t="s">
        <v>NORMAL</v>
        <stp/>
        <stp>##V3_BDPV12</stp>
        <stp>912828AU Govt</stp>
        <stp>MTY_TYP</stp>
        <stp>[TREASURY.xlsx]Sheet1!R474C6</stp>
        <tr r="F474" s="1"/>
      </tp>
      <tp t="s">
        <v>NORMAL</v>
        <stp/>
        <stp>##V3_BDPV12</stp>
        <stp>912828QX Govt</stp>
        <stp>MTY_TYP</stp>
        <stp>[TREASURY.xlsx]Sheet1!R519C6</stp>
        <tr r="F519" s="1"/>
      </tp>
      <tp t="s">
        <v>NORMAL</v>
        <stp/>
        <stp>##V3_BDPV12</stp>
        <stp>912827YV Govt</stp>
        <stp>MTY_TYP</stp>
        <stp>[TREASURY.xlsx]Sheet1!R947C6</stp>
        <tr r="F947" s="1"/>
      </tp>
      <tp t="s">
        <v>NORMAL</v>
        <stp/>
        <stp>##V3_BDPV12</stp>
        <stp>912827XX Govt</stp>
        <stp>MTY_TYP</stp>
        <stp>[TREASURY.xlsx]Sheet1!R939C6</stp>
        <tr r="F939" s="1"/>
      </tp>
      <tp t="s">
        <v>NORMAL</v>
        <stp/>
        <stp>##V3_BDPV12</stp>
        <stp>912828RV Govt</stp>
        <stp>MTY_TYP</stp>
        <stp>[TREASURY.xlsx]Sheet1!R687C6</stp>
        <tr r="F687" s="1"/>
      </tp>
      <tp t="s">
        <v>NORMAL</v>
        <stp/>
        <stp>##V3_BDPV12</stp>
        <stp>912828QW Govt</stp>
        <stp>MTY_TYP</stp>
        <stp>[TREASURY.xlsx]Sheet1!R646C6</stp>
        <tr r="F646" s="1"/>
      </tp>
      <tp t="s">
        <v>NORMAL</v>
        <stp/>
        <stp>##V3_BDPV12</stp>
        <stp>912827WR Govt</stp>
        <stp>MTY_TYP</stp>
        <stp>[TREASURY.xlsx]Sheet1!R933C6</stp>
        <tr r="F933" s="1"/>
      </tp>
      <tp t="s">
        <v>NORMAL</v>
        <stp/>
        <stp>##V3_BDPV12</stp>
        <stp>912827RU Govt</stp>
        <stp>MTY_TYP</stp>
        <stp>[TREASURY.xlsx]Sheet1!R914C6</stp>
        <tr r="F914" s="1"/>
      </tp>
      <tp t="s">
        <v>NORMAL</v>
        <stp/>
        <stp>##V3_BDPV12</stp>
        <stp>912828FU Govt</stp>
        <stp>MTY_TYP</stp>
        <stp>[TREASURY.xlsx]Sheet1!R614C6</stp>
        <tr r="F614" s="1"/>
      </tp>
      <tp t="s">
        <v>NORMAL</v>
        <stp/>
        <stp>##V3_BDPV12</stp>
        <stp>912828CX Govt</stp>
        <stp>MTY_TYP</stp>
        <stp>[TREASURY.xlsx]Sheet1!R659C6</stp>
        <tr r="F659" s="1"/>
      </tp>
      <tp t="s">
        <v>NORMAL</v>
        <stp/>
        <stp>##V3_BDPV12</stp>
        <stp>912828AT Govt</stp>
        <stp>MTY_TYP</stp>
        <stp>[TREASURY.xlsx]Sheet1!R635C6</stp>
        <tr r="F635" s="1"/>
      </tp>
      <tp t="s">
        <v>NORMAL</v>
        <stp/>
        <stp>##V3_BDPV12</stp>
        <stp>9128282W Govt</stp>
        <stp>MTY_TYP</stp>
        <stp>[TREASURY.xlsx]Sheet1!R166C6</stp>
        <tr r="F166" s="1"/>
      </tp>
      <tp t="s">
        <v>NORMAL</v>
        <stp/>
        <stp>##V3_BDPV12</stp>
        <stp>912828XT Govt</stp>
        <stp>MTY_TYP</stp>
        <stp>[TREASURY.xlsx]Sheet1!R155C6</stp>
        <tr r="F155" s="1"/>
      </tp>
      <tp t="s">
        <v>NORMAL</v>
        <stp/>
        <stp>##V3_BDPV12</stp>
        <stp>912828YY Govt</stp>
        <stp>MTY_TYP</stp>
        <stp>[TREASURY.xlsx]Sheet1!R158C6</stp>
        <tr r="F158" s="1"/>
      </tp>
      <tp t="s">
        <v>NORMAL</v>
        <stp/>
        <stp>##V3_BDPV12</stp>
        <stp>912828YU Govt</stp>
        <stp>MTY_TYP</stp>
        <stp>[TREASURY.xlsx]Sheet1!R174C6</stp>
        <tr r="F174" s="1"/>
      </tp>
      <tp t="s">
        <v>NORMAL</v>
        <stp/>
        <stp>##V3_BDPV12</stp>
        <stp>912828TY Govt</stp>
        <stp>MTY_TYP</stp>
        <stp>[TREASURY.xlsx]Sheet1!R118C6</stp>
        <tr r="F118" s="1"/>
      </tp>
      <tp t="s">
        <v>NORMAL</v>
        <stp/>
        <stp>##V3_BDPV12</stp>
        <stp>9128282S Govt</stp>
        <stp>MTY_TYP</stp>
        <stp>[TREASURY.xlsx]Sheet1!R212C6</stp>
        <tr r="F212" s="1"/>
      </tp>
      <tp t="s">
        <v>NORMAL</v>
        <stp/>
        <stp>##V3_BDPV12</stp>
        <stp>9128285P Govt</stp>
        <stp>MTY_TYP</stp>
        <stp>[TREASURY.xlsx]Sheet1!R271C6</stp>
        <tr r="F271" s="1"/>
      </tp>
      <tp t="s">
        <v>NORMAL</v>
        <stp/>
        <stp>##V3_BDPV12</stp>
        <stp>912828XX Govt</stp>
        <stp>MTY_TYP</stp>
        <stp>[TREASURY.xlsx]Sheet1!R249C6</stp>
        <tr r="F249" s="1"/>
      </tp>
      <tp t="s">
        <v>NORMAL</v>
        <stp/>
        <stp>##V3_BDPV12</stp>
        <stp>912828XR Govt</stp>
        <stp>MTY_TYP</stp>
        <stp>[TREASURY.xlsx]Sheet1!R203C6</stp>
        <tr r="F203" s="1"/>
      </tp>
      <tp t="s">
        <v>NORMAL</v>
        <stp/>
        <stp>##V3_BDPV12</stp>
        <stp>9128286S Govt</stp>
        <stp>MTY_TYP</stp>
        <stp>[TREASURY.xlsx]Sheet1!R322C6</stp>
        <tr r="F322" s="1"/>
      </tp>
      <tp t="s">
        <v>T</v>
        <stp/>
        <stp>##V3_BDPV12</stp>
        <stp>912828DP Govt</stp>
        <stp>TICKER</stp>
        <stp>[TREASURY.xlsx]Sheet1!R517C2</stp>
        <tr r="B517" s="1"/>
      </tp>
      <tp t="s">
        <v>NORMAL</v>
        <stp/>
        <stp>##V3_BDPV12</stp>
        <stp>91282CAP Govt</stp>
        <stp>MTY_TYP</stp>
        <stp>[TREASURY.xlsx]Sheet1!R151C6</stp>
        <tr r="F151" s="1"/>
      </tp>
      <tp t="s">
        <v>T</v>
        <stp/>
        <stp>##V3_BDPV12</stp>
        <stp>912828AQ Govt</stp>
        <stp>TICKER</stp>
        <stp>[TREASURY.xlsx]Sheet1!R512C2</stp>
        <tr r="B512" s="1"/>
      </tp>
      <tp t="s">
        <v>T</v>
        <stp/>
        <stp>##V3_BDPV12</stp>
        <stp>91282CAL Govt</stp>
        <stp>TICKER</stp>
        <stp>[TREASURY.xlsx]Sheet1!R142C2</stp>
        <tr r="B142" s="1"/>
      </tp>
      <tp t="s">
        <v>T</v>
        <stp/>
        <stp>##V3_BDPV12</stp>
        <stp>912810DM Govt</stp>
        <stp>TICKER</stp>
        <stp>[TREASURY.xlsx]Sheet1!R697C2</stp>
        <tr r="B697" s="1"/>
      </tp>
      <tp t="s">
        <v>T</v>
        <stp/>
        <stp>##V3_BDPV12</stp>
        <stp>912827KK Govt</stp>
        <stp>TICKER</stp>
        <stp>[TREASURY.xlsx]Sheet1!R708C2</stp>
        <tr r="B708" s="1"/>
      </tp>
      <tp t="s">
        <v>T</v>
        <stp/>
        <stp>##V3_BDPV12</stp>
        <stp>912828CK Govt</stp>
        <stp>TICKER</stp>
        <stp>[TREASURY.xlsx]Sheet1!R790C2</stp>
        <tr r="B790" s="1"/>
      </tp>
      <tp t="s">
        <v>T</v>
        <stp/>
        <stp>##V3_BDPV12</stp>
        <stp>912828EK Govt</stp>
        <stp>TICKER</stp>
        <stp>[TREASURY.xlsx]Sheet1!R796C2</stp>
        <tr r="B796" s="1"/>
      </tp>
      <tp t="s">
        <v>T</v>
        <stp/>
        <stp>##V3_BDPV12</stp>
        <stp>912828FF Govt</stp>
        <stp>TICKER</stp>
        <stp>[TREASURY.xlsx]Sheet1!R475C2</stp>
        <tr r="B475" s="1"/>
      </tp>
      <tp t="s">
        <v>T</v>
        <stp/>
        <stp>##V3_BDPV12</stp>
        <stp>912810EF Govt</stp>
        <stp>TICKER</stp>
        <stp>[TREASURY.xlsx]Sheet1!R606C2</stp>
        <tr r="B606" s="1"/>
      </tp>
      <tp t="s">
        <v>T</v>
        <stp/>
        <stp>##V3_BDPV12</stp>
        <stp>912828EG Govt</stp>
        <stp>TICKER</stp>
        <stp>[TREASURY.xlsx]Sheet1!R596C2</stp>
        <tr r="B596" s="1"/>
      </tp>
      <tp t="s">
        <v>T</v>
        <stp/>
        <stp>##V3_BDPV12</stp>
        <stp>91282CAD Govt</stp>
        <stp>TICKER</stp>
        <stp>[TREASURY.xlsx]Sheet1!R132C2</stp>
        <tr r="B132" s="1"/>
      </tp>
      <tp t="s">
        <v>T</v>
        <stp/>
        <stp>##V3_BDPV12</stp>
        <stp>912828AD Govt</stp>
        <stp>TICKER</stp>
        <stp>[TREASURY.xlsx]Sheet1!R412C2</stp>
        <tr r="B412" s="1"/>
      </tp>
      <tp t="s">
        <v>T</v>
        <stp/>
        <stp>##V3_BDPV12</stp>
        <stp>912828KB Govt</stp>
        <stp>TICKER</stp>
        <stp>[TREASURY.xlsx]Sheet1!R398C2</stp>
        <tr r="B398" s="1"/>
      </tp>
      <tp t="s">
        <v>T</v>
        <stp/>
        <stp>##V3_BDPV12</stp>
        <stp>912828BC Govt</stp>
        <stp>TICKER</stp>
        <stp>[TREASURY.xlsx]Sheet1!R641C2</stp>
        <tr r="B641" s="1"/>
      </tp>
      <tp t="s">
        <v>T</v>
        <stp/>
        <stp>##V3_BDPV12</stp>
        <stp>912827KC Govt</stp>
        <stp>TICKER</stp>
        <stp>[TREASURY.xlsx]Sheet1!R608C2</stp>
        <tr r="B608" s="1"/>
      </tp>
      <tp t="s">
        <v>NORMAL</v>
        <stp/>
        <stp>##V3_BDPV12</stp>
        <stp>9128284V Govt</stp>
        <stp>MTY_TYP</stp>
        <stp>[TREASURY.xlsx]Sheet1!R23C6</stp>
        <tr r="F23" s="1"/>
      </tp>
      <tp t="s">
        <v>6/5/1980</v>
        <stp/>
        <stp>##V3_BDPV12</stp>
        <stp>912827KT Govt</stp>
        <stp>ISSUE_DT</stp>
        <stp>[TREASURY.xlsx]Sheet1!R1318C15</stp>
        <tr r="O1318" s="1"/>
      </tp>
      <tp t="s">
        <v>T</v>
        <stp/>
        <stp>##V3_BDPV12</stp>
        <stp>912828EF Govt</stp>
        <stp>TICKER</stp>
        <stp>[TREASURY.xlsx]Sheet1!R1431C2</stp>
        <tr r="B1431" s="1"/>
      </tp>
      <tp t="s">
        <v>T</v>
        <stp/>
        <stp>##V3_BDPV12</stp>
        <stp>912828DG Govt</stp>
        <stp>TICKER</stp>
        <stp>[TREASURY.xlsx]Sheet1!R1110C2</stp>
        <tr r="B1110" s="1"/>
      </tp>
      <tp t="s">
        <v>T</v>
        <stp/>
        <stp>##V3_BDPV12</stp>
        <stp>912828XF Govt</stp>
        <stp>TICKER</stp>
        <stp>[TREASURY.xlsx]Sheet1!R1151C2</stp>
        <tr r="B1151" s="1"/>
      </tp>
      <tp t="s">
        <v>T</v>
        <stp/>
        <stp>##V3_BDPV12</stp>
        <stp>912828UC Govt</stp>
        <stp>TICKER</stp>
        <stp>[TREASURY.xlsx]Sheet1!R1144C2</stp>
        <tr r="B1144" s="1"/>
      </tp>
      <tp t="s">
        <v>T</v>
        <stp/>
        <stp>##V3_BDPV12</stp>
        <stp>912828GE Govt</stp>
        <stp>TICKER</stp>
        <stp>[TREASURY.xlsx]Sheet1!R1242C2</stp>
        <tr r="B1242" s="1"/>
      </tp>
      <tp t="s">
        <v>T</v>
        <stp/>
        <stp>##V3_BDPV12</stp>
        <stp>912828AC Govt</stp>
        <stp>TICKER</stp>
        <stp>[TREASURY.xlsx]Sheet1!R1234C2</stp>
        <tr r="B1234" s="1"/>
      </tp>
      <tp t="s">
        <v>T</v>
        <stp/>
        <stp>##V3_BDPV12</stp>
        <stp>912828PA Govt</stp>
        <stp>TICKER</stp>
        <stp>[TREASURY.xlsx]Sheet1!R1296C2</stp>
        <tr r="B1296" s="1"/>
      </tp>
      <tp t="s">
        <v>T</v>
        <stp/>
        <stp>##V3_BDPV12</stp>
        <stp>912827NE Govt</stp>
        <stp>TICKER</stp>
        <stp>[TREASURY.xlsx]Sheet1!R1332C2</stp>
        <tr r="B1332" s="1"/>
      </tp>
      <tp t="s">
        <v>T</v>
        <stp/>
        <stp>##V3_BDPV12</stp>
        <stp>912827MC Govt</stp>
        <stp>TICKER</stp>
        <stp>[TREASURY.xlsx]Sheet1!R1324C2</stp>
        <tr r="B1324" s="1"/>
      </tp>
      <tp t="s">
        <v>T</v>
        <stp/>
        <stp>##V3_BDPV12</stp>
        <stp>9128272F Govt</stp>
        <stp>TICKER</stp>
        <stp>[TREASURY.xlsx]Sheet1!R1351C2</stp>
        <tr r="B1351" s="1"/>
      </tp>
      <tp t="s">
        <v>T</v>
        <stp/>
        <stp>##V3_BDPV12</stp>
        <stp>912827WA Govt</stp>
        <stp>TICKER</stp>
        <stp>[TREASURY.xlsx]Sheet1!R1206C2</stp>
        <tr r="B1206" s="1"/>
      </tp>
      <tp t="s">
        <v>T</v>
        <stp/>
        <stp>##V3_BDPV12</stp>
        <stp>912827QN Govt</stp>
        <stp>TICKER</stp>
        <stp>[TREASURY.xlsx]Sheet1!R1179C2</stp>
        <tr r="B1179" s="1"/>
      </tp>
      <tp t="s">
        <v>T</v>
        <stp/>
        <stp>##V3_BDPV12</stp>
        <stp>9128275D Govt</stp>
        <stp>TICKER</stp>
        <stp>[TREASURY.xlsx]Sheet1!R1013C2</stp>
        <tr r="B1013" s="1"/>
      </tp>
      <tp t="s">
        <v>T</v>
        <stp/>
        <stp>##V3_BDPV12</stp>
        <stp>912827YD Govt</stp>
        <stp>TICKER</stp>
        <stp>[TREASURY.xlsx]Sheet1!R1603C2</stp>
        <tr r="B1603" s="1"/>
      </tp>
      <tp t="s">
        <v>T</v>
        <stp/>
        <stp>##V3_BDPV12</stp>
        <stp>912827XB Govt</stp>
        <stp>TICKER</stp>
        <stp>[TREASURY.xlsx]Sheet1!R1595C2</stp>
        <tr r="B1595" s="1"/>
      </tp>
      <tp t="s">
        <v>T</v>
        <stp/>
        <stp>##V3_BDPV12</stp>
        <stp>9128277C Govt</stp>
        <stp>TICKER</stp>
        <stp>[TREASURY.xlsx]Sheet1!R1544C2</stp>
        <tr r="B1544" s="1"/>
      </tp>
      <tp t="s">
        <v>5/15/1980</v>
        <stp/>
        <stp>##V3_BDPV12</stp>
        <stp>912827KR Govt</stp>
        <stp>ISSUE_DT</stp>
        <stp>[TREASURY.xlsx]Sheet1!R1161C15</stp>
        <tr r="O1161" s="1"/>
      </tp>
      <tp t="s">
        <v>5/15/2009</v>
        <stp/>
        <stp>##V3_BDPV12</stp>
        <stp>912828KP Govt</stp>
        <stp>ISSUE_DT</stp>
        <stp>[TREASURY.xlsx]Sheet1!R1125C15</stp>
        <tr r="O1125" s="1"/>
      </tp>
      <tp t="s">
        <v>USD</v>
        <stp/>
        <stp>##V3_BDPV12</stp>
        <stp>912827NZ Govt</stp>
        <stp>CRNCY</stp>
        <stp>[TREASURY.xlsx]Sheet1!R1336C7</stp>
        <tr r="G1336" s="1"/>
      </tp>
      <tp t="s">
        <v>USD</v>
        <stp/>
        <stp>##V3_BDPV12</stp>
        <stp>912828MZ Govt</stp>
        <stp>CRNCY</stp>
        <stp>[TREASURY.xlsx]Sheet1!R1255C7</stp>
        <tr r="G1255" s="1"/>
      </tp>
      <tp t="s">
        <v>8/15/1980</v>
        <stp/>
        <stp>##V3_BDPV12</stp>
        <stp>912827KX Govt</stp>
        <stp>ISSUE_DT</stp>
        <stp>[TREASURY.xlsx]Sheet1!R1162C15</stp>
        <tr r="O1162" s="1"/>
      </tp>
      <tp t="s">
        <v>6/15/2009</v>
        <stp/>
        <stp>##V3_BDPV12</stp>
        <stp>912828KX Govt</stp>
        <stp>ISSUE_DT</stp>
        <stp>[TREASURY.xlsx]Sheet1!R1126C15</stp>
        <tr r="O1126" s="1"/>
      </tp>
      <tp t="s">
        <v>#N/A Field Not Applicable</v>
        <stp/>
        <stp>##V3_BDPV12</stp>
        <stp>912827YL Govt</stp>
        <stp>IDX_RATIO</stp>
        <stp>[TREASURY.xlsx]Sheet1!R1605C20</stp>
        <tr r="T1605" s="1"/>
      </tp>
      <tp t="s">
        <v>#N/A Field Not Applicable</v>
        <stp/>
        <stp>##V3_BDPV12</stp>
        <stp>9128275L Govt</stp>
        <stp>IDX_RATIO</stp>
        <stp>[TREASURY.xlsx]Sheet1!R1464C20</stp>
        <tr r="T1464" s="1"/>
      </tp>
      <tp t="s">
        <v>#N/A Field Not Applicable</v>
        <stp/>
        <stp>##V3_BDPV12</stp>
        <stp>9128272L Govt</stp>
        <stp>IDX_RATIO</stp>
        <stp>[TREASURY.xlsx]Sheet1!R1452C20</stp>
        <tr r="T1452" s="1"/>
      </tp>
      <tp t="s">
        <v>3/16/2009</v>
        <stp/>
        <stp>##V3_BDPV12</stp>
        <stp>912828KG Govt</stp>
        <stp>ISSUE_DT</stp>
        <stp>[TREASURY.xlsx]Sheet1!R1288C15</stp>
        <tr r="O1288" s="1"/>
      </tp>
      <tp t="s">
        <v>#N/A Field Not Applicable</v>
        <stp/>
        <stp>##V3_BDPV12</stp>
        <stp>912810CL Govt</stp>
        <stp>IDX_RATIO</stp>
        <stp>[TREASURY.xlsx]Sheet1!R1617C20</stp>
        <tr r="T1617" s="1"/>
      </tp>
      <tp t="s">
        <v>#N/A Field Not Applicable</v>
        <stp/>
        <stp>##V3_BDPV12</stp>
        <stp>912810DL Govt</stp>
        <stp>IDX_RATIO</stp>
        <stp>[TREASURY.xlsx]Sheet1!R1620C20</stp>
        <tr r="T1620" s="1"/>
      </tp>
      <tp t="s">
        <v>#N/A Field Not Applicable</v>
        <stp/>
        <stp>##V3_BDPV12</stp>
        <stp>9128277L Govt</stp>
        <stp>IDX_RATIO</stp>
        <stp>[TREASURY.xlsx]Sheet1!R1546C20</stp>
        <tr r="T1546" s="1"/>
      </tp>
      <tp t="s">
        <v>#N/A Field Not Applicable</v>
        <stp/>
        <stp>##V3_BDPV12</stp>
        <stp>9128276L Govt</stp>
        <stp>IDX_RATIO</stp>
        <stp>[TREASURY.xlsx]Sheet1!R1538C20</stp>
        <tr r="T1538" s="1"/>
      </tp>
      <tp t="s">
        <v>#N/A Field Not Applicable</v>
        <stp/>
        <stp>##V3_BDPV12</stp>
        <stp>9128273L Govt</stp>
        <stp>IDX_RATIO</stp>
        <stp>[TREASURY.xlsx]Sheet1!R1529C20</stp>
        <tr r="T1529" s="1"/>
      </tp>
      <tp t="s">
        <v>#N/A Field Not Applicable</v>
        <stp/>
        <stp>##V3_BDPV12</stp>
        <stp>912827TL Govt</stp>
        <stp>IDX_RATIO</stp>
        <stp>[TREASURY.xlsx]Sheet1!R1509C20</stp>
        <tr r="T1509" s="1"/>
      </tp>
      <tp t="s">
        <v>#N/A Field Not Applicable</v>
        <stp/>
        <stp>##V3_BDPV12</stp>
        <stp>912827RL Govt</stp>
        <stp>IDX_RATIO</stp>
        <stp>[TREASURY.xlsx]Sheet1!R1503C20</stp>
        <tr r="T1503" s="1"/>
      </tp>
      <tp t="s">
        <v>#N/A Field Not Applicable</v>
        <stp/>
        <stp>##V3_BDPV12</stp>
        <stp>912828LL Govt</stp>
        <stp>IDX_RATIO</stp>
        <stp>[TREASURY.xlsx]Sheet1!R1290C20</stp>
        <tr r="T1290" s="1"/>
      </tp>
      <tp t="s">
        <v>#N/A Field Not Applicable</v>
        <stp/>
        <stp>##V3_BDPV12</stp>
        <stp>912827XL Govt</stp>
        <stp>IDX_RATIO</stp>
        <stp>[TREASURY.xlsx]Sheet1!R1214C20</stp>
        <tr r="T1214" s="1"/>
      </tp>
      <tp t="s">
        <v>#N/A Field Not Applicable</v>
        <stp/>
        <stp>##V3_BDPV12</stp>
        <stp>912827WL Govt</stp>
        <stp>IDX_RATIO</stp>
        <stp>[TREASURY.xlsx]Sheet1!R1208C20</stp>
        <tr r="T1208" s="1"/>
      </tp>
      <tp t="s">
        <v>#N/A Field Not Applicable</v>
        <stp/>
        <stp>##V3_BDPV12</stp>
        <stp>912827UL Govt</stp>
        <stp>IDX_RATIO</stp>
        <stp>[TREASURY.xlsx]Sheet1!R1201C20</stp>
        <tr r="T1201" s="1"/>
      </tp>
      <tp t="s">
        <v>#N/A Field Not Applicable</v>
        <stp/>
        <stp>##V3_BDPV12</stp>
        <stp>912828ML Govt</stp>
        <stp>IDX_RATIO</stp>
        <stp>[TREASURY.xlsx]Sheet1!R1253C20</stp>
        <tr r="T1253" s="1"/>
      </tp>
      <tp t="s">
        <v>USD</v>
        <stp/>
        <stp>##V3_BDPV12</stp>
        <stp>912828NF Govt</stp>
        <stp>CRNCY</stp>
        <stp>[TREASURY.xlsx]Sheet1!R1256C7</stp>
        <tr r="G1256" s="1"/>
      </tp>
      <tp t="s">
        <v>USD</v>
        <stp/>
        <stp>##V3_BDPV12</stp>
        <stp>91282CCX Govt</stp>
        <stp>CRNCY</stp>
        <stp>[TREASURY.xlsx]Sheet1!R5C7</stp>
        <tr r="G5" s="1"/>
      </tp>
      <tp t="s">
        <v>USD</v>
        <stp/>
        <stp>##V3_BDPV12</stp>
        <stp>91282CCZ Govt</stp>
        <stp>CRNCY</stp>
        <stp>[TREASURY.xlsx]Sheet1!R7C7</stp>
        <tr r="G7" s="1"/>
      </tp>
      <tp t="s">
        <v>#N/A Field Not Applicable</v>
        <stp/>
        <stp>##V3_BDPV12</stp>
        <stp>912827KL Govt</stp>
        <stp>IDX_RATIO</stp>
        <stp>[TREASURY.xlsx]Sheet1!R1377C20</stp>
        <tr r="T1377" s="1"/>
      </tp>
      <tp t="s">
        <v>#N/A Field Not Applicable</v>
        <stp/>
        <stp>##V3_BDPV12</stp>
        <stp>912827ML Govt</stp>
        <stp>IDX_RATIO</stp>
        <stp>[TREASURY.xlsx]Sheet1!R1325C20</stp>
        <tr r="T1325" s="1"/>
      </tp>
      <tp t="s">
        <v>2/17/2009</v>
        <stp/>
        <stp>##V3_BDPV12</stp>
        <stp>912828KC Govt</stp>
        <stp>ISSUE_DT</stp>
        <stp>[TREASURY.xlsx]Sheet1!R1249C15</stp>
        <tr r="O1249" s="1"/>
      </tp>
      <tp t="s">
        <v>#N/A Field Not Applicable</v>
        <stp/>
        <stp>##V3_BDPV12</stp>
        <stp>912828UL Govt</stp>
        <stp>IDX_RATIO</stp>
        <stp>[TREASURY.xlsx]Sheet1!R1000C20</stp>
        <tr r="T1000" s="1"/>
      </tp>
      <tp t="s">
        <v>#N/A Field Not Applicable</v>
        <stp/>
        <stp>##V3_BDPV12</stp>
        <stp>912827VL Govt</stp>
        <stp>IDX_RATIO</stp>
        <stp>[TREASURY.xlsx]Sheet1!R1087C20</stp>
        <tr r="T1087" s="1"/>
      </tp>
      <tp t="s">
        <v>#N/A Field Not Applicable</v>
        <stp/>
        <stp>##V3_BDPV12</stp>
        <stp>912828JL Govt</stp>
        <stp>IDX_RATIO</stp>
        <stp>[TREASURY.xlsx]Sheet1!R1122C20</stp>
        <tr r="T1122" s="1"/>
      </tp>
      <tp t="s">
        <v>#N/A Field Not Applicable</v>
        <stp/>
        <stp>##V3_BDPV12</stp>
        <stp>912828RL Govt</stp>
        <stp>IDX_RATIO</stp>
        <stp>[TREASURY.xlsx]Sheet1!R1131C20</stp>
        <tr r="T1131" s="1"/>
      </tp>
      <tp t="s">
        <v>#N/A Field Not Applicable</v>
        <stp/>
        <stp>##V3_BDPV12</stp>
        <stp>912828WL Govt</stp>
        <stp>IDX_RATIO</stp>
        <stp>[TREASURY.xlsx]Sheet1!R1150C20</stp>
        <tr r="T1150" s="1"/>
      </tp>
      <tp t="s">
        <v>2/29/1980</v>
        <stp/>
        <stp>##V3_BDPV12</stp>
        <stp>912827KL Govt</stp>
        <stp>ISSUE_DT</stp>
        <stp>[TREASURY.xlsx]Sheet1!R1377C15</stp>
        <tr r="O1377" s="1"/>
      </tp>
      <tp t="s">
        <v>USD</v>
        <stp/>
        <stp>##V3_BDPV12</stp>
        <stp>912828KH Govt</stp>
        <stp>CRNCY</stp>
        <stp>[TREASURY.xlsx]Sheet1!R1123C7</stp>
        <tr r="G1123" s="1"/>
      </tp>
      <tp t="s">
        <v>4/30/2009</v>
        <stp/>
        <stp>##V3_BDPV12</stp>
        <stp>912828KN Govt</stp>
        <stp>ISSUE_DT</stp>
        <stp>[TREASURY.xlsx]Sheet1!R1250C15</stp>
        <tr r="O1250" s="1"/>
      </tp>
      <tp t="s">
        <v>4/15/2009</v>
        <stp/>
        <stp>##V3_BDPV12</stp>
        <stp>912828KK Govt</stp>
        <stp>ISSUE_DT</stp>
        <stp>[TREASURY.xlsx]Sheet1!R1124C15</stp>
        <tr r="O1124" s="1"/>
      </tp>
      <tp t="s">
        <v>3/31/2009</v>
        <stp/>
        <stp>##V3_BDPV12</stp>
        <stp>912828KH Govt</stp>
        <stp>ISSUE_DT</stp>
        <stp>[TREASURY.xlsx]Sheet1!R1123C15</stp>
        <tr r="O1123" s="1"/>
      </tp>
      <tp t="s">
        <v>USD</v>
        <stp/>
        <stp>##V3_BDPV12</stp>
        <stp>912828JL Govt</stp>
        <stp>CRNCY</stp>
        <stp>[TREASURY.xlsx]Sheet1!R1122C7</stp>
        <tr r="G1122" s="1"/>
      </tp>
      <tp t="s">
        <v>USD</v>
        <stp/>
        <stp>##V3_BDPV12</stp>
        <stp>912827ML Govt</stp>
        <stp>CRNCY</stp>
        <stp>[TREASURY.xlsx]Sheet1!R1325C7</stp>
        <tr r="G1325" s="1"/>
      </tp>
      <tp t="s">
        <v>USD</v>
        <stp/>
        <stp>##V3_BDPV12</stp>
        <stp>912827MM Govt</stp>
        <stp>CRNCY</stp>
        <stp>[TREASURY.xlsx]Sheet1!R1045C7</stp>
        <tr r="G1045" s="1"/>
      </tp>
      <tp t="s">
        <v>USD</v>
        <stp/>
        <stp>##V3_BDPV12</stp>
        <stp>912827M2 Govt</stp>
        <stp>CRNCY</stp>
        <stp>[TREASURY.xlsx]Sheet1!R1164C7</stp>
        <tr r="G1164" s="1"/>
      </tp>
      <tp t="s">
        <v>2/16/1993</v>
        <stp/>
        <stp>##V3_BDPV12</stp>
        <stp>912827J6 Govt</stp>
        <stp>ISSUE_DT</stp>
        <stp>[TREASURY.xlsx]Sheet1!R1317C15</stp>
        <tr r="O1317" s="1"/>
      </tp>
      <tp t="s">
        <v>2/16/1993</v>
        <stp/>
        <stp>##V3_BDPV12</stp>
        <stp>912827J7 Govt</stp>
        <stp>ISSUE_DT</stp>
        <stp>[TREASURY.xlsx]Sheet1!R1562C15</stp>
        <tr r="O1562" s="1"/>
      </tp>
      <tp t="s">
        <v>USD</v>
        <stp/>
        <stp>##V3_BDPV12</stp>
        <stp>912827M7 Govt</stp>
        <stp>CRNCY</stp>
        <stp>[TREASURY.xlsx]Sheet1!R1044C7</stp>
        <tr r="G1044" s="1"/>
      </tp>
      <tp t="s">
        <v>USD</v>
        <stp/>
        <stp>##V3_BDPV12</stp>
        <stp>912827L7 Govt</stp>
        <stp>CRNCY</stp>
        <stp>[TREASURY.xlsx]Sheet1!R1565C7</stp>
        <tr r="G1565" s="1"/>
      </tp>
      <tp t="s">
        <v>2/1/1993</v>
        <stp/>
        <stp>##V3_BDPV12</stp>
        <stp>912827J4 Govt</stp>
        <stp>ISSUE_DT</stp>
        <stp>[TREASURY.xlsx]Sheet1!R1561C15</stp>
        <tr r="O1561" s="1"/>
      </tp>
      <tp t="s">
        <v>3/2/2015</v>
        <stp/>
        <stp>##V3_BDPV12</stp>
        <stp>912828J3 Govt</stp>
        <stp>ISSUE_DT</stp>
        <stp>[TREASURY.xlsx]Sheet1!R1246C15</stp>
        <tr r="O1246" s="1"/>
      </tp>
      <tp t="s">
        <v>2/1/1993</v>
        <stp/>
        <stp>##V3_BDPV12</stp>
        <stp>912827J5 Govt</stp>
        <stp>ISSUE_DT</stp>
        <stp>[TREASURY.xlsx]Sheet1!R1488C15</stp>
        <tr r="O1488" s="1"/>
      </tp>
      <tp t="s">
        <v>USD</v>
        <stp/>
        <stp>##V3_BDPV12</stp>
        <stp>912827A9 Govt</stp>
        <stp>CRNCY</stp>
        <stp>[TREASURY.xlsx]Sheet1!R1548C7</stp>
        <tr r="G1548" s="1"/>
      </tp>
      <tp t="s">
        <v>3/1/1993</v>
        <stp/>
        <stp>##V3_BDPV12</stp>
        <stp>912827J9 Govt</stp>
        <stp>ISSUE_DT</stp>
        <stp>[TREASURY.xlsx]Sheet1!R1376C15</stp>
        <tr r="O1376" s="1"/>
      </tp>
      <tp t="s">
        <v>3/1/1993</v>
        <stp/>
        <stp>##V3_BDPV12</stp>
        <stp>912827J8 Govt</stp>
        <stp>ISSUE_DT</stp>
        <stp>[TREASURY.xlsx]Sheet1!R1038C15</stp>
        <tr r="O1038" s="1"/>
      </tp>
      <tp t="s">
        <v>912827Z88</v>
        <stp/>
        <stp>##V3_BDPV12</stp>
        <stp>912827Z8 Govt</stp>
        <stp>ID_CUSIP</stp>
        <stp>[TREASURY.xlsx]Sheet1!R1102C19</stp>
        <tr r="S1102" s="1"/>
      </tp>
      <tp t="s">
        <v>912827Z62</v>
        <stp/>
        <stp>##V3_BDPV12</stp>
        <stp>912827Z6 Govt</stp>
        <stp>ID_CUSIP</stp>
        <stp>[TREASURY.xlsx]Sheet1!R1226C19</stp>
        <tr r="S1226" s="1"/>
      </tp>
      <tp t="s">
        <v>912827Z39</v>
        <stp/>
        <stp>##V3_BDPV12</stp>
        <stp>912827Z3 Govt</stp>
        <stp>ID_CUSIP</stp>
        <stp>[TREASURY.xlsx]Sheet1!R1608C19</stp>
        <tr r="S1608" s="1"/>
      </tp>
      <tp t="s">
        <v>912827Z47</v>
        <stp/>
        <stp>##V3_BDPV12</stp>
        <stp>912827Z4 Govt</stp>
        <stp>ID_CUSIP</stp>
        <stp>[TREASURY.xlsx]Sheet1!R1225C19</stp>
        <tr r="S1225" s="1"/>
      </tp>
      <tp t="s">
        <v>912827Z54</v>
        <stp/>
        <stp>##V3_BDPV12</stp>
        <stp>912827Z5 Govt</stp>
        <stp>ID_CUSIP</stp>
        <stp>[TREASURY.xlsx]Sheet1!R1609C19</stp>
        <tr r="S1609" s="1"/>
      </tp>
      <tp t="s">
        <v>T</v>
        <stp/>
        <stp>##V3_BDPV12</stp>
        <stp>912828K8 Govt</stp>
        <stp>TICKER</stp>
        <stp>[TREASURY.xlsx]Sheet1!R369C2</stp>
        <tr r="B369" s="1"/>
      </tp>
      <tp t="s">
        <v>T</v>
        <stp/>
        <stp>##V3_BDPV12</stp>
        <stp>912828B6 Govt</stp>
        <stp>TICKER</stp>
        <stp>[TREASURY.xlsx]Sheet1!R110C2</stp>
        <tr r="B110" s="1"/>
      </tp>
      <tp t="s">
        <v>T</v>
        <stp/>
        <stp>##V3_BDPV12</stp>
        <stp>912828J4 Govt</stp>
        <stp>TICKER</stp>
        <stp>[TREASURY.xlsx]Sheet1!R308C2</stp>
        <tr r="B308" s="1"/>
      </tp>
      <tp t="s">
        <v>T</v>
        <stp/>
        <stp>##V3_BDPV12</stp>
        <stp>912828JZ Govt</stp>
        <stp>TICKER</stp>
        <stp>[TREASURY.xlsx]Sheet1!R478C2</stp>
        <tr r="B478" s="1"/>
      </tp>
      <tp t="s">
        <v>T</v>
        <stp/>
        <stp>##V3_BDPV12</stp>
        <stp>912828EX Govt</stp>
        <stp>TICKER</stp>
        <stp>[TREASURY.xlsx]Sheet1!R397C2</stp>
        <tr r="B397" s="1"/>
      </tp>
      <tp t="s">
        <v>T</v>
        <stp/>
        <stp>##V3_BDPV12</stp>
        <stp>912810CX Govt</stp>
        <stp>TICKER</stp>
        <stp>[TREASURY.xlsx]Sheet1!R661C2</stp>
        <tr r="B661" s="1"/>
      </tp>
      <tp t="s">
        <v>T</v>
        <stp/>
        <stp>##V3_BDPV12</stp>
        <stp>912828FY Govt</stp>
        <stp>TICKER</stp>
        <stp>[TREASURY.xlsx]Sheet1!R394C2</stp>
        <tr r="B394" s="1"/>
      </tp>
      <tp t="s">
        <v>T</v>
        <stp/>
        <stp>##V3_BDPV12</stp>
        <stp>912828GV Govt</stp>
        <stp>TICKER</stp>
        <stp>[TREASURY.xlsx]Sheet1!R805C2</stp>
        <tr r="B805" s="1"/>
      </tp>
      <tp t="s">
        <v>T</v>
        <stp/>
        <stp>##V3_BDPV12</stp>
        <stp>912810EW Govt</stp>
        <stp>TICKER</stp>
        <stp>[TREASURY.xlsx]Sheet1!R277C2</stp>
        <tr r="B277" s="1"/>
      </tp>
      <tp t="s">
        <v>T</v>
        <stp/>
        <stp>##V3_BDPV12</stp>
        <stp>912810CT Govt</stp>
        <stp>TICKER</stp>
        <stp>[TREASURY.xlsx]Sheet1!R501C2</stp>
        <tr r="B501" s="1"/>
      </tp>
      <tp t="s">
        <v>T</v>
        <stp/>
        <stp>##V3_BDPV12</stp>
        <stp>912828FU Govt</stp>
        <stp>TICKER</stp>
        <stp>[TREASURY.xlsx]Sheet1!R614C2</stp>
        <tr r="B614" s="1"/>
      </tp>
      <tp t="s">
        <v>NORMAL</v>
        <stp/>
        <stp>##V3_BDPV12</stp>
        <stp>912810RS Govt</stp>
        <stp>MTY_TYP</stp>
        <stp>[TREASURY.xlsx]Sheet1!R163C6</stp>
        <tr r="F163" s="1"/>
      </tp>
      <tp t="s">
        <v>NORMAL</v>
        <stp/>
        <stp>##V3_BDPV12</stp>
        <stp>912810EW Govt</stp>
        <stp>MTY_TYP</stp>
        <stp>[TREASURY.xlsx]Sheet1!R277C6</stp>
        <tr r="F277" s="1"/>
      </tp>
      <tp t="s">
        <v>NORMAL</v>
        <stp/>
        <stp>##V3_BDPV12</stp>
        <stp>912810QS Govt</stp>
        <stp>MTY_TYP</stp>
        <stp>[TREASURY.xlsx]Sheet1!R303C6</stp>
        <tr r="F303" s="1"/>
      </tp>
      <tp t="s">
        <v>NORMAL</v>
        <stp/>
        <stp>##V3_BDPV12</stp>
        <stp>912810EV Govt</stp>
        <stp>MTY_TYP</stp>
        <stp>[TREASURY.xlsx]Sheet1!R326C6</stp>
        <tr r="F326" s="1"/>
      </tp>
      <tp t="s">
        <v>T</v>
        <stp/>
        <stp>##V3_BDPV12</stp>
        <stp>912828GS Govt</stp>
        <stp>TICKER</stp>
        <stp>[TREASURY.xlsx]Sheet1!R615C2</stp>
        <tr r="B615" s="1"/>
      </tp>
      <tp t="s">
        <v>NORMAL</v>
        <stp/>
        <stp>##V3_BDPV12</stp>
        <stp>912827XT Govt</stp>
        <stp>MTY_TYP</stp>
        <stp>[TREASURY.xlsx]Sheet1!R774C6</stp>
        <tr r="F774" s="1"/>
      </tp>
      <tp t="s">
        <v>NORMAL</v>
        <stp/>
        <stp>##V3_BDPV12</stp>
        <stp>912827MT Govt</stp>
        <stp>MTY_TYP</stp>
        <stp>[TREASURY.xlsx]Sheet1!R724C6</stp>
        <tr r="F724" s="1"/>
      </tp>
      <tp t="s">
        <v>NORMAL</v>
        <stp/>
        <stp>##V3_BDPV12</stp>
        <stp>912828JU Govt</stp>
        <stp>MTY_TYP</stp>
        <stp>[TREASURY.xlsx]Sheet1!R855C6</stp>
        <tr r="F855" s="1"/>
      </tp>
      <tp t="s">
        <v>NORMAL</v>
        <stp/>
        <stp>##V3_BDPV12</stp>
        <stp>912828JQ Govt</stp>
        <stp>MTY_TYP</stp>
        <stp>[TREASURY.xlsx]Sheet1!R811C6</stp>
        <tr r="F811" s="1"/>
      </tp>
      <tp t="s">
        <v>NORMAL</v>
        <stp/>
        <stp>##V3_BDPV12</stp>
        <stp>912828GT Govt</stp>
        <stp>MTY_TYP</stp>
        <stp>[TREASURY.xlsx]Sheet1!R804C6</stp>
        <tr r="F804" s="1"/>
      </tp>
      <tp t="s">
        <v>NORMAL</v>
        <stp/>
        <stp>##V3_BDPV12</stp>
        <stp>912828PW Govt</stp>
        <stp>MTY_TYP</stp>
        <stp>[TREASURY.xlsx]Sheet1!R987C6</stp>
        <tr r="F987" s="1"/>
      </tp>
      <tp t="s">
        <v>NORMAL</v>
        <stp/>
        <stp>##V3_BDPV12</stp>
        <stp>912828QQ Govt</stp>
        <stp>MTY_TYP</stp>
        <stp>[TREASURY.xlsx]Sheet1!R991C6</stp>
        <tr r="F991" s="1"/>
      </tp>
      <tp t="s">
        <v>NORMAL</v>
        <stp/>
        <stp>##V3_BDPV12</stp>
        <stp>9128283S Govt</stp>
        <stp>MTY_TYP</stp>
        <stp>[TREASURY.xlsx]Sheet1!R433C6</stp>
        <tr r="F433" s="1"/>
      </tp>
      <tp t="s">
        <v>NORMAL</v>
        <stp/>
        <stp>##V3_BDPV12</stp>
        <stp>912828TR Govt</stp>
        <stp>MTY_TYP</stp>
        <stp>[TREASURY.xlsx]Sheet1!R402C6</stp>
        <tr r="F402" s="1"/>
      </tp>
      <tp t="s">
        <v>NORMAL</v>
        <stp/>
        <stp>##V3_BDPV12</stp>
        <stp>912828UQ Govt</stp>
        <stp>MTY_TYP</stp>
        <stp>[TREASURY.xlsx]Sheet1!R421C6</stp>
        <tr r="F421" s="1"/>
      </tp>
      <tp t="s">
        <v>NORMAL</v>
        <stp/>
        <stp>##V3_BDPV12</stp>
        <stp>912828QP Govt</stp>
        <stp>MTY_TYP</stp>
        <stp>[TREASURY.xlsx]Sheet1!R550C6</stp>
        <tr r="F550" s="1"/>
      </tp>
      <tp t="s">
        <v>NORMAL</v>
        <stp/>
        <stp>##V3_BDPV12</stp>
        <stp>912828WS Govt</stp>
        <stp>MTY_TYP</stp>
        <stp>[TREASURY.xlsx]Sheet1!R543C6</stp>
        <tr r="F543" s="1"/>
      </tp>
      <tp t="s">
        <v>NORMAL</v>
        <stp/>
        <stp>##V3_BDPV12</stp>
        <stp>912828CT Govt</stp>
        <stp>MTY_TYP</stp>
        <stp>[TREASURY.xlsx]Sheet1!R514C6</stp>
        <tr r="F514" s="1"/>
      </tp>
      <tp t="s">
        <v>NORMAL</v>
        <stp/>
        <stp>##V3_BDPV12</stp>
        <stp>912827YX Govt</stp>
        <stp>MTY_TYP</stp>
        <stp>[TREASURY.xlsx]Sheet1!R948C6</stp>
        <tr r="F948" s="1"/>
      </tp>
      <tp t="s">
        <v>NORMAL</v>
        <stp/>
        <stp>##V3_BDPV12</stp>
        <stp>912827YY Govt</stp>
        <stp>MTY_TYP</stp>
        <stp>[TREASURY.xlsx]Sheet1!R949C6</stp>
        <tr r="F949" s="1"/>
      </tp>
      <tp t="s">
        <v>NORMAL</v>
        <stp/>
        <stp>##V3_BDPV12</stp>
        <stp>912827ZU Govt</stp>
        <stp>MTY_TYP</stp>
        <stp>[TREASURY.xlsx]Sheet1!R955C6</stp>
        <tr r="F955" s="1"/>
      </tp>
      <tp t="s">
        <v>NORMAL</v>
        <stp/>
        <stp>##V3_BDPV12</stp>
        <stp>912827VV Govt</stp>
        <stp>MTY_TYP</stp>
        <stp>[TREASURY.xlsx]Sheet1!R926C6</stp>
        <tr r="F926" s="1"/>
      </tp>
      <tp t="s">
        <v>NORMAL</v>
        <stp/>
        <stp>##V3_BDPV12</stp>
        <stp>912827RS Govt</stp>
        <stp>MTY_TYP</stp>
        <stp>[TREASURY.xlsx]Sheet1!R913C6</stp>
        <tr r="F913" s="1"/>
      </tp>
      <tp t="s">
        <v>NORMAL</v>
        <stp/>
        <stp>##V3_BDPV12</stp>
        <stp>912828KV Govt</stp>
        <stp>MTY_TYP</stp>
        <stp>[TREASURY.xlsx]Sheet1!R616C6</stp>
        <tr r="F616" s="1"/>
      </tp>
      <tp t="s">
        <v>NORMAL</v>
        <stp/>
        <stp>##V3_BDPV12</stp>
        <stp>912828KW Govt</stp>
        <stp>MTY_TYP</stp>
        <stp>[TREASURY.xlsx]Sheet1!R617C6</stp>
        <tr r="F617" s="1"/>
      </tp>
      <tp t="s">
        <v>NORMAL</v>
        <stp/>
        <stp>##V3_BDPV12</stp>
        <stp>912828AW Govt</stp>
        <stp>MTY_TYP</stp>
        <stp>[TREASURY.xlsx]Sheet1!R667C6</stp>
        <tr r="F667" s="1"/>
      </tp>
      <tp t="s">
        <v>NORMAL</v>
        <stp/>
        <stp>##V3_BDPV12</stp>
        <stp>912828DR Govt</stp>
        <stp>MTY_TYP</stp>
        <stp>[TREASURY.xlsx]Sheet1!R792C6</stp>
        <tr r="F792" s="1"/>
      </tp>
      <tp t="s">
        <v>NORMAL</v>
        <stp/>
        <stp>##V3_BDPV12</stp>
        <stp>912828XW Govt</stp>
        <stp>MTY_TYP</stp>
        <stp>[TREASURY.xlsx]Sheet1!R217C6</stp>
        <tr r="F217" s="1"/>
      </tp>
      <tp t="s">
        <v>NORMAL</v>
        <stp/>
        <stp>##V3_BDPV12</stp>
        <stp>9128284T Govt</stp>
        <stp>MTY_TYP</stp>
        <stp>[TREASURY.xlsx]Sheet1!R344C6</stp>
        <tr r="F344" s="1"/>
      </tp>
      <tp t="s">
        <v>NORMAL</v>
        <stp/>
        <stp>##V3_BDPV12</stp>
        <stp>9128284W Govt</stp>
        <stp>MTY_TYP</stp>
        <stp>[TREASURY.xlsx]Sheet1!R347C6</stp>
        <tr r="F347" s="1"/>
      </tp>
      <tp t="s">
        <v>NORMAL</v>
        <stp/>
        <stp>##V3_BDPV12</stp>
        <stp>912828WY Govt</stp>
        <stp>MTY_TYP</stp>
        <stp>[TREASURY.xlsx]Sheet1!R359C6</stp>
        <tr r="F359" s="1"/>
      </tp>
      <tp t="s">
        <v>T</v>
        <stp/>
        <stp>##V3_BDPV12</stp>
        <stp>912810EP Govt</stp>
        <stp>TICKER</stp>
        <stp>[TREASURY.xlsx]Sheet1!R317C2</stp>
        <tr r="B317" s="1"/>
      </tp>
      <tp t="s">
        <v>NORMAL</v>
        <stp/>
        <stp>##V3_BDPV12</stp>
        <stp>9128283F Govt</stp>
        <stp>MTY_TYP</stp>
        <stp>[TREASURY.xlsx]Sheet1!R65C6</stp>
        <tr r="F65" s="1"/>
      </tp>
      <tp t="s">
        <v>T</v>
        <stp/>
        <stp>##V3_BDPV12</stp>
        <stp>912828FQ Govt</stp>
        <stp>TICKER</stp>
        <stp>[TREASURY.xlsx]Sheet1!R534C2</stp>
        <tr r="B534" s="1"/>
      </tp>
      <tp t="s">
        <v>T</v>
        <stp/>
        <stp>##V3_BDPV12</stp>
        <stp>912827KN Govt</stp>
        <stp>TICKER</stp>
        <stp>[TREASURY.xlsx]Sheet1!R569C2</stp>
        <tr r="B569" s="1"/>
      </tp>
      <tp t="s">
        <v>T</v>
        <stp/>
        <stp>##V3_BDPV12</stp>
        <stp>912828BN Govt</stp>
        <stp>TICKER</stp>
        <stp>[TREASURY.xlsx]Sheet1!R960C2</stp>
        <tr r="B960" s="1"/>
      </tp>
      <tp t="s">
        <v>T</v>
        <stp/>
        <stp>##V3_BDPV12</stp>
        <stp>912828EL Govt</stp>
        <stp>TICKER</stp>
        <stp>[TREASURY.xlsx]Sheet1!R797C2</stp>
        <tr r="B797" s="1"/>
      </tp>
      <tp t="s">
        <v>T</v>
        <stp/>
        <stp>##V3_BDPV12</stp>
        <stp>912827KM Govt</stp>
        <stp>TICKER</stp>
        <stp>[TREASURY.xlsx]Sheet1!R709C2</stp>
        <tr r="B709" s="1"/>
      </tp>
      <tp t="s">
        <v>T</v>
        <stp/>
        <stp>##V3_BDPV12</stp>
        <stp>912810EK Govt</stp>
        <stp>TICKER</stp>
        <stp>[TREASURY.xlsx]Sheet1!R357C2</stp>
        <tr r="B357" s="1"/>
      </tp>
      <tp t="s">
        <v>T</v>
        <stp/>
        <stp>##V3_BDPV12</stp>
        <stp>912828FK Govt</stp>
        <stp>TICKER</stp>
        <stp>[TREASURY.xlsx]Sheet1!R844C2</stp>
        <tr r="B844" s="1"/>
      </tp>
      <tp t="s">
        <v>T</v>
        <stp/>
        <stp>##V3_BDPV12</stp>
        <stp>91282CAG Govt</stp>
        <stp>TICKER</stp>
        <stp>[TREASURY.xlsx]Sheet1!R133C2</stp>
        <tr r="B133" s="1"/>
      </tp>
      <tp t="s">
        <v>T</v>
        <stp/>
        <stp>##V3_BDPV12</stp>
        <stp>912828CB Govt</stp>
        <stp>TICKER</stp>
        <stp>[TREASURY.xlsx]Sheet1!R331C2</stp>
        <tr r="B331" s="1"/>
      </tp>
      <tp t="s">
        <v>T</v>
        <stp/>
        <stp>##V3_BDPV12</stp>
        <stp>912828JB Govt</stp>
        <stp>TICKER</stp>
        <stp>[TREASURY.xlsx]Sheet1!R598C2</stp>
        <tr r="B598" s="1"/>
      </tp>
      <tp t="s">
        <v>T</v>
        <stp/>
        <stp>##V3_BDPV12</stp>
        <stp>912810FA Govt</stp>
        <stp>TICKER</stp>
        <stp>[TREASURY.xlsx]Sheet1!R314C2</stp>
        <tr r="B314" s="1"/>
      </tp>
      <tp t="s">
        <v>USD</v>
        <stp/>
        <stp>##V3_BDPV12</stp>
        <stp>912828NR Govt</stp>
        <stp>CRNCY</stp>
        <stp>[TREASURY.xlsx]Sheet1!R1257C7</stp>
        <tr r="G1257" s="1"/>
      </tp>
      <tp t="s">
        <v>T</v>
        <stp/>
        <stp>##V3_BDPV12</stp>
        <stp>912828HA Govt</stp>
        <stp>TICKER</stp>
        <stp>[TREASURY.xlsx]Sheet1!R1437C2</stp>
        <tr r="B1437" s="1"/>
      </tp>
      <tp t="s">
        <v>T</v>
        <stp/>
        <stp>##V3_BDPV12</stp>
        <stp>912828FG Govt</stp>
        <stp>TICKER</stp>
        <stp>[TREASURY.xlsx]Sheet1!R1241C2</stp>
        <tr r="B1241" s="1"/>
      </tp>
      <tp t="s">
        <v>T</v>
        <stp/>
        <stp>##V3_BDPV12</stp>
        <stp>912827LG Govt</stp>
        <stp>TICKER</stp>
        <stp>[TREASURY.xlsx]Sheet1!R1321C2</stp>
        <tr r="B1321" s="1"/>
      </tp>
      <tp t="s">
        <v>T</v>
        <stp/>
        <stp>##V3_BDPV12</stp>
        <stp>9128274E Govt</stp>
        <stp>TICKER</stp>
        <stp>[TREASURY.xlsx]Sheet1!R1363C2</stp>
        <tr r="B1363" s="1"/>
      </tp>
      <tp t="s">
        <v>T</v>
        <stp/>
        <stp>##V3_BDPV12</stp>
        <stp>912827ZA Govt</stp>
        <stp>TICKER</stp>
        <stp>[TREASURY.xlsx]Sheet1!R1227C2</stp>
        <tr r="B1227" s="1"/>
      </tp>
      <tp t="s">
        <v>T</v>
        <stp/>
        <stp>##V3_BDPV12</stp>
        <stp>912827WF Govt</stp>
        <stp>TICKER</stp>
        <stp>[TREASURY.xlsx]Sheet1!R1090C2</stp>
        <tr r="B1090" s="1"/>
      </tp>
      <tp t="s">
        <v>T</v>
        <stp/>
        <stp>##V3_BDPV12</stp>
        <stp>912827WG Govt</stp>
        <stp>TICKER</stp>
        <stp>[TREASURY.xlsx]Sheet1!R1091C2</stp>
        <tr r="B1091" s="1"/>
      </tp>
      <tp t="s">
        <v>T</v>
        <stp/>
        <stp>##V3_BDPV12</stp>
        <stp>912827QC Govt</stp>
        <stp>TICKER</stp>
        <stp>[TREASURY.xlsx]Sheet1!R1055C2</stp>
        <tr r="B1055" s="1"/>
      </tp>
      <tp t="s">
        <v>T</v>
        <stp/>
        <stp>##V3_BDPV12</stp>
        <stp>912827RE Govt</stp>
        <stp>TICKER</stp>
        <stp>[TREASURY.xlsx]Sheet1!R1063C2</stp>
        <tr r="B1063" s="1"/>
      </tp>
      <tp t="s">
        <v>T</v>
        <stp/>
        <stp>##V3_BDPV12</stp>
        <stp>9128273G Govt</stp>
        <stp>TICKER</stp>
        <stp>[TREASURY.xlsx]Sheet1!R1011C2</stp>
        <tr r="B1011" s="1"/>
      </tp>
      <tp t="s">
        <v>T</v>
        <stp/>
        <stp>##V3_BDPV12</stp>
        <stp>912827SA Govt</stp>
        <stp>TICKER</stp>
        <stp>[TREASURY.xlsx]Sheet1!R1587C2</stp>
        <tr r="B1587" s="1"/>
      </tp>
      <tp t="s">
        <v>T</v>
        <stp/>
        <stp>##V3_BDPV12</stp>
        <stp>912827XN Govt</stp>
        <stp>TICKER</stp>
        <stp>[TREASURY.xlsx]Sheet1!R1598C2</stp>
        <tr r="B1598" s="1"/>
      </tp>
      <tp t="s">
        <v>T</v>
        <stp/>
        <stp>##V3_BDPV12</stp>
        <stp>912827RG Govt</stp>
        <stp>TICKER</stp>
        <stp>[TREASURY.xlsx]Sheet1!R1501C2</stp>
        <tr r="B1501" s="1"/>
      </tp>
      <tp t="s">
        <v>T</v>
        <stp/>
        <stp>##V3_BDPV12</stp>
        <stp>912827UD Govt</stp>
        <stp>TICKER</stp>
        <stp>[TREASURY.xlsx]Sheet1!R1512C2</stp>
        <tr r="B1512" s="1"/>
      </tp>
      <tp t="s">
        <v>T</v>
        <stp/>
        <stp>##V3_BDPV12</stp>
        <stp>912827QB Govt</stp>
        <stp>TICKER</stp>
        <stp>[TREASURY.xlsx]Sheet1!R1574C2</stp>
        <tr r="B1574" s="1"/>
      </tp>
      <tp t="s">
        <v>T</v>
        <stp/>
        <stp>##V3_BDPV12</stp>
        <stp>9128275C Govt</stp>
        <stp>TICKER</stp>
        <stp>[TREASURY.xlsx]Sheet1!R1535C2</stp>
        <tr r="B1535" s="1"/>
      </tp>
      <tp t="s">
        <v>T</v>
        <stp/>
        <stp>##V3_BDPV12</stp>
        <stp>9128274A Govt</stp>
        <stp>TICKER</stp>
        <stp>[TREASURY.xlsx]Sheet1!R1457C2</stp>
        <tr r="B1457" s="1"/>
      </tp>
      <tp t="s">
        <v>T</v>
        <stp/>
        <stp>##V3_BDPV12</stp>
        <stp>9128277G Govt</stp>
        <stp>TICKER</stp>
        <stp>[TREASURY.xlsx]Sheet1!R1471C2</stp>
        <tr r="B1471" s="1"/>
      </tp>
      <tp t="s">
        <v>T</v>
        <stp/>
        <stp>##V3_BDPV12</stp>
        <stp>912810EB Govt</stp>
        <stp>TICKER</stp>
        <stp>[TREASURY.xlsx]Sheet1!R1624C2</stp>
        <tr r="B1624" s="1"/>
      </tp>
      <tp t="s">
        <v>T</v>
        <stp/>
        <stp>##V3_BDPV12</stp>
        <stp>912810DN Govt</stp>
        <stp>TICKER</stp>
        <stp>[TREASURY.xlsx]Sheet1!R1348C2</stp>
        <tr r="B1348" s="1"/>
      </tp>
      <tp t="s">
        <v>912827ZM7</v>
        <stp/>
        <stp>##V3_BDPV12</stp>
        <stp>912827ZM Govt</stp>
        <stp>ID_CUSIP</stp>
        <stp>[TREASURY.xlsx]Sheet1!R1230C19</stp>
        <tr r="S1230" s="1"/>
      </tp>
      <tp t="s">
        <v>10/31/2008</v>
        <stp/>
        <stp>##V3_BDPV12</stp>
        <stp>912828JP Govt</stp>
        <stp>ISSUE_DT</stp>
        <stp>[TREASURY.xlsx]Sheet1!R1286C15</stp>
        <tr r="O1286" s="1"/>
      </tp>
      <tp t="s">
        <v>12/1/2008</v>
        <stp/>
        <stp>##V3_BDPV12</stp>
        <stp>912828JS Govt</stp>
        <stp>ISSUE_DT</stp>
        <stp>[TREASURY.xlsx]Sheet1!R1247C15</stp>
        <tr r="O1247" s="1"/>
      </tp>
      <tp t="s">
        <v>USD</v>
        <stp/>
        <stp>##V3_BDPV12</stp>
        <stp>912828MT Govt</stp>
        <stp>CRNCY</stp>
        <stp>[TREASURY.xlsx]Sheet1!R1254C7</stp>
        <tr r="G1254" s="1"/>
      </tp>
      <tp t="s">
        <v>912827ZF2</v>
        <stp/>
        <stp>##V3_BDPV12</stp>
        <stp>912827ZF Govt</stp>
        <stp>ID_CUSIP</stp>
        <stp>[TREASURY.xlsx]Sheet1!R1229C19</stp>
        <tr r="S1229" s="1"/>
      </tp>
      <tp t="s">
        <v>912827ZG0</v>
        <stp/>
        <stp>##V3_BDPV12</stp>
        <stp>912827ZG Govt</stp>
        <stp>ID_CUSIP</stp>
        <stp>[TREASURY.xlsx]Sheet1!R1103C19</stp>
        <tr r="S1103" s="1"/>
      </tp>
      <tp t="s">
        <v>USD</v>
        <stp/>
        <stp>##V3_BDPV12</stp>
        <stp>912827KX Govt</stp>
        <stp>CRNCY</stp>
        <stp>[TREASURY.xlsx]Sheet1!R1162C7</stp>
        <tr r="G1162" s="1"/>
      </tp>
      <tp t="s">
        <v>912827ZB1</v>
        <stp/>
        <stp>##V3_BDPV12</stp>
        <stp>912827ZB Govt</stp>
        <stp>ID_CUSIP</stp>
        <stp>[TREASURY.xlsx]Sheet1!R1228C19</stp>
        <tr r="S1228" s="1"/>
      </tp>
      <tp t="s">
        <v>912827ZD7</v>
        <stp/>
        <stp>##V3_BDPV12</stp>
        <stp>912827ZD Govt</stp>
        <stp>ID_CUSIP</stp>
        <stp>[TREASURY.xlsx]Sheet1!R1610C19</stp>
        <tr r="S1610" s="1"/>
      </tp>
      <tp t="s">
        <v>912827ZA3</v>
        <stp/>
        <stp>##V3_BDPV12</stp>
        <stp>912827ZA Govt</stp>
        <stp>ID_CUSIP</stp>
        <stp>[TREASURY.xlsx]Sheet1!R1227C19</stp>
        <tr r="S1227" s="1"/>
      </tp>
      <tp t="s">
        <v>#N/A Field Not Applicable</v>
        <stp/>
        <stp>##V3_BDPV12</stp>
        <stp>912810CM Govt</stp>
        <stp>IDX_RATIO</stp>
        <stp>[TREASURY.xlsx]Sheet1!R1515C20</stp>
        <tr r="T1515" s="1"/>
      </tp>
      <tp t="s">
        <v>#N/A Field Not Applicable</v>
        <stp/>
        <stp>##V3_BDPV12</stp>
        <stp>912828AM Govt</stp>
        <stp>IDX_RATIO</stp>
        <stp>[TREASURY.xlsx]Sheet1!R1616C20</stp>
        <tr r="T1616" s="1"/>
      </tp>
      <tp t="s">
        <v>912827ZZ8</v>
        <stp/>
        <stp>##V3_BDPV12</stp>
        <stp>912827ZZ Govt</stp>
        <stp>ID_CUSIP</stp>
        <stp>[TREASURY.xlsx]Sheet1!R1614C19</stp>
        <tr r="S1614" s="1"/>
      </tp>
      <tp t="s">
        <v>USD</v>
        <stp/>
        <stp>##V3_BDPV12</stp>
        <stp>912827MC Govt</stp>
        <stp>CRNCY</stp>
        <stp>[TREASURY.xlsx]Sheet1!R1324C7</stp>
        <tr r="G1324" s="1"/>
      </tp>
      <tp t="s">
        <v>#N/A Field Not Applicable</v>
        <stp/>
        <stp>##V3_BDPV12</stp>
        <stp>9128277M Govt</stp>
        <stp>IDX_RATIO</stp>
        <stp>[TREASURY.xlsx]Sheet1!R1472C20</stp>
        <tr r="T1472" s="1"/>
      </tp>
      <tp t="s">
        <v>#N/A Field Not Applicable</v>
        <stp/>
        <stp>##V3_BDPV12</stp>
        <stp>9128274M Govt</stp>
        <stp>IDX_RATIO</stp>
        <stp>[TREASURY.xlsx]Sheet1!R1461C20</stp>
        <tr r="T1461" s="1"/>
      </tp>
      <tp t="s">
        <v>#N/A Field Not Applicable</v>
        <stp/>
        <stp>##V3_BDPV12</stp>
        <stp>912827WM Govt</stp>
        <stp>IDX_RATIO</stp>
        <stp>[TREASURY.xlsx]Sheet1!R1418C20</stp>
        <tr r="T1418" s="1"/>
      </tp>
      <tp t="s">
        <v>#N/A Field Not Applicable</v>
        <stp/>
        <stp>##V3_BDPV12</stp>
        <stp>912827TM Govt</stp>
        <stp>IDX_RATIO</stp>
        <stp>[TREASURY.xlsx]Sheet1!R1400C20</stp>
        <tr r="T1400" s="1"/>
      </tp>
      <tp t="s">
        <v>#N/A Field Not Applicable</v>
        <stp/>
        <stp>##V3_BDPV12</stp>
        <stp>912827UM Govt</stp>
        <stp>IDX_RATIO</stp>
        <stp>[TREASURY.xlsx]Sheet1!R1405C20</stp>
        <tr r="T1405" s="1"/>
      </tp>
      <tp t="s">
        <v>#N/A Field Not Applicable</v>
        <stp/>
        <stp>##V3_BDPV12</stp>
        <stp>912828DM Govt</stp>
        <stp>IDX_RATIO</stp>
        <stp>[TREASURY.xlsx]Sheet1!R1427C20</stp>
        <tr r="T1427" s="1"/>
      </tp>
      <tp t="s">
        <v>912827ZY1</v>
        <stp/>
        <stp>##V3_BDPV12</stp>
        <stp>912827ZY Govt</stp>
        <stp>ID_CUSIP</stp>
        <stp>[TREASURY.xlsx]Sheet1!R1613C19</stp>
        <tr r="S1613" s="1"/>
      </tp>
      <tp t="s">
        <v>#N/A Field Not Applicable</v>
        <stp/>
        <stp>##V3_BDPV12</stp>
        <stp>912827RM Govt</stp>
        <stp>IDX_RATIO</stp>
        <stp>[TREASURY.xlsx]Sheet1!R1580C20</stp>
        <tr r="T1580" s="1"/>
      </tp>
      <tp t="s">
        <v>#N/A Field Not Applicable</v>
        <stp/>
        <stp>##V3_BDPV12</stp>
        <stp>912827ZM Govt</stp>
        <stp>IDX_RATIO</stp>
        <stp>[TREASURY.xlsx]Sheet1!R1230C20</stp>
        <tr r="T1230" s="1"/>
      </tp>
      <tp t="s">
        <v>#N/A Field Not Applicable</v>
        <stp/>
        <stp>##V3_BDPV12</stp>
        <stp>912827XM Govt</stp>
        <stp>IDX_RATIO</stp>
        <stp>[TREASURY.xlsx]Sheet1!R1215C20</stp>
        <tr r="T1215" s="1"/>
      </tp>
      <tp t="s">
        <v>6/2/2008</v>
        <stp/>
        <stp>##V3_BDPV12</stp>
        <stp>912828JA Govt</stp>
        <stp>ISSUE_DT</stp>
        <stp>[TREASURY.xlsx]Sheet1!R1285C15</stp>
        <tr r="O1285" s="1"/>
      </tp>
      <tp t="s">
        <v>#N/A Field Not Applicable</v>
        <stp/>
        <stp>##V3_BDPV12</stp>
        <stp>9128273M Govt</stp>
        <stp>IDX_RATIO</stp>
        <stp>[TREASURY.xlsx]Sheet1!R1357C20</stp>
        <tr r="T1357" s="1"/>
      </tp>
      <tp t="s">
        <v>#N/A Field Not Applicable</v>
        <stp/>
        <stp>##V3_BDPV12</stp>
        <stp>912827QM Govt</stp>
        <stp>IDX_RATIO</stp>
        <stp>[TREASURY.xlsx]Sheet1!R1058C20</stp>
        <tr r="T1058" s="1"/>
      </tp>
      <tp t="s">
        <v>#N/A Field Not Applicable</v>
        <stp/>
        <stp>##V3_BDPV12</stp>
        <stp>912827MM Govt</stp>
        <stp>IDX_RATIO</stp>
        <stp>[TREASURY.xlsx]Sheet1!R1045C20</stp>
        <tr r="T1045" s="1"/>
      </tp>
      <tp t="s">
        <v>#N/A Field Not Applicable</v>
        <stp/>
        <stp>##V3_BDPV12</stp>
        <stp>9128275M Govt</stp>
        <stp>IDX_RATIO</stp>
        <stp>[TREASURY.xlsx]Sheet1!R1015C20</stp>
        <tr r="T1015" s="1"/>
      </tp>
      <tp t="s">
        <v>#N/A Field Not Applicable</v>
        <stp/>
        <stp>##V3_BDPV12</stp>
        <stp>912827VM Govt</stp>
        <stp>IDX_RATIO</stp>
        <stp>[TREASURY.xlsx]Sheet1!R1088C20</stp>
        <tr r="T1088" s="1"/>
      </tp>
      <tp t="s">
        <v>#N/A Field Not Applicable</v>
        <stp/>
        <stp>##V3_BDPV12</stp>
        <stp>912827PM Govt</stp>
        <stp>IDX_RATIO</stp>
        <stp>[TREASURY.xlsx]Sheet1!R1174C20</stp>
        <tr r="T1174" s="1"/>
      </tp>
      <tp t="s">
        <v>#N/A Field Not Applicable</v>
        <stp/>
        <stp>##V3_BDPV12</stp>
        <stp>912828EM Govt</stp>
        <stp>IDX_RATIO</stp>
        <stp>[TREASURY.xlsx]Sheet1!R1115C20</stp>
        <tr r="T1115" s="1"/>
      </tp>
      <tp t="s">
        <v>#N/A Field Not Applicable</v>
        <stp/>
        <stp>##V3_BDPV12</stp>
        <stp>912828LM Govt</stp>
        <stp>IDX_RATIO</stp>
        <stp>[TREASURY.xlsx]Sheet1!R1129C20</stp>
        <tr r="T1129" s="1"/>
      </tp>
      <tp t="s">
        <v>#N/A Field Not Applicable</v>
        <stp/>
        <stp>##V3_BDPV12</stp>
        <stp>912828QM Govt</stp>
        <stp>IDX_RATIO</stp>
        <stp>[TREASURY.xlsx]Sheet1!R1130C20</stp>
        <tr r="T1130" s="1"/>
      </tp>
      <tp t="s">
        <v>912827ZV7</v>
        <stp/>
        <stp>##V3_BDPV12</stp>
        <stp>912827ZV Govt</stp>
        <stp>ID_CUSIP</stp>
        <stp>[TREASURY.xlsx]Sheet1!R1231C19</stp>
        <tr r="S1231" s="1"/>
      </tp>
      <tp t="s">
        <v>9/30/2008</v>
        <stp/>
        <stp>##V3_BDPV12</stp>
        <stp>912828JL Govt</stp>
        <stp>ISSUE_DT</stp>
        <stp>[TREASURY.xlsx]Sheet1!R1122C15</stp>
        <tr r="O1122" s="1"/>
      </tp>
      <tp t="s">
        <v>912827ZW5</v>
        <stp/>
        <stp>##V3_BDPV12</stp>
        <stp>912827ZW Govt</stp>
        <stp>ID_CUSIP</stp>
        <stp>[TREASURY.xlsx]Sheet1!R1104C19</stp>
        <tr r="S1104" s="1"/>
      </tp>
      <tp t="s">
        <v>912827ZQ8</v>
        <stp/>
        <stp>##V3_BDPV12</stp>
        <stp>912827ZQ Govt</stp>
        <stp>ID_CUSIP</stp>
        <stp>[TREASURY.xlsx]Sheet1!R1611C19</stp>
        <tr r="S1611" s="1"/>
      </tp>
      <tp t="s">
        <v>912827ZT2</v>
        <stp/>
        <stp>##V3_BDPV12</stp>
        <stp>912827ZT Govt</stp>
        <stp>ID_CUSIP</stp>
        <stp>[TREASURY.xlsx]Sheet1!R1612C19</stp>
        <tr r="S1612" s="1"/>
      </tp>
      <tp t="s">
        <v>11/15/1993</v>
        <stp/>
        <stp>##V3_BDPV12</stp>
        <stp>912827M7 Govt</stp>
        <stp>ISSUE_DT</stp>
        <stp>[TREASURY.xlsx]Sheet1!R1044C15</stp>
        <tr r="O1044" s="1"/>
      </tp>
      <tp t="s">
        <v>9/30/1993</v>
        <stp/>
        <stp>##V3_BDPV12</stp>
        <stp>912827M3 Govt</stp>
        <stp>ISSUE_DT</stp>
        <stp>[TREASURY.xlsx]Sheet1!R1568C15</stp>
        <tr r="O1568" s="1"/>
      </tp>
      <tp t="s">
        <v>USD</v>
        <stp/>
        <stp>##V3_BDPV12</stp>
        <stp>912827H3 Govt</stp>
        <stp>CRNCY</stp>
        <stp>[TREASURY.xlsx]Sheet1!R1316C7</stp>
        <tr r="G1316" s="1"/>
      </tp>
      <tp t="s">
        <v>9/30/1993</v>
        <stp/>
        <stp>##V3_BDPV12</stp>
        <stp>912827M4 Govt</stp>
        <stp>ISSUE_DT</stp>
        <stp>[TREASURY.xlsx]Sheet1!R1165C15</stp>
        <tr r="O1165" s="1"/>
      </tp>
      <tp t="s">
        <v>11/16/2015</v>
        <stp/>
        <stp>##V3_BDPV12</stp>
        <stp>912828M6 Govt</stp>
        <stp>ISSUE_DT</stp>
        <stp>[TREASURY.xlsx]Sheet1!R1251C15</stp>
        <tr r="O1251" s="1"/>
      </tp>
      <tp t="s">
        <v>8/31/1993</v>
        <stp/>
        <stp>##V3_BDPV12</stp>
        <stp>912827M2 Govt</stp>
        <stp>ISSUE_DT</stp>
        <stp>[TREASURY.xlsx]Sheet1!R1164C15</stp>
        <tr r="O1164" s="1"/>
      </tp>
      <tp t="s">
        <v>USD</v>
        <stp/>
        <stp>##V3_BDPV12</stp>
        <stp>912828F8 Govt</stp>
        <stp>CRNCY</stp>
        <stp>[TREASURY.xlsx]Sheet1!R1118C7</stp>
        <tr r="G1118" s="1"/>
      </tp>
      <tp t="s">
        <v>USD</v>
        <stp/>
        <stp>##V3_BDPV12</stp>
        <stp>912827N9 Govt</stp>
        <stp>CRNCY</stp>
        <stp>[TREASURY.xlsx]Sheet1!R1330C7</stp>
        <tr r="G1330" s="1"/>
      </tp>
      <tp t="s">
        <v>11/30/1993</v>
        <stp/>
        <stp>##V3_BDPV12</stp>
        <stp>912827M9 Govt</stp>
        <stp>ISSUE_DT</stp>
        <stp>[TREASURY.xlsx]Sheet1!R1166C15</stp>
        <tr r="O1166" s="1"/>
      </tp>
      <tp t="s">
        <v>T</v>
        <stp/>
        <stp>##V3_BDPV12</stp>
        <stp>912828A8 Govt</stp>
        <stp>TICKER</stp>
        <stp>[TREASURY.xlsx]Sheet1!R434C2</stp>
        <tr r="B434" s="1"/>
      </tp>
      <tp t="s">
        <v>T</v>
        <stp/>
        <stp>##V3_BDPV12</stp>
        <stp>912828G9 Govt</stp>
        <stp>TICKER</stp>
        <stp>[TREASURY.xlsx]Sheet1!R422C2</stp>
        <tr r="B422" s="1"/>
      </tp>
      <tp t="s">
        <v>T</v>
        <stp/>
        <stp>##V3_BDPV12</stp>
        <stp>912828C7 Govt</stp>
        <stp>TICKER</stp>
        <stp>[TREASURY.xlsx]Sheet1!R416C2</stp>
        <tr r="B416" s="1"/>
      </tp>
      <tp t="s">
        <v>T</v>
        <stp/>
        <stp>##V3_BDPV12</stp>
        <stp>912827E7 Govt</stp>
        <stp>TICKER</stp>
        <stp>[TREASURY.xlsx]Sheet1!R590C2</stp>
        <tr r="B590" s="1"/>
      </tp>
      <tp t="s">
        <v>T</v>
        <stp/>
        <stp>##V3_BDPV12</stp>
        <stp>912827D7 Govt</stp>
        <stp>TICKER</stp>
        <stp>[TREASURY.xlsx]Sheet1!R701C2</stp>
        <tr r="B701" s="1"/>
      </tp>
      <tp t="s">
        <v>T</v>
        <stp/>
        <stp>##V3_BDPV12</stp>
        <stp>912828L4 Govt</stp>
        <stp>TICKER</stp>
        <stp>[TREASURY.xlsx]Sheet1!R669C2</stp>
        <tr r="B669" s="1"/>
      </tp>
      <tp t="s">
        <v>T</v>
        <stp/>
        <stp>##V3_BDPV12</stp>
        <stp>912828D4 Govt</stp>
        <stp>TICKER</stp>
        <stp>[TREASURY.xlsx]Sheet1!R961C2</stp>
        <tr r="B961" s="1"/>
      </tp>
      <tp t="s">
        <v>T</v>
        <stp/>
        <stp>##V3_BDPV12</stp>
        <stp>912828B5 Govt</stp>
        <stp>TICKER</stp>
        <stp>[TREASURY.xlsx]Sheet1!R647C2</stp>
        <tr r="B647" s="1"/>
      </tp>
      <tp t="s">
        <v>T</v>
        <stp/>
        <stp>##V3_BDPV12</stp>
        <stp>912827M5 Govt</stp>
        <stp>TICKER</stp>
        <stp>[TREASURY.xlsx]Sheet1!R718C2</stp>
        <tr r="B718" s="1"/>
      </tp>
      <tp t="s">
        <v>T</v>
        <stp/>
        <stp>##V3_BDPV12</stp>
        <stp>912827F2 Govt</stp>
        <stp>TICKER</stp>
        <stp>[TREASURY.xlsx]Sheet1!R663C2</stp>
        <tr r="B663" s="1"/>
      </tp>
      <tp t="s">
        <v>T</v>
        <stp/>
        <stp>##V3_BDPV12</stp>
        <stp>912810DX Govt</stp>
        <stp>TICKER</stp>
        <stp>[TREASURY.xlsx]Sheet1!R461C2</stp>
        <tr r="B461" s="1"/>
      </tp>
      <tp t="s">
        <v>T</v>
        <stp/>
        <stp>##V3_BDPV12</stp>
        <stp>91282CAY Govt</stp>
        <stp>TICKER</stp>
        <stp>[TREASURY.xlsx]Sheet1!R144C2</stp>
        <tr r="B144" s="1"/>
      </tp>
      <tp t="s">
        <v>T</v>
        <stp/>
        <stp>##V3_BDPV12</stp>
        <stp>912828LW Govt</stp>
        <stp>TICKER</stp>
        <stp>[TREASURY.xlsx]Sheet1!R629C2</stp>
        <tr r="B629" s="1"/>
      </tp>
      <tp t="s">
        <v>T</v>
        <stp/>
        <stp>##V3_BDPV12</stp>
        <stp>912828BT Govt</stp>
        <stp>TICKER</stp>
        <stp>[TREASURY.xlsx]Sheet1!R787C2</stp>
        <tr r="B787" s="1"/>
      </tp>
      <tp t="s">
        <v>T</v>
        <stp/>
        <stp>##V3_BDPV12</stp>
        <stp>912828AU Govt</stp>
        <stp>TICKER</stp>
        <stp>[TREASURY.xlsx]Sheet1!R474C2</stp>
        <tr r="B474" s="1"/>
      </tp>
      <tp t="s">
        <v>T</v>
        <stp/>
        <stp>##V3_BDPV12</stp>
        <stp>912828CU Govt</stp>
        <stp>TICKER</stp>
        <stp>[TREASURY.xlsx]Sheet1!R636C2</stp>
        <tr r="B636" s="1"/>
      </tp>
      <tp t="s">
        <v>NORMAL</v>
        <stp/>
        <stp>##V3_BDPV12</stp>
        <stp>9128285D Govt</stp>
        <stp>MTY_TYP</stp>
        <stp>[TREASURY.xlsx]Sheet1!R54C6</stp>
        <tr r="F54" s="1"/>
      </tp>
      <tp t="s">
        <v>NORMAL</v>
        <stp/>
        <stp>##V3_BDPV12</stp>
        <stp>912810DU Govt</stp>
        <stp>MTY_TYP</stp>
        <stp>[TREASURY.xlsx]Sheet1!R432C6</stp>
        <tr r="F432" s="1"/>
      </tp>
      <tp t="s">
        <v>NORMAL</v>
        <stp/>
        <stp>##V3_BDPV12</stp>
        <stp>912810DS Govt</stp>
        <stp>MTY_TYP</stp>
        <stp>[TREASURY.xlsx]Sheet1!R454C6</stp>
        <tr r="F454" s="1"/>
      </tp>
      <tp t="s">
        <v>NORMAL</v>
        <stp/>
        <stp>##V3_BDPV12</stp>
        <stp>912810EP Govt</stp>
        <stp>MTY_TYP</stp>
        <stp>[TREASURY.xlsx]Sheet1!R317C6</stp>
        <tr r="F317" s="1"/>
      </tp>
      <tp t="s">
        <v>NORMAL</v>
        <stp/>
        <stp>##V3_BDPV12</stp>
        <stp>912810ET Govt</stp>
        <stp>MTY_TYP</stp>
        <stp>[TREASURY.xlsx]Sheet1!R313C6</stp>
        <tr r="F313" s="1"/>
      </tp>
      <tp t="s">
        <v>NORMAL</v>
        <stp/>
        <stp>##V3_BDPV12</stp>
        <stp>912827KV Govt</stp>
        <stp>MTY_TYP</stp>
        <stp>[TREASURY.xlsx]Sheet1!R711C6</stp>
        <tr r="F711" s="1"/>
      </tp>
      <tp t="s">
        <v>NORMAL</v>
        <stp/>
        <stp>##V3_BDPV12</stp>
        <stp>912828EV Govt</stp>
        <stp>MTY_TYP</stp>
        <stp>[TREASURY.xlsx]Sheet1!R841C6</stp>
        <tr r="F841" s="1"/>
      </tp>
      <tp t="s">
        <v>NORMAL</v>
        <stp/>
        <stp>##V3_BDPV12</stp>
        <stp>912828KT Govt</stp>
        <stp>MTY_TYP</stp>
        <stp>[TREASURY.xlsx]Sheet1!R973C6</stp>
        <tr r="F973" s="1"/>
      </tp>
      <tp t="s">
        <v>NORMAL</v>
        <stp/>
        <stp>##V3_BDPV12</stp>
        <stp>912827UW Govt</stp>
        <stp>MTY_TYP</stp>
        <stp>[TREASURY.xlsx]Sheet1!R460C6</stp>
        <tr r="F460" s="1"/>
      </tp>
      <tp t="s">
        <v>NORMAL</v>
        <stp/>
        <stp>##V3_BDPV12</stp>
        <stp>912828RS Govt</stp>
        <stp>MTY_TYP</stp>
        <stp>[TREASURY.xlsx]Sheet1!R444C6</stp>
        <tr r="F444" s="1"/>
      </tp>
      <tp t="s">
        <v>NORMAL</v>
        <stp/>
        <stp>##V3_BDPV12</stp>
        <stp>912828LQ Govt</stp>
        <stp>MTY_TYP</stp>
        <stp>[TREASURY.xlsx]Sheet1!R486C6</stp>
        <tr r="F486" s="1"/>
      </tp>
      <tp t="s">
        <v>NORMAL</v>
        <stp/>
        <stp>##V3_BDPV12</stp>
        <stp>912828DP Govt</stp>
        <stp>MTY_TYP</stp>
        <stp>[TREASURY.xlsx]Sheet1!R517C6</stp>
        <tr r="F517" s="1"/>
      </tp>
      <tp t="s">
        <v>NORMAL</v>
        <stp/>
        <stp>##V3_BDPV12</stp>
        <stp>912827ZS Govt</stp>
        <stp>MTY_TYP</stp>
        <stp>[TREASURY.xlsx]Sheet1!R954C6</stp>
        <tr r="F954" s="1"/>
      </tp>
      <tp t="s">
        <v>NORMAL</v>
        <stp/>
        <stp>##V3_BDPV12</stp>
        <stp>912827XP Govt</stp>
        <stp>MTY_TYP</stp>
        <stp>[TREASURY.xlsx]Sheet1!R937C6</stp>
        <tr r="F937" s="1"/>
      </tp>
      <tp t="s">
        <v>NORMAL</v>
        <stp/>
        <stp>##V3_BDPV12</stp>
        <stp>912828HV Govt</stp>
        <stp>MTY_TYP</stp>
        <stp>[TREASURY.xlsx]Sheet1!R651C6</stp>
        <tr r="F651" s="1"/>
      </tp>
      <tp t="s">
        <v>NORMAL</v>
        <stp/>
        <stp>##V3_BDPV12</stp>
        <stp>912827RW Govt</stp>
        <stp>MTY_TYP</stp>
        <stp>[TREASURY.xlsx]Sheet1!R830C6</stp>
        <tr r="F830" s="1"/>
      </tp>
      <tp t="s">
        <v>NORMAL</v>
        <stp/>
        <stp>##V3_BDPV12</stp>
        <stp>912827SU Govt</stp>
        <stp>MTY_TYP</stp>
        <stp>[TREASURY.xlsx]Sheet1!R832C6</stp>
        <tr r="F832" s="1"/>
      </tp>
      <tp t="s">
        <v>NORMAL</v>
        <stp/>
        <stp>##V3_BDPV12</stp>
        <stp>912827LU Govt</stp>
        <stp>MTY_TYP</stp>
        <stp>[TREASURY.xlsx]Sheet1!R892C6</stp>
        <tr r="F892" s="1"/>
      </tp>
      <tp t="s">
        <v>NORMAL</v>
        <stp/>
        <stp>##V3_BDPV12</stp>
        <stp>912828ZU Govt</stp>
        <stp>MTY_TYP</stp>
        <stp>[TREASURY.xlsx]Sheet1!R162C6</stp>
        <tr r="F162" s="1"/>
      </tp>
      <tp t="s">
        <v>NORMAL</v>
        <stp/>
        <stp>##V3_BDPV12</stp>
        <stp>912828VS Govt</stp>
        <stp>MTY_TYP</stp>
        <stp>[TREASURY.xlsx]Sheet1!R134C6</stp>
        <tr r="F134" s="1"/>
      </tp>
      <tp t="s">
        <v>NORMAL</v>
        <stp/>
        <stp>##V3_BDPV12</stp>
        <stp>9128284S Govt</stp>
        <stp>MTY_TYP</stp>
        <stp>[TREASURY.xlsx]Sheet1!R294C6</stp>
        <tr r="F294" s="1"/>
      </tp>
      <tp t="s">
        <v>NORMAL</v>
        <stp/>
        <stp>##V3_BDPV12</stp>
        <stp>9128282U Govt</stp>
        <stp>MTY_TYP</stp>
        <stp>[TREASURY.xlsx]Sheet1!R252C6</stp>
        <tr r="F252" s="1"/>
      </tp>
      <tp t="s">
        <v>NORMAL</v>
        <stp/>
        <stp>##V3_BDPV12</stp>
        <stp>912828XQ Govt</stp>
        <stp>MTY_TYP</stp>
        <stp>[TREASURY.xlsx]Sheet1!R206C6</stp>
        <tr r="F206" s="1"/>
      </tp>
      <tp t="s">
        <v>NORMAL</v>
        <stp/>
        <stp>##V3_BDPV12</stp>
        <stp>9128284P Govt</stp>
        <stp>MTY_TYP</stp>
        <stp>[TREASURY.xlsx]Sheet1!R367C6</stp>
        <tr r="F367" s="1"/>
      </tp>
      <tp t="s">
        <v>NORMAL</v>
        <stp/>
        <stp>##V3_BDPV12</stp>
        <stp>912828WW Govt</stp>
        <stp>MTY_TYP</stp>
        <stp>[TREASURY.xlsx]Sheet1!R340C6</stp>
        <tr r="F340" s="1"/>
      </tp>
      <tp t="s">
        <v>NORMAL</v>
        <stp/>
        <stp>##V3_BDPV12</stp>
        <stp>91282CAU Govt</stp>
        <stp>MTY_TYP</stp>
        <stp>[TREASURY.xlsx]Sheet1!R102C6</stp>
        <tr r="F102" s="1"/>
      </tp>
      <tp t="s">
        <v>T</v>
        <stp/>
        <stp>##V3_BDPV12</stp>
        <stp>912828GQ Govt</stp>
        <stp>TICKER</stp>
        <stp>[TREASURY.xlsx]Sheet1!R672C2</stp>
        <tr r="B672" s="1"/>
      </tp>
      <tp t="s">
        <v>T</v>
        <stp/>
        <stp>##V3_BDPV12</stp>
        <stp>912828CN Govt</stp>
        <stp>TICKER</stp>
        <stp>[TREASURY.xlsx]Sheet1!R696C2</stp>
        <tr r="B696" s="1"/>
      </tp>
      <tp t="s">
        <v>T</v>
        <stp/>
        <stp>##V3_BDPV12</stp>
        <stp>91282CBM Govt</stp>
        <stp>TICKER</stp>
        <stp>[TREASURY.xlsx]Sheet1!R107C2</stp>
        <tr r="B107" s="1"/>
      </tp>
      <tp t="s">
        <v>T</v>
        <stp/>
        <stp>##V3_BDPV12</stp>
        <stp>912828GJ Govt</stp>
        <stp>TICKER</stp>
        <stp>[TREASURY.xlsx]Sheet1!R802C2</stp>
        <tr r="B802" s="1"/>
      </tp>
      <tp t="s">
        <v>T</v>
        <stp/>
        <stp>##V3_BDPV12</stp>
        <stp>912828MK Govt</stp>
        <stp>TICKER</stp>
        <stp>[TREASURY.xlsx]Sheet1!R538C2</stp>
        <tr r="B538" s="1"/>
      </tp>
      <tp t="s">
        <v>T</v>
        <stp/>
        <stp>##V3_BDPV12</stp>
        <stp>912827MK Govt</stp>
        <stp>TICKER</stp>
        <stp>[TREASURY.xlsx]Sheet1!R898C2</stp>
        <tr r="B898" s="1"/>
      </tp>
      <tp t="s">
        <v>T</v>
        <stp/>
        <stp>##V3_BDPV12</stp>
        <stp>912810EH Govt</stp>
        <stp>TICKER</stp>
        <stp>[TREASURY.xlsx]Sheet1!R400C2</stp>
        <tr r="B400" s="1"/>
      </tp>
      <tp t="s">
        <v>T</v>
        <stp/>
        <stp>##V3_BDPV12</stp>
        <stp>912828FH Govt</stp>
        <stp>TICKER</stp>
        <stp>[TREASURY.xlsx]Sheet1!R843C2</stp>
        <tr r="B843" s="1"/>
      </tp>
      <tp t="s">
        <v>T</v>
        <stp/>
        <stp>##V3_BDPV12</stp>
        <stp>912810FG Govt</stp>
        <stp>TICKER</stp>
        <stp>[TREASURY.xlsx]Sheet1!R223C2</stp>
        <tr r="B223" s="1"/>
      </tp>
      <tp t="s">
        <v>T</v>
        <stp/>
        <stp>##V3_BDPV12</stp>
        <stp>912828BG Govt</stp>
        <stp>TICKER</stp>
        <stp>[TREASURY.xlsx]Sheet1!R427C2</stp>
        <tr r="B427" s="1"/>
      </tp>
      <tp t="s">
        <v>T</v>
        <stp/>
        <stp>##V3_BDPV12</stp>
        <stp>912828DD Govt</stp>
        <stp>TICKER</stp>
        <stp>[TREASURY.xlsx]Sheet1!R791C2</stp>
        <tr r="B791" s="1"/>
      </tp>
      <tp t="s">
        <v>T</v>
        <stp/>
        <stp>##V3_BDPV12</stp>
        <stp>912810FE Govt</stp>
        <stp>TICKER</stp>
        <stp>[TREASURY.xlsx]Sheet1!R253C2</stp>
        <tr r="B253" s="1"/>
      </tp>
      <tp t="s">
        <v>T</v>
        <stp/>
        <stp>##V3_BDPV12</stp>
        <stp>912827LE Govt</stp>
        <stp>TICKER</stp>
        <stp>[TREASURY.xlsx]Sheet1!R889C2</stp>
        <tr r="B889" s="1"/>
      </tp>
      <tp t="s">
        <v>T</v>
        <stp/>
        <stp>##V3_BDPV12</stp>
        <stp>912828DB Govt</stp>
        <stp>TICKER</stp>
        <stp>[TREASURY.xlsx]Sheet1!R591C2</stp>
        <tr r="B591" s="1"/>
      </tp>
      <tp t="s">
        <v>T</v>
        <stp/>
        <stp>##V3_BDPV12</stp>
        <stp>912810CC Govt</stp>
        <stp>TICKER</stp>
        <stp>[TREASURY.xlsx]Sheet1!R526C2</stp>
        <tr r="B526" s="1"/>
      </tp>
      <tp t="s">
        <v>2/16/1982</v>
        <stp/>
        <stp>##V3_BDPV12</stp>
        <stp>912827MW Govt</stp>
        <stp>ISSUE_DT</stp>
        <stp>[TREASURY.xlsx]Sheet1!R1047C15</stp>
        <tr r="O1047" s="1"/>
      </tp>
      <tp t="s">
        <v>3/15/2010</v>
        <stp/>
        <stp>##V3_BDPV12</stp>
        <stp>912828MT Govt</stp>
        <stp>ISSUE_DT</stp>
        <stp>[TREASURY.xlsx]Sheet1!R1254C15</stp>
        <tr r="O1254" s="1"/>
      </tp>
      <tp t="s">
        <v>2/1/1982</v>
        <stp/>
        <stp>##V3_BDPV12</stp>
        <stp>912827MU Govt</stp>
        <stp>ISSUE_DT</stp>
        <stp>[TREASURY.xlsx]Sheet1!R1328C15</stp>
        <tr r="O1328" s="1"/>
      </tp>
      <tp t="s">
        <v>T</v>
        <stp/>
        <stp>##V3_BDPV12</stp>
        <stp>912828GB Govt</stp>
        <stp>TICKER</stp>
        <stp>[TREASURY.xlsx]Sheet1!R1433C2</stp>
        <tr r="B1433" s="1"/>
      </tp>
      <tp t="s">
        <v>T</v>
        <stp/>
        <stp>##V3_BDPV12</stp>
        <stp>912828EB Govt</stp>
        <stp>TICKER</stp>
        <stp>[TREASURY.xlsx]Sheet1!R1113C2</stp>
        <tr r="B1113" s="1"/>
      </tp>
      <tp t="s">
        <v>T</v>
        <stp/>
        <stp>##V3_BDPV12</stp>
        <stp>912828GC Govt</stp>
        <stp>TICKER</stp>
        <stp>[TREASURY.xlsx]Sheet1!R1282C2</stp>
        <tr r="B1282" s="1"/>
      </tp>
      <tp t="s">
        <v>T</v>
        <stp/>
        <stp>##V3_BDPV12</stp>
        <stp>912828FE Govt</stp>
        <stp>TICKER</stp>
        <stp>[TREASURY.xlsx]Sheet1!R1274C2</stp>
        <tr r="B1274" s="1"/>
      </tp>
      <tp t="s">
        <v>T</v>
        <stp/>
        <stp>##V3_BDPV12</stp>
        <stp>912828RD Govt</stp>
        <stp>TICKER</stp>
        <stp>[TREASURY.xlsx]Sheet1!R1265C2</stp>
        <tr r="B1265" s="1"/>
      </tp>
      <tp t="s">
        <v>T</v>
        <stp/>
        <stp>##V3_BDPV12</stp>
        <stp>912827NB Govt</stp>
        <stp>TICKER</stp>
        <stp>[TREASURY.xlsx]Sheet1!R1383C2</stp>
        <tr r="B1383" s="1"/>
      </tp>
      <tp t="s">
        <v>T</v>
        <stp/>
        <stp>##V3_BDPV12</stp>
        <stp>9128273B Govt</stp>
        <stp>TICKER</stp>
        <stp>[TREASURY.xlsx]Sheet1!R1353C2</stp>
        <tr r="B1353" s="1"/>
      </tp>
      <tp t="s">
        <v>T</v>
        <stp/>
        <stp>##V3_BDPV12</stp>
        <stp>912827SB Govt</stp>
        <stp>TICKER</stp>
        <stp>[TREASURY.xlsx]Sheet1!R1183C2</stp>
        <tr r="B1183" s="1"/>
      </tp>
      <tp t="s">
        <v>T</v>
        <stp/>
        <stp>##V3_BDPV12</stp>
        <stp>912827SE Govt</stp>
        <stp>TICKER</stp>
        <stp>[TREASURY.xlsx]Sheet1!R1184C2</stp>
        <tr r="B1184" s="1"/>
      </tp>
      <tp t="s">
        <v>T</v>
        <stp/>
        <stp>##V3_BDPV12</stp>
        <stp>912827VD Govt</stp>
        <stp>TICKER</stp>
        <stp>[TREASURY.xlsx]Sheet1!R1085C2</stp>
        <tr r="B1085" s="1"/>
      </tp>
      <tp t="s">
        <v>T</v>
        <stp/>
        <stp>##V3_BDPV12</stp>
        <stp>912827PE Govt</stp>
        <stp>TICKER</stp>
        <stp>[TREASURY.xlsx]Sheet1!R1054C2</stp>
        <tr r="B1054" s="1"/>
      </tp>
      <tp t="s">
        <v>T</v>
        <stp/>
        <stp>##V3_BDPV12</stp>
        <stp>912827RC Govt</stp>
        <stp>TICKER</stp>
        <stp>[TREASURY.xlsx]Sheet1!R1062C2</stp>
        <tr r="B1062" s="1"/>
      </tp>
      <tp t="s">
        <v>T</v>
        <stp/>
        <stp>##V3_BDPV12</stp>
        <stp>9128277F Govt</stp>
        <stp>TICKER</stp>
        <stp>[TREASURY.xlsx]Sheet1!R1027C2</stp>
        <tr r="B1027" s="1"/>
      </tp>
      <tp t="s">
        <v>T</v>
        <stp/>
        <stp>##V3_BDPV12</stp>
        <stp>9128276A Govt</stp>
        <stp>TICKER</stp>
        <stp>[TREASURY.xlsx]Sheet1!R1020C2</stp>
        <tr r="B1020" s="1"/>
      </tp>
      <tp t="s">
        <v>T</v>
        <stp/>
        <stp>##V3_BDPV12</stp>
        <stp>9128276C Govt</stp>
        <stp>TICKER</stp>
        <stp>[TREASURY.xlsx]Sheet1!R1022C2</stp>
        <tr r="B1022" s="1"/>
      </tp>
      <tp t="s">
        <v>T</v>
        <stp/>
        <stp>##V3_BDPV12</stp>
        <stp>9128276D Govt</stp>
        <stp>TICKER</stp>
        <stp>[TREASURY.xlsx]Sheet1!R1465C2</stp>
        <tr r="B1465" s="1"/>
      </tp>
      <tp t="s">
        <v>2/16/1982</v>
        <stp/>
        <stp>##V3_BDPV12</stp>
        <stp>912827MV Govt</stp>
        <stp>ISSUE_DT</stp>
        <stp>[TREASURY.xlsx]Sheet1!R1381C15</stp>
        <tr r="O1381" s="1"/>
      </tp>
      <tp t="s">
        <v>USD</v>
        <stp/>
        <stp>##V3_BDPV12</stp>
        <stp>912828KP Govt</stp>
        <stp>CRNCY</stp>
        <stp>[TREASURY.xlsx]Sheet1!R1125C7</stp>
        <tr r="G1125" s="1"/>
      </tp>
      <tp t="s">
        <v>T</v>
        <stp/>
        <stp>##V3_BDPV12</stp>
        <stp>912810DG Govt</stp>
        <stp>TICKER</stp>
        <stp>[TREASURY.xlsx]Sheet1!R1516C2</stp>
        <tr r="B1516" s="1"/>
      </tp>
      <tp t="s">
        <v>T</v>
        <stp/>
        <stp>##V3_BDPV12</stp>
        <stp>912810DH Govt</stp>
        <stp>TICKER</stp>
        <stp>[TREASURY.xlsx]Sheet1!R1619C2</stp>
        <tr r="B1619" s="1"/>
      </tp>
      <tp t="s">
        <v>USD</v>
        <stp/>
        <stp>##V3_BDPV12</stp>
        <stp>912827LQ Govt</stp>
        <stp>CRNCY</stp>
        <stp>[TREASURY.xlsx]Sheet1!R1322C7</stp>
        <tr r="G1322" s="1"/>
      </tp>
      <tp t="s">
        <v>12/31/1981</v>
        <stp/>
        <stp>##V3_BDPV12</stp>
        <stp>912827MS Govt</stp>
        <stp>ISSUE_DT</stp>
        <stp>[TREASURY.xlsx]Sheet1!R1046C15</stp>
        <tr r="O1046" s="1"/>
      </tp>
      <tp t="s">
        <v>12/31/1981</v>
        <stp/>
        <stp>##V3_BDPV12</stp>
        <stp>912827MR Govt</stp>
        <stp>ISSUE_DT</stp>
        <stp>[TREASURY.xlsx]Sheet1!R1327C15</stp>
        <tr r="O1327" s="1"/>
      </tp>
      <tp t="s">
        <v>11/15/2021</v>
        <stp/>
        <stp>##V3_BDPV12</stp>
        <stp>912810SX Govt</stp>
        <stp>FIRST_CPN_DT</stp>
        <stp>[TREASURY.xlsx]Sheet1!R8C9</stp>
        <tr r="I8" s="1"/>
      </tp>
      <tp t="s">
        <v>USD</v>
        <stp/>
        <stp>##V3_BDPV12</stp>
        <stp>912828FX Govt</stp>
        <stp>CRNCY</stp>
        <stp>[TREASURY.xlsx]Sheet1!R1278C7</stp>
        <tr r="G1278" s="1"/>
      </tp>
      <tp t="s">
        <v>USD</v>
        <stp/>
        <stp>##V3_BDPV12</stp>
        <stp>912827NY Govt</stp>
        <stp>CRNCY</stp>
        <stp>[TREASURY.xlsx]Sheet1!R1170C7</stp>
        <tr r="G1170" s="1"/>
      </tp>
      <tp t="s">
        <v>3/31/1982</v>
        <stp/>
        <stp>##V3_BDPV12</stp>
        <stp>912827MZ Govt</stp>
        <stp>ISSUE_DT</stp>
        <stp>[TREASURY.xlsx]Sheet1!R1168C15</stp>
        <tr r="O1168" s="1"/>
      </tp>
      <tp t="s">
        <v>3/1/1982</v>
        <stp/>
        <stp>##V3_BDPV12</stp>
        <stp>912827MX Govt</stp>
        <stp>ISSUE_DT</stp>
        <stp>[TREASURY.xlsx]Sheet1!R1382C15</stp>
        <tr r="O1382" s="1"/>
      </tp>
      <tp t="s">
        <v>4/30/2010</v>
        <stp/>
        <stp>##V3_BDPV12</stp>
        <stp>912828MZ Govt</stp>
        <stp>ISSUE_DT</stp>
        <stp>[TREASURY.xlsx]Sheet1!R1255C15</stp>
        <tr r="O1255" s="1"/>
      </tp>
      <tp t="s">
        <v>8/17/1981</v>
        <stp/>
        <stp>##V3_BDPV12</stp>
        <stp>912827MD Govt</stp>
        <stp>ISSUE_DT</stp>
        <stp>[TREASURY.xlsx]Sheet1!R1167C15</stp>
        <tr r="O1167" s="1"/>
      </tp>
      <tp t="s">
        <v>#N/A Field Not Applicable</v>
        <stp/>
        <stp>##V3_BDPV12</stp>
        <stp>9128272J Govt</stp>
        <stp>IDX_RATIO</stp>
        <stp>[TREASURY.xlsx]Sheet1!R1451C20</stp>
        <tr r="T1451" s="1"/>
      </tp>
      <tp t="s">
        <v>#N/A Field Not Applicable</v>
        <stp/>
        <stp>##V3_BDPV12</stp>
        <stp>9128273J Govt</stp>
        <stp>IDX_RATIO</stp>
        <stp>[TREASURY.xlsx]Sheet1!R1528C20</stp>
        <tr r="T1528" s="1"/>
      </tp>
      <tp t="s">
        <v>11/30/2009</v>
        <stp/>
        <stp>##V3_BDPV12</stp>
        <stp>912828MA Govt</stp>
        <stp>ISSUE_DT</stp>
        <stp>[TREASURY.xlsx]Sheet1!R1252C15</stp>
        <tr r="O1252" s="1"/>
      </tp>
      <tp t="s">
        <v>#N/A Field Not Applicable</v>
        <stp/>
        <stp>##V3_BDPV12</stp>
        <stp>912827VJ Govt</stp>
        <stp>IDX_RATIO</stp>
        <stp>[TREASURY.xlsx]Sheet1!R1203C20</stp>
        <tr r="T1203" s="1"/>
      </tp>
      <tp t="s">
        <v>#N/A Field Not Applicable</v>
        <stp/>
        <stp>##V3_BDPV12</stp>
        <stp>912827WJ Govt</stp>
        <stp>IDX_RATIO</stp>
        <stp>[TREASURY.xlsx]Sheet1!R1207C20</stp>
        <tr r="T1207" s="1"/>
      </tp>
      <tp t="s">
        <v>#N/A Field Not Applicable</v>
        <stp/>
        <stp>##V3_BDPV12</stp>
        <stp>912828EJ Govt</stp>
        <stp>IDX_RATIO</stp>
        <stp>[TREASURY.xlsx]Sheet1!R1238C20</stp>
        <tr r="T1238" s="1"/>
      </tp>
      <tp t="s">
        <v>#N/A Field Not Applicable</v>
        <stp/>
        <stp>##V3_BDPV12</stp>
        <stp>9128274J Govt</stp>
        <stp>IDX_RATIO</stp>
        <stp>[TREASURY.xlsx]Sheet1!R1365C20</stp>
        <tr r="T1365" s="1"/>
      </tp>
      <tp t="s">
        <v>#N/A Field Not Applicable</v>
        <stp/>
        <stp>##V3_BDPV12</stp>
        <stp>912827PJ Govt</stp>
        <stp>IDX_RATIO</stp>
        <stp>[TREASURY.xlsx]Sheet1!R1389C20</stp>
        <tr r="T1389" s="1"/>
      </tp>
      <tp t="s">
        <v>#N/A Field Not Applicable</v>
        <stp/>
        <stp>##V3_BDPV12</stp>
        <stp>912827TJ Govt</stp>
        <stp>IDX_RATIO</stp>
        <stp>[TREASURY.xlsx]Sheet1!R1073C20</stp>
        <tr r="T1073" s="1"/>
      </tp>
      <tp t="s">
        <v>#N/A Field Not Applicable</v>
        <stp/>
        <stp>##V3_BDPV12</stp>
        <stp>912827NJ Govt</stp>
        <stp>IDX_RATIO</stp>
        <stp>[TREASURY.xlsx]Sheet1!R1050C20</stp>
        <tr r="T1050" s="1"/>
      </tp>
      <tp t="s">
        <v>#N/A Field Not Applicable</v>
        <stp/>
        <stp>##V3_BDPV12</stp>
        <stp>9128275J Govt</stp>
        <stp>IDX_RATIO</stp>
        <stp>[TREASURY.xlsx]Sheet1!R1014C20</stp>
        <tr r="T1014" s="1"/>
      </tp>
      <tp t="s">
        <v>7/31/1981</v>
        <stp/>
        <stp>##V3_BDPV12</stp>
        <stp>912827MC Govt</stp>
        <stp>ISSUE_DT</stp>
        <stp>[TREASURY.xlsx]Sheet1!R1324C15</stp>
        <tr r="O1324" s="1"/>
      </tp>
      <tp t="s">
        <v>#N/A Field Not Applicable</v>
        <stp/>
        <stp>##V3_BDPV12</stp>
        <stp>912828DJ Govt</stp>
        <stp>IDX_RATIO</stp>
        <stp>[TREASURY.xlsx]Sheet1!R1111C20</stp>
        <tr r="T1111" s="1"/>
      </tp>
      <tp t="s">
        <v>#N/A Field Not Applicable</v>
        <stp/>
        <stp>##V3_BDPV12</stp>
        <stp>912828XJ Govt</stp>
        <stp>IDX_RATIO</stp>
        <stp>[TREASURY.xlsx]Sheet1!R1152C20</stp>
        <tr r="T1152" s="1"/>
      </tp>
      <tp t="s">
        <v>#N/A Field Not Applicable</v>
        <stp/>
        <stp>##V3_BDPV12</stp>
        <stp>912827SJ Govt</stp>
        <stp>IDX_RATIO</stp>
        <stp>[TREASURY.xlsx]Sheet1!R1185C20</stp>
        <tr r="T1185" s="1"/>
      </tp>
      <tp t="s">
        <v>11/2/1981</v>
        <stp/>
        <stp>##V3_BDPV12</stp>
        <stp>912827ML Govt</stp>
        <stp>ISSUE_DT</stp>
        <stp>[TREASURY.xlsx]Sheet1!R1325C15</stp>
        <tr r="O1325" s="1"/>
      </tp>
      <tp t="s">
        <v>USD</v>
        <stp/>
        <stp>##V3_BDPV12</stp>
        <stp>912827NJ Govt</stp>
        <stp>CRNCY</stp>
        <stp>[TREASURY.xlsx]Sheet1!R1050C7</stp>
        <tr r="G1050" s="1"/>
      </tp>
      <tp t="s">
        <v>12/31/2009</v>
        <stp/>
        <stp>##V3_BDPV12</stp>
        <stp>912828ML Govt</stp>
        <stp>ISSUE_DT</stp>
        <stp>[TREASURY.xlsx]Sheet1!R1253C15</stp>
        <tr r="O1253" s="1"/>
      </tp>
      <tp t="s">
        <v>USD</v>
        <stp/>
        <stp>##V3_BDPV12</stp>
        <stp>912828GK Govt</stp>
        <stp>CRNCY</stp>
        <stp>[TREASURY.xlsx]Sheet1!R1119C7</stp>
        <tr r="G1119" s="1"/>
      </tp>
      <tp t="s">
        <v>USD</v>
        <stp/>
        <stp>##V3_BDPV12</stp>
        <stp>912827LK Govt</stp>
        <stp>CRNCY</stp>
        <stp>[TREASURY.xlsx]Sheet1!R1042C7</stp>
        <tr r="G1042" s="1"/>
      </tp>
      <tp t="s">
        <v>11/16/1981</v>
        <stp/>
        <stp>##V3_BDPV12</stp>
        <stp>912827MM Govt</stp>
        <stp>ISSUE_DT</stp>
        <stp>[TREASURY.xlsx]Sheet1!R1045C15</stp>
        <tr r="O1045" s="1"/>
      </tp>
      <tp t="s">
        <v>11/16/1981</v>
        <stp/>
        <stp>##V3_BDPV12</stp>
        <stp>912827MN Govt</stp>
        <stp>ISSUE_DT</stp>
        <stp>[TREASURY.xlsx]Sheet1!R1326C15</stp>
        <tr r="O1326" s="1"/>
      </tp>
      <tp t="s">
        <v>USD</v>
        <stp/>
        <stp>##V3_BDPV12</stp>
        <stp>912828ML Govt</stp>
        <stp>CRNCY</stp>
        <stp>[TREASURY.xlsx]Sheet1!R1253C7</stp>
        <tr r="G1253" s="1"/>
      </tp>
      <tp t="s">
        <v>USD</v>
        <stp/>
        <stp>##V3_BDPV12</stp>
        <stp>912827L2 Govt</stp>
        <stp>CRNCY</stp>
        <stp>[TREASURY.xlsx]Sheet1!R1163C7</stp>
        <tr r="G1163" s="1"/>
      </tp>
      <tp t="s">
        <v>6/30/1993</v>
        <stp/>
        <stp>##V3_BDPV12</stp>
        <stp>912827L3 Govt</stp>
        <stp>ISSUE_DT</stp>
        <stp>[TREASURY.xlsx]Sheet1!R1564C15</stp>
        <tr r="O1564" s="1"/>
      </tp>
      <tp t="s">
        <v>8/2/1993</v>
        <stp/>
        <stp>##V3_BDPV12</stp>
        <stp>912827L6 Govt</stp>
        <stp>ISSUE_DT</stp>
        <stp>[TREASURY.xlsx]Sheet1!R1041C15</stp>
        <tr r="O1041" s="1"/>
      </tp>
      <tp t="s">
        <v>6/30/1993</v>
        <stp/>
        <stp>##V3_BDPV12</stp>
        <stp>912827L4 Govt</stp>
        <stp>ISSUE_DT</stp>
        <stp>[TREASURY.xlsx]Sheet1!R1040C15</stp>
        <tr r="O1040" s="1"/>
      </tp>
      <tp t="s">
        <v>6/1/1993</v>
        <stp/>
        <stp>##V3_BDPV12</stp>
        <stp>912827L2 Govt</stp>
        <stp>ISSUE_DT</stp>
        <stp>[TREASURY.xlsx]Sheet1!R1163C15</stp>
        <tr r="O1163" s="1"/>
      </tp>
      <tp t="s">
        <v>8/16/1993</v>
        <stp/>
        <stp>##V3_BDPV12</stp>
        <stp>912827L7 Govt</stp>
        <stp>ISSUE_DT</stp>
        <stp>[TREASURY.xlsx]Sheet1!R1565C15</stp>
        <tr r="O1565" s="1"/>
      </tp>
      <tp t="s">
        <v>USD</v>
        <stp/>
        <stp>##V3_BDPV12</stp>
        <stp>912827H4 Govt</stp>
        <stp>CRNCY</stp>
        <stp>[TREASURY.xlsx]Sheet1!R1157C7</stp>
        <tr r="G1157" s="1"/>
      </tp>
      <tp t="s">
        <v>USD</v>
        <stp/>
        <stp>##V3_BDPV12</stp>
        <stp>912827F4 Govt</stp>
        <stp>CRNCY</stp>
        <stp>[TREASURY.xlsx]Sheet1!R1559C7</stp>
        <tr r="G1559" s="1"/>
      </tp>
      <tp t="s">
        <v>USD</v>
        <stp/>
        <stp>##V3_BDPV12</stp>
        <stp>912827H8 Govt</stp>
        <stp>CRNCY</stp>
        <stp>[TREASURY.xlsx]Sheet1!R1487C7</stp>
        <tr r="G1487" s="1"/>
      </tp>
      <tp t="s">
        <v>8/16/1993</v>
        <stp/>
        <stp>##V3_BDPV12</stp>
        <stp>912827L8 Govt</stp>
        <stp>ISSUE_DT</stp>
        <stp>[TREASURY.xlsx]Sheet1!R1319C15</stp>
        <tr r="O1319" s="1"/>
      </tp>
      <tp t="s">
        <v>10/15/2015</v>
        <stp/>
        <stp>##V3_BDPV12</stp>
        <stp>912828L8 Govt</stp>
        <stp>ISSUE_DT</stp>
        <stp>[TREASURY.xlsx]Sheet1!R1127C15</stp>
        <tr r="O1127" s="1"/>
      </tp>
      <tp t="s">
        <v>T</v>
        <stp/>
        <stp>##V3_BDPV12</stp>
        <stp>91282CCV Govt</stp>
        <stp>TICKER</stp>
        <stp>[TREASURY.xlsx]Sheet1!R9C2</stp>
        <tr r="B9" s="1"/>
      </tp>
      <tp t="s">
        <v>5/17/2021</v>
        <stp/>
        <stp>##V3_BDPV12</stp>
        <stp>912810SX Govt</stp>
        <stp>ISSUE_DT</stp>
        <stp>[TREASURY.xlsx]Sheet1!R8C15</stp>
        <tr r="O8" s="1"/>
      </tp>
      <tp t="s">
        <v>9/15/2021</v>
        <stp/>
        <stp>##V3_BDPV12</stp>
        <stp>91282CCX Govt</stp>
        <stp>ISSUE_DT</stp>
        <stp>[TREASURY.xlsx]Sheet1!R5C15</stp>
        <tr r="O5" s="1"/>
      </tp>
      <tp t="s">
        <v>T</v>
        <stp/>
        <stp>##V3_BDPV12</stp>
        <stp>912828L9 Govt</stp>
        <stp>TICKER</stp>
        <stp>[TREASURY.xlsx]Sheet1!R358C2</stp>
        <tr r="B358" s="1"/>
      </tp>
      <tp t="s">
        <v>T</v>
        <stp/>
        <stp>##V3_BDPV12</stp>
        <stp>912827M6 Govt</stp>
        <stp>TICKER</stp>
        <stp>[TREASURY.xlsx]Sheet1!R719C2</stp>
        <tr r="B719" s="1"/>
      </tp>
      <tp t="s">
        <v>T</v>
        <stp/>
        <stp>##V3_BDPV12</stp>
        <stp>912827D6 Govt</stp>
        <stp>TICKER</stp>
        <stp>[TREASURY.xlsx]Sheet1!R700C2</stp>
        <tr r="B700" s="1"/>
      </tp>
      <tp t="s">
        <v>T</v>
        <stp/>
        <stp>##V3_BDPV12</stp>
        <stp>912828A4 Govt</stp>
        <stp>TICKER</stp>
        <stp>[TREASURY.xlsx]Sheet1!R555C2</stp>
        <tr r="B555" s="1"/>
      </tp>
      <tp t="s">
        <v>T</v>
        <stp/>
        <stp>##V3_BDPV12</stp>
        <stp>912827G3 Govt</stp>
        <stp>TICKER</stp>
        <stp>[TREASURY.xlsx]Sheet1!R703C2</stp>
        <tr r="B703" s="1"/>
      </tp>
      <tp t="s">
        <v>T</v>
        <stp/>
        <stp>##V3_BDPV12</stp>
        <stp>91282CBZ Govt</stp>
        <stp>TICKER</stp>
        <stp>[TREASURY.xlsx]Sheet1!R126C2</stp>
        <tr r="B126" s="1"/>
      </tp>
      <tp t="s">
        <v>T</v>
        <stp/>
        <stp>##V3_BDPV12</stp>
        <stp>912828BZ Govt</stp>
        <stp>TICKER</stp>
        <stp>[TREASURY.xlsx]Sheet1!R436C2</stp>
        <tr r="B436" s="1"/>
      </tp>
      <tp t="s">
        <v>T</v>
        <stp/>
        <stp>##V3_BDPV12</stp>
        <stp>912828AZ Govt</stp>
        <stp>TICKER</stp>
        <stp>[TREASURY.xlsx]Sheet1!R415C2</stp>
        <tr r="B415" s="1"/>
      </tp>
      <tp t="s">
        <v>T</v>
        <stp/>
        <stp>##V3_BDPV12</stp>
        <stp>912828BX Govt</stp>
        <stp>TICKER</stp>
        <stp>[TREASURY.xlsx]Sheet1!R556C2</stp>
        <tr r="B556" s="1"/>
      </tp>
      <tp t="s">
        <v>T</v>
        <stp/>
        <stp>##V3_BDPV12</stp>
        <stp>912828CY Govt</stp>
        <stp>TICKER</stp>
        <stp>[TREASURY.xlsx]Sheet1!R477C2</stp>
        <tr r="B477" s="1"/>
      </tp>
      <tp t="s">
        <v>T</v>
        <stp/>
        <stp>##V3_BDPV12</stp>
        <stp>912828BY Govt</stp>
        <stp>TICKER</stp>
        <stp>[TREASURY.xlsx]Sheet1!R506C2</stp>
        <tr r="B506" s="1"/>
      </tp>
      <tp t="s">
        <v>T</v>
        <stp/>
        <stp>##V3_BDPV12</stp>
        <stp>912828DV Govt</stp>
        <stp>TICKER</stp>
        <stp>[TREASURY.xlsx]Sheet1!R620C2</stp>
        <tr r="B620" s="1"/>
      </tp>
      <tp t="s">
        <v>T</v>
        <stp/>
        <stp>##V3_BDPV12</stp>
        <stp>912828EV Govt</stp>
        <stp>TICKER</stp>
        <stp>[TREASURY.xlsx]Sheet1!R841C2</stp>
        <tr r="B841" s="1"/>
      </tp>
      <tp t="s">
        <v>T</v>
        <stp/>
        <stp>##V3_BDPV12</stp>
        <stp>912828MW Govt</stp>
        <stp>TICKER</stp>
        <stp>[TREASURY.xlsx]Sheet1!R599C2</stp>
        <tr r="B599" s="1"/>
      </tp>
      <tp t="s">
        <v>T</v>
        <stp/>
        <stp>##V3_BDPV12</stp>
        <stp>912828AT Govt</stp>
        <stp>TICKER</stp>
        <stp>[TREASURY.xlsx]Sheet1!R635C2</stp>
        <tr r="B635" s="1"/>
      </tp>
      <tp t="s">
        <v>T</v>
        <stp/>
        <stp>##V3_BDPV12</stp>
        <stp>912828LU Govt</stp>
        <stp>TICKER</stp>
        <stp>[TREASURY.xlsx]Sheet1!R818C2</stp>
        <tr r="B818" s="1"/>
      </tp>
      <tp t="s">
        <v>T</v>
        <stp/>
        <stp>##V3_BDPV12</stp>
        <stp>912828AS Govt</stp>
        <stp>TICKER</stp>
        <stp>[TREASURY.xlsx]Sheet1!R785C2</stp>
        <tr r="B785" s="1"/>
      </tp>
      <tp t="s">
        <v>T</v>
        <stp/>
        <stp>##V3_BDPV12</stp>
        <stp>912828LS Govt</stp>
        <stp>TICKER</stp>
        <stp>[TREASURY.xlsx]Sheet1!R858C2</stp>
        <tr r="B858" s="1"/>
      </tp>
      <tp t="s">
        <v>NORMAL</v>
        <stp/>
        <stp>##V3_BDPV12</stp>
        <stp>912827VR Govt</stp>
        <stp>MTY_TYP</stp>
        <stp>[TREASURY.xlsx]Sheet1!R764C6</stp>
        <tr r="F764" s="1"/>
      </tp>
      <tp t="s">
        <v>NORMAL</v>
        <stp/>
        <stp>##V3_BDPV12</stp>
        <stp>912828LP Govt</stp>
        <stp>MTY_TYP</stp>
        <stp>[TREASURY.xlsx]Sheet1!R816C6</stp>
        <tr r="F816" s="1"/>
      </tp>
      <tp t="s">
        <v>NORMAL</v>
        <stp/>
        <stp>##V3_BDPV12</stp>
        <stp>912828KU Govt</stp>
        <stp>MTY_TYP</stp>
        <stp>[TREASURY.xlsx]Sheet1!R813C6</stp>
        <tr r="F813" s="1"/>
      </tp>
      <tp t="s">
        <v>NORMAL</v>
        <stp/>
        <stp>##V3_BDPV12</stp>
        <stp>912827YR Govt</stp>
        <stp>MTY_TYP</stp>
        <stp>[TREASURY.xlsx]Sheet1!R684C6</stp>
        <tr r="F684" s="1"/>
      </tp>
      <tp t="s">
        <v>NORMAL</v>
        <stp/>
        <stp>##V3_BDPV12</stp>
        <stp>912827KU Govt</stp>
        <stp>MTY_TYP</stp>
        <stp>[TREASURY.xlsx]Sheet1!R683C6</stp>
        <tr r="F683" s="1"/>
      </tp>
      <tp t="s">
        <v>NORMAL</v>
        <stp/>
        <stp>##V3_BDPV12</stp>
        <stp>912828UT Govt</stp>
        <stp>MTY_TYP</stp>
        <stp>[TREASURY.xlsx]Sheet1!R552C6</stp>
        <tr r="F552" s="1"/>
      </tp>
      <tp t="s">
        <v>NORMAL</v>
        <stp/>
        <stp>##V3_BDPV12</stp>
        <stp>912828GR Govt</stp>
        <stp>MTY_TYP</stp>
        <stp>[TREASURY.xlsx]Sheet1!R504C6</stp>
        <tr r="F504" s="1"/>
      </tp>
      <tp t="s">
        <v>NORMAL</v>
        <stp/>
        <stp>##V3_BDPV12</stp>
        <stp>912828BU Govt</stp>
        <stp>MTY_TYP</stp>
        <stp>[TREASURY.xlsx]Sheet1!R533C6</stp>
        <tr r="F533" s="1"/>
      </tp>
      <tp t="s">
        <v>NORMAL</v>
        <stp/>
        <stp>##V3_BDPV12</stp>
        <stp>912828ER Govt</stp>
        <stp>MTY_TYP</stp>
        <stp>[TREASURY.xlsx]Sheet1!R604C6</stp>
        <tr r="F604" s="1"/>
      </tp>
      <tp t="s">
        <v>NORMAL</v>
        <stp/>
        <stp>##V3_BDPV12</stp>
        <stp>912828DV Govt</stp>
        <stp>MTY_TYP</stp>
        <stp>[TREASURY.xlsx]Sheet1!R620C6</stp>
        <tr r="F620" s="1"/>
      </tp>
      <tp t="s">
        <v>NORMAL</v>
        <stp/>
        <stp>##V3_BDPV12</stp>
        <stp>912828GS Govt</stp>
        <stp>MTY_TYP</stp>
        <stp>[TREASURY.xlsx]Sheet1!R615C6</stp>
        <tr r="F615" s="1"/>
      </tp>
      <tp t="s">
        <v>NORMAL</v>
        <stp/>
        <stp>##V3_BDPV12</stp>
        <stp>912828AS Govt</stp>
        <stp>MTY_TYP</stp>
        <stp>[TREASURY.xlsx]Sheet1!R785C6</stp>
        <tr r="F785" s="1"/>
      </tp>
      <tp t="s">
        <v>NORMAL</v>
        <stp/>
        <stp>##V3_BDPV12</stp>
        <stp>912828YW Govt</stp>
        <stp>MTY_TYP</stp>
        <stp>[TREASURY.xlsx]Sheet1!R141C6</stp>
        <tr r="F141" s="1"/>
      </tp>
      <tp t="s">
        <v>NORMAL</v>
        <stp/>
        <stp>##V3_BDPV12</stp>
        <stp>912828ZW Govt</stp>
        <stp>MTY_TYP</stp>
        <stp>[TREASURY.xlsx]Sheet1!R101C6</stp>
        <tr r="F101" s="1"/>
      </tp>
      <tp t="s">
        <v>NORMAL</v>
        <stp/>
        <stp>##V3_BDPV12</stp>
        <stp>9128286U Govt</stp>
        <stp>MTY_TYP</stp>
        <stp>[TREASURY.xlsx]Sheet1!R233C6</stp>
        <tr r="F233" s="1"/>
      </tp>
      <tp t="s">
        <v>NORMAL</v>
        <stp/>
        <stp>##V3_BDPV12</stp>
        <stp>912828TW Govt</stp>
        <stp>MTY_TYP</stp>
        <stp>[TREASURY.xlsx]Sheet1!R361C6</stp>
        <tr r="F361" s="1"/>
      </tp>
      <tp t="s">
        <v>NORMAL</v>
        <stp/>
        <stp>##V3_BDPV12</stp>
        <stp>912828MP Govt</stp>
        <stp>MTY_TYP</stp>
        <stp>[TREASURY.xlsx]Sheet1!R386C6</stp>
        <tr r="F386" s="1"/>
      </tp>
      <tp t="s">
        <v>T</v>
        <stp/>
        <stp>##V3_BDPV12</stp>
        <stp>912827MP Govt</stp>
        <stp>TICKER</stp>
        <stp>[TREASURY.xlsx]Sheet1!R899C2</stp>
        <tr r="B899" s="1"/>
      </tp>
      <tp t="s">
        <v>T</v>
        <stp/>
        <stp>##V3_BDPV12</stp>
        <stp>912828GP Govt</stp>
        <stp>TICKER</stp>
        <stp>[TREASURY.xlsx]Sheet1!R803C2</stp>
        <tr r="B803" s="1"/>
      </tp>
      <tp t="s">
        <v>T</v>
        <stp/>
        <stp>##V3_BDPV12</stp>
        <stp>912810EL Govt</stp>
        <stp>TICKER</stp>
        <stp>[TREASURY.xlsx]Sheet1!R211C2</stp>
        <tr r="B211" s="1"/>
      </tp>
      <tp t="s">
        <v>T</v>
        <stp/>
        <stp>##V3_BDPV12</stp>
        <stp>912828CL Govt</stp>
        <stp>TICKER</stp>
        <stp>[TREASURY.xlsx]Sheet1!R557C2</stp>
        <tr r="B557" s="1"/>
      </tp>
      <tp t="s">
        <v>T</v>
        <stp/>
        <stp>##V3_BDPV12</stp>
        <stp>912828FM Govt</stp>
        <stp>TICKER</stp>
        <stp>[TREASURY.xlsx]Sheet1!R532C2</stp>
        <tr r="B532" s="1"/>
      </tp>
      <tp t="s">
        <v>T</v>
        <stp/>
        <stp>##V3_BDPV12</stp>
        <stp>912810EJ Govt</stp>
        <stp>TICKER</stp>
        <stp>[TREASURY.xlsx]Sheet1!R521C2</stp>
        <tr r="B521" s="1"/>
      </tp>
      <tp t="s">
        <v>T</v>
        <stp/>
        <stp>##V3_BDPV12</stp>
        <stp>912828BK Govt</stp>
        <stp>TICKER</stp>
        <stp>[TREASURY.xlsx]Sheet1!R786C2</stp>
        <tr r="B786" s="1"/>
      </tp>
      <tp t="s">
        <v>T</v>
        <stp/>
        <stp>##V3_BDPV12</stp>
        <stp>912810FF Govt</stp>
        <stp>TICKER</stp>
        <stp>[TREASURY.xlsx]Sheet1!R292C2</stp>
        <tr r="B292" s="1"/>
      </tp>
      <tp t="s">
        <v>T</v>
        <stp/>
        <stp>##V3_BDPV12</stp>
        <stp>91282CAF Govt</stp>
        <stp>TICKER</stp>
        <stp>[TREASURY.xlsx]Sheet1!R195C2</stp>
        <tr r="B195" s="1"/>
      </tp>
      <tp t="s">
        <v>T</v>
        <stp/>
        <stp>##V3_BDPV12</stp>
        <stp>912828DF Govt</stp>
        <stp>TICKER</stp>
        <stp>[TREASURY.xlsx]Sheet1!R840C2</stp>
        <tr r="B840" s="1"/>
      </tp>
      <tp t="s">
        <v>T</v>
        <stp/>
        <stp>##V3_BDPV12</stp>
        <stp>912828MD Govt</stp>
        <stp>TICKER</stp>
        <stp>[TREASURY.xlsx]Sheet1!R859C2</stp>
        <tr r="B859" s="1"/>
      </tp>
      <tp t="s">
        <v>T</v>
        <stp/>
        <stp>##V3_BDPV12</stp>
        <stp>912828LB Govt</stp>
        <stp>TICKER</stp>
        <stp>[TREASURY.xlsx]Sheet1!R558C2</stp>
        <tr r="B558" s="1"/>
      </tp>
      <tp t="s">
        <v>T</v>
        <stp/>
        <stp>##V3_BDPV12</stp>
        <stp>912828MB Govt</stp>
        <stp>TICKER</stp>
        <stp>[TREASURY.xlsx]Sheet1!R819C2</stp>
        <tr r="B819" s="1"/>
      </tp>
      <tp t="s">
        <v>T</v>
        <stp/>
        <stp>##V3_BDPV12</stp>
        <stp>912827LC Govt</stp>
        <stp>TICKER</stp>
        <stp>[TREASURY.xlsx]Sheet1!R888C2</stp>
        <tr r="B888" s="1"/>
      </tp>
      <tp t="s">
        <v>T</v>
        <stp/>
        <stp>##V3_BDPV12</stp>
        <stp>912828CA Govt</stp>
        <stp>TICKER</stp>
        <stp>[TREASURY.xlsx]Sheet1!R337C2</stp>
        <tr r="B337" s="1"/>
      </tp>
      <tp t="s">
        <v>4/6/1981</v>
        <stp/>
        <stp>##V3_BDPV12</stp>
        <stp>912827LT Govt</stp>
        <stp>ISSUE_DT</stp>
        <stp>[TREASURY.xlsx]Sheet1!R1379C15</stp>
        <tr r="O1379" s="1"/>
      </tp>
      <tp t="s">
        <v>USD</v>
        <stp/>
        <stp>##V3_BDPV12</stp>
        <stp>912827LR Govt</stp>
        <stp>CRNCY</stp>
        <stp>[TREASURY.xlsx]Sheet1!R1323C7</stp>
        <tr r="G1323" s="1"/>
      </tp>
      <tp t="s">
        <v>T</v>
        <stp/>
        <stp>##V3_BDPV12</stp>
        <stp>912828BE Govt</stp>
        <stp>TICKER</stp>
        <stp>[TREASURY.xlsx]Sheet1!R1425C2</stp>
        <tr r="B1425" s="1"/>
      </tp>
      <tp t="s">
        <v>USD</v>
        <stp/>
        <stp>##V3_BDPV12</stp>
        <stp>912827LS Govt</stp>
        <stp>CRNCY</stp>
        <stp>[TREASURY.xlsx]Sheet1!R1043C7</stp>
        <tr r="G1043" s="1"/>
      </tp>
      <tp t="s">
        <v>T</v>
        <stp/>
        <stp>##V3_BDPV12</stp>
        <stp>912828LH Govt</stp>
        <stp>TICKER</stp>
        <stp>[TREASURY.xlsx]Sheet1!R1128C2</stp>
        <tr r="B1128" s="1"/>
      </tp>
      <tp t="s">
        <v>T</v>
        <stp/>
        <stp>##V3_BDPV12</stp>
        <stp>912828NF Govt</stp>
        <stp>TICKER</stp>
        <stp>[TREASURY.xlsx]Sheet1!R1256C2</stp>
        <tr r="B1256" s="1"/>
      </tp>
      <tp t="s">
        <v>T</v>
        <stp/>
        <stp>##V3_BDPV12</stp>
        <stp>912828HC Govt</stp>
        <stp>TICKER</stp>
        <stp>[TREASURY.xlsx]Sheet1!R1283C2</stp>
        <tr r="B1283" s="1"/>
      </tp>
      <tp t="s">
        <v>T</v>
        <stp/>
        <stp>##V3_BDPV12</stp>
        <stp>912827NA Govt</stp>
        <stp>TICKER</stp>
        <stp>[TREASURY.xlsx]Sheet1!R1331C2</stp>
        <tr r="B1331" s="1"/>
      </tp>
      <tp t="s">
        <v>T</v>
        <stp/>
        <stp>##V3_BDPV12</stp>
        <stp>9128274B Govt</stp>
        <stp>TICKER</stp>
        <stp>[TREASURY.xlsx]Sheet1!R1362C2</stp>
        <tr r="B1362" s="1"/>
      </tp>
      <tp t="s">
        <v>T</v>
        <stp/>
        <stp>##V3_BDPV12</stp>
        <stp>9128273D Govt</stp>
        <stp>TICKER</stp>
        <stp>[TREASURY.xlsx]Sheet1!R1354C2</stp>
        <tr r="B1354" s="1"/>
      </tp>
      <tp t="s">
        <v>T</v>
        <stp/>
        <stp>##V3_BDPV12</stp>
        <stp>912827VF Govt</stp>
        <stp>TICKER</stp>
        <stp>[TREASURY.xlsx]Sheet1!R1086C2</stp>
        <tr r="B1086" s="1"/>
      </tp>
      <tp t="s">
        <v>T</v>
        <stp/>
        <stp>##V3_BDPV12</stp>
        <stp>912827TB Govt</stp>
        <stp>TICKER</stp>
        <stp>[TREASURY.xlsx]Sheet1!R1072C2</stp>
        <tr r="B1072" s="1"/>
      </tp>
      <tp t="s">
        <v>T</v>
        <stp/>
        <stp>##V3_BDPV12</stp>
        <stp>912827UH Govt</stp>
        <stp>TICKER</stp>
        <stp>[TREASURY.xlsx]Sheet1!R1078C2</stp>
        <tr r="B1078" s="1"/>
      </tp>
      <tp t="s">
        <v>T</v>
        <stp/>
        <stp>##V3_BDPV12</stp>
        <stp>912827RA Govt</stp>
        <stp>TICKER</stp>
        <stp>[TREASURY.xlsx]Sheet1!R1061C2</stp>
        <tr r="B1061" s="1"/>
      </tp>
      <tp t="s">
        <v>T</v>
        <stp/>
        <stp>##V3_BDPV12</stp>
        <stp>9128277H Govt</stp>
        <stp>TICKER</stp>
        <stp>[TREASURY.xlsx]Sheet1!R1028C2</stp>
        <tr r="B1028" s="1"/>
      </tp>
      <tp t="s">
        <v>T</v>
        <stp/>
        <stp>##V3_BDPV12</stp>
        <stp>912827XF Govt</stp>
        <stp>TICKER</stp>
        <stp>[TREASURY.xlsx]Sheet1!R1596C2</stp>
        <tr r="B1596" s="1"/>
      </tp>
      <tp t="s">
        <v>T</v>
        <stp/>
        <stp>##V3_BDPV12</stp>
        <stp>912827XG Govt</stp>
        <stp>TICKER</stp>
        <stp>[TREASURY.xlsx]Sheet1!R1597C2</stp>
        <tr r="B1597" s="1"/>
      </tp>
      <tp t="s">
        <v>T</v>
        <stp/>
        <stp>##V3_BDPV12</stp>
        <stp>9128272G Govt</stp>
        <stp>TICKER</stp>
        <stp>[TREASURY.xlsx]Sheet1!R1517C2</stp>
        <tr r="B1517" s="1"/>
      </tp>
      <tp t="s">
        <v>T</v>
        <stp/>
        <stp>##V3_BDPV12</stp>
        <stp>9128277E Govt</stp>
        <stp>TICKER</stp>
        <stp>[TREASURY.xlsx]Sheet1!R1545C2</stp>
        <tr r="B1545" s="1"/>
      </tp>
      <tp t="s">
        <v>T</v>
        <stp/>
        <stp>##V3_BDPV12</stp>
        <stp>9128276F Govt</stp>
        <stp>TICKER</stp>
        <stp>[TREASURY.xlsx]Sheet1!R1466C2</stp>
        <tr r="B1466" s="1"/>
      </tp>
      <tp t="s">
        <v>T</v>
        <stp/>
        <stp>##V3_BDPV12</stp>
        <stp>912810DC Govt</stp>
        <stp>TICKER</stp>
        <stp>[TREASURY.xlsx]Sheet1!R1443C2</stp>
        <tr r="B1443" s="1"/>
      </tp>
      <tp t="s">
        <v>T</v>
        <stp/>
        <stp>##V3_BDPV12</stp>
        <stp>912810DD Govt</stp>
        <stp>TICKER</stp>
        <stp>[TREASURY.xlsx]Sheet1!R1444C2</stp>
        <tr r="B1444" s="1"/>
      </tp>
      <tp t="s">
        <v>5/15/1981</v>
        <stp/>
        <stp>##V3_BDPV12</stp>
        <stp>912827LW Govt</stp>
        <stp>ISSUE_DT</stp>
        <stp>[TREASURY.xlsx]Sheet1!R1380C15</stp>
        <tr r="O1380" s="1"/>
      </tp>
      <tp t="s">
        <v>3/2/1981</v>
        <stp/>
        <stp>##V3_BDPV12</stp>
        <stp>912827LP Govt</stp>
        <stp>ISSUE_DT</stp>
        <stp>[TREASURY.xlsx]Sheet1!R1491C15</stp>
        <tr r="O1491" s="1"/>
      </tp>
      <tp t="s">
        <v>8/31/2009</v>
        <stp/>
        <stp>##V3_BDPV12</stp>
        <stp>912828LV Govt</stp>
        <stp>ISSUE_DT</stp>
        <stp>[TREASURY.xlsx]Sheet1!R1291C15</stp>
        <tr r="O1291" s="1"/>
      </tp>
      <tp t="s">
        <v>3/31/1981</v>
        <stp/>
        <stp>##V3_BDPV12</stp>
        <stp>912827LS Govt</stp>
        <stp>ISSUE_DT</stp>
        <stp>[TREASURY.xlsx]Sheet1!R1043C15</stp>
        <tr r="O1043" s="1"/>
      </tp>
      <tp t="s">
        <v>3/4/1981</v>
        <stp/>
        <stp>##V3_BDPV12</stp>
        <stp>912827LQ Govt</stp>
        <stp>ISSUE_DT</stp>
        <stp>[TREASURY.xlsx]Sheet1!R1322C15</stp>
        <tr r="O1322" s="1"/>
      </tp>
      <tp t="s">
        <v>3/31/1981</v>
        <stp/>
        <stp>##V3_BDPV12</stp>
        <stp>912827LR Govt</stp>
        <stp>ISSUE_DT</stp>
        <stp>[TREASURY.xlsx]Sheet1!R1323C15</stp>
        <tr r="O1323" s="1"/>
      </tp>
      <tp t="s">
        <v>6/30/1981</v>
        <stp/>
        <stp>##V3_BDPV12</stp>
        <stp>912827LZ Govt</stp>
        <stp>ISSUE_DT</stp>
        <stp>[TREASURY.xlsx]Sheet1!R1567C15</stp>
        <tr r="O1567" s="1"/>
      </tp>
      <tp t="s">
        <v>USD</v>
        <stp/>
        <stp>##V3_BDPV12</stp>
        <stp>912828FZ Govt</stp>
        <stp>CRNCY</stp>
        <stp>[TREASURY.xlsx]Sheet1!R1279C7</stp>
        <tr r="G1279" s="1"/>
      </tp>
      <tp t="s">
        <v>USD</v>
        <stp/>
        <stp>##V3_BDPV12</stp>
        <stp>912827MX Govt</stp>
        <stp>CRNCY</stp>
        <stp>[TREASURY.xlsx]Sheet1!R1382C7</stp>
        <tr r="G1382" s="1"/>
      </tp>
      <tp t="s">
        <v>10/31/1980</v>
        <stp/>
        <stp>##V3_BDPV12</stp>
        <stp>912827LD Govt</stp>
        <stp>ISSUE_DT</stp>
        <stp>[TREASURY.xlsx]Sheet1!R1378C15</stp>
        <tr r="O1378" s="1"/>
      </tp>
      <tp t="s">
        <v>#N/A Field Not Applicable</v>
        <stp/>
        <stp>##V3_BDPV12</stp>
        <stp>912827QK Govt</stp>
        <stp>IDX_RATIO</stp>
        <stp>[TREASURY.xlsx]Sheet1!R1496C20</stp>
        <tr r="T1496" s="1"/>
      </tp>
      <tp t="s">
        <v>12/1/1980</v>
        <stp/>
        <stp>##V3_BDPV12</stp>
        <stp>912827LG Govt</stp>
        <stp>ISSUE_DT</stp>
        <stp>[TREASURY.xlsx]Sheet1!R1321C15</stp>
        <tr r="O1321" s="1"/>
      </tp>
      <tp t="s">
        <v>#N/A Field Not Applicable</v>
        <stp/>
        <stp>##V3_BDPV12</stp>
        <stp>9128272K Govt</stp>
        <stp>IDX_RATIO</stp>
        <stp>[TREASURY.xlsx]Sheet1!R1518C20</stp>
        <tr r="T1518" s="1"/>
      </tp>
      <tp t="s">
        <v>#N/A Field Not Applicable</v>
        <stp/>
        <stp>##V3_BDPV12</stp>
        <stp>912827TK Govt</stp>
        <stp>IDX_RATIO</stp>
        <stp>[TREASURY.xlsx]Sheet1!R1508C20</stp>
        <tr r="T1508" s="1"/>
      </tp>
      <tp t="s">
        <v>#N/A Field Not Applicable</v>
        <stp/>
        <stp>##V3_BDPV12</stp>
        <stp>912827SK Govt</stp>
        <stp>IDX_RATIO</stp>
        <stp>[TREASURY.xlsx]Sheet1!R1589C20</stp>
        <tr r="T1589" s="1"/>
      </tp>
      <tp t="s">
        <v>USD</v>
        <stp/>
        <stp>##V3_BDPV12</stp>
        <stp>912827NA Govt</stp>
        <stp>CRNCY</stp>
        <stp>[TREASURY.xlsx]Sheet1!R1331C7</stp>
        <tr r="G1331" s="1"/>
      </tp>
      <tp t="s">
        <v>USD</v>
        <stp/>
        <stp>##V3_BDPV12</stp>
        <stp>912828MA Govt</stp>
        <stp>CRNCY</stp>
        <stp>[TREASURY.xlsx]Sheet1!R1252C7</stp>
        <tr r="G1252" s="1"/>
      </tp>
      <tp t="s">
        <v>USD</v>
        <stp/>
        <stp>##V3_BDPV12</stp>
        <stp>912828JA Govt</stp>
        <stp>CRNCY</stp>
        <stp>[TREASURY.xlsx]Sheet1!R1285C7</stp>
        <tr r="G1285" s="1"/>
      </tp>
      <tp t="s">
        <v>USD</v>
        <stp/>
        <stp>##V3_BDPV12</stp>
        <stp>912828HA Govt</stp>
        <stp>CRNCY</stp>
        <stp>[TREASURY.xlsx]Sheet1!R1437C7</stp>
        <tr r="G1437" s="1"/>
      </tp>
      <tp t="s">
        <v>#N/A Field Not Applicable</v>
        <stp/>
        <stp>##V3_BDPV12</stp>
        <stp>912827YK Govt</stp>
        <stp>IDX_RATIO</stp>
        <stp>[TREASURY.xlsx]Sheet1!R1222C20</stp>
        <tr r="T1222" s="1"/>
      </tp>
      <tp t="s">
        <v>#N/A Field Not Applicable</v>
        <stp/>
        <stp>##V3_BDPV12</stp>
        <stp>912827UK Govt</stp>
        <stp>IDX_RATIO</stp>
        <stp>[TREASURY.xlsx]Sheet1!R1200C20</stp>
        <tr r="T1200" s="1"/>
      </tp>
      <tp t="s">
        <v>#N/A Field Not Applicable</v>
        <stp/>
        <stp>##V3_BDPV12</stp>
        <stp>912828RK Govt</stp>
        <stp>IDX_RATIO</stp>
        <stp>[TREASURY.xlsx]Sheet1!R1266C20</stp>
        <tr r="T1266" s="1"/>
      </tp>
      <tp t="s">
        <v>#N/A Field Not Applicable</v>
        <stp/>
        <stp>##V3_BDPV12</stp>
        <stp>912828QK Govt</stp>
        <stp>IDX_RATIO</stp>
        <stp>[TREASURY.xlsx]Sheet1!R1263C20</stp>
        <tr r="T1263" s="1"/>
      </tp>
      <tp t="s">
        <v>#N/A Field Not Applicable</v>
        <stp/>
        <stp>##V3_BDPV12</stp>
        <stp>912828DK Govt</stp>
        <stp>IDX_RATIO</stp>
        <stp>[TREASURY.xlsx]Sheet1!R1271C20</stp>
        <tr r="T1271" s="1"/>
      </tp>
      <tp t="s">
        <v>#N/A Field Not Applicable</v>
        <stp/>
        <stp>##V3_BDPV12</stp>
        <stp>9128274K Govt</stp>
        <stp>IDX_RATIO</stp>
        <stp>[TREASURY.xlsx]Sheet1!R1366C20</stp>
        <tr r="T1366" s="1"/>
      </tp>
      <tp t="s">
        <v>#N/A Field Not Applicable</v>
        <stp/>
        <stp>##V3_BDPV12</stp>
        <stp>9128273K Govt</stp>
        <stp>IDX_RATIO</stp>
        <stp>[TREASURY.xlsx]Sheet1!R1356C20</stp>
        <tr r="T1356" s="1"/>
      </tp>
      <tp t="s">
        <v>#N/A Field Not Applicable</v>
        <stp/>
        <stp>##V3_BDPV12</stp>
        <stp>912827PK Govt</stp>
        <stp>IDX_RATIO</stp>
        <stp>[TREASURY.xlsx]Sheet1!R1340C20</stp>
        <tr r="T1340" s="1"/>
      </tp>
      <tp t="s">
        <v>#N/A Field Not Applicable</v>
        <stp/>
        <stp>##V3_BDPV12</stp>
        <stp>912810CK Govt</stp>
        <stp>IDX_RATIO</stp>
        <stp>[TREASURY.xlsx]Sheet1!R1309C20</stp>
        <tr r="T1309" s="1"/>
      </tp>
      <tp t="s">
        <v>#N/A Field Not Applicable</v>
        <stp/>
        <stp>##V3_BDPV12</stp>
        <stp>912827LK Govt</stp>
        <stp>IDX_RATIO</stp>
        <stp>[TREASURY.xlsx]Sheet1!R1042C20</stp>
        <tr r="T1042" s="1"/>
      </tp>
      <tp t="s">
        <v>9/30/1980</v>
        <stp/>
        <stp>##V3_BDPV12</stp>
        <stp>912827LB Govt</stp>
        <stp>ISSUE_DT</stp>
        <stp>[TREASURY.xlsx]Sheet1!R1320C15</stp>
        <tr r="O1320" s="1"/>
      </tp>
      <tp t="s">
        <v>#N/A Field Not Applicable</v>
        <stp/>
        <stp>##V3_BDPV12</stp>
        <stp>912810DK Govt</stp>
        <stp>IDX_RATIO</stp>
        <stp>[TREASURY.xlsx]Sheet1!R1347C20</stp>
        <tr r="T1347" s="1"/>
      </tp>
      <tp t="s">
        <v>#N/A Field Not Applicable</v>
        <stp/>
        <stp>##V3_BDPV12</stp>
        <stp>9128276K Govt</stp>
        <stp>IDX_RATIO</stp>
        <stp>[TREASURY.xlsx]Sheet1!R1023C20</stp>
        <tr r="T1023" s="1"/>
      </tp>
      <tp t="s">
        <v>7/31/2009</v>
        <stp/>
        <stp>##V3_BDPV12</stp>
        <stp>912828LC Govt</stp>
        <stp>ISSUE_DT</stp>
        <stp>[TREASURY.xlsx]Sheet1!R1289C15</stp>
        <tr r="O1289" s="1"/>
      </tp>
      <tp t="s">
        <v>#N/A Field Not Applicable</v>
        <stp/>
        <stp>##V3_BDPV12</stp>
        <stp>912828GK Govt</stp>
        <stp>IDX_RATIO</stp>
        <stp>[TREASURY.xlsx]Sheet1!R1119C20</stp>
        <tr r="T1119" s="1"/>
      </tp>
      <tp t="s">
        <v>#N/A Field Not Applicable</v>
        <stp/>
        <stp>##V3_BDPV12</stp>
        <stp>912828KK Govt</stp>
        <stp>IDX_RATIO</stp>
        <stp>[TREASURY.xlsx]Sheet1!R1124C20</stp>
        <tr r="T1124" s="1"/>
      </tp>
      <tp t="s">
        <v>#N/A Field Not Applicable</v>
        <stp/>
        <stp>##V3_BDPV12</stp>
        <stp>912828SK Govt</stp>
        <stp>IDX_RATIO</stp>
        <stp>[TREASURY.xlsx]Sheet1!R1132C20</stp>
        <tr r="T1132" s="1"/>
      </tp>
      <tp t="s">
        <v>#N/A Field Not Applicable</v>
        <stp/>
        <stp>##V3_BDPV12</stp>
        <stp>912828UK Govt</stp>
        <stp>IDX_RATIO</stp>
        <stp>[TREASURY.xlsx]Sheet1!R1136C20</stp>
        <tr r="T1136" s="1"/>
      </tp>
      <tp t="s">
        <v>#N/A Field Not Applicable</v>
        <stp/>
        <stp>##V3_BDPV12</stp>
        <stp>912828VK Govt</stp>
        <stp>IDX_RATIO</stp>
        <stp>[TREASURY.xlsx]Sheet1!R1148C20</stp>
        <tr r="T1148" s="1"/>
      </tp>
      <tp t="s">
        <v>8/31/2009</v>
        <stp/>
        <stp>##V3_BDPV12</stp>
        <stp>912828LL Govt</stp>
        <stp>ISSUE_DT</stp>
        <stp>[TREASURY.xlsx]Sheet1!R1290C15</stp>
        <tr r="O1290" s="1"/>
      </tp>
      <tp t="s">
        <v>USD</v>
        <stp/>
        <stp>##V3_BDPV12</stp>
        <stp>912828KK Govt</stp>
        <stp>CRNCY</stp>
        <stp>[TREASURY.xlsx]Sheet1!R1124C7</stp>
        <tr r="G1124" s="1"/>
      </tp>
      <tp t="s">
        <v>12/8/1980</v>
        <stp/>
        <stp>##V3_BDPV12</stp>
        <stp>912827LH Govt</stp>
        <stp>ISSUE_DT</stp>
        <stp>[TREASURY.xlsx]Sheet1!R1566C15</stp>
        <tr r="O1566" s="1"/>
      </tp>
      <tp t="s">
        <v>9/15/2009</v>
        <stp/>
        <stp>##V3_BDPV12</stp>
        <stp>912828LM Govt</stp>
        <stp>ISSUE_DT</stp>
        <stp>[TREASURY.xlsx]Sheet1!R1129C15</stp>
        <tr r="O1129" s="1"/>
      </tp>
      <tp t="s">
        <v>12/31/1980</v>
        <stp/>
        <stp>##V3_BDPV12</stp>
        <stp>912827LK Govt</stp>
        <stp>ISSUE_DT</stp>
        <stp>[TREASURY.xlsx]Sheet1!R1042C15</stp>
        <tr r="O1042" s="1"/>
      </tp>
      <tp t="s">
        <v>USD</v>
        <stp/>
        <stp>##V3_BDPV12</stp>
        <stp>912827NN Govt</stp>
        <stp>CRNCY</stp>
        <stp>[TREASURY.xlsx]Sheet1!R1051C7</stp>
        <tr r="G1051" s="1"/>
      </tp>
      <tp t="s">
        <v>8/17/2009</v>
        <stp/>
        <stp>##V3_BDPV12</stp>
        <stp>912828LH Govt</stp>
        <stp>ISSUE_DT</stp>
        <stp>[TREASURY.xlsx]Sheet1!R1128C15</stp>
        <tr r="O1128" s="1"/>
      </tp>
      <tp t="s">
        <v>USD</v>
        <stp/>
        <stp>##V3_BDPV12</stp>
        <stp>912828K2 Govt</stp>
        <stp>CRNCY</stp>
        <stp>[TREASURY.xlsx]Sheet1!R1287C7</stp>
        <tr r="G1287" s="1"/>
      </tp>
      <tp t="s">
        <v>USD</v>
        <stp/>
        <stp>##V3_BDPV12</stp>
        <stp>912828J3 Govt</stp>
        <stp>CRNCY</stp>
        <stp>[TREASURY.xlsx]Sheet1!R1246C7</stp>
        <tr r="G1246" s="1"/>
      </tp>
      <tp t="s">
        <v>USD</v>
        <stp/>
        <stp>##V3_BDPV12</stp>
        <stp>912828M6 Govt</stp>
        <stp>CRNCY</stp>
        <stp>[TREASURY.xlsx]Sheet1!R1251C7</stp>
        <tr r="G1251" s="1"/>
      </tp>
      <tp t="s">
        <v>USD</v>
        <stp/>
        <stp>##V3_BDPV12</stp>
        <stp>912827L4 Govt</stp>
        <stp>CRNCY</stp>
        <stp>[TREASURY.xlsx]Sheet1!R1040C7</stp>
        <tr r="G1040" s="1"/>
      </tp>
      <tp t="s">
        <v>USD</v>
        <stp/>
        <stp>##V3_BDPV12</stp>
        <stp>912827J9 Govt</stp>
        <stp>CRNCY</stp>
        <stp>[TREASURY.xlsx]Sheet1!R1376C7</stp>
        <tr r="G1376" s="1"/>
      </tp>
      <tp t="s">
        <v>US91282CCZ23</v>
        <stp/>
        <stp>##V3_BDPV12</stp>
        <stp>91282CCZ Govt</stp>
        <stp>ID_ISIN</stp>
        <stp>[TREASURY.xlsx]Sheet1!R7C12</stp>
        <tr r="L7" s="1"/>
      </tp>
      <tp t="s">
        <v>US91282CCX74</v>
        <stp/>
        <stp>##V3_BDPV12</stp>
        <stp>91282CCX Govt</stp>
        <stp>ID_ISIN</stp>
        <stp>[TREASURY.xlsx]Sheet1!R5C12</stp>
        <tr r="L5" s="1"/>
      </tp>
      <tp t="s">
        <v>T</v>
        <stp/>
        <stp>##V3_BDPV12</stp>
        <stp>912827N8 Govt</stp>
        <stp>TICKER</stp>
        <stp>[TREASURY.xlsx]Sheet1!R729C2</stp>
        <tr r="B729" s="1"/>
      </tp>
      <tp t="s">
        <v>T</v>
        <stp/>
        <stp>##V3_BDPV12</stp>
        <stp>912828F6 Govt</stp>
        <stp>TICKER</stp>
        <stp>[TREASURY.xlsx]Sheet1!R411C2</stp>
        <tr r="B411" s="1"/>
      </tp>
      <tp t="s">
        <v>T</v>
        <stp/>
        <stp>##V3_BDPV12</stp>
        <stp>912828D6 Govt</stp>
        <stp>TICKER</stp>
        <stp>[TREASURY.xlsx]Sheet1!R613C2</stp>
        <tr r="B613" s="1"/>
      </tp>
      <tp t="s">
        <v>T</v>
        <stp/>
        <stp>##V3_BDPV12</stp>
        <stp>912828G7 Govt</stp>
        <stp>TICKER</stp>
        <stp>[TREASURY.xlsx]Sheet1!R560C2</stp>
        <tr r="B560" s="1"/>
      </tp>
      <tp t="s">
        <v>US91282CCS89</v>
        <stp/>
        <stp>##V3_BDPV12</stp>
        <stp>91282CCS Govt</stp>
        <stp>ID_ISIN</stp>
        <stp>[TREASURY.xlsx]Sheet1!R2C12</stp>
        <tr r="L2" s="1"/>
      </tp>
      <tp t="s">
        <v>T</v>
        <stp/>
        <stp>##V3_BDPV12</stp>
        <stp>912828G5 Govt</stp>
        <stp>TICKER</stp>
        <stp>[TREASURY.xlsx]Sheet1!R230C2</stp>
        <tr r="B230" s="1"/>
      </tp>
      <tp t="s">
        <v>US91282CCV19</v>
        <stp/>
        <stp>##V3_BDPV12</stp>
        <stp>91282CCV Govt</stp>
        <stp>ID_ISIN</stp>
        <stp>[TREASURY.xlsx]Sheet1!R9C12</stp>
        <tr r="L9" s="1"/>
      </tp>
      <tp t="s">
        <v>T</v>
        <stp/>
        <stp>##V3_BDPV12</stp>
        <stp>912828N3 Govt</stp>
        <stp>TICKER</stp>
        <stp>[TREASURY.xlsx]Sheet1!R129C2</stp>
        <tr r="B129" s="1"/>
      </tp>
      <tp t="s">
        <v>US91282CCW91</v>
        <stp/>
        <stp>##V3_BDPV12</stp>
        <stp>91282CCW Govt</stp>
        <stp>ID_ISIN</stp>
        <stp>[TREASURY.xlsx]Sheet1!R4C12</stp>
        <tr r="L4" s="1"/>
      </tp>
      <tp t="s">
        <v>US91282CCU36</v>
        <stp/>
        <stp>##V3_BDPV12</stp>
        <stp>91282CCU Govt</stp>
        <stp>ID_ISIN</stp>
        <stp>[TREASURY.xlsx]Sheet1!R6C12</stp>
        <tr r="L6" s="1"/>
      </tp>
      <tp t="s">
        <v>T</v>
        <stp/>
        <stp>##V3_BDPV12</stp>
        <stp>912828EZ Govt</stp>
        <stp>TICKER</stp>
        <stp>[TREASURY.xlsx]Sheet1!R572C2</stp>
        <tr r="B572" s="1"/>
      </tp>
      <tp t="s">
        <v>T</v>
        <stp/>
        <stp>##V3_BDPV12</stp>
        <stp>912810CY Govt</stp>
        <stp>TICKER</stp>
        <stp>[TREASURY.xlsx]Sheet1!R414C2</stp>
        <tr r="B414" s="1"/>
      </tp>
      <tp t="s">
        <v>T</v>
        <stp/>
        <stp>##V3_BDPV12</stp>
        <stp>912828BV Govt</stp>
        <stp>TICKER</stp>
        <stp>[TREASURY.xlsx]Sheet1!R495C2</stp>
        <tr r="B495" s="1"/>
      </tp>
      <tp t="s">
        <v>T</v>
        <stp/>
        <stp>##V3_BDPV12</stp>
        <stp>912828DW Govt</stp>
        <stp>TICKER</stp>
        <stp>[TREASURY.xlsx]Sheet1!R793C2</stp>
        <tr r="B793" s="1"/>
      </tp>
      <tp t="s">
        <v>T</v>
        <stp/>
        <stp>##V3_BDPV12</stp>
        <stp>912828EW Govt</stp>
        <stp>TICKER</stp>
        <stp>[TREASURY.xlsx]Sheet1!R842C2</stp>
        <tr r="B842" s="1"/>
      </tp>
      <tp t="s">
        <v>T</v>
        <stp/>
        <stp>##V3_BDPV12</stp>
        <stp>912828CT Govt</stp>
        <stp>TICKER</stp>
        <stp>[TREASURY.xlsx]Sheet1!R514C2</stp>
        <tr r="B514" s="1"/>
      </tp>
      <tp t="s">
        <v>CALLABLE</v>
        <stp/>
        <stp>##V3_BDPV12</stp>
        <stp>912810CP Govt</stp>
        <stp>MTY_TYP</stp>
        <stp>[TREASURY.xlsx]Sheet1!R405C6</stp>
        <tr r="F405" s="1"/>
      </tp>
      <tp t="s">
        <v>NORMAL</v>
        <stp/>
        <stp>##V3_BDPV12</stp>
        <stp>912810CT Govt</stp>
        <stp>MTY_TYP</stp>
        <stp>[TREASURY.xlsx]Sheet1!R501C6</stp>
        <tr r="F501" s="1"/>
      </tp>
      <tp t="s">
        <v>T</v>
        <stp/>
        <stp>##V3_BDPV12</stp>
        <stp>912810ES Govt</stp>
        <stp>TICKER</stp>
        <stp>[TREASURY.xlsx]Sheet1!R312C2</stp>
        <tr r="B312" s="1"/>
      </tp>
      <tp t="s">
        <v>T</v>
        <stp/>
        <stp>##V3_BDPV12</stp>
        <stp>912828NS Govt</stp>
        <stp>TICKER</stp>
        <stp>[TREASURY.xlsx]Sheet1!R979C2</stp>
        <tr r="B979" s="1"/>
      </tp>
      <tp t="s">
        <v>NORMAL</v>
        <stp/>
        <stp>##V3_BDPV12</stp>
        <stp>912827KW Govt</stp>
        <stp>MTY_TYP</stp>
        <stp>[TREASURY.xlsx]Sheet1!R392C6</stp>
        <tr r="F392" s="1"/>
      </tp>
      <tp t="s">
        <v>NORMAL</v>
        <stp/>
        <stp>##V3_BDPV12</stp>
        <stp>912828XV Govt</stp>
        <stp>MTY_TYP</stp>
        <stp>[TREASURY.xlsx]Sheet1!R883C6</stp>
        <tr r="F883" s="1"/>
      </tp>
      <tp t="s">
        <v>NORMAL</v>
        <stp/>
        <stp>##V3_BDPV12</stp>
        <stp>912828TQ Govt</stp>
        <stp>MTY_TYP</stp>
        <stp>[TREASURY.xlsx]Sheet1!R874C6</stp>
        <tr r="F874" s="1"/>
      </tp>
      <tp t="s">
        <v>NORMAL</v>
        <stp/>
        <stp>##V3_BDPV12</stp>
        <stp>912828HT Govt</stp>
        <stp>MTY_TYP</stp>
        <stp>[TREASURY.xlsx]Sheet1!R851C6</stp>
        <tr r="F851" s="1"/>
      </tp>
      <tp t="s">
        <v>NORMAL</v>
        <stp/>
        <stp>##V3_BDPV12</stp>
        <stp>912828LR Govt</stp>
        <stp>MTY_TYP</stp>
        <stp>[TREASURY.xlsx]Sheet1!R817C6</stp>
        <tr r="F817" s="1"/>
      </tp>
      <tp t="s">
        <v>NORMAL</v>
        <stp/>
        <stp>##V3_BDPV12</stp>
        <stp>912828NP Govt</stp>
        <stp>MTY_TYP</stp>
        <stp>[TREASURY.xlsx]Sheet1!R865C6</stp>
        <tr r="F865" s="1"/>
      </tp>
      <tp t="s">
        <v>NORMAL</v>
        <stp/>
        <stp>##V3_BDPV12</stp>
        <stp>912828EW Govt</stp>
        <stp>MTY_TYP</stp>
        <stp>[TREASURY.xlsx]Sheet1!R842C6</stp>
        <tr r="F842" s="1"/>
      </tp>
      <tp t="s">
        <v>NORMAL</v>
        <stp/>
        <stp>##V3_BDPV12</stp>
        <stp>912828PS Govt</stp>
        <stp>MTY_TYP</stp>
        <stp>[TREASURY.xlsx]Sheet1!R986C6</stp>
        <tr r="F986" s="1"/>
      </tp>
      <tp t="s">
        <v>NORMAL</v>
        <stp/>
        <stp>##V3_BDPV12</stp>
        <stp>912828RQ Govt</stp>
        <stp>MTY_TYP</stp>
        <stp>[TREASURY.xlsx]Sheet1!R994C6</stp>
        <tr r="F994" s="1"/>
      </tp>
      <tp t="s">
        <v>NORMAL</v>
        <stp/>
        <stp>##V3_BDPV12</stp>
        <stp>912828SP Govt</stp>
        <stp>MTY_TYP</stp>
        <stp>[TREASURY.xlsx]Sheet1!R995C6</stp>
        <tr r="F995" s="1"/>
      </tp>
      <tp t="s">
        <v>NORMAL</v>
        <stp/>
        <stp>##V3_BDPV12</stp>
        <stp>912828SS Govt</stp>
        <stp>MTY_TYP</stp>
        <stp>[TREASURY.xlsx]Sheet1!R996C6</stp>
        <tr r="F996" s="1"/>
      </tp>
      <tp t="s">
        <v>NORMAL</v>
        <stp/>
        <stp>##V3_BDPV12</stp>
        <stp>912828EP Govt</stp>
        <stp>MTY_TYP</stp>
        <stp>[TREASURY.xlsx]Sheet1!R965C6</stp>
        <tr r="F965" s="1"/>
      </tp>
      <tp t="s">
        <v>NORMAL</v>
        <stp/>
        <stp>##V3_BDPV12</stp>
        <stp>9128274W Govt</stp>
        <stp>MTY_TYP</stp>
        <stp>[TREASURY.xlsx]Sheet1!R522C6</stp>
        <tr r="F522" s="1"/>
      </tp>
      <tp t="s">
        <v>NORMAL</v>
        <stp/>
        <stp>##V3_BDPV12</stp>
        <stp>912828JT Govt</stp>
        <stp>MTY_TYP</stp>
        <stp>[TREASURY.xlsx]Sheet1!R471C6</stp>
        <tr r="F471" s="1"/>
      </tp>
      <tp t="s">
        <v>NORMAL</v>
        <stp/>
        <stp>##V3_BDPV12</stp>
        <stp>9128286V Govt</stp>
        <stp>MTY_TYP</stp>
        <stp>[TREASURY.xlsx]Sheet1!R523C6</stp>
        <tr r="F523" s="1"/>
      </tp>
      <tp t="s">
        <v>NORMAL</v>
        <stp/>
        <stp>##V3_BDPV12</stp>
        <stp>912828FQ Govt</stp>
        <stp>MTY_TYP</stp>
        <stp>[TREASURY.xlsx]Sheet1!R534C6</stp>
        <tr r="F534" s="1"/>
      </tp>
      <tp t="s">
        <v>NORMAL</v>
        <stp/>
        <stp>##V3_BDPV12</stp>
        <stp>912828EQ Govt</stp>
        <stp>MTY_TYP</stp>
        <stp>[TREASURY.xlsx]Sheet1!R524C6</stp>
        <tr r="F524" s="1"/>
      </tp>
      <tp t="s">
        <v>NORMAL</v>
        <stp/>
        <stp>##V3_BDPV12</stp>
        <stp>912827YS Govt</stp>
        <stp>MTY_TYP</stp>
        <stp>[TREASURY.xlsx]Sheet1!R946C6</stp>
        <tr r="F946" s="1"/>
      </tp>
      <tp t="s">
        <v>NORMAL</v>
        <stp/>
        <stp>##V3_BDPV12</stp>
        <stp>912828UV Govt</stp>
        <stp>MTY_TYP</stp>
        <stp>[TREASURY.xlsx]Sheet1!R693C6</stp>
        <tr r="F693" s="1"/>
      </tp>
      <tp t="s">
        <v>NORMAL</v>
        <stp/>
        <stp>##V3_BDPV12</stp>
        <stp>912827KP Govt</stp>
        <stp>MTY_TYP</stp>
        <stp>[TREASURY.xlsx]Sheet1!R885C6</stp>
        <tr r="F885" s="1"/>
      </tp>
      <tp t="s">
        <v>NORMAL</v>
        <stp/>
        <stp>##V3_BDPV12</stp>
        <stp>9128283P Govt</stp>
        <stp>MTY_TYP</stp>
        <stp>[TREASURY.xlsx]Sheet1!R185C6</stp>
        <tr r="F185" s="1"/>
      </tp>
      <tp t="s">
        <v>NORMAL</v>
        <stp/>
        <stp>##V3_BDPV12</stp>
        <stp>9128285U Govt</stp>
        <stp>MTY_TYP</stp>
        <stp>[TREASURY.xlsx]Sheet1!R160C6</stp>
        <tr r="F160" s="1"/>
      </tp>
      <tp t="s">
        <v>NORMAL</v>
        <stp/>
        <stp>##V3_BDPV12</stp>
        <stp>9128284R Govt</stp>
        <stp>MTY_TYP</stp>
        <stp>[TREASURY.xlsx]Sheet1!R257C6</stp>
        <tr r="F257" s="1"/>
      </tp>
      <tp t="s">
        <v>NORMAL</v>
        <stp/>
        <stp>##V3_BDPV12</stp>
        <stp>912828NT Govt</stp>
        <stp>MTY_TYP</stp>
        <stp>[TREASURY.xlsx]Sheet1!R351C6</stp>
        <tr r="F351" s="1"/>
      </tp>
      <tp t="s">
        <v>T</v>
        <stp/>
        <stp>##V3_BDPV12</stp>
        <stp>912828BQ Govt</stp>
        <stp>TICKER</stp>
        <stp>[TREASURY.xlsx]Sheet1!R435C2</stp>
        <tr r="B435" s="1"/>
      </tp>
      <tp t="s">
        <v>T</v>
        <stp/>
        <stp>##V3_BDPV12</stp>
        <stp>912828DN Govt</stp>
        <stp>TICKER</stp>
        <stp>[TREASURY.xlsx]Sheet1!R963C2</stp>
        <tr r="B963" s="1"/>
      </tp>
      <tp t="s">
        <v>T</v>
        <stp/>
        <stp>##V3_BDPV12</stp>
        <stp>912828AL Govt</stp>
        <stp>TICKER</stp>
        <stp>[TREASURY.xlsx]Sheet1!R666C2</stp>
        <tr r="B666" s="1"/>
      </tp>
      <tp t="s">
        <v>T</v>
        <stp/>
        <stp>##V3_BDPV12</stp>
        <stp>912828CD Govt</stp>
        <stp>TICKER</stp>
        <stp>[TREASURY.xlsx]Sheet1!R384C2</stp>
        <tr r="B384" s="1"/>
      </tp>
      <tp t="s">
        <v>T</v>
        <stp/>
        <stp>##V3_BDPV12</stp>
        <stp>91282CBE Govt</stp>
        <stp>TICKER</stp>
        <stp>[TREASURY.xlsx]Sheet1!R115C2</stp>
        <tr r="B115" s="1"/>
      </tp>
      <tp t="s">
        <v>T</v>
        <stp/>
        <stp>##V3_BDPV12</stp>
        <stp>912810EC Govt</stp>
        <stp>TICKER</stp>
        <stp>[TREASURY.xlsx]Sheet1!R612C2</stp>
        <tr r="B612" s="1"/>
      </tp>
      <tp t="s">
        <v>T</v>
        <stp/>
        <stp>##V3_BDPV12</stp>
        <stp>912828AA Govt</stp>
        <stp>TICKER</stp>
        <stp>[TREASURY.xlsx]Sheet1!R426C2</stp>
        <tr r="B426" s="1"/>
      </tp>
      <tp t="s">
        <v>USD</v>
        <stp/>
        <stp>##V3_BDPV12</stp>
        <stp>912827NR Govt</stp>
        <stp>CRNCY</stp>
        <stp>[TREASURY.xlsx]Sheet1!R1052C7</stp>
        <tr r="G1052" s="1"/>
      </tp>
      <tp t="s">
        <v>T</v>
        <stp/>
        <stp>##V3_BDPV12</stp>
        <stp>912828CE Govt</stp>
        <stp>TICKER</stp>
        <stp>[TREASURY.xlsx]Sheet1!R1426C2</stp>
        <tr r="B1426" s="1"/>
      </tp>
      <tp t="s">
        <v>T</v>
        <stp/>
        <stp>##V3_BDPV12</stp>
        <stp>912828FA Govt</stp>
        <stp>TICKER</stp>
        <stp>[TREASURY.xlsx]Sheet1!R1432C2</stp>
        <tr r="B1432" s="1"/>
      </tp>
      <tp t="s">
        <v>T</v>
        <stp/>
        <stp>##V3_BDPV12</stp>
        <stp>912828VD Govt</stp>
        <stp>TICKER</stp>
        <stp>[TREASURY.xlsx]Sheet1!R1147C2</stp>
        <tr r="B1147" s="1"/>
      </tp>
      <tp t="s">
        <v>T</v>
        <stp/>
        <stp>##V3_BDPV12</stp>
        <stp>912828VK Govt</stp>
        <stp>TICKER</stp>
        <stp>[TREASURY.xlsx]Sheet1!R1148C2</stp>
        <tr r="B1148" s="1"/>
      </tp>
      <tp t="s">
        <v>USD</v>
        <stp/>
        <stp>##V3_BDPV12</stp>
        <stp>912828DS Govt</stp>
        <stp>CRNCY</stp>
        <stp>[TREASURY.xlsx]Sheet1!R1428C7</stp>
        <tr r="G1428" s="1"/>
      </tp>
      <tp t="s">
        <v>T</v>
        <stp/>
        <stp>##V3_BDPV12</stp>
        <stp>912828MA Govt</stp>
        <stp>TICKER</stp>
        <stp>[TREASURY.xlsx]Sheet1!R1252C2</stp>
        <tr r="B1252" s="1"/>
      </tp>
      <tp t="s">
        <v>T</v>
        <stp/>
        <stp>##V3_BDPV12</stp>
        <stp>912828BF Govt</stp>
        <stp>TICKER</stp>
        <stp>[TREASURY.xlsx]Sheet1!R1235C2</stp>
        <tr r="B1235" s="1"/>
      </tp>
      <tp t="s">
        <v>T</v>
        <stp/>
        <stp>##V3_BDPV12</stp>
        <stp>912828NA Govt</stp>
        <stp>TICKER</stp>
        <stp>[TREASURY.xlsx]Sheet1!R1292C2</stp>
        <tr r="B1292" s="1"/>
      </tp>
      <tp t="s">
        <v>T</v>
        <stp/>
        <stp>##V3_BDPV12</stp>
        <stp>912827PJ Govt</stp>
        <stp>TICKER</stp>
        <stp>[TREASURY.xlsx]Sheet1!R1389C2</stp>
        <tr r="B1389" s="1"/>
      </tp>
      <tp t="s">
        <v>T</v>
        <stp/>
        <stp>##V3_BDPV12</stp>
        <stp>912827QA Govt</stp>
        <stp>TICKER</stp>
        <stp>[TREASURY.xlsx]Sheet1!R1392C2</stp>
        <tr r="B1392" s="1"/>
      </tp>
      <tp t="s">
        <v>T</v>
        <stp/>
        <stp>##V3_BDPV12</stp>
        <stp>9128274G Govt</stp>
        <stp>TICKER</stp>
        <stp>[TREASURY.xlsx]Sheet1!R1364C2</stp>
        <tr r="B1364" s="1"/>
      </tp>
      <tp t="s">
        <v>T</v>
        <stp/>
        <stp>##V3_BDPV12</stp>
        <stp>9128273F Govt</stp>
        <stp>TICKER</stp>
        <stp>[TREASURY.xlsx]Sheet1!R1355C2</stp>
        <tr r="B1355" s="1"/>
      </tp>
      <tp t="s">
        <v>T</v>
        <stp/>
        <stp>##V3_BDPV12</stp>
        <stp>912827YC Govt</stp>
        <stp>TICKER</stp>
        <stp>[TREASURY.xlsx]Sheet1!R1220C2</stp>
        <tr r="B1220" s="1"/>
      </tp>
      <tp t="s">
        <v>T</v>
        <stp/>
        <stp>##V3_BDPV12</stp>
        <stp>912827MD Govt</stp>
        <stp>TICKER</stp>
        <stp>[TREASURY.xlsx]Sheet1!R1167C2</stp>
        <tr r="B1167" s="1"/>
      </tp>
      <tp t="s">
        <v>T</v>
        <stp/>
        <stp>##V3_BDPV12</stp>
        <stp>912827PA Govt</stp>
        <stp>TICKER</stp>
        <stp>[TREASURY.xlsx]Sheet1!R1172C2</stp>
        <tr r="B1172" s="1"/>
      </tp>
      <tp t="s">
        <v>T</v>
        <stp/>
        <stp>##V3_BDPV12</stp>
        <stp>912827SF Govt</stp>
        <stp>TICKER</stp>
        <stp>[TREASURY.xlsx]Sheet1!R1065C2</stp>
        <tr r="B1065" s="1"/>
      </tp>
      <tp t="s">
        <v>T</v>
        <stp/>
        <stp>##V3_BDPV12</stp>
        <stp>9128273C Govt</stp>
        <stp>TICKER</stp>
        <stp>[TREASURY.xlsx]Sheet1!R1010C2</stp>
        <tr r="B1010" s="1"/>
      </tp>
      <tp t="s">
        <v>T</v>
        <stp/>
        <stp>##V3_BDPV12</stp>
        <stp>9128276B Govt</stp>
        <stp>TICKER</stp>
        <stp>[TREASURY.xlsx]Sheet1!R1021C2</stp>
        <tr r="B1021" s="1"/>
      </tp>
      <tp t="s">
        <v>T</v>
        <stp/>
        <stp>##V3_BDPV12</stp>
        <stp>912827TK Govt</stp>
        <stp>TICKER</stp>
        <stp>[TREASURY.xlsx]Sheet1!R1508C2</stp>
        <tr r="B1508" s="1"/>
      </tp>
      <tp t="s">
        <v>T</v>
        <stp/>
        <stp>##V3_BDPV12</stp>
        <stp>9128273E Govt</stp>
        <stp>TICKER</stp>
        <stp>[TREASURY.xlsx]Sheet1!R1526C2</stp>
        <tr r="B1526" s="1"/>
      </tp>
      <tp t="s">
        <v>T</v>
        <stp/>
        <stp>##V3_BDPV12</stp>
        <stp>9128272K Govt</stp>
        <stp>TICKER</stp>
        <stp>[TREASURY.xlsx]Sheet1!R1518C2</stp>
        <tr r="B1518" s="1"/>
      </tp>
      <tp t="s">
        <v>T</v>
        <stp/>
        <stp>##V3_BDPV12</stp>
        <stp>9128276E Govt</stp>
        <stp>TICKER</stp>
        <stp>[TREASURY.xlsx]Sheet1!R1536C2</stp>
        <tr r="B1536" s="1"/>
      </tp>
      <tp t="s">
        <v>T</v>
        <stp/>
        <stp>##V3_BDPV12</stp>
        <stp>912827QF Govt</stp>
        <stp>TICKER</stp>
        <stp>[TREASURY.xlsx]Sheet1!R1495C2</stp>
        <tr r="B1495" s="1"/>
      </tp>
      <tp t="s">
        <v>T</v>
        <stp/>
        <stp>##V3_BDPV12</stp>
        <stp>912827VB Govt</stp>
        <stp>TICKER</stp>
        <stp>[TREASURY.xlsx]Sheet1!R1411C2</stp>
        <tr r="B1411" s="1"/>
      </tp>
      <tp t="s">
        <v>USD</v>
        <stp/>
        <stp>##V3_BDPV12</stp>
        <stp>912828JP Govt</stp>
        <stp>CRNCY</stp>
        <stp>[TREASURY.xlsx]Sheet1!R1286C7</stp>
        <tr r="G1286" s="1"/>
      </tp>
      <tp t="s">
        <v>USD</v>
        <stp/>
        <stp>##V3_BDPV12</stp>
        <stp>912828HQ Govt</stp>
        <stp>CRNCY</stp>
        <stp>[TREASURY.xlsx]Sheet1!R1244C7</stp>
        <tr r="G1244" s="1"/>
      </tp>
      <tp t="s">
        <v>USD</v>
        <stp/>
        <stp>##V3_BDPV12</stp>
        <stp>912827MV Govt</stp>
        <stp>CRNCY</stp>
        <stp>[TREASURY.xlsx]Sheet1!R1381C7</stp>
        <tr r="G1381" s="1"/>
      </tp>
      <tp t="s">
        <v>USD</v>
        <stp/>
        <stp>##V3_BDPV12</stp>
        <stp>912827LW Govt</stp>
        <stp>CRNCY</stp>
        <stp>[TREASURY.xlsx]Sheet1!R1380C7</stp>
        <tr r="G1380" s="1"/>
      </tp>
      <tp t="s">
        <v>USD</v>
        <stp/>
        <stp>##V3_BDPV12</stp>
        <stp>912828EY Govt</stp>
        <stp>CRNCY</stp>
        <stp>[TREASURY.xlsx]Sheet1!R1239C7</stp>
        <tr r="G1239" s="1"/>
      </tp>
      <tp t="s">
        <v>USD</v>
        <stp/>
        <stp>##V3_BDPV12</stp>
        <stp>912810DY Govt</stp>
        <stp>CRNCY</stp>
        <stp>[TREASURY.xlsx]Sheet1!R1448C7</stp>
        <tr r="G1448" s="1"/>
      </tp>
      <tp t="s">
        <v>USD</v>
        <stp/>
        <stp>##V3_BDPV12</stp>
        <stp>912827LB Govt</stp>
        <stp>CRNCY</stp>
        <stp>[TREASURY.xlsx]Sheet1!R1320C7</stp>
        <tr r="G1320" s="1"/>
      </tp>
      <tp t="s">
        <v>#N/A Field Not Applicable</v>
        <stp/>
        <stp>##V3_BDPV12</stp>
        <stp>9128274H Govt</stp>
        <stp>IDX_RATIO</stp>
        <stp>[TREASURY.xlsx]Sheet1!R1460C20</stp>
        <tr r="T1460" s="1"/>
      </tp>
      <tp t="s">
        <v>#N/A Field Not Applicable</v>
        <stp/>
        <stp>##V3_BDPV12</stp>
        <stp>9128272H Govt</stp>
        <stp>IDX_RATIO</stp>
        <stp>[TREASURY.xlsx]Sheet1!R1450C20</stp>
        <tr r="T1450" s="1"/>
      </tp>
      <tp t="s">
        <v>#N/A Field Not Applicable</v>
        <stp/>
        <stp>##V3_BDPV12</stp>
        <stp>912827WH Govt</stp>
        <stp>IDX_RATIO</stp>
        <stp>[TREASURY.xlsx]Sheet1!R1417C20</stp>
        <tr r="T1417" s="1"/>
      </tp>
      <tp t="s">
        <v>#N/A Field Not Applicable</v>
        <stp/>
        <stp>##V3_BDPV12</stp>
        <stp>912828GH Govt</stp>
        <stp>IDX_RATIO</stp>
        <stp>[TREASURY.xlsx]Sheet1!R1435C20</stp>
        <tr r="T1435" s="1"/>
      </tp>
      <tp t="s">
        <v>#N/A Field Not Applicable</v>
        <stp/>
        <stp>##V3_BDPV12</stp>
        <stp>912810DH Govt</stp>
        <stp>IDX_RATIO</stp>
        <stp>[TREASURY.xlsx]Sheet1!R1619C20</stp>
        <tr r="T1619" s="1"/>
      </tp>
      <tp t="s">
        <v>#N/A Field Not Applicable</v>
        <stp/>
        <stp>##V3_BDPV12</stp>
        <stp>912827LH Govt</stp>
        <stp>IDX_RATIO</stp>
        <stp>[TREASURY.xlsx]Sheet1!R1566C20</stp>
        <tr r="T1566" s="1"/>
      </tp>
      <tp t="s">
        <v>#N/A Field Not Applicable</v>
        <stp/>
        <stp>##V3_BDPV12</stp>
        <stp>9128276H Govt</stp>
        <stp>IDX_RATIO</stp>
        <stp>[TREASURY.xlsx]Sheet1!R1537C20</stp>
        <tr r="T1537" s="1"/>
      </tp>
      <tp t="s">
        <v>#N/A Field Not Applicable</v>
        <stp/>
        <stp>##V3_BDPV12</stp>
        <stp>9128273H Govt</stp>
        <stp>IDX_RATIO</stp>
        <stp>[TREASURY.xlsx]Sheet1!R1527C20</stp>
        <tr r="T1527" s="1"/>
      </tp>
      <tp t="s">
        <v>#N/A Field Not Applicable</v>
        <stp/>
        <stp>##V3_BDPV12</stp>
        <stp>912827RH Govt</stp>
        <stp>IDX_RATIO</stp>
        <stp>[TREASURY.xlsx]Sheet1!R1502C20</stp>
        <tr r="T1502" s="1"/>
      </tp>
      <tp t="s">
        <v>USD</v>
        <stp/>
        <stp>##V3_BDPV12</stp>
        <stp>912828NA Govt</stp>
        <stp>CRNCY</stp>
        <stp>[TREASURY.xlsx]Sheet1!R1292C7</stp>
        <tr r="G1292" s="1"/>
      </tp>
      <tp t="s">
        <v>#N/A Field Not Applicable</v>
        <stp/>
        <stp>##V3_BDPV12</stp>
        <stp>912827YH Govt</stp>
        <stp>IDX_RATIO</stp>
        <stp>[TREASURY.xlsx]Sheet1!R1221C20</stp>
        <tr r="T1221" s="1"/>
      </tp>
      <tp t="s">
        <v>#N/A Field Not Applicable</v>
        <stp/>
        <stp>##V3_BDPV12</stp>
        <stp>9128275H Govt</stp>
        <stp>IDX_RATIO</stp>
        <stp>[TREASURY.xlsx]Sheet1!R1370C20</stp>
        <tr r="T1370" s="1"/>
      </tp>
      <tp t="s">
        <v>#N/A Field Not Applicable</v>
        <stp/>
        <stp>##V3_BDPV12</stp>
        <stp>912827NH Govt</stp>
        <stp>IDX_RATIO</stp>
        <stp>[TREASURY.xlsx]Sheet1!R1333C20</stp>
        <tr r="T1333" s="1"/>
      </tp>
      <tp t="s">
        <v>#N/A Field Not Applicable</v>
        <stp/>
        <stp>##V3_BDPV12</stp>
        <stp>912828WH Govt</stp>
        <stp>IDX_RATIO</stp>
        <stp>[TREASURY.xlsx]Sheet1!R1306C20</stp>
        <tr r="T1306" s="1"/>
      </tp>
      <tp t="s">
        <v>USD</v>
        <stp/>
        <stp>##V3_BDPV12</stp>
        <stp>912810EG Govt</stp>
        <stp>CRNCY</stp>
        <stp>[TREASURY.xlsx]Sheet1!R1349C7</stp>
        <tr r="G1349" s="1"/>
      </tp>
      <tp t="s">
        <v>#N/A Field Not Applicable</v>
        <stp/>
        <stp>##V3_BDPV12</stp>
        <stp>912827UH Govt</stp>
        <stp>IDX_RATIO</stp>
        <stp>[TREASURY.xlsx]Sheet1!R1078C20</stp>
        <tr r="T1078" s="1"/>
      </tp>
      <tp t="s">
        <v>#N/A Field Not Applicable</v>
        <stp/>
        <stp>##V3_BDPV12</stp>
        <stp>912827QH Govt</stp>
        <stp>IDX_RATIO</stp>
        <stp>[TREASURY.xlsx]Sheet1!R1057C20</stp>
        <tr r="T1057" s="1"/>
      </tp>
      <tp t="s">
        <v>#N/A Field Not Applicable</v>
        <stp/>
        <stp>##V3_BDPV12</stp>
        <stp>9128277H Govt</stp>
        <stp>IDX_RATIO</stp>
        <stp>[TREASURY.xlsx]Sheet1!R1028C20</stp>
        <tr r="T1028" s="1"/>
      </tp>
      <tp t="s">
        <v>USD</v>
        <stp/>
        <stp>##V3_BDPV12</stp>
        <stp>912810SZ Govt</stp>
        <stp>CRNCY</stp>
        <stp>[TREASURY.xlsx]Sheet1!R3C7</stp>
        <tr r="G3" s="1"/>
      </tp>
      <tp t="s">
        <v>#N/A Field Not Applicable</v>
        <stp/>
        <stp>##V3_BDPV12</stp>
        <stp>912828AH Govt</stp>
        <stp>IDX_RATIO</stp>
        <stp>[TREASURY.xlsx]Sheet1!R1107C20</stp>
        <tr r="T1107" s="1"/>
      </tp>
      <tp t="s">
        <v>#N/A Field Not Applicable</v>
        <stp/>
        <stp>##V3_BDPV12</stp>
        <stp>912828EH Govt</stp>
        <stp>IDX_RATIO</stp>
        <stp>[TREASURY.xlsx]Sheet1!R1114C20</stp>
        <tr r="T1114" s="1"/>
      </tp>
      <tp t="s">
        <v>#N/A Field Not Applicable</v>
        <stp/>
        <stp>##V3_BDPV12</stp>
        <stp>912828KH Govt</stp>
        <stp>IDX_RATIO</stp>
        <stp>[TREASURY.xlsx]Sheet1!R1123C20</stp>
        <tr r="T1123" s="1"/>
      </tp>
      <tp t="s">
        <v>#N/A Field Not Applicable</v>
        <stp/>
        <stp>##V3_BDPV12</stp>
        <stp>912828LH Govt</stp>
        <stp>IDX_RATIO</stp>
        <stp>[TREASURY.xlsx]Sheet1!R1128C20</stp>
        <tr r="T1128" s="1"/>
      </tp>
      <tp t="s">
        <v>#N/A Field Not Applicable</v>
        <stp/>
        <stp>##V3_BDPV12</stp>
        <stp>912827TH Govt</stp>
        <stp>IDX_RATIO</stp>
        <stp>[TREASURY.xlsx]Sheet1!R1192C20</stp>
        <tr r="T1192" s="1"/>
      </tp>
      <tp t="s">
        <v>USD</v>
        <stp/>
        <stp>##V3_BDPV12</stp>
        <stp>912827NE Govt</stp>
        <stp>CRNCY</stp>
        <stp>[TREASURY.xlsx]Sheet1!R1332C7</stp>
        <tr r="G1332" s="1"/>
      </tp>
      <tp t="s">
        <v>USD</v>
        <stp/>
        <stp>##V3_BDPV12</stp>
        <stp>912810DN Govt</stp>
        <stp>CRNCY</stp>
        <stp>[TREASURY.xlsx]Sheet1!R1348C7</stp>
        <tr r="G1348" s="1"/>
      </tp>
      <tp t="s">
        <v>USD</v>
        <stp/>
        <stp>##V3_BDPV12</stp>
        <stp>912827KL Govt</stp>
        <stp>CRNCY</stp>
        <stp>[TREASURY.xlsx]Sheet1!R1377C7</stp>
        <tr r="G1377" s="1"/>
      </tp>
      <tp t="s">
        <v>USD</v>
        <stp/>
        <stp>##V3_BDPV12</stp>
        <stp>912828LL Govt</stp>
        <stp>CRNCY</stp>
        <stp>[TREASURY.xlsx]Sheet1!R1290C7</stp>
        <tr r="G1290" s="1"/>
      </tp>
      <tp t="s">
        <v>12/31/1993</v>
        <stp/>
        <stp>##V3_BDPV12</stp>
        <stp>912827N4 Govt</stp>
        <stp>ISSUE_DT</stp>
        <stp>[TREASURY.xlsx]Sheet1!R1048C15</stp>
        <tr r="O1048" s="1"/>
      </tp>
      <tp t="s">
        <v>USD</v>
        <stp/>
        <stp>##V3_BDPV12</stp>
        <stp>912827L6 Govt</stp>
        <stp>CRNCY</stp>
        <stp>[TREASURY.xlsx]Sheet1!R1041C7</stp>
        <tr r="G1041" s="1"/>
      </tp>
      <tp t="s">
        <v>USD</v>
        <stp/>
        <stp>##V3_BDPV12</stp>
        <stp>912827J6 Govt</stp>
        <stp>CRNCY</stp>
        <stp>[TREASURY.xlsx]Sheet1!R1317C7</stp>
        <tr r="G1317" s="1"/>
      </tp>
      <tp t="s">
        <v>11/30/1993</v>
        <stp/>
        <stp>##V3_BDPV12</stp>
        <stp>912827N2 Govt</stp>
        <stp>ISSUE_DT</stp>
        <stp>[TREASURY.xlsx]Sheet1!R1329C15</stp>
        <tr r="O1329" s="1"/>
      </tp>
      <tp t="s">
        <v>USD</v>
        <stp/>
        <stp>##V3_BDPV12</stp>
        <stp>912827E8 Govt</stp>
        <stp>CRNCY</stp>
        <stp>[TREASURY.xlsx]Sheet1!R1558C7</stp>
        <tr r="G1558" s="1"/>
      </tp>
      <tp t="s">
        <v>USD</v>
        <stp/>
        <stp>##V3_BDPV12</stp>
        <stp>912827H9 Govt</stp>
        <stp>CRNCY</stp>
        <stp>[TREASURY.xlsx]Sheet1!R1375C7</stp>
        <tr r="G1375" s="1"/>
      </tp>
      <tp t="s">
        <v>2/28/1994</v>
        <stp/>
        <stp>##V3_BDPV12</stp>
        <stp>912827N9 Govt</stp>
        <stp>ISSUE_DT</stp>
        <stp>[TREASURY.xlsx]Sheet1!R1330C15</stp>
        <tr r="O1330" s="1"/>
      </tp>
      <tp t="s">
        <v>8/16/2021</v>
        <stp/>
        <stp>##V3_BDPV12</stp>
        <stp>912810SZ Govt</stp>
        <stp>ISSUE_DT</stp>
        <stp>[TREASURY.xlsx]Sheet1!R3C15</stp>
        <tr r="O3" s="1"/>
      </tp>
      <tp t="s">
        <v>9/30/2021</v>
        <stp/>
        <stp>##V3_BDPV12</stp>
        <stp>91282CCZ Govt</stp>
        <stp>ISSUE_DT</stp>
        <stp>[TREASURY.xlsx]Sheet1!R7C15</stp>
        <tr r="O7" s="1"/>
      </tp>
      <tp t="s">
        <v>T</v>
        <stp/>
        <stp>##V3_BDPV12</stp>
        <stp>912827D9 Govt</stp>
        <stp>TICKER</stp>
        <stp>[TREASURY.xlsx]Sheet1!R702C2</stp>
        <tr r="B702" s="1"/>
      </tp>
      <tp t="s">
        <v>T</v>
        <stp/>
        <stp>##V3_BDPV12</stp>
        <stp>912827N6 Govt</stp>
        <stp>TICKER</stp>
        <stp>[TREASURY.xlsx]Sheet1!R728C2</stp>
        <tr r="B728" s="1"/>
      </tp>
      <tp t="s">
        <v>T</v>
        <stp/>
        <stp>##V3_BDPV12</stp>
        <stp>912828D7 Govt</stp>
        <stp>TICKER</stp>
        <stp>[TREASURY.xlsx]Sheet1!R332C2</stp>
        <tr r="B332" s="1"/>
      </tp>
      <tp t="s">
        <v>T</v>
        <stp/>
        <stp>##V3_BDPV12</stp>
        <stp>912828A3 Govt</stp>
        <stp>TICKER</stp>
        <stp>[TREASURY.xlsx]Sheet1!R627C2</stp>
        <tr r="B627" s="1"/>
      </tp>
      <tp t="s">
        <v>T</v>
        <stp/>
        <stp>##V3_BDPV12</stp>
        <stp>912810EZ Govt</stp>
        <stp>TICKER</stp>
        <stp>[TREASURY.xlsx]Sheet1!R323C2</stp>
        <tr r="B323" s="1"/>
      </tp>
      <tp t="s">
        <v>T</v>
        <stp/>
        <stp>##V3_BDPV12</stp>
        <stp>912828AY Govt</stp>
        <stp>TICKER</stp>
        <stp>[TREASURY.xlsx]Sheet1!R507C2</stp>
        <tr r="B507" s="1"/>
      </tp>
      <tp t="s">
        <v>T</v>
        <stp/>
        <stp>##V3_BDPV12</stp>
        <stp>912828AW Govt</stp>
        <stp>TICKER</stp>
        <stp>[TREASURY.xlsx]Sheet1!R667C2</stp>
        <tr r="B667" s="1"/>
      </tp>
      <tp t="s">
        <v>T</v>
        <stp/>
        <stp>##V3_BDPV12</stp>
        <stp>912810ET Govt</stp>
        <stp>TICKER</stp>
        <stp>[TREASURY.xlsx]Sheet1!R313C2</stp>
        <tr r="B313" s="1"/>
      </tp>
      <tp t="s">
        <v>T</v>
        <stp/>
        <stp>##V3_BDPV12</stp>
        <stp>912810DU Govt</stp>
        <stp>TICKER</stp>
        <stp>[TREASURY.xlsx]Sheet1!R432C2</stp>
        <tr r="B432" s="1"/>
      </tp>
      <tp t="s">
        <v>T</v>
        <stp/>
        <stp>##V3_BDPV12</stp>
        <stp>912828DR Govt</stp>
        <stp>TICKER</stp>
        <stp>[TREASURY.xlsx]Sheet1!R792C2</stp>
        <tr r="B792" s="1"/>
      </tp>
      <tp t="s">
        <v>NORMAL</v>
        <stp/>
        <stp>##V3_BDPV12</stp>
        <stp>912810QQ Govt</stp>
        <stp>MTY_TYP</stp>
        <stp>[TREASURY.xlsx]Sheet1!R315C6</stp>
        <tr r="F315" s="1"/>
      </tp>
      <tp t="s">
        <v>T</v>
        <stp/>
        <stp>##V3_BDPV12</stp>
        <stp>912828FS Govt</stp>
        <stp>TICKER</stp>
        <stp>[TREASURY.xlsx]Sheet1!R800C2</stp>
        <tr r="B800" s="1"/>
      </tp>
      <tp t="s">
        <v>NORMAL</v>
        <stp/>
        <stp>##V3_BDPV12</stp>
        <stp>912828QR Govt</stp>
        <stp>MTY_TYP</stp>
        <stp>[TREASURY.xlsx]Sheet1!R866C6</stp>
        <tr r="F866" s="1"/>
      </tp>
      <tp t="s">
        <v>NORMAL</v>
        <stp/>
        <stp>##V3_BDPV12</stp>
        <stp>9128274T Govt</stp>
        <stp>MTY_TYP</stp>
        <stp>[TREASURY.xlsx]Sheet1!R610C6</stp>
        <tr r="F610" s="1"/>
      </tp>
      <tp t="s">
        <v>NORMAL</v>
        <stp/>
        <stp>##V3_BDPV12</stp>
        <stp>912828PQ Govt</stp>
        <stp>MTY_TYP</stp>
        <stp>[TREASURY.xlsx]Sheet1!R985C6</stp>
        <tr r="F985" s="1"/>
      </tp>
      <tp t="s">
        <v>NORMAL</v>
        <stp/>
        <stp>##V3_BDPV12</stp>
        <stp>912827PQ Govt</stp>
        <stp>MTY_TYP</stp>
        <stp>[TREASURY.xlsx]Sheet1!R665C6</stp>
        <tr r="F665" s="1"/>
      </tp>
      <tp t="s">
        <v>NORMAL</v>
        <stp/>
        <stp>##V3_BDPV12</stp>
        <stp>912828JV Govt</stp>
        <stp>MTY_TYP</stp>
        <stp>[TREASURY.xlsx]Sheet1!R972C6</stp>
        <tr r="F972" s="1"/>
      </tp>
      <tp t="s">
        <v>NORMAL</v>
        <stp/>
        <stp>##V3_BDPV12</stp>
        <stp>912828RT Govt</stp>
        <stp>MTY_TYP</stp>
        <stp>[TREASURY.xlsx]Sheet1!R420C6</stp>
        <tr r="F420" s="1"/>
      </tp>
      <tp t="s">
        <v>NORMAL</v>
        <stp/>
        <stp>##V3_BDPV12</stp>
        <stp>912828HR Govt</stp>
        <stp>MTY_TYP</stp>
        <stp>[TREASURY.xlsx]Sheet1!R476C6</stp>
        <tr r="F476" s="1"/>
      </tp>
      <tp t="s">
        <v>NORMAL</v>
        <stp/>
        <stp>##V3_BDPV12</stp>
        <stp>912828BQ Govt</stp>
        <stp>MTY_TYP</stp>
        <stp>[TREASURY.xlsx]Sheet1!R435C6</stp>
        <tr r="F435" s="1"/>
      </tp>
      <tp t="s">
        <v>NORMAL</v>
        <stp/>
        <stp>##V3_BDPV12</stp>
        <stp>912828VR Govt</stp>
        <stp>MTY_TYP</stp>
        <stp>[TREASURY.xlsx]Sheet1!R566C6</stp>
        <tr r="F566" s="1"/>
      </tp>
      <tp t="s">
        <v>NORMAL</v>
        <stp/>
        <stp>##V3_BDPV12</stp>
        <stp>9128284Q Govt</stp>
        <stp>MTY_TYP</stp>
        <stp>[TREASURY.xlsx]Sheet1!R675C6</stp>
        <tr r="F675" s="1"/>
      </tp>
      <tp t="s">
        <v>NORMAL</v>
        <stp/>
        <stp>##V3_BDPV12</stp>
        <stp>912828PV Govt</stp>
        <stp>MTY_TYP</stp>
        <stp>[TREASURY.xlsx]Sheet1!R652C6</stp>
        <tr r="F652" s="1"/>
      </tp>
      <tp t="s">
        <v>NORMAL</v>
        <stp/>
        <stp>##V3_BDPV12</stp>
        <stp>912827UV Govt</stp>
        <stp>MTY_TYP</stp>
        <stp>[TREASURY.xlsx]Sheet1!R922C6</stp>
        <tr r="F922" s="1"/>
      </tp>
      <tp t="s">
        <v>NORMAL</v>
        <stp/>
        <stp>##V3_BDPV12</stp>
        <stp>912828SW Govt</stp>
        <stp>MTY_TYP</stp>
        <stp>[TREASURY.xlsx]Sheet1!R653C6</stp>
        <tr r="F653" s="1"/>
      </tp>
      <tp t="s">
        <v>NORMAL</v>
        <stp/>
        <stp>##V3_BDPV12</stp>
        <stp>912827PP Govt</stp>
        <stp>MTY_TYP</stp>
        <stp>[TREASURY.xlsx]Sheet1!R904C6</stp>
        <tr r="F904" s="1"/>
      </tp>
      <tp t="s">
        <v>NORMAL</v>
        <stp/>
        <stp>##V3_BDPV12</stp>
        <stp>912828KR Govt</stp>
        <stp>MTY_TYP</stp>
        <stp>[TREASURY.xlsx]Sheet1!R676C6</stp>
        <tr r="F676" s="1"/>
      </tp>
      <tp t="s">
        <v>NORMAL</v>
        <stp/>
        <stp>##V3_BDPV12</stp>
        <stp>912828JW Govt</stp>
        <stp>MTY_TYP</stp>
        <stp>[TREASURY.xlsx]Sheet1!R643C6</stp>
        <tr r="F643" s="1"/>
      </tp>
      <tp t="s">
        <v>NORMAL</v>
        <stp/>
        <stp>##V3_BDPV12</stp>
        <stp>912828AV Govt</stp>
        <stp>MTY_TYP</stp>
        <stp>[TREASURY.xlsx]Sheet1!R602C6</stp>
        <tr r="F602" s="1"/>
      </tp>
      <tp t="s">
        <v>NORMAL</v>
        <stp/>
        <stp>##V3_BDPV12</stp>
        <stp>912828CW Govt</stp>
        <stp>MTY_TYP</stp>
        <stp>[TREASURY.xlsx]Sheet1!R603C6</stp>
        <tr r="F603" s="1"/>
      </tp>
      <tp t="s">
        <v>NORMAL</v>
        <stp/>
        <stp>##V3_BDPV12</stp>
        <stp>912828DW Govt</stp>
        <stp>MTY_TYP</stp>
        <stp>[TREASURY.xlsx]Sheet1!R793C6</stp>
        <tr r="F793" s="1"/>
      </tp>
      <tp t="s">
        <v>NORMAL</v>
        <stp/>
        <stp>##V3_BDPV12</stp>
        <stp>912828ZR Govt</stp>
        <stp>MTY_TYP</stp>
        <stp>[TREASURY.xlsx]Sheet1!R136C6</stp>
        <tr r="F136" s="1"/>
      </tp>
      <tp t="s">
        <v>NORMAL</v>
        <stp/>
        <stp>##V3_BDPV12</stp>
        <stp>9128283V Govt</stp>
        <stp>MTY_TYP</stp>
        <stp>[TREASURY.xlsx]Sheet1!R242C6</stp>
        <tr r="F242" s="1"/>
      </tp>
      <tp t="s">
        <v>NORMAL</v>
        <stp/>
        <stp>##V3_BDPV12</stp>
        <stp>9128282P Govt</stp>
        <stp>MTY_TYP</stp>
        <stp>[TREASURY.xlsx]Sheet1!R214C6</stp>
        <tr r="F214" s="1"/>
      </tp>
      <tp t="s">
        <v>NORMAL</v>
        <stp/>
        <stp>##V3_BDPV12</stp>
        <stp>9128282V Govt</stp>
        <stp>MTY_TYP</stp>
        <stp>[TREASURY.xlsx]Sheet1!R362C6</stp>
        <tr r="F362" s="1"/>
      </tp>
      <tp t="s">
        <v>NORMAL</v>
        <stp/>
        <stp>##V3_BDPV12</stp>
        <stp>9128283Q Govt</stp>
        <stp>MTY_TYP</stp>
        <stp>[TREASURY.xlsx]Sheet1!R375C6</stp>
        <tr r="F375" s="1"/>
      </tp>
      <tp t="s">
        <v>NORMAL</v>
        <stp/>
        <stp>##V3_BDPV12</stp>
        <stp>9128282T Govt</stp>
        <stp>MTY_TYP</stp>
        <stp>[TREASURY.xlsx]Sheet1!R330C6</stp>
        <tr r="F330" s="1"/>
      </tp>
      <tp t="s">
        <v>NORMAL</v>
        <stp/>
        <stp>##V3_BDPV12</stp>
        <stp>912828NV Govt</stp>
        <stp>MTY_TYP</stp>
        <stp>[TREASURY.xlsx]Sheet1!R382C6</stp>
        <tr r="F382" s="1"/>
      </tp>
      <tp t="s">
        <v>NORMAL</v>
        <stp/>
        <stp>##V3_BDPV12</stp>
        <stp>912828JR Govt</stp>
        <stp>MTY_TYP</stp>
        <stp>[TREASURY.xlsx]Sheet1!R396C6</stp>
        <tr r="F396" s="1"/>
      </tp>
      <tp t="s">
        <v>T</v>
        <stp/>
        <stp>##V3_BDPV12</stp>
        <stp>912810CP Govt</stp>
        <stp>TICKER</stp>
        <stp>[TREASURY.xlsx]Sheet1!R405C2</stp>
        <tr r="B405" s="1"/>
      </tp>
      <tp t="s">
        <v>T</v>
        <stp/>
        <stp>##V3_BDPV12</stp>
        <stp>912828AN Govt</stp>
        <stp>TICKER</stp>
        <stp>[TREASURY.xlsx]Sheet1!R657C2</stp>
        <tr r="B657" s="1"/>
      </tp>
      <tp t="s">
        <v>T</v>
        <stp/>
        <stp>##V3_BDPV12</stp>
        <stp>912828DL Govt</stp>
        <stp>TICKER</stp>
        <stp>[TREASURY.xlsx]Sheet1!R962C2</stp>
        <tr r="B962" s="1"/>
      </tp>
      <tp t="s">
        <v>T</v>
        <stp/>
        <stp>##V3_BDPV12</stp>
        <stp>912828NK Govt</stp>
        <stp>TICKER</stp>
        <stp>[TREASURY.xlsx]Sheet1!R978C2</stp>
        <tr r="B978" s="1"/>
      </tp>
      <tp t="s">
        <v>T</v>
        <stp/>
        <stp>##V3_BDPV12</stp>
        <stp>91282CAH Govt</stp>
        <stp>TICKER</stp>
        <stp>[TREASURY.xlsx]Sheet1!R167C2</stp>
        <tr r="B167" s="1"/>
      </tp>
      <tp t="s">
        <v>T</v>
        <stp/>
        <stp>##V3_BDPV12</stp>
        <stp>912828CF Govt</stp>
        <stp>TICKER</stp>
        <stp>[TREASURY.xlsx]Sheet1!R465C2</stp>
        <tr r="B465" s="1"/>
      </tp>
      <tp t="s">
        <v>T</v>
        <stp/>
        <stp>##V3_BDPV12</stp>
        <stp>912828AG Govt</stp>
        <stp>TICKER</stp>
        <stp>[TREASURY.xlsx]Sheet1!R837C2</stp>
        <tr r="B837" s="1"/>
      </tp>
      <tp t="s">
        <v>T</v>
        <stp/>
        <stp>##V3_BDPV12</stp>
        <stp>912828FD Govt</stp>
        <stp>TICKER</stp>
        <stp>[TREASURY.xlsx]Sheet1!R650C2</stp>
        <tr r="B650" s="1"/>
      </tp>
      <tp t="s">
        <v>T</v>
        <stp/>
        <stp>##V3_BDPV12</stp>
        <stp>912810EE Govt</stp>
        <stp>TICKER</stp>
        <stp>[TREASURY.xlsx]Sheet1!R503C2</stp>
        <tr r="B503" s="1"/>
      </tp>
      <tp t="s">
        <v>T</v>
        <stp/>
        <stp>##V3_BDPV12</stp>
        <stp>912810FB Govt</stp>
        <stp>TICKER</stp>
        <stp>[TREASURY.xlsx]Sheet1!R320C2</stp>
        <tr r="B320" s="1"/>
      </tp>
      <tp t="s">
        <v>T</v>
        <stp/>
        <stp>##V3_BDPV12</stp>
        <stp>91282CBB Govt</stp>
        <stp>TICKER</stp>
        <stp>[TREASURY.xlsx]Sheet1!R114C2</stp>
        <tr r="B114" s="1"/>
      </tp>
      <tp t="s">
        <v>T</v>
        <stp/>
        <stp>##V3_BDPV12</stp>
        <stp>912828NB Govt</stp>
        <stp>TICKER</stp>
        <stp>[TREASURY.xlsx]Sheet1!R388C2</stp>
        <tr r="B388" s="1"/>
      </tp>
      <tp t="s">
        <v>T</v>
        <stp/>
        <stp>##V3_BDPV12</stp>
        <stp>912828DC Govt</stp>
        <stp>TICKER</stp>
        <stp>[TREASURY.xlsx]Sheet1!R352C2</stp>
        <tr r="B352" s="1"/>
      </tp>
      <tp t="s">
        <v>T</v>
        <stp/>
        <stp>##V3_BDPV12</stp>
        <stp>912828CC Govt</stp>
        <stp>TICKER</stp>
        <stp>[TREASURY.xlsx]Sheet1!R325C2</stp>
        <tr r="B325" s="1"/>
      </tp>
      <tp t="s">
        <v>T</v>
        <stp/>
        <stp>##V3_BDPV12</stp>
        <stp>912828GA Govt</stp>
        <stp>TICKER</stp>
        <stp>[TREASURY.xlsx]Sheet1!R801C2</stp>
        <tr r="B801" s="1"/>
      </tp>
      <tp t="s">
        <v>11/30/1982</v>
        <stp/>
        <stp>##V3_BDPV12</stp>
        <stp>912827NW Govt</stp>
        <stp>ISSUE_DT</stp>
        <stp>[TREASURY.xlsx]Sheet1!R1053C15</stp>
        <tr r="O1053" s="1"/>
      </tp>
      <tp t="s">
        <v>11/1/1982</v>
        <stp/>
        <stp>##V3_BDPV12</stp>
        <stp>912827NT Govt</stp>
        <stp>ISSUE_DT</stp>
        <stp>[TREASURY.xlsx]Sheet1!R1384C15</stp>
        <tr r="O1384" s="1"/>
      </tp>
      <tp t="s">
        <v>11/15/1982</v>
        <stp/>
        <stp>##V3_BDPV12</stp>
        <stp>912827NU Govt</stp>
        <stp>ISSUE_DT</stp>
        <stp>[TREASURY.xlsx]Sheet1!R1335C15</stp>
        <tr r="O1335" s="1"/>
      </tp>
      <tp t="s">
        <v>T</v>
        <stp/>
        <stp>##V3_BDPV12</stp>
        <stp>912828GF Govt</stp>
        <stp>TICKER</stp>
        <stp>[TREASURY.xlsx]Sheet1!R1434C2</stp>
        <tr r="B1434" s="1"/>
      </tp>
      <tp t="s">
        <v>USD</v>
        <stp/>
        <stp>##V3_BDPV12</stp>
        <stp>912828HS Govt</stp>
        <stp>CRNCY</stp>
        <stp>[TREASURY.xlsx]Sheet1!R1245C7</stp>
        <tr r="G1245" s="1"/>
      </tp>
      <tp t="s">
        <v>USD</v>
        <stp/>
        <stp>##V3_BDPV12</stp>
        <stp>912828JS Govt</stp>
        <stp>CRNCY</stp>
        <stp>[TREASURY.xlsx]Sheet1!R1247C7</stp>
        <tr r="G1247" s="1"/>
      </tp>
      <tp t="s">
        <v>T</v>
        <stp/>
        <stp>##V3_BDPV12</stp>
        <stp>912828GK Govt</stp>
        <stp>TICKER</stp>
        <stp>[TREASURY.xlsx]Sheet1!R1119C2</stp>
        <tr r="B1119" s="1"/>
      </tp>
      <tp t="s">
        <v>T</v>
        <stp/>
        <stp>##V3_BDPV12</stp>
        <stp>912828SC Govt</stp>
        <stp>TICKER</stp>
        <stp>[TREASURY.xlsx]Sheet1!R1141C2</stp>
        <tr r="B1141" s="1"/>
      </tp>
      <tp t="s">
        <v>T</v>
        <stp/>
        <stp>##V3_BDPV12</stp>
        <stp>912828UG Govt</stp>
        <stp>TICKER</stp>
        <stp>[TREASURY.xlsx]Sheet1!R1135C2</stp>
        <tr r="B1135" s="1"/>
      </tp>
      <tp t="s">
        <v>T</v>
        <stp/>
        <stp>##V3_BDPV12</stp>
        <stp>9128282G Govt</stp>
        <stp>TICKER</stp>
        <stp>[TREASURY.xlsx]Sheet1!R1105C2</stp>
        <tr r="B1105" s="1"/>
      </tp>
      <tp t="s">
        <v>T</v>
        <stp/>
        <stp>##V3_BDPV12</stp>
        <stp>912828EJ Govt</stp>
        <stp>TICKER</stp>
        <stp>[TREASURY.xlsx]Sheet1!R1238C2</stp>
        <tr r="B1238" s="1"/>
      </tp>
      <tp t="s">
        <v>T</v>
        <stp/>
        <stp>##V3_BDPV12</stp>
        <stp>912828QC Govt</stp>
        <stp>TICKER</stp>
        <stp>[TREASURY.xlsx]Sheet1!R1301C2</stp>
        <tr r="B1301" s="1"/>
      </tp>
      <tp t="s">
        <v>T</v>
        <stp/>
        <stp>##V3_BDPV12</stp>
        <stp>912827LB Govt</stp>
        <stp>TICKER</stp>
        <stp>[TREASURY.xlsx]Sheet1!R1320C2</stp>
        <tr r="B1320" s="1"/>
      </tp>
      <tp t="s">
        <v>T</v>
        <stp/>
        <stp>##V3_BDPV12</stp>
        <stp>912827YB Govt</stp>
        <stp>TICKER</stp>
        <stp>[TREASURY.xlsx]Sheet1!R1100C2</stp>
        <tr r="B1100" s="1"/>
      </tp>
      <tp t="s">
        <v>T</v>
        <stp/>
        <stp>##V3_BDPV12</stp>
        <stp>912827UE Govt</stp>
        <stp>TICKER</stp>
        <stp>[TREASURY.xlsx]Sheet1!R1077C2</stp>
        <tr r="B1077" s="1"/>
      </tp>
      <tp t="s">
        <v>T</v>
        <stp/>
        <stp>##V3_BDPV12</stp>
        <stp>912827QD Govt</stp>
        <stp>TICKER</stp>
        <stp>[TREASURY.xlsx]Sheet1!R1056C2</stp>
        <tr r="B1056" s="1"/>
      </tp>
      <tp t="s">
        <v>T</v>
        <stp/>
        <stp>##V3_BDPV12</stp>
        <stp>912827YF Govt</stp>
        <stp>TICKER</stp>
        <stp>[TREASURY.xlsx]Sheet1!R1604C2</stp>
        <tr r="B1604" s="1"/>
      </tp>
      <tp t="s">
        <v>T</v>
        <stp/>
        <stp>##V3_BDPV12</stp>
        <stp>912827SK Govt</stp>
        <stp>TICKER</stp>
        <stp>[TREASURY.xlsx]Sheet1!R1589C2</stp>
        <tr r="B1589" s="1"/>
      </tp>
      <tp t="s">
        <v>T</v>
        <stp/>
        <stp>##V3_BDPV12</stp>
        <stp>912827TE Govt</stp>
        <stp>TICKER</stp>
        <stp>[TREASURY.xlsx]Sheet1!R1507C2</stp>
        <tr r="B1507" s="1"/>
      </tp>
      <tp t="s">
        <v>T</v>
        <stp/>
        <stp>##V3_BDPV12</stp>
        <stp>9128273J Govt</stp>
        <stp>TICKER</stp>
        <stp>[TREASURY.xlsx]Sheet1!R1528C2</stp>
        <tr r="B1528" s="1"/>
      </tp>
      <tp t="s">
        <v>T</v>
        <stp/>
        <stp>##V3_BDPV12</stp>
        <stp>9128277A Govt</stp>
        <stp>TICKER</stp>
        <stp>[TREASURY.xlsx]Sheet1!R1543C2</stp>
        <tr r="B1543" s="1"/>
      </tp>
      <tp t="s">
        <v>T</v>
        <stp/>
        <stp>##V3_BDPV12</stp>
        <stp>912827UF Govt</stp>
        <stp>TICKER</stp>
        <stp>[TREASURY.xlsx]Sheet1!R1404C2</stp>
        <tr r="B1404" s="1"/>
      </tp>
      <tp t="s">
        <v>T</v>
        <stp/>
        <stp>##V3_BDPV12</stp>
        <stp>9128275A Govt</stp>
        <stp>TICKER</stp>
        <stp>[TREASURY.xlsx]Sheet1!R1463C2</stp>
        <tr r="B1463" s="1"/>
      </tp>
      <tp t="s">
        <v>8/31/2010</v>
        <stp/>
        <stp>##V3_BDPV12</stp>
        <stp>912828NW Govt</stp>
        <stp>ISSUE_DT</stp>
        <stp>[TREASURY.xlsx]Sheet1!R1294C15</stp>
        <tr r="O1294" s="1"/>
      </tp>
      <tp t="s">
        <v>USD</v>
        <stp/>
        <stp>##V3_BDPV12</stp>
        <stp>912827LP Govt</stp>
        <stp>CRNCY</stp>
        <stp>[TREASURY.xlsx]Sheet1!R1491C7</stp>
        <tr r="G1491" s="1"/>
      </tp>
      <tp t="s">
        <v>T</v>
        <stp/>
        <stp>##V3_BDPV12</stp>
        <stp>912810CK Govt</stp>
        <stp>TICKER</stp>
        <stp>[TREASURY.xlsx]Sheet1!R1309C2</stp>
        <tr r="B1309" s="1"/>
      </tp>
      <tp t="s">
        <v>USD</v>
        <stp/>
        <stp>##V3_BDPV12</stp>
        <stp>912828NQ Govt</stp>
        <stp>CRNCY</stp>
        <stp>[TREASURY.xlsx]Sheet1!R1293C7</stp>
        <tr r="G1293" s="1"/>
      </tp>
      <tp t="s">
        <v>8/2/2010</v>
        <stp/>
        <stp>##V3_BDPV12</stp>
        <stp>912828NQ Govt</stp>
        <stp>ISSUE_DT</stp>
        <stp>[TREASURY.xlsx]Sheet1!R1293C15</stp>
        <tr r="O1293" s="1"/>
      </tp>
      <tp t="s">
        <v>USD</v>
        <stp/>
        <stp>##V3_BDPV12</stp>
        <stp>912828LV Govt</stp>
        <stp>CRNCY</stp>
        <stp>[TREASURY.xlsx]Sheet1!R1291C7</stp>
        <tr r="G1291" s="1"/>
      </tp>
      <tp t="s">
        <v>9/30/1982</v>
        <stp/>
        <stp>##V3_BDPV12</stp>
        <stp>912827NR Govt</stp>
        <stp>ISSUE_DT</stp>
        <stp>[TREASURY.xlsx]Sheet1!R1052C15</stp>
        <tr r="O1052" s="1"/>
      </tp>
      <tp t="s">
        <v>USD</v>
        <stp/>
        <stp>##V3_BDPV12</stp>
        <stp>912827NW Govt</stp>
        <stp>CRNCY</stp>
        <stp>[TREASURY.xlsx]Sheet1!R1053C7</stp>
        <tr r="G1053" s="1"/>
      </tp>
      <tp t="s">
        <v>8/2/2010</v>
        <stp/>
        <stp>##V3_BDPV12</stp>
        <stp>912828NR Govt</stp>
        <stp>ISSUE_DT</stp>
        <stp>[TREASURY.xlsx]Sheet1!R1257C15</stp>
        <tr r="O1257" s="1"/>
      </tp>
      <tp t="s">
        <v>9/29/1982</v>
        <stp/>
        <stp>##V3_BDPV12</stp>
        <stp>912827NS Govt</stp>
        <stp>ISSUE_DT</stp>
        <stp>[TREASURY.xlsx]Sheet1!R1334C15</stp>
        <tr r="O1334" s="1"/>
      </tp>
      <tp t="s">
        <v>USD</v>
        <stp/>
        <stp>##V3_BDPV12</stp>
        <stp>912828KX Govt</stp>
        <stp>CRNCY</stp>
        <stp>[TREASURY.xlsx]Sheet1!R1126C7</stp>
        <tr r="G1126" s="1"/>
      </tp>
      <tp t="s">
        <v>USD</v>
        <stp/>
        <stp>##V3_BDPV12</stp>
        <stp>912828DX Govt</stp>
        <stp>CRNCY</stp>
        <stp>[TREASURY.xlsx]Sheet1!R1429C7</stp>
        <tr r="G1429" s="1"/>
      </tp>
      <tp t="s">
        <v>9/15/2010</v>
        <stp/>
        <stp>##V3_BDPV12</stp>
        <stp>912828NY Govt</stp>
        <stp>ISSUE_DT</stp>
        <stp>[TREASURY.xlsx]Sheet1!R1258C15</stp>
        <tr r="O1258" s="1"/>
      </tp>
      <tp t="s">
        <v>12/2/1982</v>
        <stp/>
        <stp>##V3_BDPV12</stp>
        <stp>912827NX Govt</stp>
        <stp>ISSUE_DT</stp>
        <stp>[TREASURY.xlsx]Sheet1!R1385C15</stp>
        <tr r="O1385" s="1"/>
      </tp>
      <tp t="s">
        <v>12/31/1982</v>
        <stp/>
        <stp>##V3_BDPV12</stp>
        <stp>912827NZ Govt</stp>
        <stp>ISSUE_DT</stp>
        <stp>[TREASURY.xlsx]Sheet1!R1336C15</stp>
        <tr r="O1336" s="1"/>
      </tp>
      <tp t="s">
        <v>12/31/1982</v>
        <stp/>
        <stp>##V3_BDPV12</stp>
        <stp>912827NY Govt</stp>
        <stp>ISSUE_DT</stp>
        <stp>[TREASURY.xlsx]Sheet1!R1170C15</stp>
        <tr r="O1170" s="1"/>
      </tp>
      <tp t="s">
        <v>9/30/2010</v>
        <stp/>
        <stp>##V3_BDPV12</stp>
        <stp>912828NZ Govt</stp>
        <stp>ISSUE_DT</stp>
        <stp>[TREASURY.xlsx]Sheet1!R1295C15</stp>
        <tr r="O1295" s="1"/>
      </tp>
      <tp t="s">
        <v>USD</v>
        <stp/>
        <stp>##V3_BDPV12</stp>
        <stp>912827NB Govt</stp>
        <stp>CRNCY</stp>
        <stp>[TREASURY.xlsx]Sheet1!R1383C7</stp>
        <tr r="G1383" s="1"/>
      </tp>
      <tp t="s">
        <v>6/2/1982</v>
        <stp/>
        <stp>##V3_BDPV12</stp>
        <stp>912827NG Govt</stp>
        <stp>ISSUE_DT</stp>
        <stp>[TREASURY.xlsx]Sheet1!R1169C15</stp>
        <tr r="O1169" s="1"/>
      </tp>
      <tp t="s">
        <v>6/1/1982</v>
        <stp/>
        <stp>##V3_BDPV12</stp>
        <stp>912827NF Govt</stp>
        <stp>ISSUE_DT</stp>
        <stp>[TREASURY.xlsx]Sheet1!R1049C15</stp>
        <tr r="O1049" s="1"/>
      </tp>
      <tp t="s">
        <v>5/17/1982</v>
        <stp/>
        <stp>##V3_BDPV12</stp>
        <stp>912827NE Govt</stp>
        <stp>ISSUE_DT</stp>
        <stp>[TREASURY.xlsx]Sheet1!R1332C15</stp>
        <tr r="O1332" s="1"/>
      </tp>
      <tp t="s">
        <v>6/1/2010</v>
        <stp/>
        <stp>##V3_BDPV12</stp>
        <stp>912828NF Govt</stp>
        <stp>ISSUE_DT</stp>
        <stp>[TREASURY.xlsx]Sheet1!R1256C15</stp>
        <tr r="O1256" s="1"/>
      </tp>
      <tp t="s">
        <v>4/30/2010</v>
        <stp/>
        <stp>##V3_BDPV12</stp>
        <stp>912828NA Govt</stp>
        <stp>ISSUE_DT</stp>
        <stp>[TREASURY.xlsx]Sheet1!R1292C15</stp>
        <tr r="O1292" s="1"/>
      </tp>
      <tp t="s">
        <v>3/31/1982</v>
        <stp/>
        <stp>##V3_BDPV12</stp>
        <stp>912827NA Govt</stp>
        <stp>ISSUE_DT</stp>
        <stp>[TREASURY.xlsx]Sheet1!R1331C15</stp>
        <tr r="O1331" s="1"/>
      </tp>
      <tp t="s">
        <v>USD</v>
        <stp/>
        <stp>##V3_BDPV12</stp>
        <stp>912827LG Govt</stp>
        <stp>CRNCY</stp>
        <stp>[TREASURY.xlsx]Sheet1!R1321C7</stp>
        <tr r="G1321" s="1"/>
      </tp>
      <tp t="s">
        <v>4/7/1982</v>
        <stp/>
        <stp>##V3_BDPV12</stp>
        <stp>912827NB Govt</stp>
        <stp>ISSUE_DT</stp>
        <stp>[TREASURY.xlsx]Sheet1!R1383C15</stp>
        <tr r="O1383" s="1"/>
      </tp>
      <tp t="s">
        <v>USD</v>
        <stp/>
        <stp>##V3_BDPV12</stp>
        <stp>912828DE Govt</stp>
        <stp>CRNCY</stp>
        <stp>[TREASURY.xlsx]Sheet1!R1109C7</stp>
        <tr r="G1109" s="1"/>
      </tp>
      <tp t="s">
        <v>USD</v>
        <stp/>
        <stp>##V3_BDPV12</stp>
        <stp>912828EJ Govt</stp>
        <stp>CRNCY</stp>
        <stp>[TREASURY.xlsx]Sheet1!R1238C7</stp>
        <tr r="G1238" s="1"/>
      </tp>
      <tp t="s">
        <v>8/31/1982</v>
        <stp/>
        <stp>##V3_BDPV12</stp>
        <stp>912827NN Govt</stp>
        <stp>ISSUE_DT</stp>
        <stp>[TREASURY.xlsx]Sheet1!R1051C15</stp>
        <tr r="O1051" s="1"/>
      </tp>
      <tp t="s">
        <v>USD</v>
        <stp/>
        <stp>##V3_BDPV12</stp>
        <stp>912827NH Govt</stp>
        <stp>CRNCY</stp>
        <stp>[TREASURY.xlsx]Sheet1!R1333C7</stp>
        <tr r="G1333" s="1"/>
      </tp>
      <tp t="s">
        <v>USD</v>
        <stp/>
        <stp>##V3_BDPV12</stp>
        <stp>912810DH Govt</stp>
        <stp>CRNCY</stp>
        <stp>[TREASURY.xlsx]Sheet1!R1619C7</stp>
        <tr r="G1619" s="1"/>
      </tp>
      <tp t="s">
        <v>6/30/1982</v>
        <stp/>
        <stp>##V3_BDPV12</stp>
        <stp>912827NH Govt</stp>
        <stp>ISSUE_DT</stp>
        <stp>[TREASURY.xlsx]Sheet1!R1333C15</stp>
        <tr r="O1333" s="1"/>
      </tp>
      <tp t="s">
        <v>7/6/1982</v>
        <stp/>
        <stp>##V3_BDPV12</stp>
        <stp>912827NJ Govt</stp>
        <stp>ISSUE_DT</stp>
        <stp>[TREASURY.xlsx]Sheet1!R1050C15</stp>
        <tr r="O1050" s="1"/>
      </tp>
      <tp t="s">
        <v>T</v>
        <stp/>
        <stp>##V3_BDPV12</stp>
        <stp>912810SX Govt</stp>
        <stp>TICKER</stp>
        <stp>[TREASURY.xlsx]Sheet1!R8C2</stp>
        <tr r="B8" s="1"/>
      </tp>
      <tp t="s">
        <v>4/15/2016</v>
        <stp/>
        <stp>##V3_BDPV12</stp>
        <stp>912828Q5 Govt</stp>
        <stp>ISSUE_DT</stp>
        <stp>[TREASURY.xlsx]Sheet1!R1262C15</stp>
        <tr r="O1262" s="1"/>
      </tp>
      <tp t="s">
        <v>6/30/1994</v>
        <stp/>
        <stp>##V3_BDPV12</stp>
        <stp>912827Q3 Govt</stp>
        <stp>ISSUE_DT</stp>
        <stp>[TREASURY.xlsx]Sheet1!R1494C15</stp>
        <tr r="O1494" s="1"/>
      </tp>
      <tp t="s">
        <v>USD</v>
        <stp/>
        <stp>##V3_BDPV12</stp>
        <stp>912827S2 Govt</stp>
        <stp>CRNCY</stp>
        <stp>[TREASURY.xlsx]Sheet1!R1181C7</stp>
        <tr r="G1181" s="1"/>
      </tp>
      <tp t="s">
        <v>8/15/1994</v>
        <stp/>
        <stp>##V3_BDPV12</stp>
        <stp>912827Q7 Govt</stp>
        <stp>ISSUE_DT</stp>
        <stp>[TREASURY.xlsx]Sheet1!R1178C15</stp>
        <tr r="O1178" s="1"/>
      </tp>
      <tp t="s">
        <v>USD</v>
        <stp/>
        <stp>##V3_BDPV12</stp>
        <stp>912827R3 Govt</stp>
        <stp>CRNCY</stp>
        <stp>[TREASURY.xlsx]Sheet1!R1060C7</stp>
        <tr r="G1060" s="1"/>
      </tp>
      <tp t="s">
        <v>USD</v>
        <stp/>
        <stp>##V3_BDPV12</stp>
        <stp>912827Z3 Govt</stp>
        <stp>CRNCY</stp>
        <stp>[TREASURY.xlsx]Sheet1!R1608C7</stp>
        <tr r="G1608" s="1"/>
      </tp>
      <tp t="s">
        <v>UNITED STATES</v>
        <stp/>
        <stp>##V3_BDPV12</stp>
        <stp>912828AL Govt</stp>
        <stp>COUNTRY_FULL_NAME</stp>
        <stp>[TREASURY.xlsx]Sheet1!R666C8</stp>
        <tr r="H666" s="1"/>
      </tp>
      <tp t="s">
        <v>UNITED STATES</v>
        <stp/>
        <stp>##V3_BDPV12</stp>
        <stp>912828AA Govt</stp>
        <stp>COUNTRY_FULL_NAME</stp>
        <stp>[TREASURY.xlsx]Sheet1!R426C8</stp>
        <tr r="H426" s="1"/>
      </tp>
      <tp t="s">
        <v>6/30/1994</v>
        <stp/>
        <stp>##V3_BDPV12</stp>
        <stp>912827Q4 Govt</stp>
        <stp>ISSUE_DT</stp>
        <stp>[TREASURY.xlsx]Sheet1!R1177C15</stp>
        <tr r="O1177" s="1"/>
      </tp>
      <tp t="s">
        <v>8/1/1994</v>
        <stp/>
        <stp>##V3_BDPV12</stp>
        <stp>912827Q6 Govt</stp>
        <stp>ISSUE_DT</stp>
        <stp>[TREASURY.xlsx]Sheet1!R1343C15</stp>
        <tr r="O1343" s="1"/>
      </tp>
      <tp t="s">
        <v>UNITED STATES</v>
        <stp/>
        <stp>##V3_BDPV12</stp>
        <stp>912828BX Govt</stp>
        <stp>COUNTRY_FULL_NAME</stp>
        <stp>[TREASURY.xlsx]Sheet1!R556C8</stp>
        <tr r="H556" s="1"/>
      </tp>
      <tp t="s">
        <v>UNITED STATES</v>
        <stp/>
        <stp>##V3_BDPV12</stp>
        <stp>912828BY Govt</stp>
        <stp>COUNTRY_FULL_NAME</stp>
        <stp>[TREASURY.xlsx]Sheet1!R506C8</stp>
        <tr r="H506" s="1"/>
      </tp>
      <tp t="s">
        <v>UNITED STATES</v>
        <stp/>
        <stp>##V3_BDPV12</stp>
        <stp>912828BZ Govt</stp>
        <stp>COUNTRY_FULL_NAME</stp>
        <stp>[TREASURY.xlsx]Sheet1!R436C8</stp>
        <tr r="H436" s="1"/>
      </tp>
      <tp t="s">
        <v>UNITED STATES</v>
        <stp/>
        <stp>##V3_BDPV12</stp>
        <stp>912828BK Govt</stp>
        <stp>COUNTRY_FULL_NAME</stp>
        <stp>[TREASURY.xlsx]Sheet1!R786C8</stp>
        <tr r="H786" s="1"/>
      </tp>
      <tp t="s">
        <v>UNITED STATES</v>
        <stp/>
        <stp>##V3_BDPV12</stp>
        <stp>912828C7 Govt</stp>
        <stp>COUNTRY_FULL_NAME</stp>
        <stp>[TREASURY.xlsx]Sheet1!R416C8</stp>
        <tr r="H416" s="1"/>
      </tp>
      <tp t="s">
        <v>UNITED STATES</v>
        <stp/>
        <stp>##V3_BDPV12</stp>
        <stp>912828CU Govt</stp>
        <stp>COUNTRY_FULL_NAME</stp>
        <stp>[TREASURY.xlsx]Sheet1!R636C8</stp>
        <tr r="H636" s="1"/>
      </tp>
      <tp t="s">
        <v>UNITED STATES</v>
        <stp/>
        <stp>##V3_BDPV12</stp>
        <stp>912828CN Govt</stp>
        <stp>COUNTRY_FULL_NAME</stp>
        <stp>[TREASURY.xlsx]Sheet1!R696C8</stp>
        <tr r="H696" s="1"/>
      </tp>
      <tp t="s">
        <v>5/31/1994</v>
        <stp/>
        <stp>##V3_BDPV12</stp>
        <stp>912827Q2 Govt</stp>
        <stp>ISSUE_DT</stp>
        <stp>[TREASURY.xlsx]Sheet1!R1176C15</stp>
        <tr r="O1176" s="1"/>
      </tp>
      <tp t="s">
        <v>USD</v>
        <stp/>
        <stp>##V3_BDPV12</stp>
        <stp>912827V6 Govt</stp>
        <stp>CRNCY</stp>
        <stp>[TREASURY.xlsx]Sheet1!R1084C7</stp>
        <tr r="G1084" s="1"/>
      </tp>
      <tp t="s">
        <v>USD</v>
        <stp/>
        <stp>##V3_BDPV12</stp>
        <stp>912827Q6 Govt</stp>
        <stp>CRNCY</stp>
        <stp>[TREASURY.xlsx]Sheet1!R1343C7</stp>
        <tr r="G1343" s="1"/>
      </tp>
      <tp t="s">
        <v>USD</v>
        <stp/>
        <stp>##V3_BDPV12</stp>
        <stp>912827R6 Govt</stp>
        <stp>CRNCY</stp>
        <stp>[TREASURY.xlsx]Sheet1!R1500C7</stp>
        <tr r="G1500" s="1"/>
      </tp>
      <tp t="s">
        <v>USD</v>
        <stp/>
        <stp>##V3_BDPV12</stp>
        <stp>912827W6 Govt</stp>
        <stp>CRNCY</stp>
        <stp>[TREASURY.xlsx]Sheet1!R1415C7</stp>
        <tr r="G1415" s="1"/>
      </tp>
      <tp t="s">
        <v>UNITED STATES</v>
        <stp/>
        <stp>##V3_BDPV12</stp>
        <stp>912827E5 Govt</stp>
        <stp>COUNTRY_FULL_NAME</stp>
        <stp>[TREASURY.xlsx]Sheet1!R579C8</stp>
        <tr r="H579" s="1"/>
      </tp>
      <tp t="s">
        <v>UNITED STATES</v>
        <stp/>
        <stp>##V3_BDPV12</stp>
        <stp>912828EU Govt</stp>
        <stp>COUNTRY_FULL_NAME</stp>
        <stp>[TREASURY.xlsx]Sheet1!R466C8</stp>
        <tr r="H466" s="1"/>
      </tp>
      <tp t="s">
        <v>UNITED STATES</v>
        <stp/>
        <stp>##V3_BDPV12</stp>
        <stp>912828EK Govt</stp>
        <stp>COUNTRY_FULL_NAME</stp>
        <stp>[TREASURY.xlsx]Sheet1!R796C8</stp>
        <tr r="H796" s="1"/>
      </tp>
      <tp t="s">
        <v>UNITED STATES</v>
        <stp/>
        <stp>##V3_BDPV12</stp>
        <stp>912828EG Govt</stp>
        <stp>COUNTRY_FULL_NAME</stp>
        <stp>[TREASURY.xlsx]Sheet1!R596C8</stp>
        <tr r="H596" s="1"/>
      </tp>
      <tp t="s">
        <v>UNITED STATES</v>
        <stp/>
        <stp>##V3_BDPV12</stp>
        <stp>912828F3 Govt</stp>
        <stp>COUNTRY_FULL_NAME</stp>
        <stp>[TREASURY.xlsx]Sheet1!R406C8</stp>
        <tr r="H406" s="1"/>
      </tp>
      <tp t="s">
        <v>UNITED STATES</v>
        <stp/>
        <stp>##V3_BDPV12</stp>
        <stp>912828FW Govt</stp>
        <stp>COUNTRY_FULL_NAME</stp>
        <stp>[TREASURY.xlsx]Sheet1!R846C8</stp>
        <tr r="H846" s="1"/>
      </tp>
      <tp t="s">
        <v>UNITED STATES</v>
        <stp/>
        <stp>##V3_BDPV12</stp>
        <stp>912828G6 Govt</stp>
        <stp>COUNTRY_FULL_NAME</stp>
        <stp>[TREASURY.xlsx]Sheet1!R966C8</stp>
        <tr r="H966" s="1"/>
      </tp>
      <tp t="s">
        <v>USD</v>
        <stp/>
        <stp>##V3_BDPV12</stp>
        <stp>912827U5 Govt</stp>
        <stp>CRNCY</stp>
        <stp>[TREASURY.xlsx]Sheet1!R1197C7</stp>
        <tr r="G1197" s="1"/>
      </tp>
      <tp t="s">
        <v>UNITED STATES</v>
        <stp/>
        <stp>##V3_BDPV12</stp>
        <stp>912828HZ Govt</stp>
        <stp>COUNTRY_FULL_NAME</stp>
        <stp>[TREASURY.xlsx]Sheet1!R356C8</stp>
        <tr r="H356" s="1"/>
      </tp>
      <tp t="s">
        <v>UNITED STATES</v>
        <stp/>
        <stp>##V3_BDPV12</stp>
        <stp>912828HR Govt</stp>
        <stp>COUNTRY_FULL_NAME</stp>
        <stp>[TREASURY.xlsx]Sheet1!R476C8</stp>
        <tr r="H476" s="1"/>
      </tp>
      <tp t="s">
        <v>UNITED STATES</v>
        <stp/>
        <stp>##V3_BDPV12</stp>
        <stp>912828HG Govt</stp>
        <stp>COUNTRY_FULL_NAME</stp>
        <stp>[TREASURY.xlsx]Sheet1!R806C8</stp>
        <tr r="H806" s="1"/>
      </tp>
      <tp t="s">
        <v>8/15/1994</v>
        <stp/>
        <stp>##V3_BDPV12</stp>
        <stp>912827Q8 Govt</stp>
        <stp>ISSUE_DT</stp>
        <stp>[TREASURY.xlsx]Sheet1!R1572C15</stp>
        <tr r="O1572" s="1"/>
      </tp>
      <tp t="s">
        <v>UNITED STATES</v>
        <stp/>
        <stp>##V3_BDPV12</stp>
        <stp>912828J6 Govt</stp>
        <stp>COUNTRY_FULL_NAME</stp>
        <stp>[TREASURY.xlsx]Sheet1!R686C8</stp>
        <tr r="H686" s="1"/>
      </tp>
      <tp t="s">
        <v>USD</v>
        <stp/>
        <stp>##V3_BDPV12</stp>
        <stp>912827P8 Govt</stp>
        <stp>CRNCY</stp>
        <stp>[TREASURY.xlsx]Sheet1!R1492C7</stp>
        <tr r="G1492" s="1"/>
      </tp>
      <tp t="s">
        <v>UNITED STATES</v>
        <stp/>
        <stp>##V3_BDPV12</stp>
        <stp>912828JR Govt</stp>
        <stp>COUNTRY_FULL_NAME</stp>
        <stp>[TREASURY.xlsx]Sheet1!R396C8</stp>
        <tr r="H396" s="1"/>
      </tp>
      <tp t="s">
        <v>8/31/1994</v>
        <stp/>
        <stp>##V3_BDPV12</stp>
        <stp>912827Q9 Govt</stp>
        <stp>ISSUE_DT</stp>
        <stp>[TREASURY.xlsx]Sheet1!R1573C15</stp>
        <tr r="O1573" s="1"/>
      </tp>
      <tp t="s">
        <v>USD</v>
        <stp/>
        <stp>##V3_BDPV12</stp>
        <stp>912827Q9 Govt</stp>
        <stp>CRNCY</stp>
        <stp>[TREASURY.xlsx]Sheet1!R1573C7</stp>
        <tr r="G1573" s="1"/>
      </tp>
      <tp t="s">
        <v>UNITED STATES</v>
        <stp/>
        <stp>##V3_BDPV12</stp>
        <stp>912828KR Govt</stp>
        <stp>COUNTRY_FULL_NAME</stp>
        <stp>[TREASURY.xlsx]Sheet1!R676C8</stp>
        <tr r="H676" s="1"/>
      </tp>
      <tp t="s">
        <v>UNITED STATES</v>
        <stp/>
        <stp>##V3_BDPV12</stp>
        <stp>912828KV Govt</stp>
        <stp>COUNTRY_FULL_NAME</stp>
        <stp>[TREASURY.xlsx]Sheet1!R616C8</stp>
        <tr r="H616" s="1"/>
      </tp>
      <tp t="s">
        <v>UNITED STATES</v>
        <stp/>
        <stp>##V3_BDPV12</stp>
        <stp>912828KA Govt</stp>
        <stp>COUNTRY_FULL_NAME</stp>
        <stp>[TREASURY.xlsx]Sheet1!R856C8</stp>
        <tr r="H856" s="1"/>
      </tp>
      <tp t="s">
        <v>UNITED STATES</v>
        <stp/>
        <stp>##V3_BDPV12</stp>
        <stp>912827KN Govt</stp>
        <stp>COUNTRY_FULL_NAME</stp>
        <stp>[TREASURY.xlsx]Sheet1!R569C8</stp>
        <tr r="H569" s="1"/>
      </tp>
      <tp t="s">
        <v>UNITED STATES</v>
        <stp/>
        <stp>##V3_BDPV12</stp>
        <stp>912827KM Govt</stp>
        <stp>COUNTRY_FULL_NAME</stp>
        <stp>[TREASURY.xlsx]Sheet1!R709C8</stp>
        <tr r="H709" s="1"/>
      </tp>
      <tp t="s">
        <v>UNITED STATES</v>
        <stp/>
        <stp>##V3_BDPV12</stp>
        <stp>912828LP Govt</stp>
        <stp>COUNTRY_FULL_NAME</stp>
        <stp>[TREASURY.xlsx]Sheet1!R816C8</stp>
        <tr r="H816" s="1"/>
      </tp>
      <tp t="s">
        <v>UNITED STATES</v>
        <stp/>
        <stp>##V3_BDPV12</stp>
        <stp>912828LQ Govt</stp>
        <stp>COUNTRY_FULL_NAME</stp>
        <stp>[TREASURY.xlsx]Sheet1!R486C8</stp>
        <tr r="H486" s="1"/>
      </tp>
      <tp t="s">
        <v>UNITED STATES</v>
        <stp/>
        <stp>##V3_BDPV12</stp>
        <stp>912827LE Govt</stp>
        <stp>COUNTRY_FULL_NAME</stp>
        <stp>[TREASURY.xlsx]Sheet1!R889C8</stp>
        <tr r="H889" s="1"/>
      </tp>
      <tp t="s">
        <v>UNITED STATES</v>
        <stp/>
        <stp>##V3_BDPV12</stp>
        <stp>912828LK Govt</stp>
        <stp>COUNTRY_FULL_NAME</stp>
        <stp>[TREASURY.xlsx]Sheet1!R546C8</stp>
        <tr r="H546" s="1"/>
      </tp>
      <tp t="s">
        <v>UNITED STATES</v>
        <stp/>
        <stp>##V3_BDPV12</stp>
        <stp>912828M5 Govt</stp>
        <stp>COUNTRY_FULL_NAME</stp>
        <stp>[TREASURY.xlsx]Sheet1!R116C8</stp>
        <tr r="H116" s="1"/>
      </tp>
      <tp t="s">
        <v>UNITED STATES</v>
        <stp/>
        <stp>##V3_BDPV12</stp>
        <stp>912827M6 Govt</stp>
        <stp>COUNTRY_FULL_NAME</stp>
        <stp>[TREASURY.xlsx]Sheet1!R719C8</stp>
        <tr r="H719" s="1"/>
      </tp>
      <tp t="s">
        <v>UNITED STATES</v>
        <stp/>
        <stp>##V3_BDPV12</stp>
        <stp>912827MP Govt</stp>
        <stp>COUNTRY_FULL_NAME</stp>
        <stp>[TREASURY.xlsx]Sheet1!R899C8</stp>
        <tr r="H899" s="1"/>
      </tp>
      <tp t="s">
        <v>UNITED STATES</v>
        <stp/>
        <stp>##V3_BDPV12</stp>
        <stp>912828MP Govt</stp>
        <stp>COUNTRY_FULL_NAME</stp>
        <stp>[TREASURY.xlsx]Sheet1!R386C8</stp>
        <tr r="H386" s="1"/>
      </tp>
      <tp t="s">
        <v>UNITED STATES</v>
        <stp/>
        <stp>##V3_BDPV12</stp>
        <stp>912828MH Govt</stp>
        <stp>COUNTRY_FULL_NAME</stp>
        <stp>[TREASURY.xlsx]Sheet1!R976C8</stp>
        <tr r="H976" s="1"/>
      </tp>
      <tp t="s">
        <v>UNITED STATES</v>
        <stp/>
        <stp>##V3_BDPV12</stp>
        <stp>912827N8 Govt</stp>
        <stp>COUNTRY_FULL_NAME</stp>
        <stp>[TREASURY.xlsx]Sheet1!R729C8</stp>
        <tr r="H729" s="1"/>
      </tp>
      <tp t="s">
        <v>912827A93</v>
        <stp/>
        <stp>##V3_BDPV12</stp>
        <stp>912827A9 Govt</stp>
        <stp>ID_CUSIP</stp>
        <stp>[TREASURY.xlsx]Sheet1!R1548C19</stp>
        <tr r="S1548" s="1"/>
      </tp>
      <tp t="s">
        <v>UNITED STATES</v>
        <stp/>
        <stp>##V3_BDPV12</stp>
        <stp>912828PS Govt</stp>
        <stp>COUNTRY_FULL_NAME</stp>
        <stp>[TREASURY.xlsx]Sheet1!R986C8</stp>
        <tr r="H986" s="1"/>
      </tp>
      <tp t="s">
        <v>UNITED STATES</v>
        <stp/>
        <stp>##V3_BDPV12</stp>
        <stp>912827PW Govt</stp>
        <stp>COUNTRY_FULL_NAME</stp>
        <stp>[TREASURY.xlsx]Sheet1!R739C8</stp>
        <tr r="H739" s="1"/>
      </tp>
      <tp t="s">
        <v>UNITED STATES</v>
        <stp/>
        <stp>##V3_BDPV12</stp>
        <stp>912827PH Govt</stp>
        <stp>COUNTRY_FULL_NAME</stp>
        <stp>[TREASURY.xlsx]Sheet1!R499C8</stp>
        <tr r="H499" s="1"/>
      </tp>
      <tp t="s">
        <v>UNITED STATES</v>
        <stp/>
        <stp>##V3_BDPV12</stp>
        <stp>912828QU Govt</stp>
        <stp>COUNTRY_FULL_NAME</stp>
        <stp>[TREASURY.xlsx]Sheet1!R826C8</stp>
        <tr r="H826" s="1"/>
      </tp>
      <tp t="s">
        <v>UNITED STATES</v>
        <stp/>
        <stp>##V3_BDPV12</stp>
        <stp>912828QR Govt</stp>
        <stp>COUNTRY_FULL_NAME</stp>
        <stp>[TREASURY.xlsx]Sheet1!R866C8</stp>
        <tr r="H866" s="1"/>
      </tp>
      <tp t="s">
        <v>UNITED STATES</v>
        <stp/>
        <stp>##V3_BDPV12</stp>
        <stp>912828QW Govt</stp>
        <stp>COUNTRY_FULL_NAME</stp>
        <stp>[TREASURY.xlsx]Sheet1!R646C8</stp>
        <tr r="H646" s="1"/>
      </tp>
      <tp t="s">
        <v>UNITED STATES</v>
        <stp/>
        <stp>##V3_BDPV12</stp>
        <stp>912828QF Govt</stp>
        <stp>COUNTRY_FULL_NAME</stp>
        <stp>[TREASURY.xlsx]Sheet1!R576C8</stp>
        <tr r="H576" s="1"/>
      </tp>
      <tp t="s">
        <v>UNITED STATES</v>
        <stp/>
        <stp>##V3_BDPV12</stp>
        <stp>912828R6 Govt</stp>
        <stp>COUNTRY_FULL_NAME</stp>
        <stp>[TREASURY.xlsx]Sheet1!R266C8</stp>
        <tr r="H266" s="1"/>
      </tp>
      <tp t="s">
        <v>UNITED STATES</v>
        <stp/>
        <stp>##V3_BDPV12</stp>
        <stp>912827R8 Govt</stp>
        <stp>COUNTRY_FULL_NAME</stp>
        <stp>[TREASURY.xlsx]Sheet1!R909C8</stp>
        <tr r="H909" s="1"/>
      </tp>
      <tp t="s">
        <v>UNITED STATES</v>
        <stp/>
        <stp>##V3_BDPV12</stp>
        <stp>912827RR Govt</stp>
        <stp>COUNTRY_FULL_NAME</stp>
        <stp>[TREASURY.xlsx]Sheet1!R829C8</stp>
        <tr r="H829" s="1"/>
      </tp>
      <tp t="s">
        <v>UNITED STATES</v>
        <stp/>
        <stp>##V3_BDPV12</stp>
        <stp>912828RH Govt</stp>
        <stp>COUNTRY_FULL_NAME</stp>
        <stp>[TREASURY.xlsx]Sheet1!R456C8</stp>
        <tr r="H456" s="1"/>
      </tp>
      <tp t="s">
        <v>UNITED STATES</v>
        <stp/>
        <stp>##V3_BDPV12</stp>
        <stp>912828S7 Govt</stp>
        <stp>COUNTRY_FULL_NAME</stp>
        <stp>[TREASURY.xlsx]Sheet1!R346C8</stp>
        <tr r="H346" s="1"/>
      </tp>
      <tp t="s">
        <v>UNITED STATES</v>
        <stp/>
        <stp>##V3_BDPV12</stp>
        <stp>912827SX Govt</stp>
        <stp>COUNTRY_FULL_NAME</stp>
        <stp>[TREASURY.xlsx]Sheet1!R749C8</stp>
        <tr r="H749" s="1"/>
      </tp>
      <tp t="s">
        <v>UNITED STATES</v>
        <stp/>
        <stp>##V3_BDPV12</stp>
        <stp>912828SS Govt</stp>
        <stp>COUNTRY_FULL_NAME</stp>
        <stp>[TREASURY.xlsx]Sheet1!R996C8</stp>
        <tr r="H996" s="1"/>
      </tp>
      <tp t="s">
        <v>UNITED STATES</v>
        <stp/>
        <stp>##V3_BDPV12</stp>
        <stp>912828SM Govt</stp>
        <stp>COUNTRY_FULL_NAME</stp>
        <stp>[TREASURY.xlsx]Sheet1!R516C8</stp>
        <tr r="H516" s="1"/>
      </tp>
      <tp t="s">
        <v>UNITED STATES</v>
        <stp/>
        <stp>##V3_BDPV12</stp>
        <stp>912828SG Govt</stp>
        <stp>COUNTRY_FULL_NAME</stp>
        <stp>[TREASURY.xlsx]Sheet1!R496C8</stp>
        <tr r="H496" s="1"/>
      </tp>
      <tp t="s">
        <v>912827A85</v>
        <stp/>
        <stp>##V3_BDPV12</stp>
        <stp>912827A8 Govt</stp>
        <stp>ID_CUSIP</stp>
        <stp>[TREASURY.xlsx]Sheet1!R1032C19</stp>
        <tr r="S1032" s="1"/>
      </tp>
      <tp t="s">
        <v>UNITED STATES</v>
        <stp/>
        <stp>##V3_BDPV12</stp>
        <stp>912827T5 Govt</stp>
        <stp>COUNTRY_FULL_NAME</stp>
        <stp>[TREASURY.xlsx]Sheet1!R919C8</stp>
        <tr r="H919" s="1"/>
      </tp>
      <tp t="s">
        <v>UNITED STATES</v>
        <stp/>
        <stp>##V3_BDPV12</stp>
        <stp>912828U4 Govt</stp>
        <stp>COUNTRY_FULL_NAME</stp>
        <stp>[TREASURY.xlsx]Sheet1!R876C8</stp>
        <tr r="H876" s="1"/>
      </tp>
      <tp t="s">
        <v>UNITED STATES</v>
        <stp/>
        <stp>##V3_BDPV12</stp>
        <stp>912828U5 Govt</stp>
        <stp>COUNTRY_FULL_NAME</stp>
        <stp>[TREASURY.xlsx]Sheet1!R246C8</stp>
        <tr r="H246" s="1"/>
      </tp>
      <tp t="s">
        <v>UNITED STATES</v>
        <stp/>
        <stp>##V3_BDPV12</stp>
        <stp>912828UD Govt</stp>
        <stp>COUNTRY_FULL_NAME</stp>
        <stp>[TREASURY.xlsx]Sheet1!R586C8</stp>
        <tr r="H586" s="1"/>
      </tp>
      <tp t="s">
        <v>UNITED STATES</v>
        <stp/>
        <stp>##V3_BDPV12</stp>
        <stp>912828UE Govt</stp>
        <stp>COUNTRY_FULL_NAME</stp>
        <stp>[TREASURY.xlsx]Sheet1!R446C8</stp>
        <tr r="H446" s="1"/>
      </tp>
      <tp t="s">
        <v>UNITED STATES</v>
        <stp/>
        <stp>##V3_BDPV12</stp>
        <stp>912828VR Govt</stp>
        <stp>COUNTRY_FULL_NAME</stp>
        <stp>[TREASURY.xlsx]Sheet1!R566C8</stp>
        <tr r="H566" s="1"/>
      </tp>
      <tp t="s">
        <v>UNITED STATES</v>
        <stp/>
        <stp>##V3_BDPV12</stp>
        <stp>912827VA Govt</stp>
        <stp>COUNTRY_FULL_NAME</stp>
        <stp>[TREASURY.xlsx]Sheet1!R759C8</stp>
        <tr r="H759" s="1"/>
      </tp>
      <tp t="s">
        <v>UNITED STATES</v>
        <stp/>
        <stp>##V3_BDPV12</stp>
        <stp>912827W4 Govt</stp>
        <stp>COUNTRY_FULL_NAME</stp>
        <stp>[TREASURY.xlsx]Sheet1!R929C8</stp>
        <tr r="H929" s="1"/>
      </tp>
      <tp t="s">
        <v>UNITED STATES</v>
        <stp/>
        <stp>##V3_BDPV12</stp>
        <stp>912828W4 Govt</stp>
        <stp>COUNTRY_FULL_NAME</stp>
        <stp>[TREASURY.xlsx]Sheet1!R296C8</stp>
        <tr r="H296" s="1"/>
      </tp>
      <tp t="s">
        <v>UNITED STATES</v>
        <stp/>
        <stp>##V3_BDPV12</stp>
        <stp>912827X4 Govt</stp>
        <stp>COUNTRY_FULL_NAME</stp>
        <stp>[TREASURY.xlsx]Sheet1!R769C8</stp>
        <tr r="H769" s="1"/>
      </tp>
      <tp t="s">
        <v>UNITED STATES</v>
        <stp/>
        <stp>##V3_BDPV12</stp>
        <stp>912827XX Govt</stp>
        <stp>COUNTRY_FULL_NAME</stp>
        <stp>[TREASURY.xlsx]Sheet1!R939C8</stp>
        <tr r="H939" s="1"/>
      </tp>
      <tp t="s">
        <v>UNITED STATES</v>
        <stp/>
        <stp>##V3_BDPV12</stp>
        <stp>912828XQ Govt</stp>
        <stp>COUNTRY_FULL_NAME</stp>
        <stp>[TREASURY.xlsx]Sheet1!R206C8</stp>
        <tr r="H206" s="1"/>
      </tp>
      <tp t="s">
        <v>UNITED STATES</v>
        <stp/>
        <stp>##V3_BDPV12</stp>
        <stp>912828XM Govt</stp>
        <stp>COUNTRY_FULL_NAME</stp>
        <stp>[TREASURY.xlsx]Sheet1!R536C8</stp>
        <tr r="H536" s="1"/>
      </tp>
      <tp t="s">
        <v>UNITED STATES</v>
        <stp/>
        <stp>##V3_BDPV12</stp>
        <stp>912828XG Govt</stp>
        <stp>COUNTRY_FULL_NAME</stp>
        <stp>[TREASURY.xlsx]Sheet1!R196C8</stp>
        <tr r="H196" s="1"/>
      </tp>
      <tp t="s">
        <v>UNITED STATES</v>
        <stp/>
        <stp>##V3_BDPV12</stp>
        <stp>912828Y2 Govt</stp>
        <stp>COUNTRY_FULL_NAME</stp>
        <stp>[TREASURY.xlsx]Sheet1!R336C8</stp>
        <tr r="H336" s="1"/>
      </tp>
      <tp t="s">
        <v>UNITED STATES</v>
        <stp/>
        <stp>##V3_BDPV12</stp>
        <stp>912827YY Govt</stp>
        <stp>COUNTRY_FULL_NAME</stp>
        <stp>[TREASURY.xlsx]Sheet1!R949C8</stp>
        <tr r="H949" s="1"/>
      </tp>
      <tp t="s">
        <v>UNITED STATES</v>
        <stp/>
        <stp>##V3_BDPV12</stp>
        <stp>912828Z8 Govt</stp>
        <stp>COUNTRY_FULL_NAME</stp>
        <stp>[TREASURY.xlsx]Sheet1!R236C8</stp>
        <tr r="H236" s="1"/>
      </tp>
      <tp t="s">
        <v>UNITED STATES</v>
        <stp/>
        <stp>##V3_BDPV12</stp>
        <stp>912828ZR Govt</stp>
        <stp>COUNTRY_FULL_NAME</stp>
        <stp>[TREASURY.xlsx]Sheet1!R136C8</stp>
        <tr r="H136" s="1"/>
      </tp>
      <tp t="s">
        <v>UNITED STATES</v>
        <stp/>
        <stp>##V3_BDPV12</stp>
        <stp>912827ZC Govt</stp>
        <stp>COUNTRY_FULL_NAME</stp>
        <stp>[TREASURY.xlsx]Sheet1!R779C8</stp>
        <tr r="H779" s="1"/>
      </tp>
      <tp t="s">
        <v>912827A77</v>
        <stp/>
        <stp>##V3_BDPV12</stp>
        <stp>912827A7 Govt</stp>
        <stp>ID_CUSIP</stp>
        <stp>[TREASURY.xlsx]Sheet1!R1031C19</stp>
        <tr r="S1031" s="1"/>
      </tp>
      <tp t="s">
        <v>912828A59</v>
        <stp/>
        <stp>##V3_BDPV12</stp>
        <stp>912828A5 Govt</stp>
        <stp>ID_CUSIP</stp>
        <stp>[TREASURY.xlsx]Sheet1!R1233C19</stp>
        <tr r="S1233" s="1"/>
      </tp>
      <tp t="s">
        <v>912828A26</v>
        <stp/>
        <stp>##V3_BDPV12</stp>
        <stp>912828A2 Govt</stp>
        <stp>ID_CUSIP</stp>
        <stp>[TREASURY.xlsx]Sheet1!R1232C19</stp>
        <tr r="S1232" s="1"/>
      </tp>
      <tp t="s">
        <v>912827A51</v>
        <stp/>
        <stp>##V3_BDPV12</stp>
        <stp>912827A5 Govt</stp>
        <stp>ID_CUSIP</stp>
        <stp>[TREASURY.xlsx]Sheet1!R1473C19</stp>
        <tr r="S1473" s="1"/>
      </tp>
      <tp t="s">
        <v>912827A44</v>
        <stp/>
        <stp>##V3_BDPV12</stp>
        <stp>912827A4 Govt</stp>
        <stp>ID_CUSIP</stp>
        <stp>[TREASURY.xlsx]Sheet1!R1547C19</stp>
        <tr r="S1547" s="1"/>
      </tp>
      <tp t="s">
        <v>912827A28</v>
        <stp/>
        <stp>##V3_BDPV12</stp>
        <stp>912827A2 Govt</stp>
        <stp>ID_CUSIP</stp>
        <stp>[TREASURY.xlsx]Sheet1!R1029C19</stp>
        <tr r="S1029" s="1"/>
      </tp>
      <tp t="s">
        <v>912827A69</v>
        <stp/>
        <stp>##V3_BDPV12</stp>
        <stp>912827A6 Govt</stp>
        <stp>ID_CUSIP</stp>
        <stp>[TREASURY.xlsx]Sheet1!R1474C19</stp>
        <tr r="S1474" s="1"/>
      </tp>
      <tp t="s">
        <v>912827A36</v>
        <stp/>
        <stp>##V3_BDPV12</stp>
        <stp>912827A3 Govt</stp>
        <stp>ID_CUSIP</stp>
        <stp>[TREASURY.xlsx]Sheet1!R1030C19</stp>
        <tr r="S1030" s="1"/>
      </tp>
      <tp t="s">
        <v>2/28/2013</v>
        <stp/>
        <stp>##V3_BDPV12</stp>
        <stp>912828QK Govt</stp>
        <stp>MATURITY</stp>
        <stp>[TREASURY.xlsx]Sheet1!R1263C5</stp>
        <tr r="E1263" s="1"/>
      </tp>
      <tp t="s">
        <v>5/31/2017</v>
        <stp/>
        <stp>##V3_BDPV12</stp>
        <stp>912828SY Govt</stp>
        <stp>MATURITY</stp>
        <stp>[TREASURY.xlsx]Sheet1!R1133C5</stp>
        <tr r="E1133" s="1"/>
      </tp>
      <tp t="s">
        <v>12/31/2013</v>
        <stp/>
        <stp>##V3_BDPV12</stp>
        <stp>912828RW Govt</stp>
        <stp>MATURITY</stp>
        <stp>[TREASURY.xlsx]Sheet1!R1303C5</stp>
        <tr r="E1303" s="1"/>
      </tp>
      <tp t="s">
        <v>US912828X885</v>
        <stp/>
        <stp>##V3_BDPV12</stp>
        <stp>912828X8 Govt</stp>
        <stp>ID_ISIN</stp>
        <stp>[TREASURY.xlsx]Sheet1!R97C12</stp>
        <tr r="L97" s="1"/>
      </tp>
      <tp t="s">
        <v>8/31/2019</v>
        <stp/>
        <stp>##V3_BDPV12</stp>
        <stp>912828TN Govt</stp>
        <stp>MATURITY</stp>
        <stp>[TREASURY.xlsx]Sheet1!R1143C5</stp>
        <tr r="E1143" s="1"/>
      </tp>
      <tp t="s">
        <v>T</v>
        <stp/>
        <stp>##V3_BDPV12</stp>
        <stp>912828P8 Govt</stp>
        <stp>TICKER</stp>
        <stp>[TREASURY.xlsx]Sheet1!R389C2</stp>
        <tr r="B389" s="1"/>
      </tp>
      <tp t="s">
        <v>8/31/2015</v>
        <stp/>
        <stp>##V3_BDPV12</stp>
        <stp>912828VU Govt</stp>
        <stp>MATURITY</stp>
        <stp>[TREASURY.xlsx]Sheet1!R1003C5</stp>
        <tr r="E1003" s="1"/>
      </tp>
      <tp t="s">
        <v>T</v>
        <stp/>
        <stp>##V3_BDPV12</stp>
        <stp>912828Q7 Govt</stp>
        <stp>TICKER</stp>
        <stp>[TREASURY.xlsx]Sheet1!R378C2</stp>
        <tr r="B378" s="1"/>
      </tp>
      <tp t="s">
        <v>T</v>
        <stp/>
        <stp>##V3_BDPV12</stp>
        <stp>912828P7 Govt</stp>
        <stp>TICKER</stp>
        <stp>[TREASURY.xlsx]Sheet1!R309C2</stp>
        <tr r="B309" s="1"/>
      </tp>
      <tp t="s">
        <v>T</v>
        <stp/>
        <stp>##V3_BDPV12</stp>
        <stp>912827Y5 Govt</stp>
        <stp>TICKER</stp>
        <stp>[TREASURY.xlsx]Sheet1!R940C2</stp>
        <tr r="B940" s="1"/>
      </tp>
      <tp t="s">
        <v>12/15/2016</v>
        <stp/>
        <stp>##V3_BDPV12</stp>
        <stp>912828A5 Govt</stp>
        <stp>MATURITY</stp>
        <stp>[TREASURY.xlsx]Sheet1!R1233C5</stp>
        <tr r="E1233" s="1"/>
      </tp>
      <tp t="s">
        <v>7/31/2007</v>
        <stp/>
        <stp>##V3_BDPV12</stp>
        <stp>912828EB Govt</stp>
        <stp>MATURITY</stp>
        <stp>[TREASURY.xlsx]Sheet1!R1113C5</stp>
        <tr r="E1113" s="1"/>
      </tp>
      <tp t="s">
        <v>7/15/2010</v>
        <stp/>
        <stp>##V3_BDPV12</stp>
        <stp>912828DZ Govt</stp>
        <stp>MATURITY</stp>
        <stp>[TREASURY.xlsx]Sheet1!R1273C5</stp>
        <tr r="E1273" s="1"/>
      </tp>
      <tp t="s">
        <v>12/31/2008</v>
        <stp/>
        <stp>##V3_BDPV12</stp>
        <stp>912828GB Govt</stp>
        <stp>MATURITY</stp>
        <stp>[TREASURY.xlsx]Sheet1!R1433C5</stp>
        <tr r="E1433" s="1"/>
      </tp>
      <tp t="s">
        <v>2/15/2018</v>
        <stp/>
        <stp>##V3_BDPV12</stp>
        <stp>912828H9 Govt</stp>
        <stp>MATURITY</stp>
        <stp>[TREASURY.xlsx]Sheet1!R1243C5</stp>
        <tr r="E1243" s="1"/>
      </tp>
      <tp t="s">
        <v>8/31/2012</v>
        <stp/>
        <stp>##V3_BDPV12</stp>
        <stp>912828HC Govt</stp>
        <stp>MATURITY</stp>
        <stp>[TREASURY.xlsx]Sheet1!R1283C5</stp>
        <tr r="E1283" s="1"/>
      </tp>
      <tp t="s">
        <v>3/31/2011</v>
        <stp/>
        <stp>##V3_BDPV12</stp>
        <stp>912828KH Govt</stp>
        <stp>MATURITY</stp>
        <stp>[TREASURY.xlsx]Sheet1!R1123C5</stp>
        <tr r="E1123" s="1"/>
      </tp>
      <tp t="s">
        <v>12/31/2027</v>
        <stp/>
        <stp>##V3_BDPV12</stp>
        <stp>91282CBB Govt</stp>
        <stp>MATURITY</stp>
        <stp>[TREASURY.xlsx]Sheet1!R114C5</stp>
        <tr r="E114" s="1"/>
      </tp>
      <tp t="s">
        <v>11/30/2027</v>
        <stp/>
        <stp>##V3_BDPV12</stp>
        <stp>91282CAY Govt</stp>
        <stp>MATURITY</stp>
        <stp>[TREASURY.xlsx]Sheet1!R144C5</stp>
        <tr r="E144" s="1"/>
      </tp>
      <tp t="s">
        <v>12/31/2011</v>
        <stp/>
        <stp>##V3_BDPV12</stp>
        <stp>912828ML Govt</stp>
        <stp>MATURITY</stp>
        <stp>[TREASURY.xlsx]Sheet1!R1253C5</stp>
        <tr r="E1253" s="1"/>
      </tp>
      <tp t="s">
        <v>7/31/2012</v>
        <stp/>
        <stp>##V3_BDPV12</stp>
        <stp>912828NQ Govt</stp>
        <stp>MATURITY</stp>
        <stp>[TREASURY.xlsx]Sheet1!R1293C5</stp>
        <tr r="E1293" s="1"/>
      </tp>
      <tp t="s">
        <v>6/15/2021</v>
        <stp/>
        <stp>##V3_BDPV12</stp>
        <stp>9128284T Govt</stp>
        <stp>MATURITY</stp>
        <stp>[TREASURY.xlsx]Sheet1!R344C5</stp>
        <tr r="E344" s="1"/>
      </tp>
      <tp t="s">
        <v>9/30/2019</v>
        <stp/>
        <stp>##V3_BDPV12</stp>
        <stp>9128282X Govt</stp>
        <stp>MATURITY</stp>
        <stp>[TREASURY.xlsx]Sheet1!R554C5</stp>
        <tr r="E554" s="1"/>
      </tp>
      <tp t="s">
        <v>5/31/2023</v>
        <stp/>
        <stp>##V3_BDPV12</stp>
        <stp>9128284S Govt</stp>
        <stp>MATURITY</stp>
        <stp>[TREASURY.xlsx]Sheet1!R294C5</stp>
        <tr r="E294" s="1"/>
      </tp>
      <tp t="s">
        <v>11/30/2019</v>
        <stp/>
        <stp>##V3_BDPV12</stp>
        <stp>9128283H Govt</stp>
        <stp>MATURITY</stp>
        <stp>[TREASURY.xlsx]Sheet1!R784C5</stp>
        <tr r="E784" s="1"/>
      </tp>
      <tp t="s">
        <v>5/31/2026</v>
        <stp/>
        <stp>##V3_BDPV12</stp>
        <stp>9128286X Govt</stp>
        <stp>MATURITY</stp>
        <stp>[TREASURY.xlsx]Sheet1!R264C5</stp>
        <tr r="E264" s="1"/>
      </tp>
      <tp t="s">
        <v>7/31/2022</v>
        <stp/>
        <stp>##V3_BDPV12</stp>
        <stp>9128282P Govt</stp>
        <stp>MATURITY</stp>
        <stp>[TREASURY.xlsx]Sheet1!R214C5</stp>
        <tr r="E214" s="1"/>
      </tp>
      <tp t="s">
        <v>7/15/2013</v>
        <stp/>
        <stp>##V3_BDPV12</stp>
        <stp>912828NN Govt</stp>
        <stp>MATURITY</stp>
        <stp>[TREASURY.xlsx]Sheet1!R864C5</stp>
        <tr r="E864" s="1"/>
      </tp>
      <tp t="s">
        <v>8/15/2014</v>
        <stp/>
        <stp>##V3_BDPV12</stp>
        <stp>912828CT Govt</stp>
        <stp>MATURITY</stp>
        <stp>[TREASURY.xlsx]Sheet1!R514C5</stp>
        <tr r="E514" s="1"/>
      </tp>
      <tp t="s">
        <v>12/31/2020</v>
        <stp/>
        <stp>##V3_BDPV12</stp>
        <stp>912828A8 Govt</stp>
        <stp>MATURITY</stp>
        <stp>[TREASURY.xlsx]Sheet1!R434C5</stp>
        <tr r="E434" s="1"/>
      </tp>
      <tp t="s">
        <v>2/15/2013</v>
        <stp/>
        <stp>##V3_BDPV12</stp>
        <stp>912828AU Govt</stp>
        <stp>MATURITY</stp>
        <stp>[TREASURY.xlsx]Sheet1!R474C5</stp>
        <tr r="E474" s="1"/>
      </tp>
      <tp t="s">
        <v>11/15/2016</v>
        <stp/>
        <stp>##V3_BDPV12</stp>
        <stp>912828FY Govt</stp>
        <stp>MATURITY</stp>
        <stp>[TREASURY.xlsx]Sheet1!R394C5</stp>
        <tr r="E394" s="1"/>
      </tp>
      <tp t="s">
        <v>3/31/2017</v>
        <stp/>
        <stp>##V3_BDPV12</stp>
        <stp>912828MV Govt</stp>
        <stp>MATURITY</stp>
        <stp>[TREASURY.xlsx]Sheet1!R824C5</stp>
        <tr r="E824" s="1"/>
      </tp>
      <tp t="s">
        <v>7/31/2016</v>
        <stp/>
        <stp>##V3_BDPV12</stp>
        <stp>912828LD Govt</stp>
        <stp>MATURITY</stp>
        <stp>[TREASURY.xlsx]Sheet1!R814C5</stp>
        <tr r="E814" s="1"/>
      </tp>
      <tp t="s">
        <v>12/31/2007</v>
        <stp/>
        <stp>##V3_BDPV12</stp>
        <stp>912828ER Govt</stp>
        <stp>MATURITY</stp>
        <stp>[TREASURY.xlsx]Sheet1!R604C5</stp>
        <tr r="E604" s="1"/>
      </tp>
      <tp t="s">
        <v>8/15/2016</v>
        <stp/>
        <stp>##V3_BDPV12</stp>
        <stp>912828FQ Govt</stp>
        <stp>MATURITY</stp>
        <stp>[TREASURY.xlsx]Sheet1!R534C5</stp>
        <tr r="E534" s="1"/>
      </tp>
      <tp t="s">
        <v>8/15/2008</v>
        <stp/>
        <stp>##V3_BDPV12</stp>
        <stp>912828EC Govt</stp>
        <stp>MATURITY</stp>
        <stp>[TREASURY.xlsx]Sheet1!R794C5</stp>
        <tr r="E794" s="1"/>
      </tp>
      <tp t="s">
        <v>8/31/2013</v>
        <stp/>
        <stp>##V3_BDPV12</stp>
        <stp>912828JK Govt</stp>
        <stp>MATURITY</stp>
        <stp>[TREASURY.xlsx]Sheet1!R854C5</stp>
        <tr r="E854" s="1"/>
      </tp>
      <tp t="s">
        <v>5/15/2010</v>
        <stp/>
        <stp>##V3_BDPV12</stp>
        <stp>912828GR Govt</stp>
        <stp>MATURITY</stp>
        <stp>[TREASURY.xlsx]Sheet1!R504C5</stp>
        <tr r="E504" s="1"/>
      </tp>
      <tp t="s">
        <v>6/30/2016</v>
        <stp/>
        <stp>##V3_BDPV12</stp>
        <stp>912828KZ Govt</stp>
        <stp>MATURITY</stp>
        <stp>[TREASURY.xlsx]Sheet1!R974C5</stp>
        <tr r="E974" s="1"/>
      </tp>
      <tp t="s">
        <v>3/31/2006</v>
        <stp/>
        <stp>##V3_BDPV12</stp>
        <stp>912828CD Govt</stp>
        <stp>MATURITY</stp>
        <stp>[TREASURY.xlsx]Sheet1!R384C5</stp>
        <tr r="E384" s="1"/>
      </tp>
      <tp t="s">
        <v>12/15/2010</v>
        <stp/>
        <stp>##V3_BDPV12</stp>
        <stp>912828EQ Govt</stp>
        <stp>MATURITY</stp>
        <stp>[TREASURY.xlsx]Sheet1!R524C5</stp>
        <tr r="E524" s="1"/>
      </tp>
      <tp t="s">
        <v>9/30/2011</v>
        <stp/>
        <stp>##V3_BDPV12</stp>
        <stp>912828FU Govt</stp>
        <stp>MATURITY</stp>
        <stp>[TREASURY.xlsx]Sheet1!R614C5</stp>
        <tr r="E614" s="1"/>
      </tp>
      <tp t="s">
        <v>10/31/2022</v>
        <stp/>
        <stp>##V3_BDPV12</stp>
        <stp>912828M4 Govt</stp>
        <stp>MATURITY</stp>
        <stp>[TREASURY.xlsx]Sheet1!R254C5</stp>
        <tr r="E254" s="1"/>
      </tp>
      <tp t="s">
        <v>5/31/2009</v>
        <stp/>
        <stp>##V3_BDPV12</stp>
        <stp>912828GT Govt</stp>
        <stp>MATURITY</stp>
        <stp>[TREASURY.xlsx]Sheet1!R804C5</stp>
        <tr r="E804" s="1"/>
      </tp>
      <tp t="s">
        <v>6/30/2011</v>
        <stp/>
        <stp>##V3_BDPV12</stp>
        <stp>912828FK Govt</stp>
        <stp>MATURITY</stp>
        <stp>[TREASURY.xlsx]Sheet1!R844C5</stp>
        <tr r="E844" s="1"/>
      </tp>
      <tp t="s">
        <v>6/30/2014</v>
        <stp/>
        <stp>##V3_BDPV12</stp>
        <stp>912828KY Govt</stp>
        <stp>MATURITY</stp>
        <stp>[TREASURY.xlsx]Sheet1!R644C5</stp>
        <tr r="E644" s="1"/>
      </tp>
      <tp t="s">
        <v>8/15/2010</v>
        <stp/>
        <stp>##V3_BDPV12</stp>
        <stp>912828ED Govt</stp>
        <stp>MATURITY</stp>
        <stp>[TREASURY.xlsx]Sheet1!R964C5</stp>
        <tr r="E964" s="1"/>
      </tp>
      <tp t="s">
        <v>12/31/2009</v>
        <stp/>
        <stp>##V3_BDPV12</stp>
        <stp>912828HL Govt</stp>
        <stp>MATURITY</stp>
        <stp>[TREASURY.xlsx]Sheet1!R424C5</stp>
        <tr r="E424" s="1"/>
      </tp>
      <tp t="s">
        <v>6/30/2011</v>
        <stp/>
        <stp>##V3_BDPV12</stp>
        <stp>912828LF Govt</stp>
        <stp>MATURITY</stp>
        <stp>[TREASURY.xlsx]Sheet1!R584C5</stp>
        <tr r="E584" s="1"/>
      </tp>
      <tp t="s">
        <v>3/31/2012</v>
        <stp/>
        <stp>##V3_BDPV12</stp>
        <stp>912828MU Govt</stp>
        <stp>MATURITY</stp>
        <stp>[TREASURY.xlsx]Sheet1!R494C5</stp>
        <tr r="E494" s="1"/>
      </tp>
      <tp t="s">
        <v>3/31/2022</v>
        <stp/>
        <stp>##V3_BDPV12</stp>
        <stp>912828J7 Govt</stp>
        <stp>MATURITY</stp>
        <stp>[TREASURY.xlsx]Sheet1!R204C5</stp>
        <tr r="E204" s="1"/>
      </tp>
      <tp t="s">
        <v>2/15/2019</v>
        <stp/>
        <stp>##V3_BDPV12</stp>
        <stp>912828KD Govt</stp>
        <stp>MATURITY</stp>
        <stp>[TREASURY.xlsx]Sheet1!R364C5</stp>
        <tr r="E364" s="1"/>
      </tp>
      <tp t="s">
        <v>12/31/2014</v>
        <stp/>
        <stp>##V3_BDPV12</stp>
        <stp>912828ME Govt</stp>
        <stp>MATURITY</stp>
        <stp>[TREASURY.xlsx]Sheet1!R574C5</stp>
        <tr r="E574" s="1"/>
      </tp>
      <tp t="s">
        <v>8/15/2023</v>
        <stp/>
        <stp>##V3_BDPV12</stp>
        <stp>912828VS Govt</stp>
        <stp>MATURITY</stp>
        <stp>[TREASURY.xlsx]Sheet1!R134C5</stp>
        <tr r="E134" s="1"/>
      </tp>
      <tp t="s">
        <v>5/15/2015</v>
        <stp/>
        <stp>##V3_BDPV12</stp>
        <stp>912828SU Govt</stp>
        <stp>MATURITY</stp>
        <stp>[TREASURY.xlsx]Sheet1!R404C5</stp>
        <tr r="E404" s="1"/>
      </tp>
      <tp t="s">
        <v>1/31/2014</v>
        <stp/>
        <stp>##V3_BDPV12</stp>
        <stp>912828SB Govt</stp>
        <stp>MATURITY</stp>
        <stp>[TREASURY.xlsx]Sheet1!R564C5</stp>
        <tr r="E564" s="1"/>
      </tp>
      <tp t="s">
        <v>11/30/2013</v>
        <stp/>
        <stp>##V3_BDPV12</stp>
        <stp>912828RS Govt</stp>
        <stp>MATURITY</stp>
        <stp>[TREASURY.xlsx]Sheet1!R444C5</stp>
        <tr r="E444" s="1"/>
      </tp>
      <tp t="s">
        <v>9/30/2021</v>
        <stp/>
        <stp>##V3_BDPV12</stp>
        <stp>912828T3 Govt</stp>
        <stp>MATURITY</stp>
        <stp>[TREASURY.xlsx]Sheet1!R124C5</stp>
        <tr r="E124" s="1"/>
      </tp>
      <tp t="s">
        <v>8/15/2022</v>
        <stp/>
        <stp>##V3_BDPV12</stp>
        <stp>912828TJ Govt</stp>
        <stp>MATURITY</stp>
        <stp>[TREASURY.xlsx]Sheet1!R194C5</stp>
        <tr r="E194" s="1"/>
      </tp>
      <tp t="s">
        <v>2/28/2018</v>
        <stp/>
        <stp>##V3_BDPV12</stp>
        <stp>912828PY Govt</stp>
        <stp>MATURITY</stp>
        <stp>[TREASURY.xlsx]Sheet1!R594C5</stp>
        <tr r="E594" s="1"/>
      </tp>
      <tp t="s">
        <v>4/30/2022</v>
        <stp/>
        <stp>##V3_BDPV12</stp>
        <stp>912828WZ Govt</stp>
        <stp>MATURITY</stp>
        <stp>[TREASURY.xlsx]Sheet1!R244C5</stp>
        <tr r="E244" s="1"/>
      </tp>
      <tp t="s">
        <v>8/31/2012</v>
        <stp/>
        <stp>##V3_BDPV12</stp>
        <stp>912828PH Govt</stp>
        <stp>MATURITY</stp>
        <stp>[TREASURY.xlsx]Sheet1!R464C5</stp>
        <tr r="E464" s="1"/>
      </tp>
      <tp t="s">
        <v>7/31/2017</v>
        <stp/>
        <stp>##V3_BDPV12</stp>
        <stp>912828TG Govt</stp>
        <stp>MATURITY</stp>
        <stp>[TREASURY.xlsx]Sheet1!R654C5</stp>
        <tr r="E654" s="1"/>
      </tp>
      <tp t="s">
        <v>5/15/2021</v>
        <stp/>
        <stp>##V3_BDPV12</stp>
        <stp>912828QN Govt</stp>
        <stp>MATURITY</stp>
        <stp>[TREASURY.xlsx]Sheet1!R334C5</stp>
        <tr r="E334" s="1"/>
      </tp>
      <tp t="s">
        <v>5/15/2022</v>
        <stp/>
        <stp>##V3_BDPV12</stp>
        <stp>912828SV Govt</stp>
        <stp>MATURITY</stp>
        <stp>[TREASURY.xlsx]Sheet1!R164C5</stp>
        <tr r="E164" s="1"/>
      </tp>
      <tp t="s">
        <v>12/15/2019</v>
        <stp/>
        <stp>##V3_BDPV12</stp>
        <stp>912828U7 Govt</stp>
        <stp>MATURITY</stp>
        <stp>[TREASURY.xlsx]Sheet1!R484C5</stp>
        <tr r="E484" s="1"/>
      </tp>
      <tp t="s">
        <v>12/31/2016</v>
        <stp/>
        <stp>##V3_BDPV12</stp>
        <stp>912828RX Govt</stp>
        <stp>MATURITY</stp>
        <stp>[TREASURY.xlsx]Sheet1!R374C5</stp>
        <tr r="E374" s="1"/>
      </tp>
      <tp t="s">
        <v>5/31/2020</v>
        <stp/>
        <stp>##V3_BDPV12</stp>
        <stp>912828VF Govt</stp>
        <stp>MATURITY</stp>
        <stp>[TREASURY.xlsx]Sheet1!R694C5</stp>
        <tr r="E694" s="1"/>
      </tp>
      <tp t="s">
        <v>4/15/2020</v>
        <stp/>
        <stp>##V3_BDPV12</stp>
        <stp>912828X2 Govt</stp>
        <stp>MATURITY</stp>
        <stp>[TREASURY.xlsx]Sheet1!R624C5</stp>
        <tr r="E624" s="1"/>
      </tp>
      <tp t="s">
        <v>9/30/2014</v>
        <stp/>
        <stp>##V3_BDPV12</stp>
        <stp>912828TQ Govt</stp>
        <stp>MATURITY</stp>
        <stp>[TREASURY.xlsx]Sheet1!R874C5</stp>
        <tr r="E874" s="1"/>
      </tp>
      <tp t="s">
        <v>7/15/2023</v>
        <stp/>
        <stp>##V3_BDPV12</stp>
        <stp>912828ZY Govt</stp>
        <stp>MATURITY</stp>
        <stp>[TREASURY.xlsx]Sheet1!R184C5</stp>
        <tr r="E184" s="1"/>
      </tp>
      <tp t="s">
        <v>11/15/2014</v>
        <stp/>
        <stp>##V3_BDPV12</stp>
        <stp>912828RQ Govt</stp>
        <stp>MATURITY</stp>
        <stp>[TREASURY.xlsx]Sheet1!R994C5</stp>
        <tr r="E994" s="1"/>
      </tp>
      <tp t="s">
        <v>4/30/2022</v>
        <stp/>
        <stp>##V3_BDPV12</stp>
        <stp>912828X4 Govt</stp>
        <stp>MATURITY</stp>
        <stp>[TREASURY.xlsx]Sheet1!R224C5</stp>
        <tr r="E224" s="1"/>
      </tp>
      <tp t="s">
        <v>12/31/2017</v>
        <stp/>
        <stp>##V3_BDPV12</stp>
        <stp>912828PN Govt</stp>
        <stp>MATURITY</stp>
        <stp>[TREASURY.xlsx]Sheet1!R984C5</stp>
        <tr r="E984" s="1"/>
      </tp>
      <tp t="s">
        <v>1/31/2022</v>
        <stp/>
        <stp>##V3_BDPV12</stp>
        <stp>912828Z6 Govt</stp>
        <stp>MATURITY</stp>
        <stp>[TREASURY.xlsx]Sheet1!R234C5</stp>
        <tr r="E234" s="1"/>
      </tp>
      <tp t="s">
        <v>11/30/2026</v>
        <stp/>
        <stp>##V3_BDPV12</stp>
        <stp>912828YU Govt</stp>
        <stp>MATURITY</stp>
        <stp>[TREASURY.xlsx]Sheet1!R174C5</stp>
        <tr r="E174" s="1"/>
      </tp>
      <tp t="s">
        <v>12/31/2026</v>
        <stp/>
        <stp>##V3_BDPV12</stp>
        <stp>912828YX Govt</stp>
        <stp>MATURITY</stp>
        <stp>[TREASURY.xlsx]Sheet1!R104C5</stp>
        <tr r="E104" s="1"/>
      </tp>
      <tp t="s">
        <v>T</v>
        <stp/>
        <stp>##V3_BDPV12</stp>
        <stp>912828YZ Govt</stp>
        <stp>TICKER</stp>
        <stp>[TREASURY.xlsx]Sheet1!R170C2</stp>
        <tr r="B170" s="1"/>
      </tp>
      <tp t="s">
        <v>T</v>
        <stp/>
        <stp>##V3_BDPV12</stp>
        <stp>912827YZ Govt</stp>
        <stp>TICKER</stp>
        <stp>[TREASURY.xlsx]Sheet1!R950C2</stp>
        <tr r="B950" s="1"/>
      </tp>
      <tp t="s">
        <v>2/15/2026</v>
        <stp/>
        <stp>##V3_BDPV12</stp>
        <stp>912810EW Govt</stp>
        <stp>MATURITY</stp>
        <stp>[TREASURY.xlsx]Sheet1!R277C5</stp>
        <tr r="E277" s="1"/>
      </tp>
      <tp t="s">
        <v>8/15/2021</v>
        <stp/>
        <stp>##V3_BDPV12</stp>
        <stp>912810EK Govt</stp>
        <stp>MATURITY</stp>
        <stp>[TREASURY.xlsx]Sheet1!R357C5</stp>
        <tr r="E357" s="1"/>
      </tp>
      <tp t="s">
        <v>2/15/2023</v>
        <stp/>
        <stp>##V3_BDPV12</stp>
        <stp>912810EP Govt</stp>
        <stp>MATURITY</stp>
        <stp>[TREASURY.xlsx]Sheet1!R317C5</stp>
        <tr r="E317" s="1"/>
      </tp>
      <tp t="s">
        <v>8/15/2029</v>
        <stp/>
        <stp>##V3_BDPV12</stp>
        <stp>912810FJ Govt</stp>
        <stp>MATURITY</stp>
        <stp>[TREASURY.xlsx]Sheet1!R267C5</stp>
        <tr r="E267" s="1"/>
      </tp>
      <tp t="s">
        <v>11/15/2004</v>
        <stp/>
        <stp>##V3_BDPV12</stp>
        <stp>912810DM Govt</stp>
        <stp>MATURITY</stp>
        <stp>[TREASURY.xlsx]Sheet1!R697C5</stp>
        <tr r="E697" s="1"/>
      </tp>
      <tp t="s">
        <v>2/15/2016</v>
        <stp/>
        <stp>##V3_BDPV12</stp>
        <stp>912810DV Govt</stp>
        <stp>MATURITY</stp>
        <stp>[TREASURY.xlsx]Sheet1!R527C5</stp>
        <tr r="E527" s="1"/>
      </tp>
      <tp t="s">
        <v>5/15/2047</v>
        <stp/>
        <stp>##V3_BDPV12</stp>
        <stp>912810RX Govt</stp>
        <stp>MATURITY</stp>
        <stp>[TREASURY.xlsx]Sheet1!R197C5</stp>
        <tr r="E197" s="1"/>
      </tp>
      <tp t="s">
        <v>11/15/2041</v>
        <stp/>
        <stp>##V3_BDPV12</stp>
        <stp>912810QT Govt</stp>
        <stp>MATURITY</stp>
        <stp>[TREASURY.xlsx]Sheet1!R237C5</stp>
        <tr r="E237" s="1"/>
      </tp>
      <tp t="s">
        <v>2/15/2042</v>
        <stp/>
        <stp>##V3_BDPV12</stp>
        <stp>912810QU Govt</stp>
        <stp>MATURITY</stp>
        <stp>[TREASURY.xlsx]Sheet1!R287C5</stp>
        <tr r="E287" s="1"/>
      </tp>
      <tp t="s">
        <v>2/15/2049</v>
        <stp/>
        <stp>##V3_BDPV12</stp>
        <stp>912810SF Govt</stp>
        <stp>MATURITY</stp>
        <stp>[TREASURY.xlsx]Sheet1!R177C5</stp>
        <tr r="E177" s="1"/>
      </tp>
      <tp t="s">
        <v>T</v>
        <stp/>
        <stp>##V3_BDPV12</stp>
        <stp>912810PW Govt</stp>
        <stp>TICKER</stp>
        <stp>[TREASURY.xlsx]Sheet1!R289C2</stp>
        <tr r="B289" s="1"/>
      </tp>
      <tp t="s">
        <v>T</v>
        <stp/>
        <stp>##V3_BDPV12</stp>
        <stp>912827PW Govt</stp>
        <stp>TICKER</stp>
        <stp>[TREASURY.xlsx]Sheet1!R739C2</stp>
        <tr r="B739" s="1"/>
      </tp>
      <tp t="s">
        <v>T</v>
        <stp/>
        <stp>##V3_BDPV12</stp>
        <stp>912827ZR Govt</stp>
        <stp>TICKER</stp>
        <stp>[TREASURY.xlsx]Sheet1!R783C2</stp>
        <tr r="B783" s="1"/>
      </tp>
      <tp t="s">
        <v>T</v>
        <stp/>
        <stp>##V3_BDPV12</stp>
        <stp>912827QR Govt</stp>
        <stp>TICKER</stp>
        <stp>[TREASURY.xlsx]Sheet1!R908C2</stp>
        <tr r="B908" s="1"/>
      </tp>
      <tp t="s">
        <v>NORMAL</v>
        <stp/>
        <stp>##V3_BDPV12</stp>
        <stp>912810EJ Govt</stp>
        <stp>MTY_TYP</stp>
        <stp>[TREASURY.xlsx]Sheet1!R521C6</stp>
        <tr r="F521" s="1"/>
      </tp>
      <tp t="s">
        <v>NORMAL</v>
        <stp/>
        <stp>##V3_BDPV12</stp>
        <stp>912810RM Govt</stp>
        <stp>MTY_TYP</stp>
        <stp>[TREASURY.xlsx]Sheet1!R176C6</stp>
        <tr r="F176" s="1"/>
      </tp>
      <tp t="s">
        <v>NORMAL</v>
        <stp/>
        <stp>##V3_BDPV12</stp>
        <stp>912810RB Govt</stp>
        <stp>MTY_TYP</stp>
        <stp>[TREASURY.xlsx]Sheet1!R269C6</stp>
        <tr r="F269" s="1"/>
      </tp>
      <tp t="s">
        <v>NORMAL</v>
        <stp/>
        <stp>##V3_BDPV12</stp>
        <stp>912810QC Govt</stp>
        <stp>MTY_TYP</stp>
        <stp>[TREASURY.xlsx]Sheet1!R318C6</stp>
        <tr r="F318" s="1"/>
      </tp>
      <tp t="s">
        <v>NORMAL</v>
        <stp/>
        <stp>##V3_BDPV12</stp>
        <stp>912827WC Govt</stp>
        <stp>MTY_TYP</stp>
        <stp>[TREASURY.xlsx]Sheet1!R768C6</stp>
        <tr r="F768" s="1"/>
      </tp>
      <tp t="s">
        <v>NORMAL</v>
        <stp/>
        <stp>##V3_BDPV12</stp>
        <stp>912827ZJ Govt</stp>
        <stp>MTY_TYP</stp>
        <stp>[TREASURY.xlsx]Sheet1!R781C6</stp>
        <tr r="F781" s="1"/>
      </tp>
      <tp t="s">
        <v>NORMAL</v>
        <stp/>
        <stp>##V3_BDPV12</stp>
        <stp>912828HB Govt</stp>
        <stp>MTY_TYP</stp>
        <stp>[TREASURY.xlsx]Sheet1!R849C6</stp>
        <tr r="F849" s="1"/>
      </tp>
      <tp t="s">
        <v>NORMAL</v>
        <stp/>
        <stp>##V3_BDPV12</stp>
        <stp>912828MB Govt</stp>
        <stp>MTY_TYP</stp>
        <stp>[TREASURY.xlsx]Sheet1!R819C6</stp>
        <tr r="F819" s="1"/>
      </tp>
      <tp t="s">
        <v>NORMAL</v>
        <stp/>
        <stp>##V3_BDPV12</stp>
        <stp>912828KL Govt</stp>
        <stp>MTY_TYP</stp>
        <stp>[TREASURY.xlsx]Sheet1!R857C6</stp>
        <tr r="F857" s="1"/>
      </tp>
      <tp t="s">
        <v>NORMAL</v>
        <stp/>
        <stp>##V3_BDPV12</stp>
        <stp>912828GL Govt</stp>
        <stp>MTY_TYP</stp>
        <stp>[TREASURY.xlsx]Sheet1!R847C6</stp>
        <tr r="F847" s="1"/>
      </tp>
      <tp t="s">
        <v>NORMAL</v>
        <stp/>
        <stp>##V3_BDPV12</stp>
        <stp>912828FH Govt</stp>
        <stp>MTY_TYP</stp>
        <stp>[TREASURY.xlsx]Sheet1!R843C6</stp>
        <tr r="F843" s="1"/>
      </tp>
      <tp t="s">
        <v>NORMAL</v>
        <stp/>
        <stp>##V3_BDPV12</stp>
        <stp>912827ZN Govt</stp>
        <stp>MTY_TYP</stp>
        <stp>[TREASURY.xlsx]Sheet1!R685C6</stp>
        <tr r="F685" s="1"/>
      </tp>
      <tp t="s">
        <v>NORMAL</v>
        <stp/>
        <stp>##V3_BDPV12</stp>
        <stp>912827KC Govt</stp>
        <stp>MTY_TYP</stp>
        <stp>[TREASURY.xlsx]Sheet1!R608C6</stp>
        <tr r="F608" s="1"/>
      </tp>
      <tp t="s">
        <v>NORMAL</v>
        <stp/>
        <stp>##V3_BDPV12</stp>
        <stp>912828RB Govt</stp>
        <stp>MTY_TYP</stp>
        <stp>[TREASURY.xlsx]Sheet1!R459C6</stp>
        <tr r="F459" s="1"/>
      </tp>
      <tp t="s">
        <v>NORMAL</v>
        <stp/>
        <stp>##V3_BDPV12</stp>
        <stp>912828XM Govt</stp>
        <stp>MTY_TYP</stp>
        <stp>[TREASURY.xlsx]Sheet1!R536C6</stp>
        <tr r="F536" s="1"/>
      </tp>
      <tp t="s">
        <v>NORMAL</v>
        <stp/>
        <stp>##V3_BDPV12</stp>
        <stp>912828SM Govt</stp>
        <stp>MTY_TYP</stp>
        <stp>[TREASURY.xlsx]Sheet1!R516C6</stp>
        <tr r="F516" s="1"/>
      </tp>
      <tp t="s">
        <v>NORMAL</v>
        <stp/>
        <stp>##V3_BDPV12</stp>
        <stp>912828KJ Govt</stp>
        <stp>MTY_TYP</stp>
        <stp>[TREASURY.xlsx]Sheet1!R561C6</stp>
        <tr r="F561" s="1"/>
      </tp>
      <tp t="s">
        <v>NORMAL</v>
        <stp/>
        <stp>##V3_BDPV12</stp>
        <stp>912828CL Govt</stp>
        <stp>MTY_TYP</stp>
        <stp>[TREASURY.xlsx]Sheet1!R557C6</stp>
        <tr r="F557" s="1"/>
      </tp>
      <tp t="s">
        <v>NORMAL</v>
        <stp/>
        <stp>##V3_BDPV12</stp>
        <stp>912828AJ Govt</stp>
        <stp>MTY_TYP</stp>
        <stp>[TREASURY.xlsx]Sheet1!R531C6</stp>
        <tr r="F531" s="1"/>
      </tp>
      <tp t="s">
        <v>NORMAL</v>
        <stp/>
        <stp>##V3_BDPV12</stp>
        <stp>9128282J Govt</stp>
        <stp>MTY_TYP</stp>
        <stp>[TREASURY.xlsx]Sheet1!R611C6</stp>
        <tr r="F611" s="1"/>
      </tp>
      <tp t="s">
        <v>NORMAL</v>
        <stp/>
        <stp>##V3_BDPV12</stp>
        <stp>912827VN Govt</stp>
        <stp>MTY_TYP</stp>
        <stp>[TREASURY.xlsx]Sheet1!R925C6</stp>
        <tr r="F925" s="1"/>
      </tp>
      <tp t="s">
        <v>NORMAL</v>
        <stp/>
        <stp>##V3_BDPV12</stp>
        <stp>912827SL Govt</stp>
        <stp>MTY_TYP</stp>
        <stp>[TREASURY.xlsx]Sheet1!R917C6</stp>
        <tr r="F917" s="1"/>
      </tp>
      <tp t="s">
        <v>NORMAL</v>
        <stp/>
        <stp>##V3_BDPV12</stp>
        <stp>912828EL Govt</stp>
        <stp>MTY_TYP</stp>
        <stp>[TREASURY.xlsx]Sheet1!R797C6</stp>
        <tr r="F797" s="1"/>
      </tp>
      <tp t="s">
        <v>NORMAL</v>
        <stp/>
        <stp>##V3_BDPV12</stp>
        <stp>912828FC Govt</stp>
        <stp>MTY_TYP</stp>
        <stp>[TREASURY.xlsx]Sheet1!R798C6</stp>
        <tr r="F798" s="1"/>
      </tp>
      <tp t="s">
        <v>NORMAL</v>
        <stp/>
        <stp>##V3_BDPV12</stp>
        <stp>912828CK Govt</stp>
        <stp>MTY_TYP</stp>
        <stp>[TREASURY.xlsx]Sheet1!R790C6</stp>
        <tr r="F790" s="1"/>
      </tp>
      <tp t="s">
        <v>NORMAL</v>
        <stp/>
        <stp>##V3_BDPV12</stp>
        <stp>912827LC Govt</stp>
        <stp>MTY_TYP</stp>
        <stp>[TREASURY.xlsx]Sheet1!R888C6</stp>
        <tr r="F888" s="1"/>
      </tp>
      <tp t="s">
        <v>NORMAL</v>
        <stp/>
        <stp>##V3_BDPV12</stp>
        <stp>9128284J Govt</stp>
        <stp>MTY_TYP</stp>
        <stp>[TREASURY.xlsx]Sheet1!R381C6</stp>
        <tr r="F381" s="1"/>
      </tp>
      <tp t="s">
        <v>T</v>
        <stp/>
        <stp>##V3_BDPV12</stp>
        <stp>912828ZP Govt</stp>
        <stp>TICKER</stp>
        <stp>[TREASURY.xlsx]Sheet1!R153C2</stp>
        <tr r="B153" s="1"/>
      </tp>
      <tp t="s">
        <v>T</v>
        <stp/>
        <stp>##V3_BDPV12</stp>
        <stp>912827ZP Govt</stp>
        <stp>TICKER</stp>
        <stp>[TREASURY.xlsx]Sheet1!R953C2</stp>
        <tr r="B953" s="1"/>
      </tp>
      <tp t="s">
        <v>8/15/2011</v>
        <stp/>
        <stp>##V3_BDPV12</stp>
        <stp>9128277B Govt</stp>
        <stp>MATURITY</stp>
        <stp>[TREASURY.xlsx]Sheet1!R354C5</stp>
        <tr r="E354" s="1"/>
      </tp>
      <tp t="s">
        <v>8/15/2009</v>
        <stp/>
        <stp>##V3_BDPV12</stp>
        <stp>9128275N Govt</stp>
        <stp>MATURITY</stp>
        <stp>[TREASURY.xlsx]Sheet1!R674C5</stp>
        <tr r="E674" s="1"/>
      </tp>
      <tp t="s">
        <v>11/15/1986</v>
        <stp/>
        <stp>##V3_BDPV12</stp>
        <stp>912827LY Govt</stp>
        <stp>MATURITY</stp>
        <stp>[TREASURY.xlsx]Sheet1!R894C5</stp>
        <tr r="E894" s="1"/>
      </tp>
      <tp t="s">
        <v>8/15/1983</v>
        <stp/>
        <stp>##V3_BDPV12</stp>
        <stp>912827KJ Govt</stp>
        <stp>MATURITY</stp>
        <stp>[TREASURY.xlsx]Sheet1!R884C5</stp>
        <tr r="E884" s="1"/>
      </tp>
      <tp t="s">
        <v>10/15/1999</v>
        <stp/>
        <stp>##V3_BDPV12</stp>
        <stp>912827H2 Govt</stp>
        <stp>MATURITY</stp>
        <stp>[TREASURY.xlsx]Sheet1!R704C5</stp>
        <tr r="E704" s="1"/>
      </tp>
      <tp t="s">
        <v>8/31/1995</v>
        <stp/>
        <stp>##V3_BDPV12</stp>
        <stp>912827L9 Govt</stp>
        <stp>MATURITY</stp>
        <stp>[TREASURY.xlsx]Sheet1!R714C5</stp>
        <tr r="E714" s="1"/>
      </tp>
      <tp t="s">
        <v>1/15/1989</v>
        <stp/>
        <stp>##V3_BDPV12</stp>
        <stp>912827MT Govt</stp>
        <stp>MATURITY</stp>
        <stp>[TREASURY.xlsx]Sheet1!R724C5</stp>
        <tr r="E724" s="1"/>
      </tp>
      <tp t="s">
        <v>11/15/1992</v>
        <stp/>
        <stp>##V3_BDPV12</stp>
        <stp>912827NV Govt</stp>
        <stp>MATURITY</stp>
        <stp>[TREASURY.xlsx]Sheet1!R734C5</stp>
        <tr r="E734" s="1"/>
      </tp>
      <tp t="s">
        <v>9/30/1983</v>
        <stp/>
        <stp>##V3_BDPV12</stp>
        <stp>912827MH Govt</stp>
        <stp>MATURITY</stp>
        <stp>[TREASURY.xlsx]Sheet1!R544C5</stp>
        <tr r="E544" s="1"/>
      </tp>
      <tp t="s">
        <v>8/15/1987</v>
        <stp/>
        <stp>##V3_BDPV12</stp>
        <stp>912827RB Govt</stp>
        <stp>MATURITY</stp>
        <stp>[TREASURY.xlsx]Sheet1!R744C5</stp>
        <tr r="E744" s="1"/>
      </tp>
      <tp t="s">
        <v>12/31/1994</v>
        <stp/>
        <stp>##V3_BDPV12</stp>
        <stp>912827ZS Govt</stp>
        <stp>MATURITY</stp>
        <stp>[TREASURY.xlsx]Sheet1!R954C5</stp>
        <tr r="E954" s="1"/>
      </tp>
      <tp t="s">
        <v>10/31/1988</v>
        <stp/>
        <stp>##V3_BDPV12</stp>
        <stp>912827UC Govt</stp>
        <stp>MATURITY</stp>
        <stp>[TREASURY.xlsx]Sheet1!R754C5</stp>
        <tr r="E754" s="1"/>
      </tp>
      <tp t="s">
        <v>4/30/1998</v>
        <stp/>
        <stp>##V3_BDPV12</stp>
        <stp>912827X5 Govt</stp>
        <stp>MATURITY</stp>
        <stp>[TREASURY.xlsx]Sheet1!R934C5</stp>
        <tr r="E934" s="1"/>
      </tp>
      <tp t="s">
        <v>12/31/1989</v>
        <stp/>
        <stp>##V3_BDPV12</stp>
        <stp>912827VR Govt</stp>
        <stp>MATURITY</stp>
        <stp>[TREASURY.xlsx]Sheet1!R764C5</stp>
        <tr r="E764" s="1"/>
      </tp>
      <tp t="s">
        <v>2/15/1995</v>
        <stp/>
        <stp>##V3_BDPV12</stp>
        <stp>912827YG Govt</stp>
        <stp>MATURITY</stp>
        <stp>[TREASURY.xlsx]Sheet1!R944C5</stp>
        <tr r="E944" s="1"/>
      </tp>
      <tp t="s">
        <v>9/30/1989</v>
        <stp/>
        <stp>##V3_BDPV12</stp>
        <stp>912827VH Govt</stp>
        <stp>MATURITY</stp>
        <stp>[TREASURY.xlsx]Sheet1!R924C5</stp>
        <tr r="E924" s="1"/>
      </tp>
      <tp t="s">
        <v>7/15/1996</v>
        <stp/>
        <stp>##V3_BDPV12</stp>
        <stp>912827XT Govt</stp>
        <stp>MATURITY</stp>
        <stp>[TREASURY.xlsx]Sheet1!R774C5</stp>
        <tr r="E774" s="1"/>
      </tp>
      <tp t="s">
        <v>3/31/1992</v>
        <stp/>
        <stp>##V3_BDPV12</stp>
        <stp>912827YR Govt</stp>
        <stp>MATURITY</stp>
        <stp>[TREASURY.xlsx]Sheet1!R684C5</stp>
        <tr r="E684" s="1"/>
      </tp>
      <tp t="s">
        <v>12/31/1987</v>
        <stp/>
        <stp>##V3_BDPV12</stp>
        <stp>912827TA Govt</stp>
        <stp>MATURITY</stp>
        <stp>[TREASURY.xlsx]Sheet1!R834C5</stp>
        <tr r="E834" s="1"/>
      </tp>
      <tp t="s">
        <v>9/30/1992</v>
        <stp/>
        <stp>##V3_BDPV12</stp>
        <stp>912827ZH Govt</stp>
        <stp>MATURITY</stp>
        <stp>[TREASURY.xlsx]Sheet1!R634C5</stp>
        <tr r="E634" s="1"/>
      </tp>
      <tp t="s">
        <v>1/31/1987</v>
        <stp/>
        <stp>##V3_BDPV12</stp>
        <stp>912827RU Govt</stp>
        <stp>MATURITY</stp>
        <stp>[TREASURY.xlsx]Sheet1!R914C5</stp>
        <tr r="E914" s="1"/>
      </tp>
      <tp t="s">
        <v>8/15/1988</v>
        <stp/>
        <stp>##V3_BDPV12</stp>
        <stp>912827PP Govt</stp>
        <stp>MATURITY</stp>
        <stp>[TREASURY.xlsx]Sheet1!R904C5</stp>
        <tr r="E904" s="1"/>
      </tp>
      <tp t="s">
        <v>T</v>
        <stp/>
        <stp>##V3_BDPV12</stp>
        <stp>912810QK Govt</stp>
        <stp>TICKER</stp>
        <stp>[TREASURY.xlsx]Sheet1!R238C2</stp>
        <tr r="B238" s="1"/>
      </tp>
      <tp t="s">
        <v>T</v>
        <stp/>
        <stp>##V3_BDPV12</stp>
        <stp>912827PH Govt</stp>
        <stp>TICKER</stp>
        <stp>[TREASURY.xlsx]Sheet1!R499C2</stp>
        <tr r="B499" s="1"/>
      </tp>
      <tp t="s">
        <v>T</v>
        <stp/>
        <stp>##V3_BDPV12</stp>
        <stp>912828QB Govt</stp>
        <stp>TICKER</stp>
        <stp>[TREASURY.xlsx]Sheet1!R988C2</stp>
        <tr r="B988" s="1"/>
      </tp>
      <tp t="s">
        <v>T</v>
        <stp/>
        <stp>##V3_BDPV12</stp>
        <stp>912810QC Govt</stp>
        <stp>TICKER</stp>
        <stp>[TREASURY.xlsx]Sheet1!R318C2</stp>
        <tr r="B318" s="1"/>
      </tp>
      <tp t="s">
        <v>T</v>
        <stp/>
        <stp>##V3_BDPV12</stp>
        <stp>912827XC Govt</stp>
        <stp>TICKER</stp>
        <stp>[TREASURY.xlsx]Sheet1!R771C2</stp>
        <tr r="B771" s="1"/>
      </tp>
      <tp t="s">
        <v>USD</v>
        <stp/>
        <stp>##V3_BDPV12</stp>
        <stp>912828US Govt</stp>
        <stp>CRNCY</stp>
        <stp>[TREASURY.xlsx]Sheet1!R1137C7</stp>
        <tr r="G1137" s="1"/>
      </tp>
      <tp t="s">
        <v>USD</v>
        <stp/>
        <stp>##V3_BDPV12</stp>
        <stp>912827QS Govt</stp>
        <stp>CRNCY</stp>
        <stp>[TREASURY.xlsx]Sheet1!R1393C7</stp>
        <tr r="G1393" s="1"/>
      </tp>
      <tp t="s">
        <v>T</v>
        <stp/>
        <stp>##V3_BDPV12</stp>
        <stp>912828VY Govt</stp>
        <stp>TICKER</stp>
        <stp>[TREASURY.xlsx]Sheet1!R1004C2</stp>
        <tr r="B1004" s="1"/>
      </tp>
      <tp t="s">
        <v>USD</v>
        <stp/>
        <stp>##V3_BDPV12</stp>
        <stp>912827US Govt</stp>
        <stp>CRNCY</stp>
        <stp>[TREASURY.xlsx]Sheet1!R1407C7</stp>
        <tr r="G1407" s="1"/>
      </tp>
      <tp t="s">
        <v>T</v>
        <stp/>
        <stp>##V3_BDPV12</stp>
        <stp>912827LT Govt</stp>
        <stp>TICKER</stp>
        <stp>[TREASURY.xlsx]Sheet1!R1379C2</stp>
        <tr r="B1379" s="1"/>
      </tp>
      <tp t="s">
        <v>T</v>
        <stp/>
        <stp>##V3_BDPV12</stp>
        <stp>912827MU Govt</stp>
        <stp>TICKER</stp>
        <stp>[TREASURY.xlsx]Sheet1!R1328C2</stp>
        <tr r="B1328" s="1"/>
      </tp>
      <tp t="s">
        <v>T</v>
        <stp/>
        <stp>##V3_BDPV12</stp>
        <stp>912827NX Govt</stp>
        <stp>TICKER</stp>
        <stp>[TREASURY.xlsx]Sheet1!R1385C2</stp>
        <tr r="B1385" s="1"/>
      </tp>
      <tp t="s">
        <v>T</v>
        <stp/>
        <stp>##V3_BDPV12</stp>
        <stp>912827XZ Govt</stp>
        <stp>TICKER</stp>
        <stp>[TREASURY.xlsx]Sheet1!R1097C2</stp>
        <tr r="B1097" s="1"/>
      </tp>
      <tp t="s">
        <v>T</v>
        <stp/>
        <stp>##V3_BDPV12</stp>
        <stp>912827QT Govt</stp>
        <stp>TICKER</stp>
        <stp>[TREASURY.xlsx]Sheet1!R1059C2</stp>
        <tr r="B1059" s="1"/>
      </tp>
      <tp t="s">
        <v>T</v>
        <stp/>
        <stp>##V3_BDPV12</stp>
        <stp>912827LZ Govt</stp>
        <stp>TICKER</stp>
        <stp>[TREASURY.xlsx]Sheet1!R1567C2</stp>
        <tr r="B1567" s="1"/>
      </tp>
      <tp t="s">
        <v>T</v>
        <stp/>
        <stp>##V3_BDPV12</stp>
        <stp>912827QX Govt</stp>
        <stp>TICKER</stp>
        <stp>[TREASURY.xlsx]Sheet1!R1575C2</stp>
        <tr r="B1575" s="1"/>
      </tp>
      <tp t="s">
        <v>T</v>
        <stp/>
        <stp>##V3_BDPV12</stp>
        <stp>912827UU Govt</stp>
        <stp>TICKER</stp>
        <stp>[TREASURY.xlsx]Sheet1!R1408C2</stp>
        <tr r="B1408" s="1"/>
      </tp>
      <tp t="s">
        <v>USD</v>
        <stp/>
        <stp>##V3_BDPV12</stp>
        <stp>912827VP Govt</stp>
        <stp>CRNCY</stp>
        <stp>[TREASURY.xlsx]Sheet1!R1204C7</stp>
        <tr r="G1204" s="1"/>
      </tp>
      <tp t="s">
        <v>5/15/1984</v>
        <stp/>
        <stp>##V3_BDPV12</stp>
        <stp>912827QT Govt</stp>
        <stp>ISSUE_DT</stp>
        <stp>[TREASURY.xlsx]Sheet1!R1059C15</stp>
        <tr r="O1059" s="1"/>
      </tp>
      <tp t="s">
        <v>6/1/1984</v>
        <stp/>
        <stp>##V3_BDPV12</stp>
        <stp>912827QW Govt</stp>
        <stp>ISSUE_DT</stp>
        <stp>[TREASURY.xlsx]Sheet1!R1394C15</stp>
        <tr r="O1394" s="1"/>
      </tp>
      <tp t="s">
        <v>912828AH3</v>
        <stp/>
        <stp>##V3_BDPV12</stp>
        <stp>912828AH Govt</stp>
        <stp>ID_CUSIP</stp>
        <stp>[TREASURY.xlsx]Sheet1!R1107C19</stp>
        <tr r="S1107" s="1"/>
      </tp>
      <tp t="s">
        <v>5/31/1984</v>
        <stp/>
        <stp>##V3_BDPV12</stp>
        <stp>912827QV Govt</stp>
        <stp>ISSUE_DT</stp>
        <stp>[TREASURY.xlsx]Sheet1!R1498C15</stp>
        <tr r="O1498" s="1"/>
      </tp>
      <tp t="s">
        <v>5/15/1984</v>
        <stp/>
        <stp>##V3_BDPV12</stp>
        <stp>912827QU Govt</stp>
        <stp>ISSUE_DT</stp>
        <stp>[TREASURY.xlsx]Sheet1!R1497C15</stp>
        <tr r="O1497" s="1"/>
      </tp>
      <tp t="s">
        <v>USD</v>
        <stp/>
        <stp>##V3_BDPV12</stp>
        <stp>912827PT Govt</stp>
        <stp>CRNCY</stp>
        <stp>[TREASURY.xlsx]Sheet1!R1342C7</stp>
        <tr r="G1342" s="1"/>
      </tp>
      <tp t="s">
        <v>912828AM2</v>
        <stp/>
        <stp>##V3_BDPV12</stp>
        <stp>912828AM Govt</stp>
        <stp>ID_CUSIP</stp>
        <stp>[TREASURY.xlsx]Sheet1!R1616C19</stp>
        <tr r="S1616" s="1"/>
      </tp>
      <tp t="s">
        <v>4/2/1984</v>
        <stp/>
        <stp>##V3_BDPV12</stp>
        <stp>912827QQ Govt</stp>
        <stp>ISSUE_DT</stp>
        <stp>[TREASURY.xlsx]Sheet1!R1180C15</stp>
        <tr r="O1180" s="1"/>
      </tp>
      <tp t="s">
        <v>4/30/1984</v>
        <stp/>
        <stp>##V3_BDPV12</stp>
        <stp>912827QS Govt</stp>
        <stp>ISSUE_DT</stp>
        <stp>[TREASURY.xlsx]Sheet1!R1393C15</stp>
        <tr r="O1393" s="1"/>
      </tp>
      <tp t="s">
        <v>2/28/2022</v>
        <stp/>
        <stp>##V3_BDPV12</stp>
        <stp>91282CCW Govt</stp>
        <stp>FIRST_CPN_DT</stp>
        <stp>[TREASURY.xlsx]Sheet1!R4C9</stp>
        <tr r="I4" s="1"/>
      </tp>
      <tp t="s">
        <v>7/9/1984</v>
        <stp/>
        <stp>##V3_BDPV12</stp>
        <stp>912827QZ Govt</stp>
        <stp>ISSUE_DT</stp>
        <stp>[TREASURY.xlsx]Sheet1!R1576C15</stp>
        <tr r="O1576" s="1"/>
      </tp>
      <tp t="s">
        <v>7/2/1984</v>
        <stp/>
        <stp>##V3_BDPV12</stp>
        <stp>912827QX Govt</stp>
        <stp>ISSUE_DT</stp>
        <stp>[TREASURY.xlsx]Sheet1!R1575C15</stp>
        <tr r="O1575" s="1"/>
      </tp>
      <tp t="s">
        <v>USD</v>
        <stp/>
        <stp>##V3_BDPV12</stp>
        <stp>912827TX Govt</stp>
        <stp>CRNCY</stp>
        <stp>[TREASURY.xlsx]Sheet1!R1196C7</stp>
        <tr r="G1196" s="1"/>
      </tp>
      <tp t="s">
        <v>USD</v>
        <stp/>
        <stp>##V3_BDPV12</stp>
        <stp>912828VY Govt</stp>
        <stp>CRNCY</stp>
        <stp>[TREASURY.xlsx]Sheet1!R1004C7</stp>
        <tr r="G1004" s="1"/>
      </tp>
      <tp t="s">
        <v>USD</v>
        <stp/>
        <stp>##V3_BDPV12</stp>
        <stp>912827TY Govt</stp>
        <stp>CRNCY</stp>
        <stp>[TREASURY.xlsx]Sheet1!R1076C7</stp>
        <tr r="G1076" s="1"/>
      </tp>
      <tp t="s">
        <v>912828AC4</v>
        <stp/>
        <stp>##V3_BDPV12</stp>
        <stp>912828AC Govt</stp>
        <stp>ID_CUSIP</stp>
        <stp>[TREASURY.xlsx]Sheet1!R1234C19</stp>
        <tr r="S1234" s="1"/>
      </tp>
      <tp t="s">
        <v>7/2/1984</v>
        <stp/>
        <stp>##V3_BDPV12</stp>
        <stp>912827QY Govt</stp>
        <stp>ISSUE_DT</stp>
        <stp>[TREASURY.xlsx]Sheet1!R1395C15</stp>
        <tr r="O1395" s="1"/>
      </tp>
      <tp t="s">
        <v>10/31/1983</v>
        <stp/>
        <stp>##V3_BDPV12</stp>
        <stp>912827QB Govt</stp>
        <stp>ISSUE_DT</stp>
        <stp>[TREASURY.xlsx]Sheet1!R1574C15</stp>
        <tr r="O1574" s="1"/>
      </tp>
      <tp t="s">
        <v>USD</v>
        <stp/>
        <stp>##V3_BDPV12</stp>
        <stp>912827ZB Govt</stp>
        <stp>CRNCY</stp>
        <stp>[TREASURY.xlsx]Sheet1!R1228C7</stp>
        <tr r="G1228" s="1"/>
      </tp>
      <tp t="s">
        <v>USD</v>
        <stp/>
        <stp>##V3_BDPV12</stp>
        <stp>912828SC Govt</stp>
        <stp>CRNCY</stp>
        <stp>[TREASURY.xlsx]Sheet1!R1141C7</stp>
        <tr r="G1141" s="1"/>
      </tp>
      <tp t="s">
        <v>USD</v>
        <stp/>
        <stp>##V3_BDPV12</stp>
        <stp>912827TC Govt</stp>
        <stp>CRNCY</stp>
        <stp>[TREASURY.xlsx]Sheet1!R1506C7</stp>
        <tr r="G1506" s="1"/>
      </tp>
      <tp t="s">
        <v>#N/A Field Not Applicable</v>
        <stp/>
        <stp>##V3_BDPV12</stp>
        <stp>9128276V Govt</stp>
        <stp>IDX_RATIO</stp>
        <stp>[TREASURY.xlsx]Sheet1!R1468C20</stp>
        <tr r="T1468" s="1"/>
      </tp>
      <tp t="s">
        <v>#N/A Field Not Applicable</v>
        <stp/>
        <stp>##V3_BDPV12</stp>
        <stp>912827QV Govt</stp>
        <stp>IDX_RATIO</stp>
        <stp>[TREASURY.xlsx]Sheet1!R1498C20</stp>
        <tr r="T1498" s="1"/>
      </tp>
      <tp t="s">
        <v>UNITED STATES</v>
        <stp/>
        <stp>##V3_BDPV12</stp>
        <stp>9128282W Govt</stp>
        <stp>COUNTRY_FULL_NAME</stp>
        <stp>[TREASURY.xlsx]Sheet1!R166C8</stp>
        <tr r="H166" s="1"/>
      </tp>
      <tp t="s">
        <v>11/15/1983</v>
        <stp/>
        <stp>##V3_BDPV12</stp>
        <stp>912827QD Govt</stp>
        <stp>ISSUE_DT</stp>
        <stp>[TREASURY.xlsx]Sheet1!R1056C15</stp>
        <tr r="O1056" s="1"/>
      </tp>
      <tp t="s">
        <v>#N/A Field Not Applicable</v>
        <stp/>
        <stp>##V3_BDPV12</stp>
        <stp>9128274V Govt</stp>
        <stp>IDX_RATIO</stp>
        <stp>[TREASURY.xlsx]Sheet1!R1533C20</stp>
        <tr r="T1533" s="1"/>
      </tp>
      <tp t="s">
        <v>#N/A Field Not Applicable</v>
        <stp/>
        <stp>##V3_BDPV12</stp>
        <stp>9128272V Govt</stp>
        <stp>IDX_RATIO</stp>
        <stp>[TREASURY.xlsx]Sheet1!R1522C20</stp>
        <tr r="T1522" s="1"/>
      </tp>
      <tp t="s">
        <v>#N/A Field Not Applicable</v>
        <stp/>
        <stp>##V3_BDPV12</stp>
        <stp>912827TV Govt</stp>
        <stp>IDX_RATIO</stp>
        <stp>[TREASURY.xlsx]Sheet1!R1510C20</stp>
        <tr r="T1510" s="1"/>
      </tp>
      <tp t="s">
        <v>#N/A Field Not Applicable</v>
        <stp/>
        <stp>##V3_BDPV12</stp>
        <stp>912827XV Govt</stp>
        <stp>IDX_RATIO</stp>
        <stp>[TREASURY.xlsx]Sheet1!R1599C20</stp>
        <tr r="T1599" s="1"/>
      </tp>
      <tp t="s">
        <v>#N/A Field Not Applicable</v>
        <stp/>
        <stp>##V3_BDPV12</stp>
        <stp>912827RV Govt</stp>
        <stp>IDX_RATIO</stp>
        <stp>[TREASURY.xlsx]Sheet1!R1582C20</stp>
        <tr r="T1582" s="1"/>
      </tp>
      <tp t="s">
        <v>USD</v>
        <stp/>
        <stp>##V3_BDPV12</stp>
        <stp>912827PA Govt</stp>
        <stp>CRNCY</stp>
        <stp>[TREASURY.xlsx]Sheet1!R1172C7</stp>
        <tr r="G1172" s="1"/>
      </tp>
      <tp t="s">
        <v>USD</v>
        <stp/>
        <stp>##V3_BDPV12</stp>
        <stp>912828WA Govt</stp>
        <stp>CRNCY</stp>
        <stp>[TREASURY.xlsx]Sheet1!R1005C7</stp>
        <tr r="G1005" s="1"/>
      </tp>
      <tp t="s">
        <v>UNITED STATES</v>
        <stp/>
        <stp>##V3_BDPV12</stp>
        <stp>9128283N Govt</stp>
        <stp>COUNTRY_FULL_NAME</stp>
        <stp>[TREASURY.xlsx]Sheet1!R366C8</stp>
        <tr r="H366" s="1"/>
      </tp>
      <tp t="s">
        <v>UNITED STATES</v>
        <stp/>
        <stp>##V3_BDPV12</stp>
        <stp>9128283J Govt</stp>
        <stp>COUNTRY_FULL_NAME</stp>
        <stp>[TREASURY.xlsx]Sheet1!R216C8</stp>
        <tr r="H216" s="1"/>
      </tp>
      <tp t="s">
        <v>UNITED STATES</v>
        <stp/>
        <stp>##V3_BDPV12</stp>
        <stp>9128283C Govt</stp>
        <stp>COUNTRY_FULL_NAME</stp>
        <stp>[TREASURY.xlsx]Sheet1!R186C8</stp>
        <tr r="H186" s="1"/>
      </tp>
      <tp t="s">
        <v>#N/A Field Not Applicable</v>
        <stp/>
        <stp>##V3_BDPV12</stp>
        <stp>912828LV Govt</stp>
        <stp>IDX_RATIO</stp>
        <stp>[TREASURY.xlsx]Sheet1!R1291C20</stp>
        <tr r="T1291" s="1"/>
      </tp>
      <tp t="s">
        <v>11/15/1983</v>
        <stp/>
        <stp>##V3_BDPV12</stp>
        <stp>912827QC Govt</stp>
        <stp>ISSUE_DT</stp>
        <stp>[TREASURY.xlsx]Sheet1!R1055C15</stp>
        <tr r="O1055" s="1"/>
      </tp>
      <tp t="s">
        <v>#N/A Field Not Applicable</v>
        <stp/>
        <stp>##V3_BDPV12</stp>
        <stp>912827ZV Govt</stp>
        <stp>IDX_RATIO</stp>
        <stp>[TREASURY.xlsx]Sheet1!R1231C20</stp>
        <tr r="T1231" s="1"/>
      </tp>
      <tp t="s">
        <v>#N/A Field Not Applicable</v>
        <stp/>
        <stp>##V3_BDPV12</stp>
        <stp>912827WV Govt</stp>
        <stp>IDX_RATIO</stp>
        <stp>[TREASURY.xlsx]Sheet1!R1209C20</stp>
        <tr r="T1209" s="1"/>
      </tp>
      <tp t="s">
        <v>UNITED STATES</v>
        <stp/>
        <stp>##V3_BDPV12</stp>
        <stp>9128284X Govt</stp>
        <stp>COUNTRY_FULL_NAME</stp>
        <stp>[TREASURY.xlsx]Sheet1!R256C8</stp>
        <tr r="H256" s="1"/>
      </tp>
      <tp t="s">
        <v>UNITED STATES</v>
        <stp/>
        <stp>##V3_BDPV12</stp>
        <stp>9128284Y Govt</stp>
        <stp>COUNTRY_FULL_NAME</stp>
        <stp>[TREASURY.xlsx]Sheet1!R376C8</stp>
        <tr r="H376" s="1"/>
      </tp>
      <tp t="s">
        <v>#N/A Field Not Applicable</v>
        <stp/>
        <stp>##V3_BDPV12</stp>
        <stp>9128273V Govt</stp>
        <stp>IDX_RATIO</stp>
        <stp>[TREASURY.xlsx]Sheet1!R1360C20</stp>
        <tr r="T1360" s="1"/>
      </tp>
      <tp t="s">
        <v>#N/A Field Not Applicable</v>
        <stp/>
        <stp>##V3_BDPV12</stp>
        <stp>912828VV Govt</stp>
        <stp>IDX_RATIO</stp>
        <stp>[TREASURY.xlsx]Sheet1!R1305C20</stp>
        <tr r="T1305" s="1"/>
      </tp>
      <tp t="s">
        <v>#N/A Field Not Applicable</v>
        <stp/>
        <stp>##V3_BDPV12</stp>
        <stp>912827PV Govt</stp>
        <stp>IDX_RATIO</stp>
        <stp>[TREASURY.xlsx]Sheet1!R1391C20</stp>
        <tr r="T1391" s="1"/>
      </tp>
      <tp t="s">
        <v>10/5/1983</v>
        <stp/>
        <stp>##V3_BDPV12</stp>
        <stp>912827QA Govt</stp>
        <stp>ISSUE_DT</stp>
        <stp>[TREASURY.xlsx]Sheet1!R1392C15</stp>
        <tr r="O1392" s="1"/>
      </tp>
      <tp t="s">
        <v>12/1/1983</v>
        <stp/>
        <stp>##V3_BDPV12</stp>
        <stp>912827QF Govt</stp>
        <stp>ISSUE_DT</stp>
        <stp>[TREASURY.xlsx]Sheet1!R1495C15</stp>
        <tr r="O1495" s="1"/>
      </tp>
      <tp t="s">
        <v>#N/A Field Not Applicable</v>
        <stp/>
        <stp>##V3_BDPV12</stp>
        <stp>912827MV Govt</stp>
        <stp>IDX_RATIO</stp>
        <stp>[TREASURY.xlsx]Sheet1!R1381C20</stp>
        <tr r="T1381" s="1"/>
      </tp>
      <tp t="s">
        <v>UNITED STATES</v>
        <stp/>
        <stp>##V3_BDPV12</stp>
        <stp>9128285F Govt</stp>
        <stp>COUNTRY_FULL_NAME</stp>
        <stp>[TREASURY.xlsx]Sheet1!R106C8</stp>
        <tr r="H106" s="1"/>
      </tp>
      <tp t="s">
        <v>#N/A Field Not Applicable</v>
        <stp/>
        <stp>##V3_BDPV12</stp>
        <stp>912810CV Govt</stp>
        <stp>IDX_RATIO</stp>
        <stp>[TREASURY.xlsx]Sheet1!R1310C20</stp>
        <tr r="T1310" s="1"/>
      </tp>
      <tp t="s">
        <v>UNITED STATES</v>
        <stp/>
        <stp>##V3_BDPV12</stp>
        <stp>9128286L Govt</stp>
        <stp>COUNTRY_FULL_NAME</stp>
        <stp>[TREASURY.xlsx]Sheet1!R276C8</stp>
        <tr r="H276" s="1"/>
      </tp>
      <tp t="s">
        <v>4/15/2011</v>
        <stp/>
        <stp>##V3_BDPV12</stp>
        <stp>912828QC Govt</stp>
        <stp>ISSUE_DT</stp>
        <stp>[TREASURY.xlsx]Sheet1!R1301C15</stp>
        <tr r="O1301" s="1"/>
      </tp>
      <tp t="s">
        <v>USD</v>
        <stp/>
        <stp>##V3_BDPV12</stp>
        <stp>912827UE Govt</stp>
        <stp>CRNCY</stp>
        <stp>[TREASURY.xlsx]Sheet1!R1077C7</stp>
        <tr r="G1077" s="1"/>
      </tp>
      <tp t="s">
        <v>UNITED STATES</v>
        <stp/>
        <stp>##V3_BDPV12</stp>
        <stp>9128287B Govt</stp>
        <stp>COUNTRY_FULL_NAME</stp>
        <stp>[TREASURY.xlsx]Sheet1!R306C8</stp>
        <tr r="H306" s="1"/>
      </tp>
      <tp t="s">
        <v>3/5/1984</v>
        <stp/>
        <stp>##V3_BDPV12</stp>
        <stp>912827QN Govt</stp>
        <stp>ISSUE_DT</stp>
        <stp>[TREASURY.xlsx]Sheet1!R1179C15</stp>
        <tr r="O1179" s="1"/>
      </tp>
      <tp t="s">
        <v>912828AP5</v>
        <stp/>
        <stp>##V3_BDPV12</stp>
        <stp>912828AP Govt</stp>
        <stp>ID_CUSIP</stp>
        <stp>[TREASURY.xlsx]Sheet1!R1424C19</stp>
        <tr r="S1424" s="1"/>
      </tp>
      <tp t="s">
        <v>1/31/1984</v>
        <stp/>
        <stp>##V3_BDPV12</stp>
        <stp>912827QK Govt</stp>
        <stp>ISSUE_DT</stp>
        <stp>[TREASURY.xlsx]Sheet1!R1496C15</stp>
        <tr r="O1496" s="1"/>
      </tp>
      <tp t="s">
        <v>USD</v>
        <stp/>
        <stp>##V3_BDPV12</stp>
        <stp>912828QK Govt</stp>
        <stp>CRNCY</stp>
        <stp>[TREASURY.xlsx]Sheet1!R1263C7</stp>
        <tr r="G1263" s="1"/>
      </tp>
      <tp t="s">
        <v>2/29/1984</v>
        <stp/>
        <stp>##V3_BDPV12</stp>
        <stp>912827QM Govt</stp>
        <stp>ISSUE_DT</stp>
        <stp>[TREASURY.xlsx]Sheet1!R1058C15</stp>
        <tr r="O1058" s="1"/>
      </tp>
      <tp t="s">
        <v>5/16/2011</v>
        <stp/>
        <stp>##V3_BDPV12</stp>
        <stp>912828QM Govt</stp>
        <stp>ISSUE_DT</stp>
        <stp>[TREASURY.xlsx]Sheet1!R1130C15</stp>
        <tr r="O1130" s="1"/>
      </tp>
      <tp t="s">
        <v>USD</v>
        <stp/>
        <stp>##V3_BDPV12</stp>
        <stp>912828RN Govt</stp>
        <stp>CRNCY</stp>
        <stp>[TREASURY.xlsx]Sheet1!R1140C7</stp>
        <tr r="G1140" s="1"/>
      </tp>
      <tp t="s">
        <v>2/28/2011</v>
        <stp/>
        <stp>##V3_BDPV12</stp>
        <stp>912828QK Govt</stp>
        <stp>ISSUE_DT</stp>
        <stp>[TREASURY.xlsx]Sheet1!R1263C15</stp>
        <tr r="O1263" s="1"/>
      </tp>
      <tp t="s">
        <v>1/3/1984</v>
        <stp/>
        <stp>##V3_BDPV12</stp>
        <stp>912827QH Govt</stp>
        <stp>ISSUE_DT</stp>
        <stp>[TREASURY.xlsx]Sheet1!R1057C15</stp>
        <tr r="O1057" s="1"/>
      </tp>
      <tp t="s">
        <v>USD</v>
        <stp/>
        <stp>##V3_BDPV12</stp>
        <stp>912827RM Govt</stp>
        <stp>CRNCY</stp>
        <stp>[TREASURY.xlsx]Sheet1!R1580C7</stp>
        <tr r="G1580" s="1"/>
      </tp>
      <tp t="s">
        <v>2/16/2016</v>
        <stp/>
        <stp>##V3_BDPV12</stp>
        <stp>912828P5 Govt</stp>
        <stp>ISSUE_DT</stp>
        <stp>[TREASURY.xlsx]Sheet1!R1259C15</stp>
        <tr r="O1259" s="1"/>
      </tp>
      <tp t="s">
        <v>5/2/1994</v>
        <stp/>
        <stp>##V3_BDPV12</stp>
        <stp>912827P5 Govt</stp>
        <stp>ISSUE_DT</stp>
        <stp>[TREASURY.xlsx]Sheet1!R1337C15</stp>
        <tr r="O1337" s="1"/>
      </tp>
      <tp t="s">
        <v>UNITED STATES</v>
        <stp/>
        <stp>##V3_BDPV12</stp>
        <stp>912828A3 Govt</stp>
        <stp>COUNTRY_FULL_NAME</stp>
        <stp>[TREASURY.xlsx]Sheet1!R627C8</stp>
        <tr r="H627" s="1"/>
      </tp>
      <tp t="s">
        <v>UNITED STATES</v>
        <stp/>
        <stp>##V3_BDPV12</stp>
        <stp>912828AY Govt</stp>
        <stp>COUNTRY_FULL_NAME</stp>
        <stp>[TREASURY.xlsx]Sheet1!R507C8</stp>
        <tr r="H507" s="1"/>
      </tp>
      <tp t="s">
        <v>UNITED STATES</v>
        <stp/>
        <stp>##V3_BDPV12</stp>
        <stp>912828AW Govt</stp>
        <stp>COUNTRY_FULL_NAME</stp>
        <stp>[TREASURY.xlsx]Sheet1!R667C8</stp>
        <tr r="H667" s="1"/>
      </tp>
      <tp t="s">
        <v>UNITED STATES</v>
        <stp/>
        <stp>##V3_BDPV12</stp>
        <stp>912828AG Govt</stp>
        <stp>COUNTRY_FULL_NAME</stp>
        <stp>[TREASURY.xlsx]Sheet1!R837C8</stp>
        <tr r="H837" s="1"/>
      </tp>
      <tp t="s">
        <v>UNITED STATES</v>
        <stp/>
        <stp>##V3_BDPV12</stp>
        <stp>912828AN Govt</stp>
        <stp>COUNTRY_FULL_NAME</stp>
        <stp>[TREASURY.xlsx]Sheet1!R657C8</stp>
        <tr r="H657" s="1"/>
      </tp>
      <tp t="s">
        <v>3/31/1994</v>
        <stp/>
        <stp>##V3_BDPV12</stp>
        <stp>912827P4 Govt</stp>
        <stp>ISSUE_DT</stp>
        <stp>[TREASURY.xlsx]Sheet1!R1171C15</stp>
        <tr r="O1171" s="1"/>
      </tp>
      <tp t="s">
        <v>5/2/1994</v>
        <stp/>
        <stp>##V3_BDPV12</stp>
        <stp>912827P6 Govt</stp>
        <stp>ISSUE_DT</stp>
        <stp>[TREASURY.xlsx]Sheet1!R1387C15</stp>
        <tr r="O1387" s="1"/>
      </tp>
      <tp t="s">
        <v>UNITED STATES</v>
        <stp/>
        <stp>##V3_BDPV12</stp>
        <stp>912828B5 Govt</stp>
        <stp>COUNTRY_FULL_NAME</stp>
        <stp>[TREASURY.xlsx]Sheet1!R647C8</stp>
        <tr r="H647" s="1"/>
      </tp>
      <tp t="s">
        <v>UNITED STATES</v>
        <stp/>
        <stp>##V3_BDPV12</stp>
        <stp>912828BT Govt</stp>
        <stp>COUNTRY_FULL_NAME</stp>
        <stp>[TREASURY.xlsx]Sheet1!R787C8</stp>
        <tr r="H787" s="1"/>
      </tp>
      <tp t="s">
        <v>UNITED STATES</v>
        <stp/>
        <stp>##V3_BDPV12</stp>
        <stp>912828BG Govt</stp>
        <stp>COUNTRY_FULL_NAME</stp>
        <stp>[TREASURY.xlsx]Sheet1!R427C8</stp>
        <tr r="H427" s="1"/>
      </tp>
      <tp t="s">
        <v>5/16/1994</v>
        <stp/>
        <stp>##V3_BDPV12</stp>
        <stp>912827P7 Govt</stp>
        <stp>ISSUE_DT</stp>
        <stp>[TREASURY.xlsx]Sheet1!R1338C15</stp>
        <tr r="O1338" s="1"/>
      </tp>
      <tp t="s">
        <v>UNITED STATES</v>
        <stp/>
        <stp>##V3_BDPV12</stp>
        <stp>912828CY Govt</stp>
        <stp>COUNTRY_FULL_NAME</stp>
        <stp>[TREASURY.xlsx]Sheet1!R477C8</stp>
        <tr r="H477" s="1"/>
      </tp>
      <tp t="s">
        <v>UNITED STATES</v>
        <stp/>
        <stp>##V3_BDPV12</stp>
        <stp>912828CL Govt</stp>
        <stp>COUNTRY_FULL_NAME</stp>
        <stp>[TREASURY.xlsx]Sheet1!R557C8</stp>
        <tr r="H557" s="1"/>
      </tp>
      <tp t="s">
        <v>UNITED STATES</v>
        <stp/>
        <stp>##V3_BDPV12</stp>
        <stp>912828CA Govt</stp>
        <stp>COUNTRY_FULL_NAME</stp>
        <stp>[TREASURY.xlsx]Sheet1!R337C8</stp>
        <tr r="H337" s="1"/>
      </tp>
      <tp t="s">
        <v>UNITED STATES</v>
        <stp/>
        <stp>##V3_BDPV12</stp>
        <stp>912828DP Govt</stp>
        <stp>COUNTRY_FULL_NAME</stp>
        <stp>[TREASURY.xlsx]Sheet1!R517C8</stp>
        <tr r="H517" s="1"/>
      </tp>
      <tp t="s">
        <v>UNITED STATES</v>
        <stp/>
        <stp>##V3_BDPV12</stp>
        <stp>912828EX Govt</stp>
        <stp>COUNTRY_FULL_NAME</stp>
        <stp>[TREASURY.xlsx]Sheet1!R397C8</stp>
        <tr r="H397" s="1"/>
      </tp>
      <tp t="s">
        <v>UNITED STATES</v>
        <stp/>
        <stp>##V3_BDPV12</stp>
        <stp>912828EL Govt</stp>
        <stp>COUNTRY_FULL_NAME</stp>
        <stp>[TREASURY.xlsx]Sheet1!R797C8</stp>
        <tr r="H797" s="1"/>
      </tp>
      <tp t="s">
        <v>UNITED STATES</v>
        <stp/>
        <stp>##V3_BDPV12</stp>
        <stp>912828F2 Govt</stp>
        <stp>COUNTRY_FULL_NAME</stp>
        <stp>[TREASURY.xlsx]Sheet1!R207C8</stp>
        <tr r="H207" s="1"/>
      </tp>
      <tp t="s">
        <v>USD</v>
        <stp/>
        <stp>##V3_BDPV12</stp>
        <stp>912827T4 Govt</stp>
        <stp>CRNCY</stp>
        <stp>[TREASURY.xlsx]Sheet1!R1397C7</stp>
        <tr r="G1397" s="1"/>
      </tp>
      <tp t="s">
        <v>UNITED STATES</v>
        <stp/>
        <stp>##V3_BDPV12</stp>
        <stp>912828FT Govt</stp>
        <stp>COUNTRY_FULL_NAME</stp>
        <stp>[TREASURY.xlsx]Sheet1!R597C8</stp>
        <tr r="H597" s="1"/>
      </tp>
      <tp t="s">
        <v>3/31/1994</v>
        <stp/>
        <stp>##V3_BDPV12</stp>
        <stp>912827P3 Govt</stp>
        <stp>ISSUE_DT</stp>
        <stp>[TREASURY.xlsx]Sheet1!R1386C15</stp>
        <tr r="O1386" s="1"/>
      </tp>
      <tp t="s">
        <v>UNITED STATES</v>
        <stp/>
        <stp>##V3_BDPV12</stp>
        <stp>912828G3 Govt</stp>
        <stp>COUNTRY_FULL_NAME</stp>
        <stp>[TREASURY.xlsx]Sheet1!R137C8</stp>
        <tr r="H137" s="1"/>
      </tp>
      <tp t="s">
        <v>USD</v>
        <stp/>
        <stp>##V3_BDPV12</stp>
        <stp>912828Q5 Govt</stp>
        <stp>CRNCY</stp>
        <stp>[TREASURY.xlsx]Sheet1!R1262C7</stp>
        <tr r="G1262" s="1"/>
      </tp>
      <tp t="s">
        <v>USD</v>
        <stp/>
        <stp>##V3_BDPV12</stp>
        <stp>912827W5 Govt</stp>
        <stp>CRNCY</stp>
        <stp>[TREASURY.xlsx]Sheet1!R1414C7</stp>
        <tr r="G1414" s="1"/>
      </tp>
      <tp t="s">
        <v>USD</v>
        <stp/>
        <stp>##V3_BDPV12</stp>
        <stp>912827Z5 Govt</stp>
        <stp>CRNCY</stp>
        <stp>[TREASURY.xlsx]Sheet1!R1609C7</stp>
        <tr r="G1609" s="1"/>
      </tp>
      <tp t="s">
        <v>UNITED STATES</v>
        <stp/>
        <stp>##V3_BDPV12</stp>
        <stp>912828GG Govt</stp>
        <stp>COUNTRY_FULL_NAME</stp>
        <stp>[TREASURY.xlsx]Sheet1!R967C8</stp>
        <tr r="H967" s="1"/>
      </tp>
      <tp t="s">
        <v>UNITED STATES</v>
        <stp/>
        <stp>##V3_BDPV12</stp>
        <stp>912828GL Govt</stp>
        <stp>COUNTRY_FULL_NAME</stp>
        <stp>[TREASURY.xlsx]Sheet1!R847C8</stp>
        <tr r="H847" s="1"/>
      </tp>
      <tp t="s">
        <v>UNITED STATES</v>
        <stp/>
        <stp>##V3_BDPV12</stp>
        <stp>912828H8 Govt</stp>
        <stp>COUNTRY_FULL_NAME</stp>
        <stp>[TREASURY.xlsx]Sheet1!R247C8</stp>
        <tr r="H247" s="1"/>
      </tp>
      <tp t="s">
        <v>UNITED STATES</v>
        <stp/>
        <stp>##V3_BDPV12</stp>
        <stp>912828HJ Govt</stp>
        <stp>COUNTRY_FULL_NAME</stp>
        <stp>[TREASURY.xlsx]Sheet1!R807C8</stp>
        <tr r="H807" s="1"/>
      </tp>
      <tp t="s">
        <v>USD</v>
        <stp/>
        <stp>##V3_BDPV12</stp>
        <stp>912827Q8 Govt</stp>
        <stp>CRNCY</stp>
        <stp>[TREASURY.xlsx]Sheet1!R1572C7</stp>
        <tr r="G1572" s="1"/>
      </tp>
      <tp t="s">
        <v>UNITED STATES</v>
        <stp/>
        <stp>##V3_BDPV12</stp>
        <stp>912828JG Govt</stp>
        <stp>COUNTRY_FULL_NAME</stp>
        <stp>[TREASURY.xlsx]Sheet1!R417C8</stp>
        <tr r="H417" s="1"/>
      </tp>
      <tp t="s">
        <v>UNITED STATES</v>
        <stp/>
        <stp>##V3_BDPV12</stp>
        <stp>912828JF Govt</stp>
        <stp>COUNTRY_FULL_NAME</stp>
        <stp>[TREASURY.xlsx]Sheet1!R537C8</stp>
        <tr r="H537" s="1"/>
      </tp>
      <tp t="s">
        <v>5/16/1994</v>
        <stp/>
        <stp>##V3_BDPV12</stp>
        <stp>912827P8 Govt</stp>
        <stp>ISSUE_DT</stp>
        <stp>[TREASURY.xlsx]Sheet1!R1492C15</stp>
        <tr r="O1492" s="1"/>
      </tp>
      <tp t="s">
        <v>UNITED STATES</v>
        <stp/>
        <stp>##V3_BDPV12</stp>
        <stp>912827K4 Govt</stp>
        <stp>COUNTRY_FULL_NAME</stp>
        <stp>[TREASURY.xlsx]Sheet1!R568C8</stp>
        <tr r="H568" s="1"/>
      </tp>
      <tp t="s">
        <v>UNITED STATES</v>
        <stp/>
        <stp>##V3_BDPV12</stp>
        <stp>912827KS Govt</stp>
        <stp>COUNTRY_FULL_NAME</stp>
        <stp>[TREASURY.xlsx]Sheet1!R668C8</stp>
        <tr r="H668" s="1"/>
      </tp>
      <tp t="s">
        <v>UNITED STATES</v>
        <stp/>
        <stp>##V3_BDPV12</stp>
        <stp>912828KW Govt</stp>
        <stp>COUNTRY_FULL_NAME</stp>
        <stp>[TREASURY.xlsx]Sheet1!R617C8</stp>
        <tr r="H617" s="1"/>
      </tp>
      <tp t="s">
        <v>UNITED STATES</v>
        <stp/>
        <stp>##V3_BDPV12</stp>
        <stp>912827KK Govt</stp>
        <stp>COUNTRY_FULL_NAME</stp>
        <stp>[TREASURY.xlsx]Sheet1!R708C8</stp>
        <tr r="H708" s="1"/>
      </tp>
      <tp t="s">
        <v>UNITED STATES</v>
        <stp/>
        <stp>##V3_BDPV12</stp>
        <stp>912827KC Govt</stp>
        <stp>COUNTRY_FULL_NAME</stp>
        <stp>[TREASURY.xlsx]Sheet1!R608C8</stp>
        <tr r="H608" s="1"/>
      </tp>
      <tp t="s">
        <v>UNITED STATES</v>
        <stp/>
        <stp>##V3_BDPV12</stp>
        <stp>912828KL Govt</stp>
        <stp>COUNTRY_FULL_NAME</stp>
        <stp>[TREASURY.xlsx]Sheet1!R857C8</stp>
        <tr r="H857" s="1"/>
      </tp>
      <tp t="s">
        <v>UNITED STATES</v>
        <stp/>
        <stp>##V3_BDPV12</stp>
        <stp>912828L3 Govt</stp>
        <stp>COUNTRY_FULL_NAME</stp>
        <stp>[TREASURY.xlsx]Sheet1!R327C8</stp>
        <tr r="H327" s="1"/>
      </tp>
      <tp t="s">
        <v>UNITED STATES</v>
        <stp/>
        <stp>##V3_BDPV12</stp>
        <stp>912828LR Govt</stp>
        <stp>COUNTRY_FULL_NAME</stp>
        <stp>[TREASURY.xlsx]Sheet1!R817C8</stp>
        <tr r="H817" s="1"/>
      </tp>
      <tp t="s">
        <v>UNITED STATES</v>
        <stp/>
        <stp>##V3_BDPV12</stp>
        <stp>912827LC Govt</stp>
        <stp>COUNTRY_FULL_NAME</stp>
        <stp>[TREASURY.xlsx]Sheet1!R888C8</stp>
        <tr r="H888" s="1"/>
      </tp>
      <tp t="s">
        <v>5/31/1994</v>
        <stp/>
        <stp>##V3_BDPV12</stp>
        <stp>912827P9 Govt</stp>
        <stp>ISSUE_DT</stp>
        <stp>[TREASURY.xlsx]Sheet1!R1339C15</stp>
        <tr r="O1339" s="1"/>
      </tp>
      <tp t="s">
        <v>UNITED STATES</v>
        <stp/>
        <stp>##V3_BDPV12</stp>
        <stp>912827M5 Govt</stp>
        <stp>COUNTRY_FULL_NAME</stp>
        <stp>[TREASURY.xlsx]Sheet1!R718C8</stp>
        <tr r="H718" s="1"/>
      </tp>
      <tp t="s">
        <v>UNITED STATES</v>
        <stp/>
        <stp>##V3_BDPV12</stp>
        <stp>912827MK Govt</stp>
        <stp>COUNTRY_FULL_NAME</stp>
        <stp>[TREASURY.xlsx]Sheet1!R898C8</stp>
        <tr r="H898" s="1"/>
      </tp>
      <tp t="s">
        <v>UNITED STATES</v>
        <stp/>
        <stp>##V3_BDPV12</stp>
        <stp>912827N6 Govt</stp>
        <stp>COUNTRY_FULL_NAME</stp>
        <stp>[TREASURY.xlsx]Sheet1!R728C8</stp>
        <tr r="H728" s="1"/>
      </tp>
      <tp t="s">
        <v>UNITED STATES</v>
        <stp/>
        <stp>##V3_BDPV12</stp>
        <stp>912828NU Govt</stp>
        <stp>COUNTRY_FULL_NAME</stp>
        <stp>[TREASURY.xlsx]Sheet1!R547C8</stp>
        <tr r="H547" s="1"/>
      </tp>
      <tp t="s">
        <v>UNITED STATES</v>
        <stp/>
        <stp>##V3_BDPV12</stp>
        <stp>912828NE Govt</stp>
        <stp>COUNTRY_FULL_NAME</stp>
        <stp>[TREASURY.xlsx]Sheet1!R977C8</stp>
        <tr r="H977" s="1"/>
      </tp>
      <tp t="s">
        <v>UNITED STATES</v>
        <stp/>
        <stp>##V3_BDPV12</stp>
        <stp>912828PW Govt</stp>
        <stp>COUNTRY_FULL_NAME</stp>
        <stp>[TREASURY.xlsx]Sheet1!R987C8</stp>
        <tr r="H987" s="1"/>
      </tp>
      <tp t="s">
        <v>UNITED STATES</v>
        <stp/>
        <stp>##V3_BDPV12</stp>
        <stp>912827PL Govt</stp>
        <stp>COUNTRY_FULL_NAME</stp>
        <stp>[TREASURY.xlsx]Sheet1!R738C8</stp>
        <tr r="H738" s="1"/>
      </tp>
      <tp t="s">
        <v>UNITED STATES</v>
        <stp/>
        <stp>##V3_BDPV12</stp>
        <stp>912828Q2 Govt</stp>
        <stp>COUNTRY_FULL_NAME</stp>
        <stp>[TREASURY.xlsx]Sheet1!R187C8</stp>
        <tr r="H187" s="1"/>
      </tp>
      <tp t="s">
        <v>UNITED STATES</v>
        <stp/>
        <stp>##V3_BDPV12</stp>
        <stp>912828QT Govt</stp>
        <stp>COUNTRY_FULL_NAME</stp>
        <stp>[TREASURY.xlsx]Sheet1!R867C8</stp>
        <tr r="H867" s="1"/>
      </tp>
      <tp t="s">
        <v>UNITED STATES</v>
        <stp/>
        <stp>##V3_BDPV12</stp>
        <stp>912827QR Govt</stp>
        <stp>COUNTRY_FULL_NAME</stp>
        <stp>[TREASURY.xlsx]Sheet1!R908C8</stp>
        <tr r="H908" s="1"/>
      </tp>
      <tp t="s">
        <v>UNITED STATES</v>
        <stp/>
        <stp>##V3_BDPV12</stp>
        <stp>912828QY Govt</stp>
        <stp>COUNTRY_FULL_NAME</stp>
        <stp>[TREASURY.xlsx]Sheet1!R827C8</stp>
        <tr r="H827" s="1"/>
      </tp>
      <tp t="s">
        <v>UNITED STATES</v>
        <stp/>
        <stp>##V3_BDPV12</stp>
        <stp>912828QJ Govt</stp>
        <stp>COUNTRY_FULL_NAME</stp>
        <stp>[TREASURY.xlsx]Sheet1!R407C8</stp>
        <tr r="H407" s="1"/>
      </tp>
      <tp t="s">
        <v>UNITED STATES</v>
        <stp/>
        <stp>##V3_BDPV12</stp>
        <stp>912828R9 Govt</stp>
        <stp>COUNTRY_FULL_NAME</stp>
        <stp>[TREASURY.xlsx]Sheet1!R437C8</stp>
        <tr r="H437" s="1"/>
      </tp>
      <tp t="s">
        <v>UNITED STATES</v>
        <stp/>
        <stp>##V3_BDPV12</stp>
        <stp>912828RV Govt</stp>
        <stp>COUNTRY_FULL_NAME</stp>
        <stp>[TREASURY.xlsx]Sheet1!R687C8</stp>
        <tr r="H687" s="1"/>
      </tp>
      <tp t="s">
        <v>UNITED STATES</v>
        <stp/>
        <stp>##V3_BDPV12</stp>
        <stp>912828RA Govt</stp>
        <stp>COUNTRY_FULL_NAME</stp>
        <stp>[TREASURY.xlsx]Sheet1!R677C8</stp>
        <tr r="H677" s="1"/>
      </tp>
      <tp t="s">
        <v>UNITED STATES</v>
        <stp/>
        <stp>##V3_BDPV12</stp>
        <stp>912828S4 Govt</stp>
        <stp>COUNTRY_FULL_NAME</stp>
        <stp>[TREASURY.xlsx]Sheet1!R487C8</stp>
        <tr r="H487" s="1"/>
      </tp>
      <tp t="s">
        <v>UNITED STATES</v>
        <stp/>
        <stp>##V3_BDPV12</stp>
        <stp>912827SV Govt</stp>
        <stp>COUNTRY_FULL_NAME</stp>
        <stp>[TREASURY.xlsx]Sheet1!R918C8</stp>
        <tr r="H918" s="1"/>
      </tp>
      <tp t="s">
        <v>UNITED STATES</v>
        <stp/>
        <stp>##V3_BDPV12</stp>
        <stp>912828ST Govt</stp>
        <stp>COUNTRY_FULL_NAME</stp>
        <stp>[TREASURY.xlsx]Sheet1!R497C8</stp>
        <tr r="H497" s="1"/>
      </tp>
      <tp t="s">
        <v>UNITED STATES</v>
        <stp/>
        <stp>##V3_BDPV12</stp>
        <stp>912827SM Govt</stp>
        <stp>COUNTRY_FULL_NAME</stp>
        <stp>[TREASURY.xlsx]Sheet1!R748C8</stp>
        <tr r="H748" s="1"/>
      </tp>
      <tp t="s">
        <v>UNITED STATES</v>
        <stp/>
        <stp>##V3_BDPV12</stp>
        <stp>912828TX Govt</stp>
        <stp>COUNTRY_FULL_NAME</stp>
        <stp>[TREASURY.xlsx]Sheet1!R467C8</stp>
        <tr r="H467" s="1"/>
      </tp>
      <tp t="s">
        <v>UNITED STATES</v>
        <stp/>
        <stp>##V3_BDPV12</stp>
        <stp>912828TF Govt</stp>
        <stp>COUNTRY_FULL_NAME</stp>
        <stp>[TREASURY.xlsx]Sheet1!R997C8</stp>
        <tr r="H997" s="1"/>
      </tp>
      <tp t="s">
        <v>UNITED STATES</v>
        <stp/>
        <stp>##V3_BDPV12</stp>
        <stp>912828TB Govt</stp>
        <stp>COUNTRY_FULL_NAME</stp>
        <stp>[TREASURY.xlsx]Sheet1!R637C8</stp>
        <tr r="H637" s="1"/>
      </tp>
      <tp t="s">
        <v>UNITED STATES</v>
        <stp/>
        <stp>##V3_BDPV12</stp>
        <stp>912828UN Govt</stp>
        <stp>COUNTRY_FULL_NAME</stp>
        <stp>[TREASURY.xlsx]Sheet1!R147C8</stp>
        <tr r="H147" s="1"/>
      </tp>
      <tp t="s">
        <v>UNITED STATES</v>
        <stp/>
        <stp>##V3_BDPV12</stp>
        <stp>912828UA Govt</stp>
        <stp>COUNTRY_FULL_NAME</stp>
        <stp>[TREASURY.xlsx]Sheet1!R387C8</stp>
        <tr r="H387" s="1"/>
      </tp>
      <tp t="s">
        <v>UNITED STATES</v>
        <stp/>
        <stp>##V3_BDPV12</stp>
        <stp>912827V8 Govt</stp>
        <stp>COUNTRY_FULL_NAME</stp>
        <stp>[TREASURY.xlsx]Sheet1!R758C8</stp>
        <tr r="H758" s="1"/>
      </tp>
      <tp t="s">
        <v>UNITED STATES</v>
        <stp/>
        <stp>##V3_BDPV12</stp>
        <stp>912828V9 Govt</stp>
        <stp>COUNTRY_FULL_NAME</stp>
        <stp>[TREASURY.xlsx]Sheet1!R127C8</stp>
        <tr r="H127" s="1"/>
      </tp>
      <tp t="s">
        <v>UNITED STATES</v>
        <stp/>
        <stp>##V3_BDPV12</stp>
        <stp>912828V8 Govt</stp>
        <stp>COUNTRY_FULL_NAME</stp>
        <stp>[TREASURY.xlsx]Sheet1!R307C8</stp>
        <tr r="H307" s="1"/>
      </tp>
      <tp t="s">
        <v>UNITED STATES</v>
        <stp/>
        <stp>##V3_BDPV12</stp>
        <stp>912828V3 Govt</stp>
        <stp>COUNTRY_FULL_NAME</stp>
        <stp>[TREASURY.xlsx]Sheet1!R877C8</stp>
        <tr r="H877" s="1"/>
      </tp>
      <tp t="s">
        <v>UNITED STATES</v>
        <stp/>
        <stp>##V3_BDPV12</stp>
        <stp>912828VJ Govt</stp>
        <stp>COUNTRY_FULL_NAME</stp>
        <stp>[TREASURY.xlsx]Sheet1!R447C8</stp>
        <tr r="H447" s="1"/>
      </tp>
      <tp t="s">
        <v>UNITED STATES</v>
        <stp/>
        <stp>##V3_BDPV12</stp>
        <stp>912828VC Govt</stp>
        <stp>COUNTRY_FULL_NAME</stp>
        <stp>[TREASURY.xlsx]Sheet1!R577C8</stp>
        <tr r="H577" s="1"/>
      </tp>
      <tp t="s">
        <v>UNITED STATES</v>
        <stp/>
        <stp>##V3_BDPV12</stp>
        <stp>912828VG Govt</stp>
        <stp>COUNTRY_FULL_NAME</stp>
        <stp>[TREASURY.xlsx]Sheet1!R587C8</stp>
        <tr r="H587" s="1"/>
      </tp>
      <tp t="s">
        <v>UNITED STATES</v>
        <stp/>
        <stp>##V3_BDPV12</stp>
        <stp>912827W3 Govt</stp>
        <stp>COUNTRY_FULL_NAME</stp>
        <stp>[TREASURY.xlsx]Sheet1!R928C8</stp>
        <tr r="H928" s="1"/>
      </tp>
      <tp t="s">
        <v>UNITED STATES</v>
        <stp/>
        <stp>##V3_BDPV12</stp>
        <stp>912828WM Govt</stp>
        <stp>COUNTRY_FULL_NAME</stp>
        <stp>[TREASURY.xlsx]Sheet1!R567C8</stp>
        <tr r="H567" s="1"/>
      </tp>
      <tp t="s">
        <v>UNITED STATES</v>
        <stp/>
        <stp>##V3_BDPV12</stp>
        <stp>912827WC Govt</stp>
        <stp>COUNTRY_FULL_NAME</stp>
        <stp>[TREASURY.xlsx]Sheet1!R768C8</stp>
        <tr r="H768" s="1"/>
      </tp>
      <tp t="s">
        <v>UNITED STATES</v>
        <stp/>
        <stp>##V3_BDPV12</stp>
        <stp>912828WB Govt</stp>
        <stp>COUNTRY_FULL_NAME</stp>
        <stp>[TREASURY.xlsx]Sheet1!R457C8</stp>
        <tr r="H457" s="1"/>
      </tp>
      <tp t="s">
        <v>UNITED STATES</v>
        <stp/>
        <stp>##V3_BDPV12</stp>
        <stp>912827XS Govt</stp>
        <stp>COUNTRY_FULL_NAME</stp>
        <stp>[TREASURY.xlsx]Sheet1!R938C8</stp>
        <tr r="H938" s="1"/>
      </tp>
      <tp t="s">
        <v>UNITED STATES</v>
        <stp/>
        <stp>##V3_BDPV12</stp>
        <stp>912828XW Govt</stp>
        <stp>COUNTRY_FULL_NAME</stp>
        <stp>[TREASURY.xlsx]Sheet1!R217C8</stp>
        <tr r="H217" s="1"/>
      </tp>
      <tp t="s">
        <v>UNITED STATES</v>
        <stp/>
        <stp>##V3_BDPV12</stp>
        <stp>912828XA Govt</stp>
        <stp>COUNTRY_FULL_NAME</stp>
        <stp>[TREASURY.xlsx]Sheet1!R377C8</stp>
        <tr r="H377" s="1"/>
      </tp>
      <tp t="s">
        <v>UNITED STATES</v>
        <stp/>
        <stp>##V3_BDPV12</stp>
        <stp>912828Y9 Govt</stp>
        <stp>COUNTRY_FULL_NAME</stp>
        <stp>[TREASURY.xlsx]Sheet1!R157C8</stp>
        <tr r="H157" s="1"/>
      </tp>
      <tp t="s">
        <v>UNITED STATES</v>
        <stp/>
        <stp>##V3_BDPV12</stp>
        <stp>912828Y6 Govt</stp>
        <stp>COUNTRY_FULL_NAME</stp>
        <stp>[TREASURY.xlsx]Sheet1!R297C8</stp>
        <tr r="H297" s="1"/>
      </tp>
      <tp t="s">
        <v>UNITED STATES</v>
        <stp/>
        <stp>##V3_BDPV12</stp>
        <stp>912827YX Govt</stp>
        <stp>COUNTRY_FULL_NAME</stp>
        <stp>[TREASURY.xlsx]Sheet1!R948C8</stp>
        <tr r="H948" s="1"/>
      </tp>
      <tp t="s">
        <v>UNITED STATES</v>
        <stp/>
        <stp>##V3_BDPV12</stp>
        <stp>912827Z9 Govt</stp>
        <stp>COUNTRY_FULL_NAME</stp>
        <stp>[TREASURY.xlsx]Sheet1!R778C8</stp>
        <tr r="H778" s="1"/>
      </tp>
      <tp t="s">
        <v>UNITED STATES</v>
        <stp/>
        <stp>##V3_BDPV12</stp>
        <stp>912828ZN Govt</stp>
        <stp>COUNTRY_FULL_NAME</stp>
        <stp>[TREASURY.xlsx]Sheet1!R117C8</stp>
        <tr r="H117" s="1"/>
      </tp>
      <tp t="s">
        <v>4/15/2019</v>
        <stp/>
        <stp>##V3_BDPV12</stp>
        <stp>912828Q5 Govt</stp>
        <stp>MATURITY</stp>
        <stp>[TREASURY.xlsx]Sheet1!R1262C5</stp>
        <tr r="E1262" s="1"/>
      </tp>
      <tp t="s">
        <v>4/30/2014</v>
        <stp/>
        <stp>##V3_BDPV12</stp>
        <stp>912828SR Govt</stp>
        <stp>MATURITY</stp>
        <stp>[TREASURY.xlsx]Sheet1!R1142C5</stp>
        <tr r="E1142" s="1"/>
      </tp>
      <tp t="s">
        <v>3/15/2015</v>
        <stp/>
        <stp>##V3_BDPV12</stp>
        <stp>912828SK Govt</stp>
        <stp>MATURITY</stp>
        <stp>[TREASURY.xlsx]Sheet1!R1132C5</stp>
        <tr r="E1132" s="1"/>
      </tp>
      <tp t="s">
        <v>11/30/2016</v>
        <stp/>
        <stp>##V3_BDPV12</stp>
        <stp>912828RU Govt</stp>
        <stp>MATURITY</stp>
        <stp>[TREASURY.xlsx]Sheet1!R1302C5</stp>
        <tr r="E1302" s="1"/>
      </tp>
      <tp t="s">
        <v>US912828Z948</v>
        <stp/>
        <stp>##V3_BDPV12</stp>
        <stp>912828Z9 Govt</stp>
        <stp>ID_ISIN</stp>
        <stp>[TREASURY.xlsx]Sheet1!R25C12</stp>
        <tr r="L25" s="1"/>
      </tp>
      <tp t="s">
        <v>4/15/2016</v>
        <stp/>
        <stp>##V3_BDPV12</stp>
        <stp>912828UW Govt</stp>
        <stp>MATURITY</stp>
        <stp>[TREASURY.xlsx]Sheet1!R1002C5</stp>
        <tr r="E1002" s="1"/>
      </tp>
      <tp t="s">
        <v>T</v>
        <stp/>
        <stp>##V3_BDPV12</stp>
        <stp>912827Y8 Govt</stp>
        <stp>TICKER</stp>
        <stp>[TREASURY.xlsx]Sheet1!R941C2</stp>
        <tr r="B941" s="1"/>
      </tp>
      <tp t="s">
        <v>T</v>
        <stp/>
        <stp>##V3_BDPV12</stp>
        <stp>912827X9 Govt</stp>
        <stp>TICKER</stp>
        <stp>[TREASURY.xlsx]Sheet1!R770C2</stp>
        <tr r="B770" s="1"/>
      </tp>
      <tp t="s">
        <v>T</v>
        <stp/>
        <stp>##V3_BDPV12</stp>
        <stp>912828X7 Govt</stp>
        <stp>TICKER</stp>
        <stp>[TREASURY.xlsx]Sheet1!R300C2</stp>
        <tr r="B300" s="1"/>
      </tp>
      <tp t="s">
        <v>6/30/2017</v>
        <stp/>
        <stp>##V3_BDPV12</stp>
        <stp>912828XJ Govt</stp>
        <stp>MATURITY</stp>
        <stp>[TREASURY.xlsx]Sheet1!R1152C5</stp>
        <tr r="E1152" s="1"/>
      </tp>
      <tp t="s">
        <v>11/30/2015</v>
        <stp/>
        <stp>##V3_BDPV12</stp>
        <stp>912828A2 Govt</stp>
        <stp>MATURITY</stp>
        <stp>[TREASURY.xlsx]Sheet1!R1232C5</stp>
        <tr r="E1232" s="1"/>
      </tp>
      <tp t="s">
        <v>5/15/2008</v>
        <stp/>
        <stp>##V3_BDPV12</stp>
        <stp>912828DT Govt</stp>
        <stp>MATURITY</stp>
        <stp>[TREASURY.xlsx]Sheet1!R1272C5</stp>
        <tr r="E1272" s="1"/>
      </tp>
      <tp t="s">
        <v>3/31/2007</v>
        <stp/>
        <stp>##V3_BDPV12</stp>
        <stp>912828DQ Govt</stp>
        <stp>MATURITY</stp>
        <stp>[TREASURY.xlsx]Sheet1!R1112C5</stp>
        <tr r="E1112" s="1"/>
      </tp>
      <tp t="s">
        <v>1/31/2009</v>
        <stp/>
        <stp>##V3_BDPV12</stp>
        <stp>912828GE Govt</stp>
        <stp>MATURITY</stp>
        <stp>[TREASURY.xlsx]Sheet1!R1242C5</stp>
        <tr r="E1242" s="1"/>
      </tp>
      <tp t="s">
        <v>12/31/2011</v>
        <stp/>
        <stp>##V3_BDPV12</stp>
        <stp>912828GC Govt</stp>
        <stp>MATURITY</stp>
        <stp>[TREASURY.xlsx]Sheet1!R1282C5</stp>
        <tr r="E1282" s="1"/>
      </tp>
      <tp t="s">
        <v>3/31/2011</v>
        <stp/>
        <stp>##V3_BDPV12</stp>
        <stp>912828FA Govt</stp>
        <stp>MATURITY</stp>
        <stp>[TREASURY.xlsx]Sheet1!R1432C5</stp>
        <tr r="E1432" s="1"/>
      </tp>
      <tp t="s">
        <v>1/15/2024</v>
        <stp/>
        <stp>##V3_BDPV12</stp>
        <stp>91282CBE Govt</stp>
        <stp>MATURITY</stp>
        <stp>[TREASURY.xlsx]Sheet1!R115C5</stp>
        <tr r="E115" s="1"/>
      </tp>
      <tp t="s">
        <v>8/15/2023</v>
        <stp/>
        <stp>##V3_BDPV12</stp>
        <stp>91282CAF Govt</stp>
        <stp>MATURITY</stp>
        <stp>[TREASURY.xlsx]Sheet1!R195C5</stp>
        <tr r="E195" s="1"/>
      </tp>
      <tp t="s">
        <v>9/30/2010</v>
        <stp/>
        <stp>##V3_BDPV12</stp>
        <stp>912828JL Govt</stp>
        <stp>MATURITY</stp>
        <stp>[TREASURY.xlsx]Sheet1!R1122C5</stp>
        <tr r="E1122" s="1"/>
      </tp>
      <tp t="s">
        <v>11/30/2016</v>
        <stp/>
        <stp>##V3_BDPV12</stp>
        <stp>912828MA Govt</stp>
        <stp>MATURITY</stp>
        <stp>[TREASURY.xlsx]Sheet1!R1252C5</stp>
        <tr r="E1252" s="1"/>
      </tp>
      <tp t="s">
        <v>4/30/2017</v>
        <stp/>
        <stp>##V3_BDPV12</stp>
        <stp>912828NA Govt</stp>
        <stp>MATURITY</stp>
        <stp>[TREASURY.xlsx]Sheet1!R1292C5</stp>
        <tr r="E1292" s="1"/>
      </tp>
      <tp t="s">
        <v>9/30/2025</v>
        <stp/>
        <stp>##V3_BDPV12</stp>
        <stp>9128285C Govt</stp>
        <stp>MATURITY</stp>
        <stp>[TREASURY.xlsx]Sheet1!R205C5</stp>
        <tr r="E205" s="1"/>
      </tp>
      <tp t="s">
        <v>3/31/2025</v>
        <stp/>
        <stp>##V3_BDPV12</stp>
        <stp>9128284F Govt</stp>
        <stp>MATURITY</stp>
        <stp>[TREASURY.xlsx]Sheet1!R285C5</stp>
        <tr r="E285" s="1"/>
      </tp>
      <tp t="s">
        <v>1/31/2026</v>
        <stp/>
        <stp>##V3_BDPV12</stp>
        <stp>9128286A Govt</stp>
        <stp>MATURITY</stp>
        <stp>[TREASURY.xlsx]Sheet1!R265C5</stp>
        <tr r="E265" s="1"/>
      </tp>
      <tp t="s">
        <v>2/28/2026</v>
        <stp/>
        <stp>##V3_BDPV12</stp>
        <stp>9128286F Govt</stp>
        <stp>MATURITY</stp>
        <stp>[TREASURY.xlsx]Sheet1!R225C5</stp>
        <tr r="E225" s="1"/>
      </tp>
      <tp t="s">
        <v>9/30/2024</v>
        <stp/>
        <stp>##V3_BDPV12</stp>
        <stp>9128282Y Govt</stp>
        <stp>MATURITY</stp>
        <stp>[TREASURY.xlsx]Sheet1!R145C5</stp>
        <tr r="E145" s="1"/>
      </tp>
      <tp t="s">
        <v>5/31/2020</v>
        <stp/>
        <stp>##V3_BDPV12</stp>
        <stp>9128284Q Govt</stp>
        <stp>MATURITY</stp>
        <stp>[TREASURY.xlsx]Sheet1!R675C5</stp>
        <tr r="E675" s="1"/>
      </tp>
      <tp t="s">
        <v>12/31/2024</v>
        <stp/>
        <stp>##V3_BDPV12</stp>
        <stp>9128283P Govt</stp>
        <stp>MATURITY</stp>
        <stp>[TREASURY.xlsx]Sheet1!R185C5</stp>
        <tr r="E185" s="1"/>
      </tp>
      <tp t="s">
        <v>8/31/2021</v>
        <stp/>
        <stp>##V3_BDPV12</stp>
        <stp>9128282F Govt</stp>
        <stp>MATURITY</stp>
        <stp>[TREASURY.xlsx]Sheet1!R345C5</stp>
        <tr r="E345" s="1"/>
      </tp>
      <tp t="s">
        <v>3/31/2020</v>
        <stp/>
        <stp>##V3_BDPV12</stp>
        <stp>9128284C Govt</stp>
        <stp>MATURITY</stp>
        <stp>[TREASURY.xlsx]Sheet1!R505C5</stp>
        <tr r="E505" s="1"/>
      </tp>
      <tp t="s">
        <v>2/29/2020</v>
        <stp/>
        <stp>##V3_BDPV12</stp>
        <stp>9128283Y Govt</stp>
        <stp>MATURITY</stp>
        <stp>[TREASURY.xlsx]Sheet1!R395C5</stp>
        <tr r="E395" s="1"/>
      </tp>
      <tp t="s">
        <v>1/15/2021</v>
        <stp/>
        <stp>##V3_BDPV12</stp>
        <stp>9128283Q Govt</stp>
        <stp>MATURITY</stp>
        <stp>[TREASURY.xlsx]Sheet1!R375C5</stp>
        <tr r="E375" s="1"/>
      </tp>
      <tp t="s">
        <v>4/30/2006</v>
        <stp/>
        <stp>##V3_BDPV12</stp>
        <stp>912828CF Govt</stp>
        <stp>MATURITY</stp>
        <stp>[TREASURY.xlsx]Sheet1!R465C5</stp>
        <tr r="E465" s="1"/>
      </tp>
      <tp t="s">
        <v>2/15/2008</v>
        <stp/>
        <stp>##V3_BDPV12</stp>
        <stp>912828AT Govt</stp>
        <stp>MATURITY</stp>
        <stp>[TREASURY.xlsx]Sheet1!R635C5</stp>
        <tr r="E635" s="1"/>
      </tp>
      <tp t="s">
        <v>11/15/2008</v>
        <stp/>
        <stp>##V3_BDPV12</stp>
        <stp>912828BQ Govt</stp>
        <stp>MATURITY</stp>
        <stp>[TREASURY.xlsx]Sheet1!R435C5</stp>
        <tr r="E435" s="1"/>
      </tp>
      <tp t="s">
        <v>7/31/2015</v>
        <stp/>
        <stp>##V3_BDPV12</stp>
        <stp>912828NP Govt</stp>
        <stp>MATURITY</stp>
        <stp>[TREASURY.xlsx]Sheet1!R865C5</stp>
        <tr r="E865" s="1"/>
      </tp>
      <tp t="s">
        <v>1/31/2005</v>
        <stp/>
        <stp>##V3_BDPV12</stp>
        <stp>912828AS Govt</stp>
        <stp>MATURITY</stp>
        <stp>[TREASURY.xlsx]Sheet1!R785C5</stp>
        <tr r="E785" s="1"/>
      </tp>
      <tp t="s">
        <v>1/15/2009</v>
        <stp/>
        <stp>##V3_BDPV12</stp>
        <stp>912828BV Govt</stp>
        <stp>MATURITY</stp>
        <stp>[TREASURY.xlsx]Sheet1!R495C5</stp>
        <tr r="E495" s="1"/>
      </tp>
      <tp t="s">
        <v>10/31/2011</v>
        <stp/>
        <stp>##V3_BDPV12</stp>
        <stp>912828LT Govt</stp>
        <stp>MATURITY</stp>
        <stp>[TREASURY.xlsx]Sheet1!R975C5</stp>
        <tr r="E975" s="1"/>
      </tp>
      <tp t="s">
        <v>4/15/2013</v>
        <stp/>
        <stp>##V3_BDPV12</stp>
        <stp>912828MX Govt</stp>
        <stp>MATURITY</stp>
        <stp>[TREASURY.xlsx]Sheet1!R825C5</stp>
        <tr r="E825" s="1"/>
      </tp>
      <tp t="s">
        <v>5/15/2008</v>
        <stp/>
        <stp>##V3_BDPV12</stp>
        <stp>912828AZ Govt</stp>
        <stp>MATURITY</stp>
        <stp>[TREASURY.xlsx]Sheet1!R415C5</stp>
        <tr r="E415" s="1"/>
      </tp>
      <tp t="s">
        <v>11/30/2020</v>
        <stp/>
        <stp>##V3_BDPV12</stp>
        <stp>912828A4 Govt</stp>
        <stp>MATURITY</stp>
        <stp>[TREASURY.xlsx]Sheet1!R555C5</stp>
        <tr r="E555" s="1"/>
      </tp>
      <tp t="s">
        <v>7/31/2011</v>
        <stp/>
        <stp>##V3_BDPV12</stp>
        <stp>912828LG Govt</stp>
        <stp>MATURITY</stp>
        <stp>[TREASURY.xlsx]Sheet1!R815C5</stp>
        <tr r="E815" s="1"/>
      </tp>
      <tp t="s">
        <v>5/15/2016</v>
        <stp/>
        <stp>##V3_BDPV12</stp>
        <stp>912828FF Govt</stp>
        <stp>MATURITY</stp>
        <stp>[TREASURY.xlsx]Sheet1!R475C5</stp>
        <tr r="E475" s="1"/>
      </tp>
      <tp t="s">
        <v>8/15/2015</v>
        <stp/>
        <stp>##V3_BDPV12</stp>
        <stp>912828EE Govt</stp>
        <stp>MATURITY</stp>
        <stp>[TREASURY.xlsx]Sheet1!R795C5</stp>
        <tr r="E795" s="1"/>
      </tp>
      <tp t="s">
        <v>11/15/2011</v>
        <stp/>
        <stp>##V3_BDPV12</stp>
        <stp>912828JU Govt</stp>
        <stp>MATURITY</stp>
        <stp>[TREASURY.xlsx]Sheet1!R855C5</stp>
        <tr r="E855" s="1"/>
      </tp>
      <tp t="s">
        <v>8/31/2019</v>
        <stp/>
        <stp>##V3_BDPV12</stp>
        <stp>912828D8 Govt</stp>
        <stp>MATURITY</stp>
        <stp>[TREASURY.xlsx]Sheet1!R545C5</stp>
        <tr r="E545" s="1"/>
      </tp>
      <tp t="s">
        <v>5/15/2017</v>
        <stp/>
        <stp>##V3_BDPV12</stp>
        <stp>912828GS Govt</stp>
        <stp>MATURITY</stp>
        <stp>[TREASURY.xlsx]Sheet1!R615C5</stp>
        <tr r="E615" s="1"/>
      </tp>
      <tp t="s">
        <v>3/15/2009</v>
        <stp/>
        <stp>##V3_BDPV12</stp>
        <stp>912828CC Govt</stp>
        <stp>MATURITY</stp>
        <stp>[TREASURY.xlsx]Sheet1!R325C5</stp>
        <tr r="E325" s="1"/>
      </tp>
      <tp t="s">
        <v>6/30/2009</v>
        <stp/>
        <stp>##V3_BDPV12</stp>
        <stp>912828GV Govt</stp>
        <stp>MATURITY</stp>
        <stp>[TREASURY.xlsx]Sheet1!R805C5</stp>
        <tr r="E805" s="1"/>
      </tp>
      <tp t="s">
        <v>1/31/2017</v>
        <stp/>
        <stp>##V3_BDPV12</stp>
        <stp>912828H7 Govt</stp>
        <stp>MATURITY</stp>
        <stp>[TREASURY.xlsx]Sheet1!R605C5</stp>
        <tr r="E605" s="1"/>
      </tp>
      <tp t="s">
        <v>10/31/2008</v>
        <stp/>
        <stp>##V3_BDPV12</stp>
        <stp>912828FV Govt</stp>
        <stp>MATURITY</stp>
        <stp>[TREASURY.xlsx]Sheet1!R845C5</stp>
        <tr r="E845" s="1"/>
      </tp>
      <tp t="s">
        <v>11/30/2012</v>
        <stp/>
        <stp>##V3_BDPV12</stp>
        <stp>912828HK Govt</stp>
        <stp>MATURITY</stp>
        <stp>[TREASURY.xlsx]Sheet1!R525C5</stp>
        <tr r="E525" s="1"/>
      </tp>
      <tp t="s">
        <v>11/30/2007</v>
        <stp/>
        <stp>##V3_BDPV12</stp>
        <stp>912828EP Govt</stp>
        <stp>MATURITY</stp>
        <stp>[TREASURY.xlsx]Sheet1!R965C5</stp>
        <tr r="E965" s="1"/>
      </tp>
      <tp t="s">
        <v>11/15/2012</v>
        <stp/>
        <stp>##V3_BDPV12</stp>
        <stp>912828LX Govt</stp>
        <stp>MATURITY</stp>
        <stp>[TREASURY.xlsx]Sheet1!R535C5</stp>
        <tr r="E535" s="1"/>
      </tp>
      <tp t="s">
        <v>11/30/2014</v>
        <stp/>
        <stp>##V3_BDPV12</stp>
        <stp>912828LZ Govt</stp>
        <stp>MATURITY</stp>
        <stp>[TREASURY.xlsx]Sheet1!R515C5</stp>
        <tr r="E515" s="1"/>
      </tp>
      <tp t="s">
        <v>8/15/2019</v>
        <stp/>
        <stp>##V3_BDPV12</stp>
        <stp>912828LJ Govt</stp>
        <stp>MATURITY</stp>
        <stp>[TREASURY.xlsx]Sheet1!R485C5</stp>
        <tr r="E485" s="1"/>
      </tp>
      <tp t="s">
        <v>5/15/2020</v>
        <stp/>
        <stp>##V3_BDPV12</stp>
        <stp>912828ND Govt</stp>
        <stp>MATURITY</stp>
        <stp>[TREASURY.xlsx]Sheet1!R645C5</stp>
        <tr r="E645" s="1"/>
      </tp>
      <tp t="s">
        <v>6/30/2019</v>
        <stp/>
        <stp>##V3_BDPV12</stp>
        <stp>912828TC Govt</stp>
        <stp>MATURITY</stp>
        <stp>[TREASURY.xlsx]Sheet1!R385C5</stp>
        <tr r="E385" s="1"/>
      </tp>
      <tp t="s">
        <v>3/31/2024</v>
        <stp/>
        <stp>##V3_BDPV12</stp>
        <stp>912828W7 Govt</stp>
        <stp>MATURITY</stp>
        <stp>[TREASURY.xlsx]Sheet1!R125C5</stp>
        <tr r="E125" s="1"/>
      </tp>
      <tp t="s">
        <v>10/31/2023</v>
        <stp/>
        <stp>##V3_BDPV12</stp>
        <stp>912828T9 Govt</stp>
        <stp>MATURITY</stp>
        <stp>[TREASURY.xlsx]Sheet1!R215C5</stp>
        <tr r="E215" s="1"/>
      </tp>
      <tp t="s">
        <v>10/31/2021</v>
        <stp/>
        <stp>##V3_BDPV12</stp>
        <stp>912828T6 Govt</stp>
        <stp>MATURITY</stp>
        <stp>[TREASURY.xlsx]Sheet1!R105C5</stp>
        <tr r="E105" s="1"/>
      </tp>
      <tp t="s">
        <v>4/30/2018</v>
        <stp/>
        <stp>##V3_BDPV12</stp>
        <stp>912828Q9 Govt</stp>
        <stp>MATURITY</stp>
        <stp>[TREASURY.xlsx]Sheet1!R425C5</stp>
        <tr r="E425" s="1"/>
      </tp>
      <tp t="s">
        <v>3/15/2014</v>
        <stp/>
        <stp>##V3_BDPV12</stp>
        <stp>912828PZ Govt</stp>
        <stp>MATURITY</stp>
        <stp>[TREASURY.xlsx]Sheet1!R575C5</stp>
        <tr r="E575" s="1"/>
      </tp>
      <tp t="s">
        <v>2/15/2014</v>
        <stp/>
        <stp>##V3_BDPV12</stp>
        <stp>912828QH Govt</stp>
        <stp>MATURITY</stp>
        <stp>[TREASURY.xlsx]Sheet1!R595C5</stp>
        <tr r="E595" s="1"/>
      </tp>
      <tp t="s">
        <v>11/15/2020</v>
        <stp/>
        <stp>##V3_BDPV12</stp>
        <stp>912828PC Govt</stp>
        <stp>MATURITY</stp>
        <stp>[TREASURY.xlsx]Sheet1!R365C5</stp>
        <tr r="E365" s="1"/>
      </tp>
      <tp t="s">
        <v>2/15/2021</v>
        <stp/>
        <stp>##V3_BDPV12</stp>
        <stp>912828PX Govt</stp>
        <stp>MATURITY</stp>
        <stp>[TREASURY.xlsx]Sheet1!R355C5</stp>
        <tr r="E355" s="1"/>
      </tp>
      <tp t="s">
        <v>7/31/2019</v>
        <stp/>
        <stp>##V3_BDPV12</stp>
        <stp>912828TH Govt</stp>
        <stp>MATURITY</stp>
        <stp>[TREASURY.xlsx]Sheet1!R585C5</stp>
        <tr r="E585" s="1"/>
      </tp>
      <tp t="s">
        <v>8/15/2015</v>
        <stp/>
        <stp>##V3_BDPV12</stp>
        <stp>912828TK Govt</stp>
        <stp>MATURITY</stp>
        <stp>[TREASURY.xlsx]Sheet1!R565C5</stp>
        <tr r="E565" s="1"/>
      </tp>
      <tp t="s">
        <v>4/30/2018</v>
        <stp/>
        <stp>##V3_BDPV12</stp>
        <stp>912828UZ Govt</stp>
        <stp>MATURITY</stp>
        <stp>[TREASURY.xlsx]Sheet1!R445C5</stp>
        <tr r="E445" s="1"/>
      </tp>
      <tp t="s">
        <v>6/30/2023</v>
        <stp/>
        <stp>##V3_BDPV12</stp>
        <stp>912828S3 Govt</stp>
        <stp>MATURITY</stp>
        <stp>[TREASURY.xlsx]Sheet1!R305C5</stp>
        <tr r="E305" s="1"/>
      </tp>
      <tp t="s">
        <v>1/31/2019</v>
        <stp/>
        <stp>##V3_BDPV12</stp>
        <stp>912828V5 Govt</stp>
        <stp>MATURITY</stp>
        <stp>[TREASURY.xlsx]Sheet1!R655C5</stp>
        <tr r="E655" s="1"/>
      </tp>
      <tp t="s">
        <v>4/30/2023</v>
        <stp/>
        <stp>##V3_BDPV12</stp>
        <stp>912828R2 Govt</stp>
        <stp>MATURITY</stp>
        <stp>[TREASURY.xlsx]Sheet1!R245C5</stp>
        <tr r="E245" s="1"/>
      </tp>
      <tp t="s">
        <v>9/30/2020</v>
        <stp/>
        <stp>##V3_BDPV12</stp>
        <stp>912828VZ Govt</stp>
        <stp>MATURITY</stp>
        <stp>[TREASURY.xlsx]Sheet1!R695C5</stp>
        <tr r="E695" s="1"/>
      </tp>
      <tp t="s">
        <v>7/15/2018</v>
        <stp/>
        <stp>##V3_BDPV12</stp>
        <stp>912828XK Govt</stp>
        <stp>MATURITY</stp>
        <stp>[TREASURY.xlsx]Sheet1!R625C5</stp>
        <tr r="E625" s="1"/>
      </tp>
      <tp t="s">
        <v>11/30/2014</v>
        <stp/>
        <stp>##V3_BDPV12</stp>
        <stp>912828TZ Govt</stp>
        <stp>MATURITY</stp>
        <stp>[TREASURY.xlsx]Sheet1!R875C5</stp>
        <tr r="E875" s="1"/>
      </tp>
      <tp t="s">
        <v>7/31/2025</v>
        <stp/>
        <stp>##V3_BDPV12</stp>
        <stp>912828Y7 Govt</stp>
        <stp>MATURITY</stp>
        <stp>[TREASURY.xlsx]Sheet1!R255C5</stp>
        <tr r="E255" s="1"/>
      </tp>
      <tp t="s">
        <v>4/30/2022</v>
        <stp/>
        <stp>##V3_BDPV12</stp>
        <stp>912828ZM Govt</stp>
        <stp>MATURITY</stp>
        <stp>[TREASURY.xlsx]Sheet1!R175C5</stp>
        <tr r="E175" s="1"/>
      </tp>
      <tp t="s">
        <v>4/15/2023</v>
        <stp/>
        <stp>##V3_BDPV12</stp>
        <stp>912828ZH Govt</stp>
        <stp>MATURITY</stp>
        <stp>[TREASURY.xlsx]Sheet1!R165C5</stp>
        <tr r="E165" s="1"/>
      </tp>
      <tp t="s">
        <v>8/31/2021</v>
        <stp/>
        <stp>##V3_BDPV12</stp>
        <stp>912828YC Govt</stp>
        <stp>MATURITY</stp>
        <stp>[TREASURY.xlsx]Sheet1!R335C5</stp>
        <tr r="E335" s="1"/>
      </tp>
      <tp t="s">
        <v>4/15/2015</v>
        <stp/>
        <stp>##V3_BDPV12</stp>
        <stp>912828SP Govt</stp>
        <stp>MATURITY</stp>
        <stp>[TREASURY.xlsx]Sheet1!R995C5</stp>
        <tr r="E995" s="1"/>
      </tp>
      <tp t="s">
        <v>5/31/2024</v>
        <stp/>
        <stp>##V3_BDPV12</stp>
        <stp>912828XT Govt</stp>
        <stp>MATURITY</stp>
        <stp>[TREASURY.xlsx]Sheet1!R155C5</stp>
        <tr r="E155" s="1"/>
      </tp>
      <tp t="s">
        <v>1/15/2014</v>
        <stp/>
        <stp>##V3_BDPV12</stp>
        <stp>912828PQ Govt</stp>
        <stp>MATURITY</stp>
        <stp>[TREASURY.xlsx]Sheet1!R985C5</stp>
        <tr r="E985" s="1"/>
      </tp>
      <tp t="s">
        <v>9/30/2024</v>
        <stp/>
        <stp>##V3_BDPV12</stp>
        <stp>912828YH Govt</stp>
        <stp>MATURITY</stp>
        <stp>[TREASURY.xlsx]Sheet1!R135C5</stp>
        <tr r="E135" s="1"/>
      </tp>
      <tp t="s">
        <v>T</v>
        <stp/>
        <stp>##V3_BDPV12</stp>
        <stp>912828QZ Govt</stp>
        <stp>TICKER</stp>
        <stp>[TREASURY.xlsx]Sheet1!R449C2</stp>
        <tr r="B449" s="1"/>
      </tp>
      <tp t="s">
        <v>T</v>
        <stp/>
        <stp>##V3_BDPV12</stp>
        <stp>912828QX Govt</stp>
        <stp>TICKER</stp>
        <stp>[TREASURY.xlsx]Sheet1!R519C2</stp>
        <tr r="B519" s="1"/>
      </tp>
      <tp t="s">
        <v>8/15/2008</v>
        <stp/>
        <stp>##V3_BDPV12</stp>
        <stp>912810CC Govt</stp>
        <stp>MATURITY</stp>
        <stp>[TREASURY.xlsx]Sheet1!R526C5</stp>
        <tr r="E526" s="1"/>
      </tp>
      <tp t="s">
        <v>8/15/2025</v>
        <stp/>
        <stp>##V3_BDPV12</stp>
        <stp>912810EV Govt</stp>
        <stp>MATURITY</stp>
        <stp>[TREASURY.xlsx]Sheet1!R326C5</stp>
        <tr r="E326" s="1"/>
      </tp>
      <tp t="s">
        <v>5/15/2020</v>
        <stp/>
        <stp>##V3_BDPV12</stp>
        <stp>912810EF Govt</stp>
        <stp>MATURITY</stp>
        <stp>[TREASURY.xlsx]Sheet1!R606C5</stp>
        <tr r="E606" s="1"/>
      </tp>
      <tp t="s">
        <v>5/15/2045</v>
        <stp/>
        <stp>##V3_BDPV12</stp>
        <stp>912810RM Govt</stp>
        <stp>MATURITY</stp>
        <stp>[TREASURY.xlsx]Sheet1!R176C5</stp>
        <tr r="E176" s="1"/>
      </tp>
      <tp t="s">
        <v>5/15/2042</v>
        <stp/>
        <stp>##V3_BDPV12</stp>
        <stp>912810QW Govt</stp>
        <stp>MATURITY</stp>
        <stp>[TREASURY.xlsx]Sheet1!R286C5</stp>
        <tr r="E286" s="1"/>
      </tp>
      <tp t="s">
        <v>2/15/2048</v>
        <stp/>
        <stp>##V3_BDPV12</stp>
        <stp>912810SA Govt</stp>
        <stp>MATURITY</stp>
        <stp>[TREASURY.xlsx]Sheet1!R146C5</stp>
        <tr r="E146" s="1"/>
      </tp>
      <tp t="s">
        <v>5/15/2040</v>
        <stp/>
        <stp>##V3_BDPV12</stp>
        <stp>912810QH Govt</stp>
        <stp>MATURITY</stp>
        <stp>[TREASURY.xlsx]Sheet1!R316C5</stp>
        <tr r="E316" s="1"/>
      </tp>
      <tp t="s">
        <v>5/15/2049</v>
        <stp/>
        <stp>##V3_BDPV12</stp>
        <stp>912810SH Govt</stp>
        <stp>MATURITY</stp>
        <stp>[TREASURY.xlsx]Sheet1!R156C5</stp>
        <tr r="E156" s="1"/>
      </tp>
      <tp t="s">
        <v>2/15/2037</v>
        <stp/>
        <stp>##V3_BDPV12</stp>
        <stp>912810PT Govt</stp>
        <stp>MATURITY</stp>
        <stp>[TREASURY.xlsx]Sheet1!R226C5</stp>
        <tr r="E226" s="1"/>
      </tp>
      <tp t="s">
        <v>T</v>
        <stp/>
        <stp>##V3_BDPV12</stp>
        <stp>912828YW Govt</stp>
        <stp>TICKER</stp>
        <stp>[TREASURY.xlsx]Sheet1!R141C2</stp>
        <tr r="B141" s="1"/>
      </tp>
      <tp t="s">
        <v>T</v>
        <stp/>
        <stp>##V3_BDPV12</stp>
        <stp>912828ZU Govt</stp>
        <stp>TICKER</stp>
        <stp>[TREASURY.xlsx]Sheet1!R162C2</stp>
        <tr r="B162" s="1"/>
      </tp>
      <tp t="s">
        <v>NORMAL</v>
        <stp/>
        <stp>##V3_BDPV12</stp>
        <stp>912810DM Govt</stp>
        <stp>MTY_TYP</stp>
        <stp>[TREASURY.xlsx]Sheet1!R697C6</stp>
        <tr r="F697" s="1"/>
      </tp>
      <tp t="s">
        <v>NORMAL</v>
        <stp/>
        <stp>##V3_BDPV12</stp>
        <stp>912810RJ Govt</stp>
        <stp>MTY_TYP</stp>
        <stp>[TREASURY.xlsx]Sheet1!R180C6</stp>
        <tr r="F180" s="1"/>
      </tp>
      <tp t="s">
        <v>NORMAL</v>
        <stp/>
        <stp>##V3_BDPV12</stp>
        <stp>912827ZC Govt</stp>
        <stp>MTY_TYP</stp>
        <stp>[TREASURY.xlsx]Sheet1!R779C6</stp>
        <tr r="F779" s="1"/>
      </tp>
      <tp t="s">
        <v>NORMAL</v>
        <stp/>
        <stp>##V3_BDPV12</stp>
        <stp>912827XH Govt</stp>
        <stp>MTY_TYP</stp>
        <stp>[TREASURY.xlsx]Sheet1!R772C6</stp>
        <tr r="F772" s="1"/>
      </tp>
      <tp t="s">
        <v>NORMAL</v>
        <stp/>
        <stp>##V3_BDPV12</stp>
        <stp>912828MJ Govt</stp>
        <stp>MTY_TYP</stp>
        <stp>[TREASURY.xlsx]Sheet1!R820C6</stp>
        <tr r="F820" s="1"/>
      </tp>
      <tp t="s">
        <v>NORMAL</v>
        <stp/>
        <stp>##V3_BDPV12</stp>
        <stp>912828NN Govt</stp>
        <stp>MTY_TYP</stp>
        <stp>[TREASURY.xlsx]Sheet1!R864C6</stp>
        <tr r="F864" s="1"/>
      </tp>
      <tp t="s">
        <v>NORMAL</v>
        <stp/>
        <stp>##V3_BDPV12</stp>
        <stp>9128275N Govt</stp>
        <stp>MTY_TYP</stp>
        <stp>[TREASURY.xlsx]Sheet1!R674C6</stp>
        <tr r="F674" s="1"/>
      </tp>
      <tp t="s">
        <v>NORMAL</v>
        <stp/>
        <stp>##V3_BDPV12</stp>
        <stp>912828QB Govt</stp>
        <stp>MTY_TYP</stp>
        <stp>[TREASURY.xlsx]Sheet1!R988C6</stp>
        <tr r="F988" s="1"/>
      </tp>
      <tp t="s">
        <v>NORMAL</v>
        <stp/>
        <stp>##V3_BDPV12</stp>
        <stp>912828PN Govt</stp>
        <stp>MTY_TYP</stp>
        <stp>[TREASURY.xlsx]Sheet1!R984C6</stp>
        <tr r="F984" s="1"/>
      </tp>
      <tp t="s">
        <v>NORMAL</v>
        <stp/>
        <stp>##V3_BDPV12</stp>
        <stp>912828AB Govt</stp>
        <stp>MTY_TYP</stp>
        <stp>[TREASURY.xlsx]Sheet1!R958C6</stp>
        <tr r="F958" s="1"/>
      </tp>
      <tp t="s">
        <v>NORMAL</v>
        <stp/>
        <stp>##V3_BDPV12</stp>
        <stp>9128282C Govt</stp>
        <stp>MTY_TYP</stp>
        <stp>[TREASURY.xlsx]Sheet1!R439C6</stp>
        <tr r="F439" s="1"/>
      </tp>
      <tp t="s">
        <v>NORMAL</v>
        <stp/>
        <stp>##V3_BDPV12</stp>
        <stp>912828BH Govt</stp>
        <stp>MTY_TYP</stp>
        <stp>[TREASURY.xlsx]Sheet1!R452C6</stp>
        <tr r="F452" s="1"/>
      </tp>
      <tp t="s">
        <v>NORMAL</v>
        <stp/>
        <stp>##V3_BDPV12</stp>
        <stp>912828WM Govt</stp>
        <stp>MTY_TYP</stp>
        <stp>[TREASURY.xlsx]Sheet1!R567C6</stp>
        <tr r="F567" s="1"/>
      </tp>
      <tp t="s">
        <v>NORMAL</v>
        <stp/>
        <stp>##V3_BDPV12</stp>
        <stp>912828JH Govt</stp>
        <stp>MTY_TYP</stp>
        <stp>[TREASURY.xlsx]Sheet1!R542C6</stp>
        <tr r="F542" s="1"/>
      </tp>
      <tp t="s">
        <v>NORMAL</v>
        <stp/>
        <stp>##V3_BDPV12</stp>
        <stp>912828LB Govt</stp>
        <stp>MTY_TYP</stp>
        <stp>[TREASURY.xlsx]Sheet1!R558C6</stp>
        <tr r="F558" s="1"/>
      </tp>
      <tp t="s">
        <v>NORMAL</v>
        <stp/>
        <stp>##V3_BDPV12</stp>
        <stp>912828JB Govt</stp>
        <stp>MTY_TYP</stp>
        <stp>[TREASURY.xlsx]Sheet1!R598C6</stp>
        <tr r="F598" s="1"/>
      </tp>
      <tp t="s">
        <v>NORMAL</v>
        <stp/>
        <stp>##V3_BDPV12</stp>
        <stp>912828VH Govt</stp>
        <stp>MTY_TYP</stp>
        <stp>[TREASURY.xlsx]Sheet1!R632C6</stp>
        <tr r="F632" s="1"/>
      </tp>
      <tp t="s">
        <v>NORMAL</v>
        <stp/>
        <stp>##V3_BDPV12</stp>
        <stp>912827RK Govt</stp>
        <stp>MTY_TYP</stp>
        <stp>[TREASURY.xlsx]Sheet1!R911C6</stp>
        <tr r="F911" s="1"/>
      </tp>
      <tp t="s">
        <v>NORMAL</v>
        <stp/>
        <stp>##V3_BDPV12</stp>
        <stp>912828PJ Govt</stp>
        <stp>MTY_TYP</stp>
        <stp>[TREASURY.xlsx]Sheet1!R630C6</stp>
        <tr r="F630" s="1"/>
      </tp>
      <tp t="s">
        <v>NORMAL</v>
        <stp/>
        <stp>##V3_BDPV12</stp>
        <stp>912828NH Govt</stp>
        <stp>MTY_TYP</stp>
        <stp>[TREASURY.xlsx]Sheet1!R622C6</stp>
        <tr r="F622" s="1"/>
      </tp>
      <tp t="s">
        <v>NORMAL</v>
        <stp/>
        <stp>##V3_BDPV12</stp>
        <stp>912827NK Govt</stp>
        <stp>MTY_TYP</stp>
        <stp>[TREASURY.xlsx]Sheet1!R901C6</stp>
        <tr r="F901" s="1"/>
      </tp>
      <tp t="s">
        <v>NORMAL</v>
        <stp/>
        <stp>##V3_BDPV12</stp>
        <stp>912828AL Govt</stp>
        <stp>MTY_TYP</stp>
        <stp>[TREASURY.xlsx]Sheet1!R666C6</stp>
        <tr r="F666" s="1"/>
      </tp>
      <tp t="s">
        <v>NORMAL</v>
        <stp/>
        <stp>##V3_BDPV12</stp>
        <stp>912828JJ Govt</stp>
        <stp>MTY_TYP</stp>
        <stp>[TREASURY.xlsx]Sheet1!R690C6</stp>
        <tr r="F690" s="1"/>
      </tp>
      <tp t="s">
        <v>NORMAL</v>
        <stp/>
        <stp>##V3_BDPV12</stp>
        <stp>912827LJ Govt</stp>
        <stp>MTY_TYP</stp>
        <stp>[TREASURY.xlsx]Sheet1!R890C6</stp>
        <tr r="F890" s="1"/>
      </tp>
      <tp t="s">
        <v>NORMAL</v>
        <stp/>
        <stp>##V3_BDPV12</stp>
        <stp>912828ZB Govt</stp>
        <stp>MTY_TYP</stp>
        <stp>[TREASURY.xlsx]Sheet1!R148C6</stp>
        <tr r="F148" s="1"/>
      </tp>
      <tp t="s">
        <v>NORMAL</v>
        <stp/>
        <stp>##V3_BDPV12</stp>
        <stp>912828YK Govt</stp>
        <stp>MTY_TYP</stp>
        <stp>[TREASURY.xlsx]Sheet1!R131C6</stp>
        <tr r="F131" s="1"/>
      </tp>
      <tp t="s">
        <v>NORMAL</v>
        <stp/>
        <stp>##V3_BDPV12</stp>
        <stp>912828VB Govt</stp>
        <stp>MTY_TYP</stp>
        <stp>[TREASURY.xlsx]Sheet1!R168C6</stp>
        <tr r="F168" s="1"/>
      </tp>
      <tp t="s">
        <v>NORMAL</v>
        <stp/>
        <stp>##V3_BDPV12</stp>
        <stp>9128284M Govt</stp>
        <stp>MTY_TYP</stp>
        <stp>[TREASURY.xlsx]Sheet1!R227C6</stp>
        <tr r="F227" s="1"/>
      </tp>
      <tp t="s">
        <v>NORMAL</v>
        <stp/>
        <stp>##V3_BDPV12</stp>
        <stp>9128287C Govt</stp>
        <stp>MTY_TYP</stp>
        <stp>[TREASURY.xlsx]Sheet1!R219C6</stp>
        <tr r="F219" s="1"/>
      </tp>
      <tp t="s">
        <v>NORMAL</v>
        <stp/>
        <stp>##V3_BDPV12</stp>
        <stp>9128286L Govt</stp>
        <stp>MTY_TYP</stp>
        <stp>[TREASURY.xlsx]Sheet1!R276C6</stp>
        <tr r="F276" s="1"/>
      </tp>
      <tp t="s">
        <v>NORMAL</v>
        <stp/>
        <stp>##V3_BDPV12</stp>
        <stp>912828QN Govt</stp>
        <stp>MTY_TYP</stp>
        <stp>[TREASURY.xlsx]Sheet1!R334C6</stp>
        <tr r="F334" s="1"/>
      </tp>
      <tp t="s">
        <v>NORMAL</v>
        <stp/>
        <stp>##V3_BDPV12</stp>
        <stp>912828NB Govt</stp>
        <stp>MTY_TYP</stp>
        <stp>[TREASURY.xlsx]Sheet1!R388C6</stp>
        <tr r="F388" s="1"/>
      </tp>
      <tp t="s">
        <v>NORMAL</v>
        <stp/>
        <stp>##V3_BDPV12</stp>
        <stp>912828KB Govt</stp>
        <stp>MTY_TYP</stp>
        <stp>[TREASURY.xlsx]Sheet1!R398C6</stp>
        <tr r="F398" s="1"/>
      </tp>
      <tp t="s">
        <v>NORMAL</v>
        <stp/>
        <stp>##V3_BDPV12</stp>
        <stp>91282CBM Govt</stp>
        <stp>MTY_TYP</stp>
        <stp>[TREASURY.xlsx]Sheet1!R107C6</stp>
        <tr r="F107" s="1"/>
      </tp>
      <tp t="s">
        <v>8/15/1991</v>
        <stp/>
        <stp>##V3_BDPV12</stp>
        <stp>912827ME Govt</stp>
        <stp>MATURITY</stp>
        <stp>[TREASURY.xlsx]Sheet1!R895C5</stp>
        <tr r="E895" s="1"/>
      </tp>
      <tp t="s">
        <v>3/31/1984</v>
        <stp/>
        <stp>##V3_BDPV12</stp>
        <stp>912827KP Govt</stp>
        <stp>MATURITY</stp>
        <stp>[TREASURY.xlsx]Sheet1!R885C5</stp>
        <tr r="E885" s="1"/>
      </tp>
      <tp t="s">
        <v>11/15/1995</v>
        <stp/>
        <stp>##V3_BDPV12</stp>
        <stp>912827H5 Govt</stp>
        <stp>MATURITY</stp>
        <stp>[TREASURY.xlsx]Sheet1!R705C5</stp>
        <tr r="E705" s="1"/>
      </tp>
      <tp t="s">
        <v>1/31/1982</v>
        <stp/>
        <stp>##V3_BDPV12</stp>
        <stp>912827KH Govt</stp>
        <stp>MATURITY</stp>
        <stp>[TREASURY.xlsx]Sheet1!R455C5</stp>
        <tr r="E455" s="1"/>
      </tp>
      <tp t="s">
        <v>1/31/1983</v>
        <stp/>
        <stp>##V3_BDPV12</stp>
        <stp>912827LM Govt</stp>
        <stp>MATURITY</stp>
        <stp>[TREASURY.xlsx]Sheet1!R715C5</stp>
        <tr r="E715" s="1"/>
      </tp>
      <tp t="s">
        <v>5/15/1987</v>
        <stp/>
        <stp>##V3_BDPV12</stp>
        <stp>912827MY Govt</stp>
        <stp>MATURITY</stp>
        <stp>[TREASURY.xlsx]Sheet1!R725C5</stp>
        <tr r="E725" s="1"/>
      </tp>
      <tp t="s">
        <v>2/28/1999</v>
        <stp/>
        <stp>##V3_BDPV12</stp>
        <stp>912827P2 Govt</stp>
        <stp>MATURITY</stp>
        <stp>[TREASURY.xlsx]Sheet1!R735C5</stp>
        <tr r="E735" s="1"/>
      </tp>
      <tp t="s">
        <v>6/30/1985</v>
        <stp/>
        <stp>##V3_BDPV12</stp>
        <stp>912827PQ Govt</stp>
        <stp>MATURITY</stp>
        <stp>[TREASURY.xlsx]Sheet1!R665C5</stp>
        <tr r="E665" s="1"/>
      </tp>
      <tp t="s">
        <v>12/31/1999</v>
        <stp/>
        <stp>##V3_BDPV12</stp>
        <stp>912827S4 Govt</stp>
        <stp>MATURITY</stp>
        <stp>[TREASURY.xlsx]Sheet1!R745C5</stp>
        <tr r="E745" s="1"/>
      </tp>
      <tp t="s">
        <v>1/31/1993</v>
        <stp/>
        <stp>##V3_BDPV12</stp>
        <stp>912827ZU Govt</stp>
        <stp>MATURITY</stp>
        <stp>[TREASURY.xlsx]Sheet1!R955C5</stp>
        <tr r="E955" s="1"/>
      </tp>
      <tp t="s">
        <v>12/31/1988</v>
        <stp/>
        <stp>##V3_BDPV12</stp>
        <stp>912827UJ Govt</stp>
        <stp>MATURITY</stp>
        <stp>[TREASURY.xlsx]Sheet1!R755C5</stp>
        <tr r="E755" s="1"/>
      </tp>
      <tp t="s">
        <v>2/15/1992</v>
        <stp/>
        <stp>##V3_BDPV12</stp>
        <stp>912827XD Govt</stp>
        <stp>MATURITY</stp>
        <stp>[TREASURY.xlsx]Sheet1!R935C5</stp>
        <tr r="E935" s="1"/>
      </tp>
      <tp t="s">
        <v>1/15/1995</v>
        <stp/>
        <stp>##V3_BDPV12</stp>
        <stp>912827VT Govt</stp>
        <stp>MATURITY</stp>
        <stp>[TREASURY.xlsx]Sheet1!R765C5</stp>
        <tr r="E765" s="1"/>
      </tp>
      <tp t="s">
        <v>2/15/1993</v>
        <stp/>
        <stp>##V3_BDPV12</stp>
        <stp>912827YM Govt</stp>
        <stp>MATURITY</stp>
        <stp>[TREASURY.xlsx]Sheet1!R945C5</stp>
        <tr r="E945" s="1"/>
      </tp>
      <tp t="s">
        <v>11/15/1997</v>
        <stp/>
        <stp>##V3_BDPV12</stp>
        <stp>912827VN Govt</stp>
        <stp>MATURITY</stp>
        <stp>[TREASURY.xlsx]Sheet1!R925C5</stp>
        <tr r="E925" s="1"/>
      </tp>
      <tp t="s">
        <v>12/31/1993</v>
        <stp/>
        <stp>##V3_BDPV12</stp>
        <stp>912827YJ Govt</stp>
        <stp>MATURITY</stp>
        <stp>[TREASURY.xlsx]Sheet1!R775C5</stp>
        <tr r="E775" s="1"/>
      </tp>
      <tp t="s">
        <v>5/31/2000</v>
        <stp/>
        <stp>##V3_BDPV12</stp>
        <stp>912827U2 Govt</stp>
        <stp>MATURITY</stp>
        <stp>[TREASURY.xlsx]Sheet1!R835C5</stp>
        <tr r="E835" s="1"/>
      </tp>
      <tp t="s">
        <v>11/15/2000</v>
        <stp/>
        <stp>##V3_BDPV12</stp>
        <stp>912827ZN Govt</stp>
        <stp>MATURITY</stp>
        <stp>[TREASURY.xlsx]Sheet1!R685C5</stp>
        <tr r="E685" s="1"/>
      </tp>
      <tp t="s">
        <v>2/28/1987</v>
        <stp/>
        <stp>##V3_BDPV12</stp>
        <stp>912827RX Govt</stp>
        <stp>MATURITY</stp>
        <stp>[TREASURY.xlsx]Sheet1!R915C5</stp>
        <tr r="E915" s="1"/>
      </tp>
      <tp t="s">
        <v>7/31/1996</v>
        <stp/>
        <stp>##V3_BDPV12</stp>
        <stp>912827Q5 Govt</stp>
        <stp>MATURITY</stp>
        <stp>[TREASURY.xlsx]Sheet1!R905C5</stp>
        <tr r="E905" s="1"/>
      </tp>
      <tp t="s">
        <v>T</v>
        <stp/>
        <stp>##V3_BDPV12</stp>
        <stp>912827ZL Govt</stp>
        <stp>TICKER</stp>
        <stp>[TREASURY.xlsx]Sheet1!R782C2</stp>
        <tr r="B782" s="1"/>
      </tp>
      <tp t="s">
        <v>T</v>
        <stp/>
        <stp>##V3_BDPV12</stp>
        <stp>912827PL Govt</stp>
        <stp>TICKER</stp>
        <stp>[TREASURY.xlsx]Sheet1!R738C2</stp>
        <tr r="B738" s="1"/>
      </tp>
      <tp t="s">
        <v>T</v>
        <stp/>
        <stp>##V3_BDPV12</stp>
        <stp>912828YK Govt</stp>
        <stp>TICKER</stp>
        <stp>[TREASURY.xlsx]Sheet1!R131C2</stp>
        <tr r="B131" s="1"/>
      </tp>
      <tp t="s">
        <v>T</v>
        <stp/>
        <stp>##V3_BDPV12</stp>
        <stp>912827ZK Govt</stp>
        <stp>TICKER</stp>
        <stp>[TREASURY.xlsx]Sheet1!R952C2</stp>
        <tr r="B952" s="1"/>
      </tp>
      <tp t="s">
        <v>T</v>
        <stp/>
        <stp>##V3_BDPV12</stp>
        <stp>912828ZE Govt</stp>
        <stp>TICKER</stp>
        <stp>[TREASURY.xlsx]Sheet1!R112C2</stp>
        <tr r="B112" s="1"/>
      </tp>
      <tp t="s">
        <v>T</v>
        <stp/>
        <stp>##V3_BDPV12</stp>
        <stp>912828PE Govt</stp>
        <stp>TICKER</stp>
        <stp>[TREASURY.xlsx]Sheet1!R548C2</stp>
        <tr r="B548" s="1"/>
      </tp>
      <tp t="s">
        <v>T</v>
        <stp/>
        <stp>##V3_BDPV12</stp>
        <stp>912827XE Govt</stp>
        <stp>TICKER</stp>
        <stp>[TREASURY.xlsx]Sheet1!R570C2</stp>
        <tr r="B570" s="1"/>
      </tp>
      <tp t="s">
        <v>T</v>
        <stp/>
        <stp>##V3_BDPV12</stp>
        <stp>912828QE Govt</stp>
        <stp>TICKER</stp>
        <stp>[TREASURY.xlsx]Sheet1!R989C2</stp>
        <tr r="B989" s="1"/>
      </tp>
      <tp t="s">
        <v>T</v>
        <stp/>
        <stp>##V3_BDPV12</stp>
        <stp>912828QA Govt</stp>
        <stp>TICKER</stp>
        <stp>[TREASURY.xlsx]Sheet1!R509C2</stp>
        <tr r="B509" s="1"/>
      </tp>
      <tp t="s">
        <v>11/15/2010</v>
        <stp/>
        <stp>##V3_BDPV12</stp>
        <stp>912828PU Govt</stp>
        <stp>ISSUE_DT</stp>
        <stp>[TREASURY.xlsx]Sheet1!R1261C15</stp>
        <tr r="O1261" s="1"/>
      </tp>
      <tp t="s">
        <v>8/1/1983</v>
        <stp/>
        <stp>##V3_BDPV12</stp>
        <stp>912827PT Govt</stp>
        <stp>ISSUE_DT</stp>
        <stp>[TREASURY.xlsx]Sheet1!R1342C15</stp>
        <tr r="O1342" s="1"/>
      </tp>
      <tp t="s">
        <v>1/31/2011</v>
        <stp/>
        <stp>##V3_BDPV12</stp>
        <stp>912828PT Govt</stp>
        <stp>ISSUE_DT</stp>
        <stp>[TREASURY.xlsx]Sheet1!R1300C15</stp>
        <tr r="O1300" s="1"/>
      </tp>
      <tp t="s">
        <v>USD</v>
        <stp/>
        <stp>##V3_BDPV12</stp>
        <stp>912828UR Govt</stp>
        <stp>CRNCY</stp>
        <stp>[TREASURY.xlsx]Sheet1!R1146C7</stp>
        <tr r="G1146" s="1"/>
      </tp>
      <tp t="s">
        <v>USD</v>
        <stp/>
        <stp>##V3_BDPV12</stp>
        <stp>912827VS Govt</stp>
        <stp>CRNCY</stp>
        <stp>[TREASURY.xlsx]Sheet1!R1205C7</stp>
        <tr r="G1205" s="1"/>
      </tp>
      <tp t="s">
        <v>T</v>
        <stp/>
        <stp>##V3_BDPV12</stp>
        <stp>912827KT Govt</stp>
        <stp>TICKER</stp>
        <stp>[TREASURY.xlsx]Sheet1!R1318C2</stp>
        <tr r="B1318" s="1"/>
      </tp>
      <tp t="s">
        <v>T</v>
        <stp/>
        <stp>##V3_BDPV12</stp>
        <stp>912827NZ Govt</stp>
        <stp>TICKER</stp>
        <stp>[TREASURY.xlsx]Sheet1!R1336C2</stp>
        <tr r="B1336" s="1"/>
      </tp>
      <tp t="s">
        <v>T</v>
        <stp/>
        <stp>##V3_BDPV12</stp>
        <stp>912827QY Govt</stp>
        <stp>TICKER</stp>
        <stp>[TREASURY.xlsx]Sheet1!R1395C2</stp>
        <tr r="B1395" s="1"/>
      </tp>
      <tp t="s">
        <v>T</v>
        <stp/>
        <stp>##V3_BDPV12</stp>
        <stp>9128276Z Govt</stp>
        <stp>TICKER</stp>
        <stp>[TREASURY.xlsx]Sheet1!R1026C2</stp>
        <tr r="B1026" s="1"/>
      </tp>
      <tp t="s">
        <v>T</v>
        <stp/>
        <stp>##V3_BDPV12</stp>
        <stp>912827QZ Govt</stp>
        <stp>TICKER</stp>
        <stp>[TREASURY.xlsx]Sheet1!R1576C2</stp>
        <tr r="B1576" s="1"/>
      </tp>
      <tp t="s">
        <v>T</v>
        <stp/>
        <stp>##V3_BDPV12</stp>
        <stp>9128272X Govt</stp>
        <stp>TICKER</stp>
        <stp>[TREASURY.xlsx]Sheet1!R1524C2</stp>
        <tr r="B1524" s="1"/>
      </tp>
      <tp t="s">
        <v>T</v>
        <stp/>
        <stp>##V3_BDPV12</stp>
        <stp>9128272Y Govt</stp>
        <stp>TICKER</stp>
        <stp>[TREASURY.xlsx]Sheet1!R1525C2</stp>
        <tr r="B1525" s="1"/>
      </tp>
      <tp t="s">
        <v>8/15/1983</v>
        <stp/>
        <stp>##V3_BDPV12</stp>
        <stp>912827PV Govt</stp>
        <stp>ISSUE_DT</stp>
        <stp>[TREASURY.xlsx]Sheet1!R1391C15</stp>
        <tr r="O1391" s="1"/>
      </tp>
      <tp t="s">
        <v>T</v>
        <stp/>
        <stp>##V3_BDPV12</stp>
        <stp>912810BU Govt</stp>
        <stp>TICKER</stp>
        <stp>[TREASURY.xlsx]Sheet1!R1439C2</stp>
        <tr r="B1439" s="1"/>
      </tp>
      <tp t="s">
        <v>T</v>
        <stp/>
        <stp>##V3_BDPV12</stp>
        <stp>912810CZ Govt</stp>
        <stp>TICKER</stp>
        <stp>[TREASURY.xlsx]Sheet1!R1446C2</stp>
        <tr r="B1446" s="1"/>
      </tp>
      <tp t="s">
        <v>8/15/1983</v>
        <stp/>
        <stp>##V3_BDPV12</stp>
        <stp>912827PU Govt</stp>
        <stp>ISSUE_DT</stp>
        <stp>[TREASURY.xlsx]Sheet1!R1175C15</stp>
        <tr r="O1175" s="1"/>
      </tp>
      <tp t="s">
        <v>USD</v>
        <stp/>
        <stp>##V3_BDPV12</stp>
        <stp>912828VV Govt</stp>
        <stp>CRNCY</stp>
        <stp>[TREASURY.xlsx]Sheet1!R1305C7</stp>
        <tr r="G1305" s="1"/>
      </tp>
      <tp t="s">
        <v>6/30/1983</v>
        <stp/>
        <stp>##V3_BDPV12</stp>
        <stp>912827PR Govt</stp>
        <stp>ISSUE_DT</stp>
        <stp>[TREASURY.xlsx]Sheet1!R1341C15</stp>
        <tr r="O1341" s="1"/>
      </tp>
      <tp t="s">
        <v>USD</v>
        <stp/>
        <stp>##V3_BDPV12</stp>
        <stp>912827RT Govt</stp>
        <stp>CRNCY</stp>
        <stp>[TREASURY.xlsx]Sheet1!R1581C7</stp>
        <tr r="G1581" s="1"/>
      </tp>
      <tp t="s">
        <v>1/31/2011</v>
        <stp/>
        <stp>##V3_BDPV12</stp>
        <stp>912828PR Govt</stp>
        <stp>ISSUE_DT</stp>
        <stp>[TREASURY.xlsx]Sheet1!R1260C15</stp>
        <tr r="O1260" s="1"/>
      </tp>
      <tp t="s">
        <v>7/5/1983</v>
        <stp/>
        <stp>##V3_BDPV12</stp>
        <stp>912827PS Govt</stp>
        <stp>ISSUE_DT</stp>
        <stp>[TREASURY.xlsx]Sheet1!R1390C15</stp>
        <tr r="O1390" s="1"/>
      </tp>
      <tp t="s">
        <v>9/30/1983</v>
        <stp/>
        <stp>##V3_BDPV12</stp>
        <stp>912827PZ Govt</stp>
        <stp>ISSUE_DT</stp>
        <stp>[TREASURY.xlsx]Sheet1!R1571C15</stp>
        <tr r="O1571" s="1"/>
      </tp>
      <tp t="s">
        <v>3/15/2022</v>
        <stp/>
        <stp>##V3_BDPV12</stp>
        <stp>91282CCX Govt</stp>
        <stp>FIRST_CPN_DT</stp>
        <stp>[TREASURY.xlsx]Sheet1!R5C9</stp>
        <tr r="I5" s="1"/>
      </tp>
      <tp t="s">
        <v>9/6/1983</v>
        <stp/>
        <stp>##V3_BDPV12</stp>
        <stp>912827PX Govt</stp>
        <stp>ISSUE_DT</stp>
        <stp>[TREASURY.xlsx]Sheet1!R1570C15</stp>
        <tr r="O1570" s="1"/>
      </tp>
      <tp t="s">
        <v>9/30/1983</v>
        <stp/>
        <stp>##V3_BDPV12</stp>
        <stp>912827PY Govt</stp>
        <stp>ISSUE_DT</stp>
        <stp>[TREASURY.xlsx]Sheet1!R1493C15</stp>
        <tr r="O1493" s="1"/>
      </tp>
      <tp t="s">
        <v>USD</v>
        <stp/>
        <stp>##V3_BDPV12</stp>
        <stp>912827SY Govt</stp>
        <stp>CRNCY</stp>
        <stp>[TREASURY.xlsx]Sheet1!R1190C7</stp>
        <tr r="G1190" s="1"/>
      </tp>
      <tp t="s">
        <v>USD</v>
        <stp/>
        <stp>##V3_BDPV12</stp>
        <stp>912827PY Govt</stp>
        <stp>CRNCY</stp>
        <stp>[TREASURY.xlsx]Sheet1!R1493C7</stp>
        <tr r="G1493" s="1"/>
      </tp>
      <tp t="s">
        <v>#N/A Field Not Applicable</v>
        <stp/>
        <stp>##V3_BDPV12</stp>
        <stp>912827YW Govt</stp>
        <stp>IDX_RATIO</stp>
        <stp>[TREASURY.xlsx]Sheet1!R1607C20</stp>
        <tr r="T1607" s="1"/>
      </tp>
      <tp t="s">
        <v>3/31/1983</v>
        <stp/>
        <stp>##V3_BDPV12</stp>
        <stp>912827PG Govt</stp>
        <stp>ISSUE_DT</stp>
        <stp>[TREASURY.xlsx]Sheet1!R1173C15</stp>
        <tr r="O1173" s="1"/>
      </tp>
      <tp t="s">
        <v>11/1/2010</v>
        <stp/>
        <stp>##V3_BDPV12</stp>
        <stp>912828PD Govt</stp>
        <stp>ISSUE_DT</stp>
        <stp>[TREASURY.xlsx]Sheet1!R1298C15</stp>
        <tr r="O1298" s="1"/>
      </tp>
      <tp t="s">
        <v>#N/A Field Not Applicable</v>
        <stp/>
        <stp>##V3_BDPV12</stp>
        <stp>9128273W Govt</stp>
        <stp>IDX_RATIO</stp>
        <stp>[TREASURY.xlsx]Sheet1!R1456C20</stp>
        <tr r="T1456" s="1"/>
      </tp>
      <tp t="s">
        <v>2/28/1983</v>
        <stp/>
        <stp>##V3_BDPV12</stp>
        <stp>912827PE Govt</stp>
        <stp>ISSUE_DT</stp>
        <stp>[TREASURY.xlsx]Sheet1!R1054C15</stp>
        <tr r="O1054" s="1"/>
      </tp>
      <tp t="s">
        <v>#N/A Field Not Applicable</v>
        <stp/>
        <stp>##V3_BDPV12</stp>
        <stp>912827VW Govt</stp>
        <stp>IDX_RATIO</stp>
        <stp>[TREASURY.xlsx]Sheet1!R1413C20</stp>
        <tr r="T1413" s="1"/>
      </tp>
      <tp t="s">
        <v>#N/A Field Not Applicable</v>
        <stp/>
        <stp>##V3_BDPV12</stp>
        <stp>912827TW Govt</stp>
        <stp>IDX_RATIO</stp>
        <stp>[TREASURY.xlsx]Sheet1!R1402C20</stp>
        <tr r="T1402" s="1"/>
      </tp>
      <tp t="s">
        <v>#N/A Field Not Applicable</v>
        <stp/>
        <stp>##V3_BDPV12</stp>
        <stp>912828GW Govt</stp>
        <stp>IDX_RATIO</stp>
        <stp>[TREASURY.xlsx]Sheet1!R1436C20</stp>
        <tr r="T1436" s="1"/>
      </tp>
      <tp t="s">
        <v>UNITED STATES</v>
        <stp/>
        <stp>##V3_BDPV12</stp>
        <stp>9128282K Govt</stp>
        <stp>COUNTRY_FULL_NAME</stp>
        <stp>[TREASURY.xlsx]Sheet1!R957C8</stp>
        <tr r="H957" s="1"/>
      </tp>
      <tp t="s">
        <v>#N/A Field Not Applicable</v>
        <stp/>
        <stp>##V3_BDPV12</stp>
        <stp>912810CW Govt</stp>
        <stp>IDX_RATIO</stp>
        <stp>[TREASURY.xlsx]Sheet1!R1618C20</stp>
        <tr r="T1618" s="1"/>
      </tp>
      <tp t="s">
        <v>#N/A Field Not Applicable</v>
        <stp/>
        <stp>##V3_BDPV12</stp>
        <stp>9128276W Govt</stp>
        <stp>IDX_RATIO</stp>
        <stp>[TREASURY.xlsx]Sheet1!R1541C20</stp>
        <tr r="T1541" s="1"/>
      </tp>
      <tp t="s">
        <v>#N/A Field Not Applicable</v>
        <stp/>
        <stp>##V3_BDPV12</stp>
        <stp>9128272W Govt</stp>
        <stp>IDX_RATIO</stp>
        <stp>[TREASURY.xlsx]Sheet1!R1523C20</stp>
        <tr r="T1523" s="1"/>
      </tp>
      <tp t="s">
        <v>#N/A Field Not Applicable</v>
        <stp/>
        <stp>##V3_BDPV12</stp>
        <stp>912827WW Govt</stp>
        <stp>IDX_RATIO</stp>
        <stp>[TREASURY.xlsx]Sheet1!R1592C20</stp>
        <tr r="T1592" s="1"/>
      </tp>
      <tp t="s">
        <v>11/1/2010</v>
        <stp/>
        <stp>##V3_BDPV12</stp>
        <stp>912828PF Govt</stp>
        <stp>ISSUE_DT</stp>
        <stp>[TREASURY.xlsx]Sheet1!R1299C15</stp>
        <tr r="O1299" s="1"/>
      </tp>
      <tp t="s">
        <v>USD</v>
        <stp/>
        <stp>##V3_BDPV12</stp>
        <stp>912827RA Govt</stp>
        <stp>CRNCY</stp>
        <stp>[TREASURY.xlsx]Sheet1!R1061C7</stp>
        <tr r="G1061" s="1"/>
      </tp>
      <tp t="s">
        <v>USD</v>
        <stp/>
        <stp>##V3_BDPV12</stp>
        <stp>912827QA Govt</stp>
        <stp>CRNCY</stp>
        <stp>[TREASURY.xlsx]Sheet1!R1392C7</stp>
        <tr r="G1392" s="1"/>
      </tp>
      <tp t="s">
        <v>#N/A Field Not Applicable</v>
        <stp/>
        <stp>##V3_BDPV12</stp>
        <stp>912828NW Govt</stp>
        <stp>IDX_RATIO</stp>
        <stp>[TREASURY.xlsx]Sheet1!R1294C20</stp>
        <tr r="T1294" s="1"/>
      </tp>
      <tp t="s">
        <v>#N/A Field Not Applicable</v>
        <stp/>
        <stp>##V3_BDPV12</stp>
        <stp>912827XW Govt</stp>
        <stp>IDX_RATIO</stp>
        <stp>[TREASURY.xlsx]Sheet1!R1218C20</stp>
        <tr r="T1218" s="1"/>
      </tp>
      <tp t="s">
        <v>9/30/2010</v>
        <stp/>
        <stp>##V3_BDPV12</stp>
        <stp>912828PA Govt</stp>
        <stp>ISSUE_DT</stp>
        <stp>[TREASURY.xlsx]Sheet1!R1296C15</stp>
        <tr r="O1296" s="1"/>
      </tp>
      <tp t="s">
        <v>USD</v>
        <stp/>
        <stp>##V3_BDPV12</stp>
        <stp>912827ZF Govt</stp>
        <stp>CRNCY</stp>
        <stp>[TREASURY.xlsx]Sheet1!R1229C7</stp>
        <tr r="G1229" s="1"/>
      </tp>
      <tp t="s">
        <v>UNITED STATES</v>
        <stp/>
        <stp>##V3_BDPV12</stp>
        <stp>9128284W Govt</stp>
        <stp>COUNTRY_FULL_NAME</stp>
        <stp>[TREASURY.xlsx]Sheet1!R347C8</stp>
        <tr r="H347" s="1"/>
      </tp>
      <tp t="s">
        <v>UNITED STATES</v>
        <stp/>
        <stp>##V3_BDPV12</stp>
        <stp>9128284R Govt</stp>
        <stp>COUNTRY_FULL_NAME</stp>
        <stp>[TREASURY.xlsx]Sheet1!R257C8</stp>
        <tr r="H257" s="1"/>
      </tp>
      <tp t="s">
        <v>UNITED STATES</v>
        <stp/>
        <stp>##V3_BDPV12</stp>
        <stp>9128284P Govt</stp>
        <stp>COUNTRY_FULL_NAME</stp>
        <stp>[TREASURY.xlsx]Sheet1!R367C8</stp>
        <tr r="H367" s="1"/>
      </tp>
      <tp t="s">
        <v>UNITED STATES</v>
        <stp/>
        <stp>##V3_BDPV12</stp>
        <stp>9128284M Govt</stp>
        <stp>COUNTRY_FULL_NAME</stp>
        <stp>[TREASURY.xlsx]Sheet1!R227C8</stp>
        <tr r="H227" s="1"/>
      </tp>
      <tp t="s">
        <v>UNITED STATES</v>
        <stp/>
        <stp>##V3_BDPV12</stp>
        <stp>9128274F Govt</stp>
        <stp>COUNTRY_FULL_NAME</stp>
        <stp>[TREASURY.xlsx]Sheet1!R578C8</stp>
        <tr r="H578" s="1"/>
      </tp>
      <tp t="s">
        <v>#N/A Field Not Applicable</v>
        <stp/>
        <stp>##V3_BDPV12</stp>
        <stp>912828RW Govt</stp>
        <stp>IDX_RATIO</stp>
        <stp>[TREASURY.xlsx]Sheet1!R1303C20</stp>
        <tr r="T1303" s="1"/>
      </tp>
      <tp t="s">
        <v>#N/A Field Not Applicable</v>
        <stp/>
        <stp>##V3_BDPV12</stp>
        <stp>912827QW Govt</stp>
        <stp>IDX_RATIO</stp>
        <stp>[TREASURY.xlsx]Sheet1!R1394C20</stp>
        <tr r="T1394" s="1"/>
      </tp>
      <tp t="s">
        <v>#N/A Field Not Applicable</v>
        <stp/>
        <stp>##V3_BDPV12</stp>
        <stp>912827LW Govt</stp>
        <stp>IDX_RATIO</stp>
        <stp>[TREASURY.xlsx]Sheet1!R1380C20</stp>
        <tr r="T1380" s="1"/>
      </tp>
      <tp t="s">
        <v>USD</v>
        <stp/>
        <stp>##V3_BDPV12</stp>
        <stp>912827PG Govt</stp>
        <stp>CRNCY</stp>
        <stp>[TREASURY.xlsx]Sheet1!R1173C7</stp>
        <tr r="G1173" s="1"/>
      </tp>
      <tp t="s">
        <v>USD</v>
        <stp/>
        <stp>##V3_BDPV12</stp>
        <stp>912827RG Govt</stp>
        <stp>CRNCY</stp>
        <stp>[TREASURY.xlsx]Sheet1!R1501C7</stp>
        <tr r="G1501" s="1"/>
      </tp>
      <tp t="s">
        <v>UNITED STATES</v>
        <stp/>
        <stp>##V3_BDPV12</stp>
        <stp>9128275Z Govt</stp>
        <stp>COUNTRY_FULL_NAME</stp>
        <stp>[TREASURY.xlsx]Sheet1!R428C8</stp>
        <tr r="H428" s="1"/>
      </tp>
      <tp t="s">
        <v>2/15/1983</v>
        <stp/>
        <stp>##V3_BDPV12</stp>
        <stp>912827PD Govt</stp>
        <stp>ISSUE_DT</stp>
        <stp>[TREASURY.xlsx]Sheet1!R1569C15</stp>
        <tr r="O1569" s="1"/>
      </tp>
      <tp t="s">
        <v>#N/A Field Not Applicable</v>
        <stp/>
        <stp>##V3_BDPV12</stp>
        <stp>912827NW Govt</stp>
        <stp>IDX_RATIO</stp>
        <stp>[TREASURY.xlsx]Sheet1!R1053C20</stp>
        <tr r="T1053" s="1"/>
      </tp>
      <tp t="s">
        <v>#N/A Field Not Applicable</v>
        <stp/>
        <stp>##V3_BDPV12</stp>
        <stp>912827MW Govt</stp>
        <stp>IDX_RATIO</stp>
        <stp>[TREASURY.xlsx]Sheet1!R1047C20</stp>
        <tr r="T1047" s="1"/>
      </tp>
      <tp t="s">
        <v>#N/A Field Not Applicable</v>
        <stp/>
        <stp>##V3_BDPV12</stp>
        <stp>912828UW Govt</stp>
        <stp>IDX_RATIO</stp>
        <stp>[TREASURY.xlsx]Sheet1!R1002C20</stp>
        <tr r="T1002" s="1"/>
      </tp>
      <tp t="s">
        <v>1/31/1983</v>
        <stp/>
        <stp>##V3_BDPV12</stp>
        <stp>912827PB Govt</stp>
        <stp>ISSUE_DT</stp>
        <stp>[TREASURY.xlsx]Sheet1!R1388C15</stp>
        <tr r="O1388" s="1"/>
      </tp>
      <tp t="s">
        <v>USD</v>
        <stp/>
        <stp>##V3_BDPV12</stp>
        <stp>912827VD Govt</stp>
        <stp>CRNCY</stp>
        <stp>[TREASURY.xlsx]Sheet1!R1085C7</stp>
        <tr r="G1085" s="1"/>
      </tp>
      <tp t="s">
        <v>UNITED STATES</v>
        <stp/>
        <stp>##V3_BDPV12</stp>
        <stp>9128276J Govt</stp>
        <stp>COUNTRY_FULL_NAME</stp>
        <stp>[TREASURY.xlsx]Sheet1!R438C8</stp>
        <tr r="H438" s="1"/>
      </tp>
      <tp t="s">
        <v>1/4/1983</v>
        <stp/>
        <stp>##V3_BDPV12</stp>
        <stp>912827PA Govt</stp>
        <stp>ISSUE_DT</stp>
        <stp>[TREASURY.xlsx]Sheet1!R1172C15</stp>
        <tr r="O1172" s="1"/>
      </tp>
      <tp t="s">
        <v>#N/A Field Not Applicable</v>
        <stp/>
        <stp>##V3_BDPV12</stp>
        <stp>912827ZW Govt</stp>
        <stp>IDX_RATIO</stp>
        <stp>[TREASURY.xlsx]Sheet1!R1104C20</stp>
        <tr r="T1104" s="1"/>
      </tp>
      <tp t="s">
        <v>#N/A Field Not Applicable</v>
        <stp/>
        <stp>##V3_BDPV12</stp>
        <stp>912828VW Govt</stp>
        <stp>IDX_RATIO</stp>
        <stp>[TREASURY.xlsx]Sheet1!R1149C20</stp>
        <tr r="T1149" s="1"/>
      </tp>
      <tp t="s">
        <v>10/15/2010</v>
        <stp/>
        <stp>##V3_BDPV12</stp>
        <stp>912828PB Govt</stp>
        <stp>ISSUE_DT</stp>
        <stp>[TREASURY.xlsx]Sheet1!R1297C15</stp>
        <tr r="O1297" s="1"/>
      </tp>
      <tp t="s">
        <v>#N/A Field Not Applicable</v>
        <stp/>
        <stp>##V3_BDPV12</stp>
        <stp>912827SW Govt</stp>
        <stp>IDX_RATIO</stp>
        <stp>[TREASURY.xlsx]Sheet1!R1189C20</stp>
        <tr r="T1189" s="1"/>
      </tp>
      <tp t="s">
        <v>USD</v>
        <stp/>
        <stp>##V3_BDPV12</stp>
        <stp>912827TE Govt</stp>
        <stp>CRNCY</stp>
        <stp>[TREASURY.xlsx]Sheet1!R1507C7</stp>
        <tr r="G1507" s="1"/>
      </tp>
      <tp t="s">
        <v>UNITED STATES</v>
        <stp/>
        <stp>##V3_BDPV12</stp>
        <stp>9128277K Govt</stp>
        <stp>COUNTRY_FULL_NAME</stp>
        <stp>[TREASURY.xlsx]Sheet1!R528C8</stp>
        <tr r="H528" s="1"/>
      </tp>
      <tp t="s">
        <v>USD</v>
        <stp/>
        <stp>##V3_BDPV12</stp>
        <stp>912828UK Govt</stp>
        <stp>CRNCY</stp>
        <stp>[TREASURY.xlsx]Sheet1!R1136C7</stp>
        <tr r="G1136" s="1"/>
      </tp>
      <tp t="s">
        <v>5/16/1983</v>
        <stp/>
        <stp>##V3_BDPV12</stp>
        <stp>912827PM Govt</stp>
        <stp>ISSUE_DT</stp>
        <stp>[TREASURY.xlsx]Sheet1!R1174C15</stp>
        <tr r="O1174" s="1"/>
      </tp>
      <tp t="s">
        <v>USD</v>
        <stp/>
        <stp>##V3_BDPV12</stp>
        <stp>912827UN Govt</stp>
        <stp>CRNCY</stp>
        <stp>[TREASURY.xlsx]Sheet1!R1406C7</stp>
        <tr r="G1406" s="1"/>
      </tp>
      <tp t="s">
        <v>4/4/1983</v>
        <stp/>
        <stp>##V3_BDPV12</stp>
        <stp>912827PJ Govt</stp>
        <stp>ISSUE_DT</stp>
        <stp>[TREASURY.xlsx]Sheet1!R1389C15</stp>
        <tr r="O1389" s="1"/>
      </tp>
      <tp t="s">
        <v>USD</v>
        <stp/>
        <stp>##V3_BDPV12</stp>
        <stp>912828RL Govt</stp>
        <stp>CRNCY</stp>
        <stp>[TREASURY.xlsx]Sheet1!R1131C7</stp>
        <tr r="G1131" s="1"/>
      </tp>
      <tp t="s">
        <v>5/2/1983</v>
        <stp/>
        <stp>##V3_BDPV12</stp>
        <stp>912827PK Govt</stp>
        <stp>ISSUE_DT</stp>
        <stp>[TREASURY.xlsx]Sheet1!R1340C15</stp>
        <tr r="O1340" s="1"/>
      </tp>
      <tp t="s">
        <v>1/31/1995</v>
        <stp/>
        <stp>##V3_BDPV12</stp>
        <stp>912827S6 Govt</stp>
        <stp>ISSUE_DT</stp>
        <stp>[TREASURY.xlsx]Sheet1!R1182C15</stp>
        <tr r="O1182" s="1"/>
      </tp>
      <tp t="s">
        <v>1/3/1995</v>
        <stp/>
        <stp>##V3_BDPV12</stp>
        <stp>912827S3 Govt</stp>
        <stp>ISSUE_DT</stp>
        <stp>[TREASURY.xlsx]Sheet1!R1585C15</stp>
        <tr r="O1585" s="1"/>
      </tp>
      <tp t="s">
        <v>UNITED STATES</v>
        <stp/>
        <stp>##V3_BDPV12</stp>
        <stp>912828A8 Govt</stp>
        <stp>COUNTRY_FULL_NAME</stp>
        <stp>[TREASURY.xlsx]Sheet1!R434C8</stp>
        <tr r="H434" s="1"/>
      </tp>
      <tp t="s">
        <v>UNITED STATES</v>
        <stp/>
        <stp>##V3_BDPV12</stp>
        <stp>912828AU Govt</stp>
        <stp>COUNTRY_FULL_NAME</stp>
        <stp>[TREASURY.xlsx]Sheet1!R474C8</stp>
        <tr r="H474" s="1"/>
      </tp>
      <tp t="s">
        <v>UNITED STATES</v>
        <stp/>
        <stp>##V3_BDPV12</stp>
        <stp>912828CT Govt</stp>
        <stp>COUNTRY_FULL_NAME</stp>
        <stp>[TREASURY.xlsx]Sheet1!R514C8</stp>
        <tr r="H514" s="1"/>
      </tp>
      <tp t="s">
        <v>UNITED STATES</v>
        <stp/>
        <stp>##V3_BDPV12</stp>
        <stp>912828CD Govt</stp>
        <stp>COUNTRY_FULL_NAME</stp>
        <stp>[TREASURY.xlsx]Sheet1!R384C8</stp>
        <tr r="H384" s="1"/>
      </tp>
      <tp t="s">
        <v>11/30/1994</v>
        <stp/>
        <stp>##V3_BDPV12</stp>
        <stp>912827S2 Govt</stp>
        <stp>ISSUE_DT</stp>
        <stp>[TREASURY.xlsx]Sheet1!R1181C15</stp>
        <tr r="O1181" s="1"/>
      </tp>
      <tp t="s">
        <v>USD</v>
        <stp/>
        <stp>##V3_BDPV12</stp>
        <stp>912827Y6 Govt</stp>
        <stp>CRNCY</stp>
        <stp>[TREASURY.xlsx]Sheet1!R1099C7</stp>
        <tr r="G1099" s="1"/>
      </tp>
      <tp t="s">
        <v>2/15/1995</v>
        <stp/>
        <stp>##V3_BDPV12</stp>
        <stp>912827S7 Govt</stp>
        <stp>ISSUE_DT</stp>
        <stp>[TREASURY.xlsx]Sheet1!R1504C15</stp>
        <tr r="O1504" s="1"/>
      </tp>
      <tp t="s">
        <v>USD</v>
        <stp/>
        <stp>##V3_BDPV12</stp>
        <stp>912827Y7 Govt</stp>
        <stp>CRNCY</stp>
        <stp>[TREASURY.xlsx]Sheet1!R1219C7</stp>
        <tr r="G1219" s="1"/>
      </tp>
      <tp t="s">
        <v>UNITED STATES</v>
        <stp/>
        <stp>##V3_BDPV12</stp>
        <stp>912828ER Govt</stp>
        <stp>COUNTRY_FULL_NAME</stp>
        <stp>[TREASURY.xlsx]Sheet1!R604C8</stp>
        <tr r="H604" s="1"/>
      </tp>
      <tp t="s">
        <v>UNITED STATES</v>
        <stp/>
        <stp>##V3_BDPV12</stp>
        <stp>912828EQ Govt</stp>
        <stp>COUNTRY_FULL_NAME</stp>
        <stp>[TREASURY.xlsx]Sheet1!R524C8</stp>
        <tr r="H524" s="1"/>
      </tp>
      <tp t="s">
        <v>UNITED STATES</v>
        <stp/>
        <stp>##V3_BDPV12</stp>
        <stp>912828ED Govt</stp>
        <stp>COUNTRY_FULL_NAME</stp>
        <stp>[TREASURY.xlsx]Sheet1!R964C8</stp>
        <tr r="H964" s="1"/>
      </tp>
      <tp t="s">
        <v>UNITED STATES</v>
        <stp/>
        <stp>##V3_BDPV12</stp>
        <stp>912828EC Govt</stp>
        <stp>COUNTRY_FULL_NAME</stp>
        <stp>[TREASURY.xlsx]Sheet1!R794C8</stp>
        <tr r="H794" s="1"/>
      </tp>
      <tp t="s">
        <v>UNITED STATES</v>
        <stp/>
        <stp>##V3_BDPV12</stp>
        <stp>912828FY Govt</stp>
        <stp>COUNTRY_FULL_NAME</stp>
        <stp>[TREASURY.xlsx]Sheet1!R394C8</stp>
        <tr r="H394" s="1"/>
      </tp>
      <tp t="s">
        <v>UNITED STATES</v>
        <stp/>
        <stp>##V3_BDPV12</stp>
        <stp>912828FQ Govt</stp>
        <stp>COUNTRY_FULL_NAME</stp>
        <stp>[TREASURY.xlsx]Sheet1!R534C8</stp>
        <tr r="H534" s="1"/>
      </tp>
      <tp t="s">
        <v>UNITED STATES</v>
        <stp/>
        <stp>##V3_BDPV12</stp>
        <stp>912828FU Govt</stp>
        <stp>COUNTRY_FULL_NAME</stp>
        <stp>[TREASURY.xlsx]Sheet1!R614C8</stp>
        <tr r="H614" s="1"/>
      </tp>
      <tp t="s">
        <v>UNITED STATES</v>
        <stp/>
        <stp>##V3_BDPV12</stp>
        <stp>912828FK Govt</stp>
        <stp>COUNTRY_FULL_NAME</stp>
        <stp>[TREASURY.xlsx]Sheet1!R844C8</stp>
        <tr r="H844" s="1"/>
      </tp>
      <tp t="s">
        <v>UNITED STATES</v>
        <stp/>
        <stp>##V3_BDPV12</stp>
        <stp>912828GT Govt</stp>
        <stp>COUNTRY_FULL_NAME</stp>
        <stp>[TREASURY.xlsx]Sheet1!R804C8</stp>
        <tr r="H804" s="1"/>
      </tp>
      <tp t="s">
        <v>UNITED STATES</v>
        <stp/>
        <stp>##V3_BDPV12</stp>
        <stp>912828GR Govt</stp>
        <stp>COUNTRY_FULL_NAME</stp>
        <stp>[TREASURY.xlsx]Sheet1!R504C8</stp>
        <tr r="H504" s="1"/>
      </tp>
      <tp t="s">
        <v>UNITED STATES</v>
        <stp/>
        <stp>##V3_BDPV12</stp>
        <stp>912828HL Govt</stp>
        <stp>COUNTRY_FULL_NAME</stp>
        <stp>[TREASURY.xlsx]Sheet1!R424C8</stp>
        <tr r="H424" s="1"/>
      </tp>
      <tp t="s">
        <v>2/15/1995</v>
        <stp/>
        <stp>##V3_BDPV12</stp>
        <stp>912827S8 Govt</stp>
        <stp>ISSUE_DT</stp>
        <stp>[TREASURY.xlsx]Sheet1!R1586C15</stp>
        <tr r="O1586" s="1"/>
      </tp>
      <tp t="s">
        <v>UNITED STATES</v>
        <stp/>
        <stp>##V3_BDPV12</stp>
        <stp>912828J7 Govt</stp>
        <stp>COUNTRY_FULL_NAME</stp>
        <stp>[TREASURY.xlsx]Sheet1!R204C8</stp>
        <tr r="H204" s="1"/>
      </tp>
      <tp t="s">
        <v>USD</v>
        <stp/>
        <stp>##V3_BDPV12</stp>
        <stp>912828T8 Govt</stp>
        <stp>CRNCY</stp>
        <stp>[TREASURY.xlsx]Sheet1!R1304C7</stp>
        <tr r="G1304" s="1"/>
      </tp>
      <tp t="s">
        <v>UNITED STATES</v>
        <stp/>
        <stp>##V3_BDPV12</stp>
        <stp>912828JK Govt</stp>
        <stp>COUNTRY_FULL_NAME</stp>
        <stp>[TREASURY.xlsx]Sheet1!R854C8</stp>
        <tr r="H854" s="1"/>
      </tp>
      <tp t="s">
        <v>UNITED STATES</v>
        <stp/>
        <stp>##V3_BDPV12</stp>
        <stp>912828KY Govt</stp>
        <stp>COUNTRY_FULL_NAME</stp>
        <stp>[TREASURY.xlsx]Sheet1!R644C8</stp>
        <tr r="H644" s="1"/>
      </tp>
      <tp t="s">
        <v>UNITED STATES</v>
        <stp/>
        <stp>##V3_BDPV12</stp>
        <stp>912828KZ Govt</stp>
        <stp>COUNTRY_FULL_NAME</stp>
        <stp>[TREASURY.xlsx]Sheet1!R974C8</stp>
        <tr r="H974" s="1"/>
      </tp>
      <tp t="s">
        <v>UNITED STATES</v>
        <stp/>
        <stp>##V3_BDPV12</stp>
        <stp>912828KD Govt</stp>
        <stp>COUNTRY_FULL_NAME</stp>
        <stp>[TREASURY.xlsx]Sheet1!R364C8</stp>
        <tr r="H364" s="1"/>
      </tp>
      <tp t="s">
        <v>UNITED STATES</v>
        <stp/>
        <stp>##V3_BDPV12</stp>
        <stp>912828LD Govt</stp>
        <stp>COUNTRY_FULL_NAME</stp>
        <stp>[TREASURY.xlsx]Sheet1!R814C8</stp>
        <tr r="H814" s="1"/>
      </tp>
      <tp t="s">
        <v>UNITED STATES</v>
        <stp/>
        <stp>##V3_BDPV12</stp>
        <stp>912828LF Govt</stp>
        <stp>COUNTRY_FULL_NAME</stp>
        <stp>[TREASURY.xlsx]Sheet1!R584C8</stp>
        <tr r="H584" s="1"/>
      </tp>
      <tp t="s">
        <v>UNITED STATES</v>
        <stp/>
        <stp>##V3_BDPV12</stp>
        <stp>912828M4 Govt</stp>
        <stp>COUNTRY_FULL_NAME</stp>
        <stp>[TREASURY.xlsx]Sheet1!R254C8</stp>
        <tr r="H254" s="1"/>
      </tp>
      <tp t="s">
        <v>UNITED STATES</v>
        <stp/>
        <stp>##V3_BDPV12</stp>
        <stp>912828MV Govt</stp>
        <stp>COUNTRY_FULL_NAME</stp>
        <stp>[TREASURY.xlsx]Sheet1!R824C8</stp>
        <tr r="H824" s="1"/>
      </tp>
      <tp t="s">
        <v>UNITED STATES</v>
        <stp/>
        <stp>##V3_BDPV12</stp>
        <stp>912828MU Govt</stp>
        <stp>COUNTRY_FULL_NAME</stp>
        <stp>[TREASURY.xlsx]Sheet1!R494C8</stp>
        <tr r="H494" s="1"/>
      </tp>
      <tp t="s">
        <v>UNITED STATES</v>
        <stp/>
        <stp>##V3_BDPV12</stp>
        <stp>912828ME Govt</stp>
        <stp>COUNTRY_FULL_NAME</stp>
        <stp>[TREASURY.xlsx]Sheet1!R574C8</stp>
        <tr r="H574" s="1"/>
      </tp>
      <tp t="s">
        <v>UNITED STATES</v>
        <stp/>
        <stp>##V3_BDPV12</stp>
        <stp>912828NN Govt</stp>
        <stp>COUNTRY_FULL_NAME</stp>
        <stp>[TREASURY.xlsx]Sheet1!R864C8</stp>
        <tr r="H864" s="1"/>
      </tp>
      <tp t="s">
        <v>912827C83</v>
        <stp/>
        <stp>##V3_BDPV12</stp>
        <stp>912827C8 Govt</stp>
        <stp>ID_CUSIP</stp>
        <stp>[TREASURY.xlsx]Sheet1!R1482C19</stp>
        <tr r="S1482" s="1"/>
      </tp>
      <tp t="s">
        <v>912827C91</v>
        <stp/>
        <stp>##V3_BDPV12</stp>
        <stp>912827C9 Govt</stp>
        <stp>ID_CUSIP</stp>
        <stp>[TREASURY.xlsx]Sheet1!R1556C19</stp>
        <tr r="S1556" s="1"/>
      </tp>
      <tp t="s">
        <v>UNITED STATES</v>
        <stp/>
        <stp>##V3_BDPV12</stp>
        <stp>912828PY Govt</stp>
        <stp>COUNTRY_FULL_NAME</stp>
        <stp>[TREASURY.xlsx]Sheet1!R594C8</stp>
        <tr r="H594" s="1"/>
      </tp>
      <tp t="s">
        <v>UNITED STATES</v>
        <stp/>
        <stp>##V3_BDPV12</stp>
        <stp>912828PH Govt</stp>
        <stp>COUNTRY_FULL_NAME</stp>
        <stp>[TREASURY.xlsx]Sheet1!R464C8</stp>
        <tr r="H464" s="1"/>
      </tp>
      <tp t="s">
        <v>UNITED STATES</v>
        <stp/>
        <stp>##V3_BDPV12</stp>
        <stp>912828PN Govt</stp>
        <stp>COUNTRY_FULL_NAME</stp>
        <stp>[TREASURY.xlsx]Sheet1!R984C8</stp>
        <tr r="H984" s="1"/>
      </tp>
      <tp t="s">
        <v>UNITED STATES</v>
        <stp/>
        <stp>##V3_BDPV12</stp>
        <stp>912828QN Govt</stp>
        <stp>COUNTRY_FULL_NAME</stp>
        <stp>[TREASURY.xlsx]Sheet1!R334C8</stp>
        <tr r="H334" s="1"/>
      </tp>
      <tp t="s">
        <v>UNITED STATES</v>
        <stp/>
        <stp>##V3_BDPV12</stp>
        <stp>912828RQ Govt</stp>
        <stp>COUNTRY_FULL_NAME</stp>
        <stp>[TREASURY.xlsx]Sheet1!R994C8</stp>
        <tr r="H994" s="1"/>
      </tp>
      <tp t="s">
        <v>UNITED STATES</v>
        <stp/>
        <stp>##V3_BDPV12</stp>
        <stp>912828RX Govt</stp>
        <stp>COUNTRY_FULL_NAME</stp>
        <stp>[TREASURY.xlsx]Sheet1!R374C8</stp>
        <tr r="H374" s="1"/>
      </tp>
      <tp t="s">
        <v>UNITED STATES</v>
        <stp/>
        <stp>##V3_BDPV12</stp>
        <stp>912828RS Govt</stp>
        <stp>COUNTRY_FULL_NAME</stp>
        <stp>[TREASURY.xlsx]Sheet1!R444C8</stp>
        <tr r="H444" s="1"/>
      </tp>
      <tp t="s">
        <v>UNITED STATES</v>
        <stp/>
        <stp>##V3_BDPV12</stp>
        <stp>912828SV Govt</stp>
        <stp>COUNTRY_FULL_NAME</stp>
        <stp>[TREASURY.xlsx]Sheet1!R164C8</stp>
        <tr r="H164" s="1"/>
      </tp>
      <tp t="s">
        <v>UNITED STATES</v>
        <stp/>
        <stp>##V3_BDPV12</stp>
        <stp>912828SU Govt</stp>
        <stp>COUNTRY_FULL_NAME</stp>
        <stp>[TREASURY.xlsx]Sheet1!R404C8</stp>
        <tr r="H404" s="1"/>
      </tp>
      <tp t="s">
        <v>UNITED STATES</v>
        <stp/>
        <stp>##V3_BDPV12</stp>
        <stp>912828SB Govt</stp>
        <stp>COUNTRY_FULL_NAME</stp>
        <stp>[TREASURY.xlsx]Sheet1!R564C8</stp>
        <tr r="H564" s="1"/>
      </tp>
      <tp t="s">
        <v>UNITED STATES</v>
        <stp/>
        <stp>##V3_BDPV12</stp>
        <stp>912828T3 Govt</stp>
        <stp>COUNTRY_FULL_NAME</stp>
        <stp>[TREASURY.xlsx]Sheet1!R124C8</stp>
        <tr r="H124" s="1"/>
      </tp>
      <tp t="s">
        <v>UNITED STATES</v>
        <stp/>
        <stp>##V3_BDPV12</stp>
        <stp>912828TQ Govt</stp>
        <stp>COUNTRY_FULL_NAME</stp>
        <stp>[TREASURY.xlsx]Sheet1!R874C8</stp>
        <tr r="H874" s="1"/>
      </tp>
      <tp t="s">
        <v>UNITED STATES</v>
        <stp/>
        <stp>##V3_BDPV12</stp>
        <stp>912828TJ Govt</stp>
        <stp>COUNTRY_FULL_NAME</stp>
        <stp>[TREASURY.xlsx]Sheet1!R194C8</stp>
        <tr r="H194" s="1"/>
      </tp>
      <tp t="s">
        <v>UNITED STATES</v>
        <stp/>
        <stp>##V3_BDPV12</stp>
        <stp>912828TG Govt</stp>
        <stp>COUNTRY_FULL_NAME</stp>
        <stp>[TREASURY.xlsx]Sheet1!R654C8</stp>
        <tr r="H654" s="1"/>
      </tp>
      <tp t="s">
        <v>UNITED STATES</v>
        <stp/>
        <stp>##V3_BDPV12</stp>
        <stp>912828U7 Govt</stp>
        <stp>COUNTRY_FULL_NAME</stp>
        <stp>[TREASURY.xlsx]Sheet1!R484C8</stp>
        <tr r="H484" s="1"/>
      </tp>
      <tp t="s">
        <v>UNITED STATES</v>
        <stp/>
        <stp>##V3_BDPV12</stp>
        <stp>912828VS Govt</stp>
        <stp>COUNTRY_FULL_NAME</stp>
        <stp>[TREASURY.xlsx]Sheet1!R134C8</stp>
        <tr r="H134" s="1"/>
      </tp>
      <tp t="s">
        <v>UNITED STATES</v>
        <stp/>
        <stp>##V3_BDPV12</stp>
        <stp>912828VF Govt</stp>
        <stp>COUNTRY_FULL_NAME</stp>
        <stp>[TREASURY.xlsx]Sheet1!R694C8</stp>
        <tr r="H694" s="1"/>
      </tp>
      <tp t="s">
        <v>UNITED STATES</v>
        <stp/>
        <stp>##V3_BDPV12</stp>
        <stp>912828WZ Govt</stp>
        <stp>COUNTRY_FULL_NAME</stp>
        <stp>[TREASURY.xlsx]Sheet1!R244C8</stp>
        <tr r="H244" s="1"/>
      </tp>
      <tp t="s">
        <v>UNITED STATES</v>
        <stp/>
        <stp>##V3_BDPV12</stp>
        <stp>912828X2 Govt</stp>
        <stp>COUNTRY_FULL_NAME</stp>
        <stp>[TREASURY.xlsx]Sheet1!R624C8</stp>
        <tr r="H624" s="1"/>
      </tp>
      <tp t="s">
        <v>UNITED STATES</v>
        <stp/>
        <stp>##V3_BDPV12</stp>
        <stp>912828X4 Govt</stp>
        <stp>COUNTRY_FULL_NAME</stp>
        <stp>[TREASURY.xlsx]Sheet1!R224C8</stp>
        <tr r="H224" s="1"/>
      </tp>
      <tp t="s">
        <v>UNITED STATES</v>
        <stp/>
        <stp>##V3_BDPV12</stp>
        <stp>912828YX Govt</stp>
        <stp>COUNTRY_FULL_NAME</stp>
        <stp>[TREASURY.xlsx]Sheet1!R104C8</stp>
        <tr r="H104" s="1"/>
      </tp>
      <tp t="s">
        <v>UNITED STATES</v>
        <stp/>
        <stp>##V3_BDPV12</stp>
        <stp>912828YU Govt</stp>
        <stp>COUNTRY_FULL_NAME</stp>
        <stp>[TREASURY.xlsx]Sheet1!R174C8</stp>
        <tr r="H174" s="1"/>
      </tp>
      <tp t="s">
        <v>912827C26</v>
        <stp/>
        <stp>##V3_BDPV12</stp>
        <stp>912827C2 Govt</stp>
        <stp>ID_CUSIP</stp>
        <stp>[TREASURY.xlsx]Sheet1!R1479C19</stp>
        <tr r="S1479" s="1"/>
      </tp>
      <tp t="s">
        <v>UNITED STATES</v>
        <stp/>
        <stp>##V3_BDPV12</stp>
        <stp>912828Z6 Govt</stp>
        <stp>COUNTRY_FULL_NAME</stp>
        <stp>[TREASURY.xlsx]Sheet1!R234C8</stp>
        <tr r="H234" s="1"/>
      </tp>
      <tp t="s">
        <v>UNITED STATES</v>
        <stp/>
        <stp>##V3_BDPV12</stp>
        <stp>912828ZY Govt</stp>
        <stp>COUNTRY_FULL_NAME</stp>
        <stp>[TREASURY.xlsx]Sheet1!R184C8</stp>
        <tr r="H184" s="1"/>
      </tp>
      <tp t="s">
        <v>912827C34</v>
        <stp/>
        <stp>##V3_BDPV12</stp>
        <stp>912827C3 Govt</stp>
        <stp>ID_CUSIP</stp>
        <stp>[TREASURY.xlsx]Sheet1!R1480C19</stp>
        <tr r="S1480" s="1"/>
      </tp>
      <tp t="s">
        <v>912827C59</v>
        <stp/>
        <stp>##V3_BDPV12</stp>
        <stp>912827C5 Govt</stp>
        <stp>ID_CUSIP</stp>
        <stp>[TREASURY.xlsx]Sheet1!R1481C19</stp>
        <tr r="S1481" s="1"/>
      </tp>
      <tp t="s">
        <v>912827C42</v>
        <stp/>
        <stp>##V3_BDPV12</stp>
        <stp>912827C4 Govt</stp>
        <stp>ID_CUSIP</stp>
        <stp>[TREASURY.xlsx]Sheet1!R1553C19</stp>
        <tr r="S1553" s="1"/>
      </tp>
      <tp t="s">
        <v>912827C75</v>
        <stp/>
        <stp>##V3_BDPV12</stp>
        <stp>912827C7 Govt</stp>
        <stp>ID_CUSIP</stp>
        <stp>[TREASURY.xlsx]Sheet1!R1555C19</stp>
        <tr r="S1555" s="1"/>
      </tp>
      <tp t="s">
        <v>912827C67</v>
        <stp/>
        <stp>##V3_BDPV12</stp>
        <stp>912827C6 Govt</stp>
        <stp>ID_CUSIP</stp>
        <stp>[TREASURY.xlsx]Sheet1!R1554C19</stp>
        <tr r="S1554" s="1"/>
      </tp>
      <tp t="s">
        <v>4/15/2014</v>
        <stp/>
        <stp>##V3_BDPV12</stp>
        <stp>912828QC Govt</stp>
        <stp>MATURITY</stp>
        <stp>[TREASURY.xlsx]Sheet1!R1301C5</stp>
        <tr r="E1301" s="1"/>
      </tp>
      <tp t="s">
        <v>11/15/2013</v>
        <stp/>
        <stp>##V3_BDPV12</stp>
        <stp>912828PU Govt</stp>
        <stp>MATURITY</stp>
        <stp>[TREASURY.xlsx]Sheet1!R1261C5</stp>
        <tr r="E1261" s="1"/>
      </tp>
      <tp t="s">
        <v>1/31/2017</v>
        <stp/>
        <stp>##V3_BDPV12</stp>
        <stp>912828SC Govt</stp>
        <stp>MATURITY</stp>
        <stp>[TREASURY.xlsx]Sheet1!R1141C5</stp>
        <tr r="E1141" s="1"/>
      </tp>
      <tp t="s">
        <v>10/15/2014</v>
        <stp/>
        <stp>##V3_BDPV12</stp>
        <stp>912828RL Govt</stp>
        <stp>MATURITY</stp>
        <stp>[TREASURY.xlsx]Sheet1!R1131C5</stp>
        <tr r="E1131" s="1"/>
      </tp>
      <tp t="s">
        <v>3/31/2018</v>
        <stp/>
        <stp>##V3_BDPV12</stp>
        <stp>912828UU Govt</stp>
        <stp>MATURITY</stp>
        <stp>[TREASURY.xlsx]Sheet1!R1001C5</stp>
        <tr r="E1001" s="1"/>
      </tp>
      <tp t="s">
        <v>T</v>
        <stp/>
        <stp>##V3_BDPV12</stp>
        <stp>912828R8 Govt</stp>
        <stp>TICKER</stp>
        <stp>[TREASURY.xlsx]Sheet1!R689C2</stp>
        <tr r="B689" s="1"/>
      </tp>
      <tp t="s">
        <v>T</v>
        <stp/>
        <stp>##V3_BDPV12</stp>
        <stp>912827R8 Govt</stp>
        <stp>TICKER</stp>
        <stp>[TREASURY.xlsx]Sheet1!R909C2</stp>
        <tr r="B909" s="1"/>
      </tp>
      <tp t="s">
        <v>6/15/2018</v>
        <stp/>
        <stp>##V3_BDPV12</stp>
        <stp>912828XF Govt</stp>
        <stp>MATURITY</stp>
        <stp>[TREASURY.xlsx]Sheet1!R1151C5</stp>
        <tr r="E1151" s="1"/>
      </tp>
      <tp t="s">
        <v>T</v>
        <stp/>
        <stp>##V3_BDPV12</stp>
        <stp>912827Z2 Govt</stp>
        <stp>TICKER</stp>
        <stp>[TREASURY.xlsx]Sheet1!R951C2</stp>
        <tr r="B951" s="1"/>
      </tp>
      <tp t="s">
        <v>11/15/2009</v>
        <stp/>
        <stp>##V3_BDPV12</stp>
        <stp>912810CK Govt</stp>
        <stp>MATURITY</stp>
        <stp>[TREASURY.xlsx]Sheet1!R1309C5</stp>
        <tr r="E1309" s="1"/>
      </tp>
      <tp t="s">
        <v>5/15/2005</v>
        <stp/>
        <stp>##V3_BDPV12</stp>
        <stp>912810BU Govt</stp>
        <stp>MATURITY</stp>
        <stp>[TREASURY.xlsx]Sheet1!R1439C5</stp>
        <tr r="E1439" s="1"/>
      </tp>
      <tp t="s">
        <v>8/15/2020</v>
        <stp/>
        <stp>##V3_BDPV12</stp>
        <stp>912810EG Govt</stp>
        <stp>MATURITY</stp>
        <stp>[TREASURY.xlsx]Sheet1!R1349C5</stp>
        <tr r="E1349" s="1"/>
      </tp>
      <tp t="s">
        <v>8/31/2007</v>
        <stp/>
        <stp>##V3_BDPV12</stp>
        <stp>912828EF Govt</stp>
        <stp>MATURITY</stp>
        <stp>[TREASURY.xlsx]Sheet1!R1431C5</stp>
        <tr r="E1431" s="1"/>
      </tp>
      <tp t="s">
        <v>5/15/2004</v>
        <stp/>
        <stp>##V3_BDPV12</stp>
        <stp>912810DH Govt</stp>
        <stp>MATURITY</stp>
        <stp>[TREASURY.xlsx]Sheet1!R1619C5</stp>
        <tr r="E1619" s="1"/>
      </tp>
      <tp t="s">
        <v>1/31/2007</v>
        <stp/>
        <stp>##V3_BDPV12</stp>
        <stp>912828DJ Govt</stp>
        <stp>MATURITY</stp>
        <stp>[TREASURY.xlsx]Sheet1!R1111C5</stp>
        <tr r="E1111" s="1"/>
      </tp>
      <tp t="s">
        <v>2/15/2008</v>
        <stp/>
        <stp>##V3_BDPV12</stp>
        <stp>912828DK Govt</stp>
        <stp>MATURITY</stp>
        <stp>[TREASURY.xlsx]Sheet1!R1271C5</stp>
        <tr r="E1271" s="1"/>
      </tp>
      <tp t="s">
        <v>11/30/2016</v>
        <stp/>
        <stp>##V3_BDPV12</stp>
        <stp>912828G4 Govt</stp>
        <stp>MATURITY</stp>
        <stp>[TREASURY.xlsx]Sheet1!R1281C5</stp>
        <tr r="E1281" s="1"/>
      </tp>
      <tp t="s">
        <v>7/31/2012</v>
        <stp/>
        <stp>##V3_BDPV12</stp>
        <stp>912828GZ Govt</stp>
        <stp>MATURITY</stp>
        <stp>[TREASURY.xlsx]Sheet1!R1121C5</stp>
        <tr r="E1121" s="1"/>
      </tp>
      <tp t="s">
        <v>5/31/2008</v>
        <stp/>
        <stp>##V3_BDPV12</stp>
        <stp>912828FG Govt</stp>
        <stp>MATURITY</stp>
        <stp>[TREASURY.xlsx]Sheet1!R1241C5</stp>
        <tr r="E1241" s="1"/>
      </tp>
      <tp t="s">
        <v>4/30/2028</v>
        <stp/>
        <stp>##V3_BDPV12</stp>
        <stp>91282CBZ Govt</stp>
        <stp>MATURITY</stp>
        <stp>[TREASURY.xlsx]Sheet1!R126C5</stp>
        <tr r="E126" s="1"/>
      </tp>
      <tp t="s">
        <v>11/15/2018</v>
        <stp/>
        <stp>##V3_BDPV12</stp>
        <stp>912828M6 Govt</stp>
        <stp>MATURITY</stp>
        <stp>[TREASURY.xlsx]Sheet1!R1251C5</stp>
        <tr r="E1251" s="1"/>
      </tp>
      <tp t="s">
        <v>8/31/2011</v>
        <stp/>
        <stp>##V3_BDPV12</stp>
        <stp>912828LV Govt</stp>
        <stp>MATURITY</stp>
        <stp>[TREASURY.xlsx]Sheet1!R1291C5</stp>
        <tr r="E1291" s="1"/>
      </tp>
      <tp t="s">
        <v>8/31/2020</v>
        <stp/>
        <stp>##V3_BDPV12</stp>
        <stp>9128284Y Govt</stp>
        <stp>MATURITY</stp>
        <stp>[TREASURY.xlsx]Sheet1!R376C5</stp>
        <tr r="E376" s="1"/>
      </tp>
      <tp t="s">
        <v>8/31/2023</v>
        <stp/>
        <stp>##V3_BDPV12</stp>
        <stp>9128284X Govt</stp>
        <stp>MATURITY</stp>
        <stp>[TREASURY.xlsx]Sheet1!R256C5</stp>
        <tr r="E256" s="1"/>
      </tp>
      <tp t="s">
        <v>6/30/2026</v>
        <stp/>
        <stp>##V3_BDPV12</stp>
        <stp>9128287B Govt</stp>
        <stp>MATURITY</stp>
        <stp>[TREASURY.xlsx]Sheet1!R306C5</stp>
        <tr r="E306" s="1"/>
      </tp>
      <tp t="s">
        <v>10/15/2021</v>
        <stp/>
        <stp>##V3_BDPV12</stp>
        <stp>9128285F Govt</stp>
        <stp>MATURITY</stp>
        <stp>[TREASURY.xlsx]Sheet1!R106C5</stp>
        <tr r="E106" s="1"/>
      </tp>
      <tp t="s">
        <v>3/31/2026</v>
        <stp/>
        <stp>##V3_BDPV12</stp>
        <stp>9128286L Govt</stp>
        <stp>MATURITY</stp>
        <stp>[TREASURY.xlsx]Sheet1!R276C5</stp>
        <tr r="E276" s="1"/>
      </tp>
      <tp t="s">
        <v>9/30/2022</v>
        <stp/>
        <stp>##V3_BDPV12</stp>
        <stp>9128282W Govt</stp>
        <stp>MATURITY</stp>
        <stp>[TREASURY.xlsx]Sheet1!R166C5</stp>
        <tr r="E166" s="1"/>
      </tp>
      <tp t="s">
        <v>10/31/2022</v>
        <stp/>
        <stp>##V3_BDPV12</stp>
        <stp>9128283C Govt</stp>
        <stp>MATURITY</stp>
        <stp>[TREASURY.xlsx]Sheet1!R186C5</stp>
        <tr r="E186" s="1"/>
      </tp>
      <tp t="s">
        <v>11/30/2024</v>
        <stp/>
        <stp>##V3_BDPV12</stp>
        <stp>9128283J Govt</stp>
        <stp>MATURITY</stp>
        <stp>[TREASURY.xlsx]Sheet1!R216C5</stp>
        <tr r="E216" s="1"/>
      </tp>
      <tp t="s">
        <v>12/31/2019</v>
        <stp/>
        <stp>##V3_BDPV12</stp>
        <stp>9128283N Govt</stp>
        <stp>MATURITY</stp>
        <stp>[TREASURY.xlsx]Sheet1!R366C5</stp>
        <tr r="E366" s="1"/>
      </tp>
      <tp t="s">
        <v>4/15/2017</v>
        <stp/>
        <stp>##V3_BDPV12</stp>
        <stp>912828C7 Govt</stp>
        <stp>MATURITY</stp>
        <stp>[TREASURY.xlsx]Sheet1!R416C5</stp>
        <tr r="E416" s="1"/>
      </tp>
      <tp t="s">
        <v>9/30/2004</v>
        <stp/>
        <stp>##V3_BDPV12</stp>
        <stp>912828AL Govt</stp>
        <stp>MATURITY</stp>
        <stp>[TREASURY.xlsx]Sheet1!R666C5</stp>
        <tr r="E666" s="1"/>
      </tp>
      <tp t="s">
        <v>2/15/2007</v>
        <stp/>
        <stp>##V3_BDPV12</stp>
        <stp>912828BY Govt</stp>
        <stp>MATURITY</stp>
        <stp>[TREASURY.xlsx]Sheet1!R506C5</stp>
        <tr r="E506" s="1"/>
      </tp>
      <tp t="s">
        <v>1/31/2006</v>
        <stp/>
        <stp>##V3_BDPV12</stp>
        <stp>912828BX Govt</stp>
        <stp>MATURITY</stp>
        <stp>[TREASURY.xlsx]Sheet1!R556C5</stp>
        <tr r="E556" s="1"/>
      </tp>
      <tp t="s">
        <v>2/15/2009</v>
        <stp/>
        <stp>##V3_BDPV12</stp>
        <stp>912828BZ Govt</stp>
        <stp>MATURITY</stp>
        <stp>[TREASURY.xlsx]Sheet1!R436C5</stp>
        <tr r="E436" s="1"/>
      </tp>
      <tp t="s">
        <v>3/31/2004</v>
        <stp/>
        <stp>##V3_BDPV12</stp>
        <stp>912828AA Govt</stp>
        <stp>MATURITY</stp>
        <stp>[TREASURY.xlsx]Sheet1!R426C5</stp>
        <tr r="E426" s="1"/>
      </tp>
      <tp t="s">
        <v>9/15/2008</v>
        <stp/>
        <stp>##V3_BDPV12</stp>
        <stp>912828BK Govt</stp>
        <stp>MATURITY</stp>
        <stp>[TREASURY.xlsx]Sheet1!R786C5</stp>
        <tr r="E786" s="1"/>
      </tp>
      <tp t="s">
        <v>7/15/2009</v>
        <stp/>
        <stp>##V3_BDPV12</stp>
        <stp>912828CN Govt</stp>
        <stp>MATURITY</stp>
        <stp>[TREASURY.xlsx]Sheet1!R696C5</stp>
        <tr r="E696" s="1"/>
      </tp>
      <tp t="s">
        <v>8/31/2006</v>
        <stp/>
        <stp>##V3_BDPV12</stp>
        <stp>912828CU Govt</stp>
        <stp>MATURITY</stp>
        <stp>[TREASURY.xlsx]Sheet1!R636C5</stp>
        <tr r="E636" s="1"/>
      </tp>
      <tp t="s">
        <v>1/31/2015</v>
        <stp/>
        <stp>##V3_BDPV12</stp>
        <stp>912828MH Govt</stp>
        <stp>MATURITY</stp>
        <stp>[TREASURY.xlsx]Sheet1!R976C5</stp>
        <tr r="E976" s="1"/>
      </tp>
      <tp t="s">
        <v>9/30/2016</v>
        <stp/>
        <stp>##V3_BDPV12</stp>
        <stp>912828LP Govt</stp>
        <stp>MATURITY</stp>
        <stp>[TREASURY.xlsx]Sheet1!R816C5</stp>
        <tr r="E816" s="1"/>
      </tp>
      <tp t="s">
        <v>12/15/2011</v>
        <stp/>
        <stp>##V3_BDPV12</stp>
        <stp>912828KA Govt</stp>
        <stp>MATURITY</stp>
        <stp>[TREASURY.xlsx]Sheet1!R856C5</stp>
        <tr r="E856" s="1"/>
      </tp>
      <tp t="s">
        <v>9/30/2019</v>
        <stp/>
        <stp>##V3_BDPV12</stp>
        <stp>912828F3 Govt</stp>
        <stp>MATURITY</stp>
        <stp>[TREASURY.xlsx]Sheet1!R406C5</stp>
        <tr r="E406" s="1"/>
      </tp>
      <tp t="s">
        <v>10/31/2007</v>
        <stp/>
        <stp>##V3_BDPV12</stp>
        <stp>912828EK Govt</stp>
        <stp>MATURITY</stp>
        <stp>[TREASURY.xlsx]Sheet1!R796C5</stp>
        <tr r="E796" s="1"/>
      </tp>
      <tp t="s">
        <v>1/31/2008</v>
        <stp/>
        <stp>##V3_BDPV12</stp>
        <stp>912828EU Govt</stp>
        <stp>MATURITY</stp>
        <stp>[TREASURY.xlsx]Sheet1!R466C5</stp>
        <tr r="E466" s="1"/>
      </tp>
      <tp t="s">
        <v>10/31/2012</v>
        <stp/>
        <stp>##V3_BDPV12</stp>
        <stp>912828HG Govt</stp>
        <stp>MATURITY</stp>
        <stp>[TREASURY.xlsx]Sheet1!R806C5</stp>
        <tr r="E806" s="1"/>
      </tp>
      <tp t="s">
        <v>9/15/2010</v>
        <stp/>
        <stp>##V3_BDPV12</stp>
        <stp>912828EG Govt</stp>
        <stp>MATURITY</stp>
        <stp>[TREASURY.xlsx]Sheet1!R596C5</stp>
        <tr r="E596" s="1"/>
      </tp>
      <tp t="s">
        <v>11/30/2019</v>
        <stp/>
        <stp>##V3_BDPV12</stp>
        <stp>912828G6 Govt</stp>
        <stp>MATURITY</stp>
        <stp>[TREASURY.xlsx]Sheet1!R966C5</stp>
        <tr r="E966" s="1"/>
      </tp>
      <tp t="s">
        <v>10/31/2011</v>
        <stp/>
        <stp>##V3_BDPV12</stp>
        <stp>912828FW Govt</stp>
        <stp>MATURITY</stp>
        <stp>[TREASURY.xlsx]Sheet1!R846C5</stp>
        <tr r="E846" s="1"/>
      </tp>
      <tp t="s">
        <v>2/15/2020</v>
        <stp/>
        <stp>##V3_BDPV12</stp>
        <stp>912828MP Govt</stp>
        <stp>MATURITY</stp>
        <stp>[TREASURY.xlsx]Sheet1!R386C5</stp>
        <tr r="E386" s="1"/>
      </tp>
      <tp t="s">
        <v>5/31/2014</v>
        <stp/>
        <stp>##V3_BDPV12</stp>
        <stp>912828KV Govt</stp>
        <stp>MATURITY</stp>
        <stp>[TREASURY.xlsx]Sheet1!R616C5</stp>
        <tr r="E616" s="1"/>
      </tp>
      <tp t="s">
        <v>4/30/2016</v>
        <stp/>
        <stp>##V3_BDPV12</stp>
        <stp>912828KR Govt</stp>
        <stp>MATURITY</stp>
        <stp>[TREASURY.xlsx]Sheet1!R676C5</stp>
        <tr r="E676" s="1"/>
      </tp>
      <tp t="s">
        <v>11/15/2025</v>
        <stp/>
        <stp>##V3_BDPV12</stp>
        <stp>912828M5 Govt</stp>
        <stp>MATURITY</stp>
        <stp>[TREASURY.xlsx]Sheet1!R116C5</stp>
        <tr r="E116" s="1"/>
      </tp>
      <tp t="s">
        <v>3/15/2018</v>
        <stp/>
        <stp>##V3_BDPV12</stp>
        <stp>912828J6 Govt</stp>
        <stp>MATURITY</stp>
        <stp>[TREASURY.xlsx]Sheet1!R686C5</stp>
        <tr r="E686" s="1"/>
      </tp>
      <tp t="s">
        <v>2/15/2018</v>
        <stp/>
        <stp>##V3_BDPV12</stp>
        <stp>912828HR Govt</stp>
        <stp>MATURITY</stp>
        <stp>[TREASURY.xlsx]Sheet1!R476C5</stp>
        <tr r="E476" s="1"/>
      </tp>
      <tp t="s">
        <v>5/15/2018</v>
        <stp/>
        <stp>##V3_BDPV12</stp>
        <stp>912828HZ Govt</stp>
        <stp>MATURITY</stp>
        <stp>[TREASURY.xlsx]Sheet1!R356C5</stp>
        <tr r="E356" s="1"/>
      </tp>
      <tp t="s">
        <v>8/31/2014</v>
        <stp/>
        <stp>##V3_BDPV12</stp>
        <stp>912828LK Govt</stp>
        <stp>MATURITY</stp>
        <stp>[TREASURY.xlsx]Sheet1!R546C5</stp>
        <tr r="E546" s="1"/>
      </tp>
      <tp t="s">
        <v>11/15/2018</v>
        <stp/>
        <stp>##V3_BDPV12</stp>
        <stp>912828JR Govt</stp>
        <stp>MATURITY</stp>
        <stp>[TREASURY.xlsx]Sheet1!R396C5</stp>
        <tr r="E396" s="1"/>
      </tp>
      <tp t="s">
        <v>9/30/2014</v>
        <stp/>
        <stp>##V3_BDPV12</stp>
        <stp>912828LQ Govt</stp>
        <stp>MATURITY</stp>
        <stp>[TREASURY.xlsx]Sheet1!R486C5</stp>
        <tr r="E486" s="1"/>
      </tp>
      <tp t="s">
        <v>11/30/2023</v>
        <stp/>
        <stp>##V3_BDPV12</stp>
        <stp>912828U5 Govt</stp>
        <stp>MATURITY</stp>
        <stp>[TREASURY.xlsx]Sheet1!R246C5</stp>
        <tr r="E246" s="1"/>
      </tp>
      <tp t="s">
        <v>2/28/2014</v>
        <stp/>
        <stp>##V3_BDPV12</stp>
        <stp>912828SG Govt</stp>
        <stp>MATURITY</stp>
        <stp>[TREASURY.xlsx]Sheet1!R496C5</stp>
        <tr r="E496" s="1"/>
      </tp>
      <tp t="s">
        <v>7/31/2013</v>
        <stp/>
        <stp>##V3_BDPV12</stp>
        <stp>912828QW Govt</stp>
        <stp>MATURITY</stp>
        <stp>[TREASURY.xlsx]Sheet1!R646C5</stp>
        <tr r="E646" s="1"/>
      </tp>
      <tp t="s">
        <v>3/31/2017</v>
        <stp/>
        <stp>##V3_BDPV12</stp>
        <stp>912828SM Govt</stp>
        <stp>MATURITY</stp>
        <stp>[TREASURY.xlsx]Sheet1!R516C5</stp>
        <tr r="E516" s="1"/>
      </tp>
      <tp t="s">
        <v>9/30/2018</v>
        <stp/>
        <stp>##V3_BDPV12</stp>
        <stp>912828RH Govt</stp>
        <stp>MATURITY</stp>
        <stp>[TREASURY.xlsx]Sheet1!R456C5</stp>
        <tr r="E456" s="1"/>
      </tp>
      <tp t="s">
        <v>2/29/2024</v>
        <stp/>
        <stp>##V3_BDPV12</stp>
        <stp>912828W4 Govt</stp>
        <stp>MATURITY</stp>
        <stp>[TREASURY.xlsx]Sheet1!R296C5</stp>
        <tr r="E296" s="1"/>
      </tp>
      <tp t="s">
        <v>4/30/2016</v>
        <stp/>
        <stp>##V3_BDPV12</stp>
        <stp>912828QF Govt</stp>
        <stp>MATURITY</stp>
        <stp>[TREASURY.xlsx]Sheet1!R576C5</stp>
        <tr r="E576" s="1"/>
      </tp>
      <tp t="s">
        <v>8/15/2016</v>
        <stp/>
        <stp>##V3_BDPV12</stp>
        <stp>912828VR Govt</stp>
        <stp>MATURITY</stp>
        <stp>[TREASURY.xlsx]Sheet1!R566C5</stp>
        <tr r="E566" s="1"/>
      </tp>
      <tp t="s">
        <v>12/31/2017</v>
        <stp/>
        <stp>##V3_BDPV12</stp>
        <stp>912828UE Govt</stp>
        <stp>MATURITY</stp>
        <stp>[TREASURY.xlsx]Sheet1!R446C5</stp>
        <tr r="E446" s="1"/>
      </tp>
      <tp t="s">
        <v>7/31/2021</v>
        <stp/>
        <stp>##V3_BDPV12</stp>
        <stp>912828S7 Govt</stp>
        <stp>MATURITY</stp>
        <stp>[TREASURY.xlsx]Sheet1!R346C5</stp>
        <tr r="E346" s="1"/>
      </tp>
      <tp t="s">
        <v>5/31/2023</v>
        <stp/>
        <stp>##V3_BDPV12</stp>
        <stp>912828R6 Govt</stp>
        <stp>MATURITY</stp>
        <stp>[TREASURY.xlsx]Sheet1!R266C5</stp>
        <tr r="E266" s="1"/>
      </tp>
      <tp t="s">
        <v>12/31/2014</v>
        <stp/>
        <stp>##V3_BDPV12</stp>
        <stp>912828UD Govt</stp>
        <stp>MATURITY</stp>
        <stp>[TREASURY.xlsx]Sheet1!R586C5</stp>
        <tr r="E586" s="1"/>
      </tp>
      <tp t="s">
        <v>11/30/2018</v>
        <stp/>
        <stp>##V3_BDPV12</stp>
        <stp>912828U4 Govt</stp>
        <stp>MATURITY</stp>
        <stp>[TREASURY.xlsx]Sheet1!R876C5</stp>
        <tr r="E876" s="1"/>
      </tp>
      <tp t="s">
        <v>7/31/2020</v>
        <stp/>
        <stp>##V3_BDPV12</stp>
        <stp>912828XM Govt</stp>
        <stp>MATURITY</stp>
        <stp>[TREASURY.xlsx]Sheet1!R536C5</stp>
        <tr r="E536" s="1"/>
      </tp>
      <tp t="s">
        <v>5/31/2022</v>
        <stp/>
        <stp>##V3_BDPV12</stp>
        <stp>912828ZR Govt</stp>
        <stp>MATURITY</stp>
        <stp>[TREASURY.xlsx]Sheet1!R136C5</stp>
        <tr r="E136" s="1"/>
      </tp>
      <tp t="s">
        <v>7/15/2021</v>
        <stp/>
        <stp>##V3_BDPV12</stp>
        <stp>912828Y2 Govt</stp>
        <stp>MATURITY</stp>
        <stp>[TREASURY.xlsx]Sheet1!R336C5</stp>
        <tr r="E336" s="1"/>
      </tp>
      <tp t="s">
        <v>7/31/2022</v>
        <stp/>
        <stp>##V3_BDPV12</stp>
        <stp>912828XQ Govt</stp>
        <stp>MATURITY</stp>
        <stp>[TREASURY.xlsx]Sheet1!R206C5</stp>
        <tr r="E206" s="1"/>
      </tp>
      <tp t="s">
        <v>4/30/2017</v>
        <stp/>
        <stp>##V3_BDPV12</stp>
        <stp>912828SS Govt</stp>
        <stp>MATURITY</stp>
        <stp>[TREASURY.xlsx]Sheet1!R996C5</stp>
        <tr r="E996" s="1"/>
      </tp>
      <tp t="s">
        <v>6/30/2022</v>
        <stp/>
        <stp>##V3_BDPV12</stp>
        <stp>912828XG Govt</stp>
        <stp>MATURITY</stp>
        <stp>[TREASURY.xlsx]Sheet1!R196C5</stp>
        <tr r="E196" s="1"/>
      </tp>
      <tp t="s">
        <v>7/15/2014</v>
        <stp/>
        <stp>##V3_BDPV12</stp>
        <stp>912828QU Govt</stp>
        <stp>MATURITY</stp>
        <stp>[TREASURY.xlsx]Sheet1!R826C5</stp>
        <tr r="E826" s="1"/>
      </tp>
      <tp t="s">
        <v>6/30/2016</v>
        <stp/>
        <stp>##V3_BDPV12</stp>
        <stp>912828QR Govt</stp>
        <stp>MATURITY</stp>
        <stp>[TREASURY.xlsx]Sheet1!R866C5</stp>
        <tr r="E866" s="1"/>
      </tp>
      <tp t="s">
        <v>1/31/2016</v>
        <stp/>
        <stp>##V3_BDPV12</stp>
        <stp>912828PS Govt</stp>
        <stp>MATURITY</stp>
        <stp>[TREASURY.xlsx]Sheet1!R986C5</stp>
        <tr r="E986" s="1"/>
      </tp>
      <tp t="s">
        <v>2/15/2023</v>
        <stp/>
        <stp>##V3_BDPV12</stp>
        <stp>912828Z8 Govt</stp>
        <stp>MATURITY</stp>
        <stp>[TREASURY.xlsx]Sheet1!R236C5</stp>
        <tr r="E236" s="1"/>
      </tp>
      <tp t="s">
        <v>T</v>
        <stp/>
        <stp>##V3_BDPV12</stp>
        <stp>912828ZX Govt</stp>
        <stp>TICKER</stp>
        <stp>[TREASURY.xlsx]Sheet1!R111C2</stp>
        <tr r="B111" s="1"/>
      </tp>
      <tp t="s">
        <v>T</v>
        <stp/>
        <stp>##V3_BDPV12</stp>
        <stp>912828XY Govt</stp>
        <stp>TICKER</stp>
        <stp>[TREASURY.xlsx]Sheet1!R473C2</stp>
        <tr r="B473" s="1"/>
      </tp>
      <tp t="s">
        <v>T</v>
        <stp/>
        <stp>##V3_BDPV12</stp>
        <stp>912828XV Govt</stp>
        <stp>TICKER</stp>
        <stp>[TREASURY.xlsx]Sheet1!R883C2</stp>
        <tr r="B883" s="1"/>
      </tp>
      <tp t="s">
        <v>T</v>
        <stp/>
        <stp>##V3_BDPV12</stp>
        <stp>912827SV Govt</stp>
        <stp>TICKER</stp>
        <stp>[TREASURY.xlsx]Sheet1!R918C2</stp>
        <tr r="B918" s="1"/>
      </tp>
      <tp t="s">
        <v>5/15/2010</v>
        <stp/>
        <stp>##V3_BDPV12</stp>
        <stp>912810CP Govt</stp>
        <stp>MATURITY</stp>
        <stp>[TREASURY.xlsx]Sheet1!R405C5</stp>
        <tr r="E405" s="1"/>
      </tp>
      <tp t="s">
        <v>8/15/2042</v>
        <stp/>
        <stp>##V3_BDPV12</stp>
        <stp>912810QX Govt</stp>
        <stp>MATURITY</stp>
        <stp>[TREASURY.xlsx]Sheet1!R275C5</stp>
        <tr r="E275" s="1"/>
      </tp>
      <tp t="s">
        <v>5/15/2041</v>
        <stp/>
        <stp>##V3_BDPV12</stp>
        <stp>912810QQ Govt</stp>
        <stp>MATURITY</stp>
        <stp>[TREASURY.xlsx]Sheet1!R315C5</stp>
        <tr r="E315" s="1"/>
      </tp>
      <tp t="s">
        <v>11/15/2043</v>
        <stp/>
        <stp>##V3_BDPV12</stp>
        <stp>912810RD Govt</stp>
        <stp>MATURITY</stp>
        <stp>[TREASURY.xlsx]Sheet1!R235C5</stp>
        <tr r="E235" s="1"/>
      </tp>
      <tp t="s">
        <v>2/15/2044</v>
        <stp/>
        <stp>##V3_BDPV12</stp>
        <stp>912810RE Govt</stp>
        <stp>MATURITY</stp>
        <stp>[TREASURY.xlsx]Sheet1!R295C5</stp>
        <tr r="E295" s="1"/>
      </tp>
      <tp t="s">
        <v>T</v>
        <stp/>
        <stp>##V3_BDPV12</stp>
        <stp>912828ZW Govt</stp>
        <stp>TICKER</stp>
        <stp>[TREASURY.xlsx]Sheet1!R101C2</stp>
        <tr r="B101" s="1"/>
      </tp>
      <tp t="s">
        <v>T</v>
        <stp/>
        <stp>##V3_BDPV12</stp>
        <stp>912828RR Govt</stp>
        <stp>TICKER</stp>
        <stp>[TREASURY.xlsx]Sheet1!R119C2</stp>
        <tr r="B119" s="1"/>
      </tp>
      <tp t="s">
        <v>T</v>
        <stp/>
        <stp>##V3_BDPV12</stp>
        <stp>912828XR Govt</stp>
        <stp>TICKER</stp>
        <stp>[TREASURY.xlsx]Sheet1!R203C2</stp>
        <tr r="B203" s="1"/>
      </tp>
      <tp t="s">
        <v>T</v>
        <stp/>
        <stp>##V3_BDPV12</stp>
        <stp>912827RR Govt</stp>
        <stp>TICKER</stp>
        <stp>[TREASURY.xlsx]Sheet1!R829C2</stp>
        <tr r="B829" s="1"/>
      </tp>
      <tp t="s">
        <v>NORMAL</v>
        <stp/>
        <stp>##V3_BDPV12</stp>
        <stp>912810EM Govt</stp>
        <stp>MTY_TYP</stp>
        <stp>[TREASURY.xlsx]Sheet1!R304C6</stp>
        <tr r="F304" s="1"/>
      </tp>
      <tp t="s">
        <v>T</v>
        <stp/>
        <stp>##V3_BDPV12</stp>
        <stp>912828ZS Govt</stp>
        <stp>TICKER</stp>
        <stp>[TREASURY.xlsx]Sheet1!R171C2</stp>
        <tr r="B171" s="1"/>
      </tp>
      <tp t="s">
        <v>NORMAL</v>
        <stp/>
        <stp>##V3_BDPV12</stp>
        <stp>912827VK Govt</stp>
        <stp>MTY_TYP</stp>
        <stp>[TREASURY.xlsx]Sheet1!R762C6</stp>
        <tr r="F762" s="1"/>
      </tp>
      <tp t="s">
        <v>NORMAL</v>
        <stp/>
        <stp>##V3_BDPV12</stp>
        <stp>912828PK Govt</stp>
        <stp>MTY_TYP</stp>
        <stp>[TREASURY.xlsx]Sheet1!R982C6</stp>
        <tr r="F982" s="1"/>
      </tp>
      <tp t="s">
        <v>NORMAL</v>
        <stp/>
        <stp>##V3_BDPV12</stp>
        <stp>912828RJ Govt</stp>
        <stp>MTY_TYP</stp>
        <stp>[TREASURY.xlsx]Sheet1!R993C6</stp>
        <tr r="F993" s="1"/>
      </tp>
      <tp t="s">
        <v>NORMAL</v>
        <stp/>
        <stp>##V3_BDPV12</stp>
        <stp>912828BA Govt</stp>
        <stp>MTY_TYP</stp>
        <stp>[TREASURY.xlsx]Sheet1!R408C6</stp>
        <tr r="F408" s="1"/>
      </tp>
      <tp t="s">
        <v>NORMAL</v>
        <stp/>
        <stp>##V3_BDPV12</stp>
        <stp>912827ZK Govt</stp>
        <stp>MTY_TYP</stp>
        <stp>[TREASURY.xlsx]Sheet1!R952C6</stp>
        <tr r="F952" s="1"/>
      </tp>
      <tp t="s">
        <v>NORMAL</v>
        <stp/>
        <stp>##V3_BDPV12</stp>
        <stp>912828VA Govt</stp>
        <stp>MTY_TYP</stp>
        <stp>[TREASURY.xlsx]Sheet1!R638C6</stp>
        <tr r="F638" s="1"/>
      </tp>
      <tp t="s">
        <v>NORMAL</v>
        <stp/>
        <stp>##V3_BDPV12</stp>
        <stp>912827WK Govt</stp>
        <stp>MTY_TYP</stp>
        <stp>[TREASURY.xlsx]Sheet1!R932C6</stp>
        <tr r="F932" s="1"/>
      </tp>
      <tp t="s">
        <v>NORMAL</v>
        <stp/>
        <stp>##V3_BDPV12</stp>
        <stp>912828AN Govt</stp>
        <stp>MTY_TYP</stp>
        <stp>[TREASURY.xlsx]Sheet1!R657C6</stp>
        <tr r="F657" s="1"/>
      </tp>
      <tp t="s">
        <v>NORMAL</v>
        <stp/>
        <stp>##V3_BDPV12</stp>
        <stp>912828ZN Govt</stp>
        <stp>MTY_TYP</stp>
        <stp>[TREASURY.xlsx]Sheet1!R117C6</stp>
        <tr r="F117" s="1"/>
      </tp>
      <tp t="s">
        <v>NORMAL</v>
        <stp/>
        <stp>##V3_BDPV12</stp>
        <stp>912828UN Govt</stp>
        <stp>MTY_TYP</stp>
        <stp>[TREASURY.xlsx]Sheet1!R147C6</stp>
        <tr r="F147" s="1"/>
      </tp>
      <tp t="s">
        <v>NORMAL</v>
        <stp/>
        <stp>##V3_BDPV12</stp>
        <stp>9128284A Govt</stp>
        <stp>MTY_TYP</stp>
        <stp>[TREASURY.xlsx]Sheet1!R288C6</stp>
        <tr r="F288" s="1"/>
      </tp>
      <tp t="s">
        <v>NORMAL</v>
        <stp/>
        <stp>##V3_BDPV12</stp>
        <stp>912828CJ Govt</stp>
        <stp>MTY_TYP</stp>
        <stp>[TREASURY.xlsx]Sheet1!R393C6</stp>
        <tr r="F393" s="1"/>
      </tp>
      <tp t="s">
        <v>T</v>
        <stp/>
        <stp>##V3_BDPV12</stp>
        <stp>912828RP Govt</stp>
        <stp>TICKER</stp>
        <stp>[TREASURY.xlsx]Sheet1!R549C2</stp>
        <tr r="B549" s="1"/>
      </tp>
      <tp t="s">
        <v>NORMAL</v>
        <stp/>
        <stp>##V3_BDPV12</stp>
        <stp>91282CBJ Govt</stp>
        <stp>MTY_TYP</stp>
        <stp>[TREASURY.xlsx]Sheet1!R123C6</stp>
        <tr r="F123" s="1"/>
      </tp>
      <tp t="s">
        <v>11/15/1986</v>
        <stp/>
        <stp>##V3_BDPV12</stp>
        <stp>912827MG Govt</stp>
        <stp>MATURITY</stp>
        <stp>[TREASURY.xlsx]Sheet1!R896C5</stp>
        <tr r="E896" s="1"/>
      </tp>
      <tp t="s">
        <v>7/31/1995</v>
        <stp/>
        <stp>##V3_BDPV12</stp>
        <stp>912827L5 Govt</stp>
        <stp>MATURITY</stp>
        <stp>[TREASURY.xlsx]Sheet1!R886C5</stp>
        <tr r="E886" s="1"/>
      </tp>
      <tp t="s">
        <v>12/31/1997</v>
        <stp/>
        <stp>##V3_BDPV12</stp>
        <stp>912827J2 Govt</stp>
        <stp>MATURITY</stp>
        <stp>[TREASURY.xlsx]Sheet1!R706C5</stp>
        <tr r="E706" s="1"/>
      </tp>
      <tp t="s">
        <v>8/15/1984</v>
        <stp/>
        <stp>##V3_BDPV12</stp>
        <stp>912827LN Govt</stp>
        <stp>MATURITY</stp>
        <stp>[TREASURY.xlsx]Sheet1!R716C5</stp>
        <tr r="E716" s="1"/>
      </tp>
      <tp t="s">
        <v>11/15/1990</v>
        <stp/>
        <stp>##V3_BDPV12</stp>
        <stp>912827LF Govt</stp>
        <stp>MATURITY</stp>
        <stp>[TREASURY.xlsx]Sheet1!R656C5</stp>
        <tr r="E656" s="1"/>
      </tp>
      <tp t="s">
        <v>12/31/1995</v>
        <stp/>
        <stp>##V3_BDPV12</stp>
        <stp>912827N3 Govt</stp>
        <stp>MATURITY</stp>
        <stp>[TREASURY.xlsx]Sheet1!R726C5</stp>
        <tr r="E726" s="1"/>
      </tp>
      <tp t="s">
        <v>2/15/1986</v>
        <stp/>
        <stp>##V3_BDPV12</stp>
        <stp>912827PC Govt</stp>
        <stp>MATURITY</stp>
        <stp>[TREASURY.xlsx]Sheet1!R736C5</stp>
        <tr r="E736" s="1"/>
      </tp>
      <tp t="s">
        <v>2/28/1997</v>
        <stp/>
        <stp>##V3_BDPV12</stp>
        <stp>912827S9 Govt</stp>
        <stp>MATURITY</stp>
        <stp>[TREASURY.xlsx]Sheet1!R746C5</stp>
        <tr r="E746" s="1"/>
      </tp>
      <tp t="s">
        <v>2/15/2001</v>
        <stp/>
        <stp>##V3_BDPV12</stp>
        <stp>912827ZX Govt</stp>
        <stp>MATURITY</stp>
        <stp>[TREASURY.xlsx]Sheet1!R956C5</stp>
        <tr r="E956" s="1"/>
      </tp>
      <tp t="s">
        <v>4/15/1994</v>
        <stp/>
        <stp>##V3_BDPV12</stp>
        <stp>912827UT Govt</stp>
        <stp>MATURITY</stp>
        <stp>[TREASURY.xlsx]Sheet1!R756C5</stp>
        <tr r="E756" s="1"/>
      </tp>
      <tp t="s">
        <v>3/31/1993</v>
        <stp/>
        <stp>##V3_BDPV12</stp>
        <stp>912827XJ Govt</stp>
        <stp>MATURITY</stp>
        <stp>[TREASURY.xlsx]Sheet1!R936C5</stp>
        <tr r="E936" s="1"/>
      </tp>
      <tp t="s">
        <v>5/15/1993</v>
        <stp/>
        <stp>##V3_BDPV12</stp>
        <stp>912827VY Govt</stp>
        <stp>MATURITY</stp>
        <stp>[TREASURY.xlsx]Sheet1!R766C5</stp>
        <tr r="E766" s="1"/>
      </tp>
      <tp t="s">
        <v>8/15/1997</v>
        <stp/>
        <stp>##V3_BDPV12</stp>
        <stp>912827VE Govt</stp>
        <stp>MATURITY</stp>
        <stp>[TREASURY.xlsx]Sheet1!R626C5</stp>
        <tr r="E626" s="1"/>
      </tp>
      <tp t="s">
        <v>3/31/1994</v>
        <stp/>
        <stp>##V3_BDPV12</stp>
        <stp>912827YS Govt</stp>
        <stp>MATURITY</stp>
        <stp>[TREASURY.xlsx]Sheet1!R946C5</stp>
        <tr r="E946" s="1"/>
      </tp>
      <tp t="s">
        <v>2/15/1991</v>
        <stp/>
        <stp>##V3_BDPV12</stp>
        <stp>912827VV Govt</stp>
        <stp>MATURITY</stp>
        <stp>[TREASURY.xlsx]Sheet1!R926C5</stp>
        <tr r="E926" s="1"/>
      </tp>
      <tp t="s">
        <v>2/15/2000</v>
        <stp/>
        <stp>##V3_BDPV12</stp>
        <stp>912827YN Govt</stp>
        <stp>MATURITY</stp>
        <stp>[TREASURY.xlsx]Sheet1!R776C5</stp>
        <tr r="E776" s="1"/>
      </tp>
      <tp t="s">
        <v>9/30/1988</v>
        <stp/>
        <stp>##V3_BDPV12</stp>
        <stp>912827UA Govt</stp>
        <stp>MATURITY</stp>
        <stp>[TREASURY.xlsx]Sheet1!R836C5</stp>
        <tr r="E836" s="1"/>
      </tp>
      <tp t="s">
        <v>5/15/1988</v>
        <stp/>
        <stp>##V3_BDPV12</stp>
        <stp>912827SD Govt</stp>
        <stp>MATURITY</stp>
        <stp>[TREASURY.xlsx]Sheet1!R916C5</stp>
        <tr r="E916" s="1"/>
      </tp>
      <tp t="s">
        <v>12/31/1985</v>
        <stp/>
        <stp>##V3_BDPV12</stp>
        <stp>912827QG Govt</stp>
        <stp>MATURITY</stp>
        <stp>[TREASURY.xlsx]Sheet1!R906C5</stp>
        <tr r="E906" s="1"/>
      </tp>
      <tp t="s">
        <v>T</v>
        <stp/>
        <stp>##V3_BDPV12</stp>
        <stp>912827SM Govt</stp>
        <stp>TICKER</stp>
        <stp>[TREASURY.xlsx]Sheet1!R748C2</stp>
        <tr r="B748" s="1"/>
      </tp>
      <tp t="s">
        <v>T</v>
        <stp/>
        <stp>##V3_BDPV12</stp>
        <stp>912827ZJ Govt</stp>
        <stp>TICKER</stp>
        <stp>[TREASURY.xlsx]Sheet1!R781C2</stp>
        <tr r="B781" s="1"/>
      </tp>
      <tp t="s">
        <v>T</v>
        <stp/>
        <stp>##V3_BDPV12</stp>
        <stp>912827XK Govt</stp>
        <stp>TICKER</stp>
        <stp>[TREASURY.xlsx]Sheet1!R773C2</stp>
        <tr r="B773" s="1"/>
      </tp>
      <tp t="s">
        <v>T</v>
        <stp/>
        <stp>##V3_BDPV12</stp>
        <stp>912810RH Govt</stp>
        <stp>TICKER</stp>
        <stp>[TREASURY.xlsx]Sheet1!R259C2</stp>
        <tr r="B259" s="1"/>
      </tp>
      <tp t="s">
        <v>T</v>
        <stp/>
        <stp>##V3_BDPV12</stp>
        <stp>912828SF Govt</stp>
        <stp>TICKER</stp>
        <stp>[TREASURY.xlsx]Sheet1!R138C2</stp>
        <tr r="B138" s="1"/>
      </tp>
      <tp t="s">
        <v>T</v>
        <stp/>
        <stp>##V3_BDPV12</stp>
        <stp>912828RG Govt</stp>
        <stp>TICKER</stp>
        <stp>[TREASURY.xlsx]Sheet1!R869C2</stp>
        <tr r="B869" s="1"/>
      </tp>
      <tp t="s">
        <v>T</v>
        <stp/>
        <stp>##V3_BDPV12</stp>
        <stp>912828ZD Govt</stp>
        <stp>TICKER</stp>
        <stp>[TREASURY.xlsx]Sheet1!R121C2</stp>
        <tr r="B121" s="1"/>
      </tp>
      <tp t="s">
        <v>T</v>
        <stp/>
        <stp>##V3_BDPV12</stp>
        <stp>912828SE Govt</stp>
        <stp>TICKER</stp>
        <stp>[TREASURY.xlsx]Sheet1!R618C2</stp>
        <tr r="B618" s="1"/>
      </tp>
      <tp t="s">
        <v>T</v>
        <stp/>
        <stp>##V3_BDPV12</stp>
        <stp>912810RB Govt</stp>
        <stp>TICKER</stp>
        <stp>[TREASURY.xlsx]Sheet1!R269C2</stp>
        <tr r="B269" s="1"/>
      </tp>
      <tp t="s">
        <v>T</v>
        <stp/>
        <stp>##V3_BDPV12</stp>
        <stp>912828RB Govt</stp>
        <stp>TICKER</stp>
        <stp>[TREASURY.xlsx]Sheet1!R459C2</stp>
        <tr r="B459" s="1"/>
      </tp>
      <tp t="s">
        <v>T</v>
        <stp/>
        <stp>##V3_BDPV12</stp>
        <stp>912827YA Govt</stp>
        <stp>TICKER</stp>
        <stp>[TREASURY.xlsx]Sheet1!R942C2</stp>
        <tr r="B942" s="1"/>
      </tp>
      <tp t="s">
        <v>USD</v>
        <stp/>
        <stp>##V3_BDPV12</stp>
        <stp>912827TR Govt</stp>
        <stp>CRNCY</stp>
        <stp>[TREASURY.xlsx]Sheet1!R1194C7</stp>
        <tr r="G1194" s="1"/>
      </tp>
      <tp t="s">
        <v>USD</v>
        <stp/>
        <stp>##V3_BDPV12</stp>
        <stp>912828PR Govt</stp>
        <stp>CRNCY</stp>
        <stp>[TREASURY.xlsx]Sheet1!R1260C7</stp>
        <tr r="G1260" s="1"/>
      </tp>
      <tp t="s">
        <v>12/2/1985</v>
        <stp/>
        <stp>##V3_BDPV12</stp>
        <stp>912827SW Govt</stp>
        <stp>ISSUE_DT</stp>
        <stp>[TREASURY.xlsx]Sheet1!R1189C15</stp>
        <tr r="O1189" s="1"/>
      </tp>
      <tp t="s">
        <v>T</v>
        <stp/>
        <stp>##V3_BDPV12</stp>
        <stp>9128282Z Govt</stp>
        <stp>TICKER</stp>
        <stp>[TREASURY.xlsx]Sheet1!R1615C2</stp>
        <tr r="B1615" s="1"/>
      </tp>
      <tp t="s">
        <v>USD</v>
        <stp/>
        <stp>##V3_BDPV12</stp>
        <stp>912827PS Govt</stp>
        <stp>CRNCY</stp>
        <stp>[TREASURY.xlsx]Sheet1!R1390C7</stp>
        <tr r="G1390" s="1"/>
      </tp>
      <tp t="s">
        <v>T</v>
        <stp/>
        <stp>##V3_BDPV12</stp>
        <stp>912828MZ Govt</stp>
        <stp>TICKER</stp>
        <stp>[TREASURY.xlsx]Sheet1!R1255C2</stp>
        <tr r="B1255" s="1"/>
      </tp>
      <tp t="s">
        <v>T</v>
        <stp/>
        <stp>##V3_BDPV12</stp>
        <stp>912828NZ Govt</stp>
        <stp>TICKER</stp>
        <stp>[TREASURY.xlsx]Sheet1!R1295C2</stp>
        <tr r="B1295" s="1"/>
      </tp>
      <tp t="s">
        <v>T</v>
        <stp/>
        <stp>##V3_BDPV12</stp>
        <stp>912827XW Govt</stp>
        <stp>TICKER</stp>
        <stp>[TREASURY.xlsx]Sheet1!R1218C2</stp>
        <tr r="B1218" s="1"/>
      </tp>
      <tp t="s">
        <v>T</v>
        <stp/>
        <stp>##V3_BDPV12</stp>
        <stp>912827WV Govt</stp>
        <stp>TICKER</stp>
        <stp>[TREASURY.xlsx]Sheet1!R1209C2</stp>
        <tr r="B1209" s="1"/>
      </tp>
      <tp t="s">
        <v>T</v>
        <stp/>
        <stp>##V3_BDPV12</stp>
        <stp>912827TY Govt</stp>
        <stp>TICKER</stp>
        <stp>[TREASURY.xlsx]Sheet1!R1076C2</stp>
        <tr r="B1076" s="1"/>
      </tp>
      <tp t="s">
        <v>T</v>
        <stp/>
        <stp>##V3_BDPV12</stp>
        <stp>912827XV Govt</stp>
        <stp>TICKER</stp>
        <stp>[TREASURY.xlsx]Sheet1!R1599C2</stp>
        <tr r="B1599" s="1"/>
      </tp>
      <tp t="s">
        <v>USD</v>
        <stp/>
        <stp>##V3_BDPV12</stp>
        <stp>912828UP Govt</stp>
        <stp>CRNCY</stp>
        <stp>[TREASURY.xlsx]Sheet1!R1145C7</stp>
        <tr r="G1145" s="1"/>
      </tp>
      <tp t="s">
        <v>T</v>
        <stp/>
        <stp>##V3_BDPV12</stp>
        <stp>912810CW Govt</stp>
        <stp>TICKER</stp>
        <stp>[TREASURY.xlsx]Sheet1!R1618C2</stp>
        <tr r="B1618" s="1"/>
      </tp>
      <tp t="s">
        <v>10/31/1985</v>
        <stp/>
        <stp>##V3_BDPV12</stp>
        <stp>912827ST Govt</stp>
        <stp>ISSUE_DT</stp>
        <stp>[TREASURY.xlsx]Sheet1!R1067C15</stp>
        <tr r="O1067" s="1"/>
      </tp>
      <tp t="s">
        <v>4/30/2012</v>
        <stp/>
        <stp>##V3_BDPV12</stp>
        <stp>912828SR Govt</stp>
        <stp>ISSUE_DT</stp>
        <stp>[TREASURY.xlsx]Sheet1!R1142C15</stp>
        <tr r="O1142" s="1"/>
      </tp>
      <tp t="s">
        <v>912810CK2</v>
        <stp/>
        <stp>##V3_BDPV12</stp>
        <stp>912810CK Govt</stp>
        <stp>ID_CUSIP</stp>
        <stp>[TREASURY.xlsx]Sheet1!R1309C19</stp>
        <tr r="S1309" s="1"/>
      </tp>
      <tp t="s">
        <v>912810CM8</v>
        <stp/>
        <stp>##V3_BDPV12</stp>
        <stp>912810CM Govt</stp>
        <stp>ID_CUSIP</stp>
        <stp>[TREASURY.xlsx]Sheet1!R1515C19</stp>
        <tr r="S1515" s="1"/>
      </tp>
      <tp t="s">
        <v>USD</v>
        <stp/>
        <stp>##V3_BDPV12</stp>
        <stp>912827RV Govt</stp>
        <stp>CRNCY</stp>
        <stp>[TREASURY.xlsx]Sheet1!R1582C7</stp>
        <tr r="G1582" s="1"/>
      </tp>
      <tp t="s">
        <v>9/30/1985</v>
        <stp/>
        <stp>##V3_BDPV12</stp>
        <stp>912827SS Govt</stp>
        <stp>ISSUE_DT</stp>
        <stp>[TREASURY.xlsx]Sheet1!R1188C15</stp>
        <tr r="O1188" s="1"/>
      </tp>
      <tp t="s">
        <v>USD</v>
        <stp/>
        <stp>##V3_BDPV12</stp>
        <stp>912827XW Govt</stp>
        <stp>CRNCY</stp>
        <stp>[TREASURY.xlsx]Sheet1!R1218C7</stp>
        <tr r="G1218" s="1"/>
      </tp>
      <tp t="s">
        <v>2/28/2022</v>
        <stp/>
        <stp>##V3_BDPV12</stp>
        <stp>91282CCU Govt</stp>
        <stp>FIRST_CPN_DT</stp>
        <stp>[TREASURY.xlsx]Sheet1!R6C9</stp>
        <tr r="I6" s="1"/>
      </tp>
      <tp t="s">
        <v>912810CL0</v>
        <stp/>
        <stp>##V3_BDPV12</stp>
        <stp>912810CL Govt</stp>
        <stp>ID_CUSIP</stp>
        <stp>[TREASURY.xlsx]Sheet1!R1617C19</stp>
        <tr r="S1617" s="1"/>
      </tp>
      <tp t="s">
        <v>912810CN6</v>
        <stp/>
        <stp>##V3_BDPV12</stp>
        <stp>912810CN Govt</stp>
        <stp>ID_CUSIP</stp>
        <stp>[TREASURY.xlsx]Sheet1!R1442C19</stp>
        <tr r="S1442" s="1"/>
      </tp>
      <tp t="s">
        <v>8/15/1985</v>
        <stp/>
        <stp>##V3_BDPV12</stp>
        <stp>912827SP Govt</stp>
        <stp>ISSUE_DT</stp>
        <stp>[TREASURY.xlsx]Sheet1!R1186C15</stp>
        <tr r="O1186" s="1"/>
      </tp>
      <tp t="s">
        <v>9/3/1985</v>
        <stp/>
        <stp>##V3_BDPV12</stp>
        <stp>912827SR Govt</stp>
        <stp>ISSUE_DT</stp>
        <stp>[TREASURY.xlsx]Sheet1!R1396C15</stp>
        <tr r="O1396" s="1"/>
      </tp>
      <tp t="s">
        <v>USD</v>
        <stp/>
        <stp>##V3_BDPV12</stp>
        <stp>912828TT Govt</stp>
        <stp>CRNCY</stp>
        <stp>[TREASURY.xlsx]Sheet1!R1134C7</stp>
        <tr r="G1134" s="1"/>
      </tp>
      <tp t="s">
        <v>USD</v>
        <stp/>
        <stp>##V3_BDPV12</stp>
        <stp>912828WT Govt</stp>
        <stp>CRNCY</stp>
        <stp>[TREASURY.xlsx]Sheet1!R1007C7</stp>
        <tr r="G1007" s="1"/>
      </tp>
      <tp t="s">
        <v>USD</v>
        <stp/>
        <stp>##V3_BDPV12</stp>
        <stp>912828PT Govt</stp>
        <stp>CRNCY</stp>
        <stp>[TREASURY.xlsx]Sheet1!R1300C7</stp>
        <tr r="G1300" s="1"/>
      </tp>
      <tp t="s">
        <v>9/3/1985</v>
        <stp/>
        <stp>##V3_BDPV12</stp>
        <stp>912827SQ Govt</stp>
        <stp>ISSUE_DT</stp>
        <stp>[TREASURY.xlsx]Sheet1!R1187C15</stp>
        <tr r="O1187" s="1"/>
      </tp>
      <tp t="s">
        <v>USD</v>
        <stp/>
        <stp>##V3_BDPV12</stp>
        <stp>912828RU Govt</stp>
        <stp>CRNCY</stp>
        <stp>[TREASURY.xlsx]Sheet1!R1302C7</stp>
        <tr r="G1302" s="1"/>
      </tp>
      <tp t="s">
        <v>912810CG1</v>
        <stp/>
        <stp>##V3_BDPV12</stp>
        <stp>912810CG Govt</stp>
        <stp>ID_CUSIP</stp>
        <stp>[TREASURY.xlsx]Sheet1!R1308C19</stp>
        <tr r="S1308" s="1"/>
      </tp>
      <tp t="s">
        <v>USD</v>
        <stp/>
        <stp>##V3_BDPV12</stp>
        <stp>912827PX Govt</stp>
        <stp>CRNCY</stp>
        <stp>[TREASURY.xlsx]Sheet1!R1570C7</stp>
        <tr r="G1570" s="1"/>
      </tp>
      <tp t="s">
        <v>USD</v>
        <stp/>
        <stp>##V3_BDPV12</stp>
        <stp>912828SY Govt</stp>
        <stp>CRNCY</stp>
        <stp>[TREASURY.xlsx]Sheet1!R1133C7</stp>
        <tr r="G1133" s="1"/>
      </tp>
      <tp t="s">
        <v>12/3/1985</v>
        <stp/>
        <stp>##V3_BDPV12</stp>
        <stp>912827SZ Govt</stp>
        <stp>ISSUE_DT</stp>
        <stp>[TREASURY.xlsx]Sheet1!R1068C15</stp>
        <tr r="O1068" s="1"/>
      </tp>
      <tp t="s">
        <v>912828CE8</v>
        <stp/>
        <stp>##V3_BDPV12</stp>
        <stp>912828CE Govt</stp>
        <stp>ID_CUSIP</stp>
        <stp>[TREASURY.xlsx]Sheet1!R1426C19</stp>
        <tr r="S1426" s="1"/>
      </tp>
      <tp t="s">
        <v>912810CE6</v>
        <stp/>
        <stp>##V3_BDPV12</stp>
        <stp>912810CE Govt</stp>
        <stp>ID_CUSIP</stp>
        <stp>[TREASURY.xlsx]Sheet1!R1441C19</stp>
        <tr r="S1441" s="1"/>
      </tp>
      <tp t="s">
        <v>5/31/2012</v>
        <stp/>
        <stp>##V3_BDPV12</stp>
        <stp>912828SY Govt</stp>
        <stp>ISSUE_DT</stp>
        <stp>[TREASURY.xlsx]Sheet1!R1133C15</stp>
        <tr r="O1133" s="1"/>
      </tp>
      <tp t="s">
        <v>11/29/1985</v>
        <stp/>
        <stp>##V3_BDPV12</stp>
        <stp>912827SY Govt</stp>
        <stp>ISSUE_DT</stp>
        <stp>[TREASURY.xlsx]Sheet1!R1190C15</stp>
        <tr r="O1190" s="1"/>
      </tp>
      <tp t="s">
        <v>#N/A Field Not Applicable</v>
        <stp/>
        <stp>##V3_BDPV12</stp>
        <stp>912827ZT Govt</stp>
        <stp>IDX_RATIO</stp>
        <stp>[TREASURY.xlsx]Sheet1!R1612C20</stp>
        <tr r="T1612" s="1"/>
      </tp>
      <tp t="s">
        <v>USD</v>
        <stp/>
        <stp>##V3_BDPV12</stp>
        <stp>912827SB Govt</stp>
        <stp>CRNCY</stp>
        <stp>[TREASURY.xlsx]Sheet1!R1183C7</stp>
        <tr r="G1183" s="1"/>
      </tp>
      <tp t="s">
        <v>5/31/1985</v>
        <stp/>
        <stp>##V3_BDPV12</stp>
        <stp>912827SF Govt</stp>
        <stp>ISSUE_DT</stp>
        <stp>[TREASURY.xlsx]Sheet1!R1065C15</stp>
        <tr r="O1065" s="1"/>
      </tp>
      <tp t="s">
        <v>USD</v>
        <stp/>
        <stp>##V3_BDPV12</stp>
        <stp>912827RC Govt</stp>
        <stp>CRNCY</stp>
        <stp>[TREASURY.xlsx]Sheet1!R1062C7</stp>
        <tr r="G1062" s="1"/>
      </tp>
      <tp t="s">
        <v>USD</v>
        <stp/>
        <stp>##V3_BDPV12</stp>
        <stp>912828QC Govt</stp>
        <stp>CRNCY</stp>
        <stp>[TREASURY.xlsx]Sheet1!R1301C7</stp>
        <tr r="G1301" s="1"/>
      </tp>
      <tp t="s">
        <v>#N/A Field Not Applicable</v>
        <stp/>
        <stp>##V3_BDPV12</stp>
        <stp>912827WT Govt</stp>
        <stp>IDX_RATIO</stp>
        <stp>[TREASURY.xlsx]Sheet1!R1421C20</stp>
        <tr r="T1421" s="1"/>
      </tp>
      <tp t="s">
        <v>912810CZ9</v>
        <stp/>
        <stp>##V3_BDPV12</stp>
        <stp>912810CZ Govt</stp>
        <stp>ID_CUSIP</stp>
        <stp>[TREASURY.xlsx]Sheet1!R1446C19</stp>
        <tr r="S1446" s="1"/>
      </tp>
      <tp t="s">
        <v>UNITED STATES</v>
        <stp/>
        <stp>##V3_BDPV12</stp>
        <stp>9128282X Govt</stp>
        <stp>COUNTRY_FULL_NAME</stp>
        <stp>[TREASURY.xlsx]Sheet1!R554C8</stp>
        <tr r="H554" s="1"/>
      </tp>
      <tp t="s">
        <v>UNITED STATES</v>
        <stp/>
        <stp>##V3_BDPV12</stp>
        <stp>9128282P Govt</stp>
        <stp>COUNTRY_FULL_NAME</stp>
        <stp>[TREASURY.xlsx]Sheet1!R214C8</stp>
        <tr r="H214" s="1"/>
      </tp>
      <tp t="s">
        <v>#N/A Field Not Applicable</v>
        <stp/>
        <stp>##V3_BDPV12</stp>
        <stp>912810DT Govt</stp>
        <stp>IDX_RATIO</stp>
        <stp>[TREASURY.xlsx]Sheet1!R1622C20</stp>
        <tr r="T1622" s="1"/>
      </tp>
      <tp t="s">
        <v>#N/A Field Not Applicable</v>
        <stp/>
        <stp>##V3_BDPV12</stp>
        <stp>9128272T Govt</stp>
        <stp>IDX_RATIO</stp>
        <stp>[TREASURY.xlsx]Sheet1!R1521C20</stp>
        <tr r="T1521" s="1"/>
      </tp>
      <tp t="s">
        <v>5/15/1985</v>
        <stp/>
        <stp>##V3_BDPV12</stp>
        <stp>912827SE Govt</stp>
        <stp>ISSUE_DT</stp>
        <stp>[TREASURY.xlsx]Sheet1!R1184C15</stp>
        <tr r="O1184" s="1"/>
      </tp>
      <tp t="s">
        <v>4/1/1985</v>
        <stp/>
        <stp>##V3_BDPV12</stp>
        <stp>912827SA Govt</stp>
        <stp>ISSUE_DT</stp>
        <stp>[TREASURY.xlsx]Sheet1!R1587C15</stp>
        <tr r="O1587" s="1"/>
      </tp>
      <tp t="s">
        <v>#N/A Field Not Applicable</v>
        <stp/>
        <stp>##V3_BDPV12</stp>
        <stp>912827RT Govt</stp>
        <stp>IDX_RATIO</stp>
        <stp>[TREASURY.xlsx]Sheet1!R1581C20</stp>
        <tr r="T1581" s="1"/>
      </tp>
      <tp t="s">
        <v>UNITED STATES</v>
        <stp/>
        <stp>##V3_BDPV12</stp>
        <stp>9128283H Govt</stp>
        <stp>COUNTRY_FULL_NAME</stp>
        <stp>[TREASURY.xlsx]Sheet1!R784C8</stp>
        <tr r="H784" s="1"/>
      </tp>
      <tp t="s">
        <v>#N/A Field Not Applicable</v>
        <stp/>
        <stp>##V3_BDPV12</stp>
        <stp>912828MT Govt</stp>
        <stp>IDX_RATIO</stp>
        <stp>[TREASURY.xlsx]Sheet1!R1254C20</stp>
        <tr r="T1254" s="1"/>
      </tp>
      <tp t="s">
        <v>4/2/1985</v>
        <stp/>
        <stp>##V3_BDPV12</stp>
        <stp>912827SB Govt</stp>
        <stp>ISSUE_DT</stp>
        <stp>[TREASURY.xlsx]Sheet1!R1183C15</stp>
        <tr r="O1183" s="1"/>
      </tp>
      <tp t="s">
        <v>#N/A Field Not Applicable</v>
        <stp/>
        <stp>##V3_BDPV12</stp>
        <stp>912828DT Govt</stp>
        <stp>IDX_RATIO</stp>
        <stp>[TREASURY.xlsx]Sheet1!R1272C20</stp>
        <tr r="T1272" s="1"/>
      </tp>
      <tp t="s">
        <v>USD</v>
        <stp/>
        <stp>##V3_BDPV12</stp>
        <stp>912827VF Govt</stp>
        <stp>CRNCY</stp>
        <stp>[TREASURY.xlsx]Sheet1!R1086C7</stp>
        <tr r="G1086" s="1"/>
      </tp>
      <tp t="s">
        <v>UNITED STATES</v>
        <stp/>
        <stp>##V3_BDPV12</stp>
        <stp>9128284T Govt</stp>
        <stp>COUNTRY_FULL_NAME</stp>
        <stp>[TREASURY.xlsx]Sheet1!R344C8</stp>
        <tr r="H344" s="1"/>
      </tp>
      <tp t="s">
        <v>UNITED STATES</v>
        <stp/>
        <stp>##V3_BDPV12</stp>
        <stp>9128284S Govt</stp>
        <stp>COUNTRY_FULL_NAME</stp>
        <stp>[TREASURY.xlsx]Sheet1!R294C8</stp>
        <tr r="H294" s="1"/>
      </tp>
      <tp t="s">
        <v>#N/A Field Not Applicable</v>
        <stp/>
        <stp>##V3_BDPV12</stp>
        <stp>912827LT Govt</stp>
        <stp>IDX_RATIO</stp>
        <stp>[TREASURY.xlsx]Sheet1!R1379C20</stp>
        <tr r="T1379" s="1"/>
      </tp>
      <tp t="s">
        <v>1/31/2012</v>
        <stp/>
        <stp>##V3_BDPV12</stp>
        <stp>912828SC Govt</stp>
        <stp>ISSUE_DT</stp>
        <stp>[TREASURY.xlsx]Sheet1!R1141C15</stp>
        <tr r="O1141" s="1"/>
      </tp>
      <tp t="s">
        <v>#N/A Field Not Applicable</v>
        <stp/>
        <stp>##V3_BDPV12</stp>
        <stp>912827PT Govt</stp>
        <stp>IDX_RATIO</stp>
        <stp>[TREASURY.xlsx]Sheet1!R1342C20</stp>
        <tr r="T1342" s="1"/>
      </tp>
      <tp t="s">
        <v>#N/A Field Not Applicable</v>
        <stp/>
        <stp>##V3_BDPV12</stp>
        <stp>912827KT Govt</stp>
        <stp>IDX_RATIO</stp>
        <stp>[TREASURY.xlsx]Sheet1!R1318C20</stp>
        <tr r="T1318" s="1"/>
      </tp>
      <tp t="s">
        <v>#N/A Field Not Applicable</v>
        <stp/>
        <stp>##V3_BDPV12</stp>
        <stp>912828PT Govt</stp>
        <stp>IDX_RATIO</stp>
        <stp>[TREASURY.xlsx]Sheet1!R1300C20</stp>
        <tr r="T1300" s="1"/>
      </tp>
      <tp t="s">
        <v>6/4/1985</v>
        <stp/>
        <stp>##V3_BDPV12</stp>
        <stp>912827SG Govt</stp>
        <stp>ISSUE_DT</stp>
        <stp>[TREASURY.xlsx]Sheet1!R1588C15</stp>
        <tr r="O1588" s="1"/>
      </tp>
      <tp t="s">
        <v>#N/A Field Not Applicable</v>
        <stp/>
        <stp>##V3_BDPV12</stp>
        <stp>912827NT Govt</stp>
        <stp>IDX_RATIO</stp>
        <stp>[TREASURY.xlsx]Sheet1!R1384C20</stp>
        <tr r="T1384" s="1"/>
      </tp>
      <tp t="s">
        <v>USD</v>
        <stp/>
        <stp>##V3_BDPV12</stp>
        <stp>912828UG Govt</stp>
        <stp>CRNCY</stp>
        <stp>[TREASURY.xlsx]Sheet1!R1135C7</stp>
        <tr r="G1135" s="1"/>
      </tp>
      <tp t="s">
        <v>#N/A Field Not Applicable</v>
        <stp/>
        <stp>##V3_BDPV12</stp>
        <stp>912827ST Govt</stp>
        <stp>IDX_RATIO</stp>
        <stp>[TREASURY.xlsx]Sheet1!R1067C20</stp>
        <tr r="T1067" s="1"/>
      </tp>
      <tp t="s">
        <v>#N/A Field Not Applicable</v>
        <stp/>
        <stp>##V3_BDPV12</stp>
        <stp>912827QT Govt</stp>
        <stp>IDX_RATIO</stp>
        <stp>[TREASURY.xlsx]Sheet1!R1059C20</stp>
        <tr r="T1059" s="1"/>
      </tp>
      <tp t="s">
        <v>#N/A Field Not Applicable</v>
        <stp/>
        <stp>##V3_BDPV12</stp>
        <stp>9128276T Govt</stp>
        <stp>IDX_RATIO</stp>
        <stp>[TREASURY.xlsx]Sheet1!R1025C20</stp>
        <tr r="T1025" s="1"/>
      </tp>
      <tp t="s">
        <v>#N/A Field Not Applicable</v>
        <stp/>
        <stp>##V3_BDPV12</stp>
        <stp>912828WT Govt</stp>
        <stp>IDX_RATIO</stp>
        <stp>[TREASURY.xlsx]Sheet1!R1007C20</stp>
        <tr r="T1007" s="1"/>
      </tp>
      <tp t="s">
        <v>UNITED STATES</v>
        <stp/>
        <stp>##V3_BDPV12</stp>
        <stp>9128286X Govt</stp>
        <stp>COUNTRY_FULL_NAME</stp>
        <stp>[TREASURY.xlsx]Sheet1!R264C8</stp>
        <tr r="H264" s="1"/>
      </tp>
      <tp t="s">
        <v>#N/A Field Not Applicable</v>
        <stp/>
        <stp>##V3_BDPV12</stp>
        <stp>912827YT Govt</stp>
        <stp>IDX_RATIO</stp>
        <stp>[TREASURY.xlsx]Sheet1!R1101C20</stp>
        <tr r="T1101" s="1"/>
      </tp>
      <tp t="s">
        <v>#N/A Field Not Applicable</v>
        <stp/>
        <stp>##V3_BDPV12</stp>
        <stp>912828TT Govt</stp>
        <stp>IDX_RATIO</stp>
        <stp>[TREASURY.xlsx]Sheet1!R1134C20</stp>
        <tr r="T1134" s="1"/>
      </tp>
      <tp t="s">
        <v>#N/A Field Not Applicable</v>
        <stp/>
        <stp>##V3_BDPV12</stp>
        <stp>912827TT Govt</stp>
        <stp>IDX_RATIO</stp>
        <stp>[TREASURY.xlsx]Sheet1!R1195C20</stp>
        <tr r="T1195" s="1"/>
      </tp>
      <tp t="s">
        <v>USD</v>
        <stp/>
        <stp>##V3_BDPV12</stp>
        <stp>912827WJ Govt</stp>
        <stp>CRNCY</stp>
        <stp>[TREASURY.xlsx]Sheet1!R1207C7</stp>
        <tr r="G1207" s="1"/>
      </tp>
      <tp t="s">
        <v>8/15/1985</v>
        <stp/>
        <stp>##V3_BDPV12</stp>
        <stp>912827SN Govt</stp>
        <stp>ISSUE_DT</stp>
        <stp>[TREASURY.xlsx]Sheet1!R1066C15</stp>
        <tr r="O1066" s="1"/>
      </tp>
      <tp t="s">
        <v>912810CV8</v>
        <stp/>
        <stp>##V3_BDPV12</stp>
        <stp>912810CV Govt</stp>
        <stp>ID_CUSIP</stp>
        <stp>[TREASURY.xlsx]Sheet1!R1310C19</stp>
        <tr r="S1310" s="1"/>
      </tp>
      <tp t="s">
        <v>7/1/1985</v>
        <stp/>
        <stp>##V3_BDPV12</stp>
        <stp>912827SK Govt</stp>
        <stp>ISSUE_DT</stp>
        <stp>[TREASURY.xlsx]Sheet1!R1589C15</stp>
        <tr r="O1589" s="1"/>
      </tp>
      <tp t="s">
        <v>USD</v>
        <stp/>
        <stp>##V3_BDPV12</stp>
        <stp>912827PK Govt</stp>
        <stp>CRNCY</stp>
        <stp>[TREASURY.xlsx]Sheet1!R1340C7</stp>
        <tr r="G1340" s="1"/>
      </tp>
      <tp t="s">
        <v>912810CU0</v>
        <stp/>
        <stp>##V3_BDPV12</stp>
        <stp>912810CU Govt</stp>
        <stp>ID_CUSIP</stp>
        <stp>[TREASURY.xlsx]Sheet1!R1345C19</stp>
        <tr r="S1345" s="1"/>
      </tp>
      <tp t="s">
        <v>USD</v>
        <stp/>
        <stp>##V3_BDPV12</stp>
        <stp>912827RH Govt</stp>
        <stp>CRNCY</stp>
        <stp>[TREASURY.xlsx]Sheet1!R1502C7</stp>
        <tr r="G1502" s="1"/>
      </tp>
      <tp t="s">
        <v>USD</v>
        <stp/>
        <stp>##V3_BDPV12</stp>
        <stp>912827WH Govt</stp>
        <stp>CRNCY</stp>
        <stp>[TREASURY.xlsx]Sheet1!R1417C7</stp>
        <tr r="G1417" s="1"/>
      </tp>
      <tp t="s">
        <v>912810CQ9</v>
        <stp/>
        <stp>##V3_BDPV12</stp>
        <stp>912810CQ Govt</stp>
        <stp>ID_CUSIP</stp>
        <stp>[TREASURY.xlsx]Sheet1!R1623C19</stp>
        <tr r="S1623" s="1"/>
      </tp>
      <tp t="s">
        <v>7/1/1985</v>
        <stp/>
        <stp>##V3_BDPV12</stp>
        <stp>912827SJ Govt</stp>
        <stp>ISSUE_DT</stp>
        <stp>[TREASURY.xlsx]Sheet1!R1185C15</stp>
        <tr r="O1185" s="1"/>
      </tp>
      <tp t="s">
        <v>USD</v>
        <stp/>
        <stp>##V3_BDPV12</stp>
        <stp>912827TN Govt</stp>
        <stp>CRNCY</stp>
        <stp>[TREASURY.xlsx]Sheet1!R1074C7</stp>
        <tr r="G1074" s="1"/>
      </tp>
      <tp t="s">
        <v>USD</v>
        <stp/>
        <stp>##V3_BDPV12</stp>
        <stp>912827XN Govt</stp>
        <stp>CRNCY</stp>
        <stp>[TREASURY.xlsx]Sheet1!R1598C7</stp>
        <tr r="G1598" s="1"/>
      </tp>
      <tp t="s">
        <v>3/15/2012</v>
        <stp/>
        <stp>##V3_BDPV12</stp>
        <stp>912828SK Govt</stp>
        <stp>ISSUE_DT</stp>
        <stp>[TREASURY.xlsx]Sheet1!R1132C15</stp>
        <tr r="O1132" s="1"/>
      </tp>
      <tp t="s">
        <v>912810CW6</v>
        <stp/>
        <stp>##V3_BDPV12</stp>
        <stp>912810CW Govt</stp>
        <stp>ID_CUSIP</stp>
        <stp>[TREASURY.xlsx]Sheet1!R1618C19</stp>
        <tr r="S1618" s="1"/>
      </tp>
      <tp t="s">
        <v>912810CR7</v>
        <stp/>
        <stp>##V3_BDPV12</stp>
        <stp>912810CR Govt</stp>
        <stp>ID_CUSIP</stp>
        <stp>[TREASURY.xlsx]Sheet1!R1344C19</stp>
        <tr r="S1344" s="1"/>
      </tp>
      <tp t="s">
        <v>912828CQ1</v>
        <stp/>
        <stp>##V3_BDPV12</stp>
        <stp>912828CQ Govt</stp>
        <stp>ID_CUSIP</stp>
        <stp>[TREASURY.xlsx]Sheet1!R1236C19</stp>
        <tr r="S1236" s="1"/>
      </tp>
      <tp t="s">
        <v>USD</v>
        <stp/>
        <stp>##V3_BDPV12</stp>
        <stp>912827UM Govt</stp>
        <stp>CRNCY</stp>
        <stp>[TREASURY.xlsx]Sheet1!R1405C7</stp>
        <tr r="G1405" s="1"/>
      </tp>
      <tp t="s">
        <v>5/31/2016</v>
        <stp/>
        <stp>##V3_BDPV12</stp>
        <stp>912828R5 Govt</stp>
        <stp>ISSUE_DT</stp>
        <stp>[TREASURY.xlsx]Sheet1!R1284C15</stp>
        <tr r="O1284" s="1"/>
      </tp>
      <tp t="s">
        <v>USD</v>
        <stp/>
        <stp>##V3_BDPV12</stp>
        <stp>912827Y2 Govt</stp>
        <stp>CRNCY</stp>
        <stp>[TREASURY.xlsx]Sheet1!R1098C7</stp>
        <tr r="G1098" s="1"/>
      </tp>
      <tp t="s">
        <v>5/16/2016</v>
        <stp/>
        <stp>##V3_BDPV12</stp>
        <stp>912828R4 Govt</stp>
        <stp>ISSUE_DT</stp>
        <stp>[TREASURY.xlsx]Sheet1!R1264C15</stp>
        <tr r="O1264" s="1"/>
      </tp>
      <tp t="s">
        <v>UNITED STATES</v>
        <stp/>
        <stp>##V3_BDPV12</stp>
        <stp>912828A4 Govt</stp>
        <stp>COUNTRY_FULL_NAME</stp>
        <stp>[TREASURY.xlsx]Sheet1!R555C8</stp>
        <tr r="H555" s="1"/>
      </tp>
      <tp t="s">
        <v>UNITED STATES</v>
        <stp/>
        <stp>##V3_BDPV12</stp>
        <stp>912828AZ Govt</stp>
        <stp>COUNTRY_FULL_NAME</stp>
        <stp>[TREASURY.xlsx]Sheet1!R415C8</stp>
        <tr r="H415" s="1"/>
      </tp>
      <tp t="s">
        <v>UNITED STATES</v>
        <stp/>
        <stp>##V3_BDPV12</stp>
        <stp>912828AS Govt</stp>
        <stp>COUNTRY_FULL_NAME</stp>
        <stp>[TREASURY.xlsx]Sheet1!R785C8</stp>
        <tr r="H785" s="1"/>
      </tp>
      <tp t="s">
        <v>UNITED STATES</v>
        <stp/>
        <stp>##V3_BDPV12</stp>
        <stp>912828AT Govt</stp>
        <stp>COUNTRY_FULL_NAME</stp>
        <stp>[TREASURY.xlsx]Sheet1!R635C8</stp>
        <tr r="H635" s="1"/>
      </tp>
      <tp t="s">
        <v>UNITED STATES</v>
        <stp/>
        <stp>##V3_BDPV12</stp>
        <stp>912828BQ Govt</stp>
        <stp>COUNTRY_FULL_NAME</stp>
        <stp>[TREASURY.xlsx]Sheet1!R435C8</stp>
        <tr r="H435" s="1"/>
      </tp>
      <tp t="s">
        <v>UNITED STATES</v>
        <stp/>
        <stp>##V3_BDPV12</stp>
        <stp>912828BV Govt</stp>
        <stp>COUNTRY_FULL_NAME</stp>
        <stp>[TREASURY.xlsx]Sheet1!R495C8</stp>
        <tr r="H495" s="1"/>
      </tp>
      <tp t="s">
        <v>UNITED STATES</v>
        <stp/>
        <stp>##V3_BDPV12</stp>
        <stp>912828CC Govt</stp>
        <stp>COUNTRY_FULL_NAME</stp>
        <stp>[TREASURY.xlsx]Sheet1!R325C8</stp>
        <tr r="H325" s="1"/>
      </tp>
      <tp t="s">
        <v>UNITED STATES</v>
        <stp/>
        <stp>##V3_BDPV12</stp>
        <stp>912828CF Govt</stp>
        <stp>COUNTRY_FULL_NAME</stp>
        <stp>[TREASURY.xlsx]Sheet1!R465C8</stp>
        <tr r="H465" s="1"/>
      </tp>
      <tp t="s">
        <v>9/30/1994</v>
        <stp/>
        <stp>##V3_BDPV12</stp>
        <stp>912827R3 Govt</stp>
        <stp>ISSUE_DT</stp>
        <stp>[TREASURY.xlsx]Sheet1!R1060C15</stp>
        <tr r="O1060" s="1"/>
      </tp>
      <tp t="s">
        <v>10/31/1994</v>
        <stp/>
        <stp>##V3_BDPV12</stp>
        <stp>912827R6 Govt</stp>
        <stp>ISSUE_DT</stp>
        <stp>[TREASURY.xlsx]Sheet1!R1500C15</stp>
        <tr r="O1500" s="1"/>
      </tp>
      <tp t="s">
        <v>UNITED STATES</v>
        <stp/>
        <stp>##V3_BDPV12</stp>
        <stp>912828D8 Govt</stp>
        <stp>COUNTRY_FULL_NAME</stp>
        <stp>[TREASURY.xlsx]Sheet1!R545C8</stp>
        <tr r="H545" s="1"/>
      </tp>
      <tp t="s">
        <v>USD</v>
        <stp/>
        <stp>##V3_BDPV12</stp>
        <stp>912827S6 Govt</stp>
        <stp>CRNCY</stp>
        <stp>[TREASURY.xlsx]Sheet1!R1182C7</stp>
        <tr r="G1182" s="1"/>
      </tp>
      <tp t="s">
        <v>11/15/1994</v>
        <stp/>
        <stp>##V3_BDPV12</stp>
        <stp>912827R7 Govt</stp>
        <stp>ISSUE_DT</stp>
        <stp>[TREASURY.xlsx]Sheet1!R1577C15</stp>
        <tr r="O1577" s="1"/>
      </tp>
      <tp t="s">
        <v>USD</v>
        <stp/>
        <stp>##V3_BDPV12</stp>
        <stp>912827W7 Govt</stp>
        <stp>CRNCY</stp>
        <stp>[TREASURY.xlsx]Sheet1!R1416C7</stp>
        <tr r="G1416" s="1"/>
      </tp>
      <tp t="s">
        <v>UNITED STATES</v>
        <stp/>
        <stp>##V3_BDPV12</stp>
        <stp>912828EP Govt</stp>
        <stp>COUNTRY_FULL_NAME</stp>
        <stp>[TREASURY.xlsx]Sheet1!R965C8</stp>
        <tr r="H965" s="1"/>
      </tp>
      <tp t="s">
        <v>UNITED STATES</v>
        <stp/>
        <stp>##V3_BDPV12</stp>
        <stp>912828EE Govt</stp>
        <stp>COUNTRY_FULL_NAME</stp>
        <stp>[TREASURY.xlsx]Sheet1!R795C8</stp>
        <tr r="H795" s="1"/>
      </tp>
      <tp t="s">
        <v>USD</v>
        <stp/>
        <stp>##V3_BDPV12</stp>
        <stp>912827P4 Govt</stp>
        <stp>CRNCY</stp>
        <stp>[TREASURY.xlsx]Sheet1!R1171C7</stp>
        <tr r="G1171" s="1"/>
      </tp>
      <tp t="s">
        <v>UNITED STATES</v>
        <stp/>
        <stp>##V3_BDPV12</stp>
        <stp>912828FV Govt</stp>
        <stp>COUNTRY_FULL_NAME</stp>
        <stp>[TREASURY.xlsx]Sheet1!R845C8</stp>
        <tr r="H845" s="1"/>
      </tp>
      <tp t="s">
        <v>UNITED STATES</v>
        <stp/>
        <stp>##V3_BDPV12</stp>
        <stp>912828FF Govt</stp>
        <stp>COUNTRY_FULL_NAME</stp>
        <stp>[TREASURY.xlsx]Sheet1!R475C8</stp>
        <tr r="H475" s="1"/>
      </tp>
      <tp t="s">
        <v>9/30/1994</v>
        <stp/>
        <stp>##V3_BDPV12</stp>
        <stp>912827R4 Govt</stp>
        <stp>ISSUE_DT</stp>
        <stp>[TREASURY.xlsx]Sheet1!R1499C15</stp>
        <tr r="O1499" s="1"/>
      </tp>
      <tp t="s">
        <v>UNITED STATES</v>
        <stp/>
        <stp>##V3_BDPV12</stp>
        <stp>912828GV Govt</stp>
        <stp>COUNTRY_FULL_NAME</stp>
        <stp>[TREASURY.xlsx]Sheet1!R805C8</stp>
        <tr r="H805" s="1"/>
      </tp>
      <tp t="s">
        <v>UNITED STATES</v>
        <stp/>
        <stp>##V3_BDPV12</stp>
        <stp>912828GS Govt</stp>
        <stp>COUNTRY_FULL_NAME</stp>
        <stp>[TREASURY.xlsx]Sheet1!R615C8</stp>
        <tr r="H615" s="1"/>
      </tp>
      <tp t="s">
        <v>UNITED STATES</v>
        <stp/>
        <stp>##V3_BDPV12</stp>
        <stp>912828H7 Govt</stp>
        <stp>COUNTRY_FULL_NAME</stp>
        <stp>[TREASURY.xlsx]Sheet1!R605C8</stp>
        <tr r="H605" s="1"/>
      </tp>
      <tp t="s">
        <v>UNITED STATES</v>
        <stp/>
        <stp>##V3_BDPV12</stp>
        <stp>912828HK Govt</stp>
        <stp>COUNTRY_FULL_NAME</stp>
        <stp>[TREASURY.xlsx]Sheet1!R525C8</stp>
        <tr r="H525" s="1"/>
      </tp>
      <tp t="s">
        <v>UNITED STATES</v>
        <stp/>
        <stp>##V3_BDPV12</stp>
        <stp>912828JU Govt</stp>
        <stp>COUNTRY_FULL_NAME</stp>
        <stp>[TREASURY.xlsx]Sheet1!R855C8</stp>
        <tr r="H855" s="1"/>
      </tp>
      <tp t="s">
        <v>11/30/1994</v>
        <stp/>
        <stp>##V3_BDPV12</stp>
        <stp>912827R9 Govt</stp>
        <stp>ISSUE_DT</stp>
        <stp>[TREASURY.xlsx]Sheet1!R1578C15</stp>
        <tr r="O1578" s="1"/>
      </tp>
      <tp t="s">
        <v>USD</v>
        <stp/>
        <stp>##V3_BDPV12</stp>
        <stp>912827T9 Govt</stp>
        <stp>CRNCY</stp>
        <stp>[TREASURY.xlsx]Sheet1!R1505C7</stp>
        <tr r="G1505" s="1"/>
      </tp>
      <tp t="s">
        <v>UNITED STATES</v>
        <stp/>
        <stp>##V3_BDPV12</stp>
        <stp>912828LX Govt</stp>
        <stp>COUNTRY_FULL_NAME</stp>
        <stp>[TREASURY.xlsx]Sheet1!R535C8</stp>
        <tr r="H535" s="1"/>
      </tp>
      <tp t="s">
        <v>UNITED STATES</v>
        <stp/>
        <stp>##V3_BDPV12</stp>
        <stp>912828LT Govt</stp>
        <stp>COUNTRY_FULL_NAME</stp>
        <stp>[TREASURY.xlsx]Sheet1!R975C8</stp>
        <tr r="H975" s="1"/>
      </tp>
      <tp t="s">
        <v>UNITED STATES</v>
        <stp/>
        <stp>##V3_BDPV12</stp>
        <stp>912828LZ Govt</stp>
        <stp>COUNTRY_FULL_NAME</stp>
        <stp>[TREASURY.xlsx]Sheet1!R515C8</stp>
        <tr r="H515" s="1"/>
      </tp>
      <tp t="s">
        <v>UNITED STATES</v>
        <stp/>
        <stp>##V3_BDPV12</stp>
        <stp>912828LG Govt</stp>
        <stp>COUNTRY_FULL_NAME</stp>
        <stp>[TREASURY.xlsx]Sheet1!R815C8</stp>
        <tr r="H815" s="1"/>
      </tp>
      <tp t="s">
        <v>UNITED STATES</v>
        <stp/>
        <stp>##V3_BDPV12</stp>
        <stp>912828LJ Govt</stp>
        <stp>COUNTRY_FULL_NAME</stp>
        <stp>[TREASURY.xlsx]Sheet1!R485C8</stp>
        <tr r="H485" s="1"/>
      </tp>
      <tp t="s">
        <v>UNITED STATES</v>
        <stp/>
        <stp>##V3_BDPV12</stp>
        <stp>912828MX Govt</stp>
        <stp>COUNTRY_FULL_NAME</stp>
        <stp>[TREASURY.xlsx]Sheet1!R825C8</stp>
        <tr r="H825" s="1"/>
      </tp>
      <tp t="s">
        <v>UNITED STATES</v>
        <stp/>
        <stp>##V3_BDPV12</stp>
        <stp>912828NP Govt</stp>
        <stp>COUNTRY_FULL_NAME</stp>
        <stp>[TREASURY.xlsx]Sheet1!R865C8</stp>
        <tr r="H865" s="1"/>
      </tp>
      <tp t="s">
        <v>UNITED STATES</v>
        <stp/>
        <stp>##V3_BDPV12</stp>
        <stp>912828ND Govt</stp>
        <stp>COUNTRY_FULL_NAME</stp>
        <stp>[TREASURY.xlsx]Sheet1!R645C8</stp>
        <tr r="H645" s="1"/>
      </tp>
      <tp t="s">
        <v>912827B84</v>
        <stp/>
        <stp>##V3_BDPV12</stp>
        <stp>912827B8 Govt</stp>
        <stp>ID_CUSIP</stp>
        <stp>[TREASURY.xlsx]Sheet1!R1478C19</stp>
        <tr r="S1478" s="1"/>
      </tp>
      <tp t="s">
        <v>912827B92</v>
        <stp/>
        <stp>##V3_BDPV12</stp>
        <stp>912827B9 Govt</stp>
        <stp>ID_CUSIP</stp>
        <stp>[TREASURY.xlsx]Sheet1!R1552C19</stp>
        <tr r="S1552" s="1"/>
      </tp>
      <tp t="s">
        <v>UNITED STATES</v>
        <stp/>
        <stp>##V3_BDPV12</stp>
        <stp>912828PZ Govt</stp>
        <stp>COUNTRY_FULL_NAME</stp>
        <stp>[TREASURY.xlsx]Sheet1!R575C8</stp>
        <tr r="H575" s="1"/>
      </tp>
      <tp t="s">
        <v>UNITED STATES</v>
        <stp/>
        <stp>##V3_BDPV12</stp>
        <stp>912828PQ Govt</stp>
        <stp>COUNTRY_FULL_NAME</stp>
        <stp>[TREASURY.xlsx]Sheet1!R985C8</stp>
        <tr r="H985" s="1"/>
      </tp>
      <tp t="s">
        <v>UNITED STATES</v>
        <stp/>
        <stp>##V3_BDPV12</stp>
        <stp>912828PX Govt</stp>
        <stp>COUNTRY_FULL_NAME</stp>
        <stp>[TREASURY.xlsx]Sheet1!R355C8</stp>
        <tr r="H355" s="1"/>
      </tp>
      <tp t="s">
        <v>UNITED STATES</v>
        <stp/>
        <stp>##V3_BDPV12</stp>
        <stp>912828PC Govt</stp>
        <stp>COUNTRY_FULL_NAME</stp>
        <stp>[TREASURY.xlsx]Sheet1!R365C8</stp>
        <tr r="H365" s="1"/>
      </tp>
      <tp t="s">
        <v>UNITED STATES</v>
        <stp/>
        <stp>##V3_BDPV12</stp>
        <stp>912828Q9 Govt</stp>
        <stp>COUNTRY_FULL_NAME</stp>
        <stp>[TREASURY.xlsx]Sheet1!R425C8</stp>
        <tr r="H425" s="1"/>
      </tp>
      <tp t="s">
        <v>UNITED STATES</v>
        <stp/>
        <stp>##V3_BDPV12</stp>
        <stp>912828QH Govt</stp>
        <stp>COUNTRY_FULL_NAME</stp>
        <stp>[TREASURY.xlsx]Sheet1!R595C8</stp>
        <tr r="H595" s="1"/>
      </tp>
      <tp t="s">
        <v>UNITED STATES</v>
        <stp/>
        <stp>##V3_BDPV12</stp>
        <stp>912828R2 Govt</stp>
        <stp>COUNTRY_FULL_NAME</stp>
        <stp>[TREASURY.xlsx]Sheet1!R245C8</stp>
        <tr r="H245" s="1"/>
      </tp>
      <tp t="s">
        <v>UNITED STATES</v>
        <stp/>
        <stp>##V3_BDPV12</stp>
        <stp>912828S3 Govt</stp>
        <stp>COUNTRY_FULL_NAME</stp>
        <stp>[TREASURY.xlsx]Sheet1!R305C8</stp>
        <tr r="H305" s="1"/>
      </tp>
      <tp t="s">
        <v>UNITED STATES</v>
        <stp/>
        <stp>##V3_BDPV12</stp>
        <stp>912828SP Govt</stp>
        <stp>COUNTRY_FULL_NAME</stp>
        <stp>[TREASURY.xlsx]Sheet1!R995C8</stp>
        <tr r="H995" s="1"/>
      </tp>
      <tp t="s">
        <v>UNITED STATES</v>
        <stp/>
        <stp>##V3_BDPV12</stp>
        <stp>912828T9 Govt</stp>
        <stp>COUNTRY_FULL_NAME</stp>
        <stp>[TREASURY.xlsx]Sheet1!R215C8</stp>
        <tr r="H215" s="1"/>
      </tp>
      <tp t="s">
        <v>UNITED STATES</v>
        <stp/>
        <stp>##V3_BDPV12</stp>
        <stp>912828T6 Govt</stp>
        <stp>COUNTRY_FULL_NAME</stp>
        <stp>[TREASURY.xlsx]Sheet1!R105C8</stp>
        <tr r="H105" s="1"/>
      </tp>
      <tp t="s">
        <v>UNITED STATES</v>
        <stp/>
        <stp>##V3_BDPV12</stp>
        <stp>912828TZ Govt</stp>
        <stp>COUNTRY_FULL_NAME</stp>
        <stp>[TREASURY.xlsx]Sheet1!R875C8</stp>
        <tr r="H875" s="1"/>
      </tp>
      <tp t="s">
        <v>UNITED STATES</v>
        <stp/>
        <stp>##V3_BDPV12</stp>
        <stp>912828TH Govt</stp>
        <stp>COUNTRY_FULL_NAME</stp>
        <stp>[TREASURY.xlsx]Sheet1!R585C8</stp>
        <tr r="H585" s="1"/>
      </tp>
      <tp t="s">
        <v>UNITED STATES</v>
        <stp/>
        <stp>##V3_BDPV12</stp>
        <stp>912828TK Govt</stp>
        <stp>COUNTRY_FULL_NAME</stp>
        <stp>[TREASURY.xlsx]Sheet1!R565C8</stp>
        <tr r="H565" s="1"/>
      </tp>
      <tp t="s">
        <v>UNITED STATES</v>
        <stp/>
        <stp>##V3_BDPV12</stp>
        <stp>912828TC Govt</stp>
        <stp>COUNTRY_FULL_NAME</stp>
        <stp>[TREASURY.xlsx]Sheet1!R385C8</stp>
        <tr r="H385" s="1"/>
      </tp>
      <tp t="s">
        <v>UNITED STATES</v>
        <stp/>
        <stp>##V3_BDPV12</stp>
        <stp>912828UZ Govt</stp>
        <stp>COUNTRY_FULL_NAME</stp>
        <stp>[TREASURY.xlsx]Sheet1!R445C8</stp>
        <tr r="H445" s="1"/>
      </tp>
      <tp t="s">
        <v>UNITED STATES</v>
        <stp/>
        <stp>##V3_BDPV12</stp>
        <stp>912828V5 Govt</stp>
        <stp>COUNTRY_FULL_NAME</stp>
        <stp>[TREASURY.xlsx]Sheet1!R655C8</stp>
        <tr r="H655" s="1"/>
      </tp>
      <tp t="s">
        <v>UNITED STATES</v>
        <stp/>
        <stp>##V3_BDPV12</stp>
        <stp>912828VZ Govt</stp>
        <stp>COUNTRY_FULL_NAME</stp>
        <stp>[TREASURY.xlsx]Sheet1!R695C8</stp>
        <tr r="H695" s="1"/>
      </tp>
      <tp t="s">
        <v>UNITED STATES</v>
        <stp/>
        <stp>##V3_BDPV12</stp>
        <stp>912828W7 Govt</stp>
        <stp>COUNTRY_FULL_NAME</stp>
        <stp>[TREASURY.xlsx]Sheet1!R125C8</stp>
        <tr r="H125" s="1"/>
      </tp>
      <tp t="s">
        <v>UNITED STATES</v>
        <stp/>
        <stp>##V3_BDPV12</stp>
        <stp>912828XT Govt</stp>
        <stp>COUNTRY_FULL_NAME</stp>
        <stp>[TREASURY.xlsx]Sheet1!R155C8</stp>
        <tr r="H155" s="1"/>
      </tp>
      <tp t="s">
        <v>UNITED STATES</v>
        <stp/>
        <stp>##V3_BDPV12</stp>
        <stp>912828XK Govt</stp>
        <stp>COUNTRY_FULL_NAME</stp>
        <stp>[TREASURY.xlsx]Sheet1!R625C8</stp>
        <tr r="H625" s="1"/>
      </tp>
      <tp t="s">
        <v>912828B74</v>
        <stp/>
        <stp>##V3_BDPV12</stp>
        <stp>912828B7 Govt</stp>
        <stp>ID_CUSIP</stp>
        <stp>[TREASURY.xlsx]Sheet1!R1270C19</stp>
        <tr r="S1270" s="1"/>
      </tp>
      <tp t="s">
        <v>UNITED STATES</v>
        <stp/>
        <stp>##V3_BDPV12</stp>
        <stp>912828Y7 Govt</stp>
        <stp>COUNTRY_FULL_NAME</stp>
        <stp>[TREASURY.xlsx]Sheet1!R255C8</stp>
        <tr r="H255" s="1"/>
      </tp>
      <tp t="s">
        <v>UNITED STATES</v>
        <stp/>
        <stp>##V3_BDPV12</stp>
        <stp>912828YH Govt</stp>
        <stp>COUNTRY_FULL_NAME</stp>
        <stp>[TREASURY.xlsx]Sheet1!R135C8</stp>
        <tr r="H135" s="1"/>
      </tp>
      <tp t="s">
        <v>UNITED STATES</v>
        <stp/>
        <stp>##V3_BDPV12</stp>
        <stp>912828YC Govt</stp>
        <stp>COUNTRY_FULL_NAME</stp>
        <stp>[TREASURY.xlsx]Sheet1!R335C8</stp>
        <tr r="H335" s="1"/>
      </tp>
      <tp t="s">
        <v>912827B27</v>
        <stp/>
        <stp>##V3_BDPV12</stp>
        <stp>912827B2 Govt</stp>
        <stp>ID_CUSIP</stp>
        <stp>[TREASURY.xlsx]Sheet1!R1475C19</stp>
        <tr r="S1475" s="1"/>
      </tp>
      <tp t="s">
        <v>912827B35</v>
        <stp/>
        <stp>##V3_BDPV12</stp>
        <stp>912827B3 Govt</stp>
        <stp>ID_CUSIP</stp>
        <stp>[TREASURY.xlsx]Sheet1!R1549C19</stp>
        <tr r="S1549" s="1"/>
      </tp>
      <tp t="s">
        <v>UNITED STATES</v>
        <stp/>
        <stp>##V3_BDPV12</stp>
        <stp>912828ZM Govt</stp>
        <stp>COUNTRY_FULL_NAME</stp>
        <stp>[TREASURY.xlsx]Sheet1!R175C8</stp>
        <tr r="H175" s="1"/>
      </tp>
      <tp t="s">
        <v>UNITED STATES</v>
        <stp/>
        <stp>##V3_BDPV12</stp>
        <stp>912828ZH Govt</stp>
        <stp>COUNTRY_FULL_NAME</stp>
        <stp>[TREASURY.xlsx]Sheet1!R165C8</stp>
        <tr r="H165" s="1"/>
      </tp>
      <tp t="s">
        <v>912827B43</v>
        <stp/>
        <stp>##V3_BDPV12</stp>
        <stp>912827B4 Govt</stp>
        <stp>ID_CUSIP</stp>
        <stp>[TREASURY.xlsx]Sheet1!R1476C19</stp>
        <tr r="S1476" s="1"/>
      </tp>
      <tp t="s">
        <v>912827B50</v>
        <stp/>
        <stp>##V3_BDPV12</stp>
        <stp>912827B5 Govt</stp>
        <stp>ID_CUSIP</stp>
        <stp>[TREASURY.xlsx]Sheet1!R1477C19</stp>
        <tr r="S1477" s="1"/>
      </tp>
      <tp t="s">
        <v>912828B33</v>
        <stp/>
        <stp>##V3_BDPV12</stp>
        <stp>912828B3 Govt</stp>
        <stp>ID_CUSIP</stp>
        <stp>[TREASURY.xlsx]Sheet1!R1108C19</stp>
        <tr r="S1108" s="1"/>
      </tp>
      <tp t="s">
        <v>912827B76</v>
        <stp/>
        <stp>##V3_BDPV12</stp>
        <stp>912827B7 Govt</stp>
        <stp>ID_CUSIP</stp>
        <stp>[TREASURY.xlsx]Sheet1!R1551C19</stp>
        <tr r="S1551" s="1"/>
      </tp>
      <tp t="s">
        <v>912827B68</v>
        <stp/>
        <stp>##V3_BDPV12</stp>
        <stp>912827B6 Govt</stp>
        <stp>ID_CUSIP</stp>
        <stp>[TREASURY.xlsx]Sheet1!R1550C19</stp>
        <tr r="S1550" s="1"/>
      </tp>
      <tp t="s">
        <v>5/15/2014</v>
        <stp/>
        <stp>##V3_BDPV12</stp>
        <stp>912828QM Govt</stp>
        <stp>MATURITY</stp>
        <stp>[TREASURY.xlsx]Sheet1!R1130C5</stp>
        <tr r="E1130" s="1"/>
      </tp>
      <tp t="s">
        <v>1/31/2018</v>
        <stp/>
        <stp>##V3_BDPV12</stp>
        <stp>912828PT Govt</stp>
        <stp>MATURITY</stp>
        <stp>[TREASURY.xlsx]Sheet1!R1300C5</stp>
        <tr r="E1300" s="1"/>
      </tp>
      <tp t="s">
        <v>1/31/2013</v>
        <stp/>
        <stp>##V3_BDPV12</stp>
        <stp>912828PR Govt</stp>
        <stp>MATURITY</stp>
        <stp>[TREASURY.xlsx]Sheet1!R1260C5</stp>
        <tr r="E1260" s="1"/>
      </tp>
      <tp t="s">
        <v>10/31/2013</v>
        <stp/>
        <stp>##V3_BDPV12</stp>
        <stp>912828RN Govt</stp>
        <stp>MATURITY</stp>
        <stp>[TREASURY.xlsx]Sheet1!R1140C5</stp>
        <tr r="E1140" s="1"/>
      </tp>
      <tp t="s">
        <v>FIXED</v>
        <stp/>
        <stp>##V3_BDPV12</stp>
        <stp>912810SZ Govt</stp>
        <stp>CPN_TYP</stp>
        <stp>[TREASURY.xlsx]Sheet1!R3C11</stp>
        <tr r="K3" s="1"/>
      </tp>
      <tp t="s">
        <v>1/31/2020</v>
        <stp/>
        <stp>##V3_BDPV12</stp>
        <stp>912828UL Govt</stp>
        <stp>MATURITY</stp>
        <stp>[TREASURY.xlsx]Sheet1!R1000C5</stp>
        <tr r="E1000" s="1"/>
      </tp>
      <tp t="s">
        <v>FIXED</v>
        <stp/>
        <stp>##V3_BDPV12</stp>
        <stp>912810SX Govt</stp>
        <stp>CPN_TYP</stp>
        <stp>[TREASURY.xlsx]Sheet1!R8C11</stp>
        <tr r="K8" s="1"/>
      </tp>
      <tp t="s">
        <v>5/31/2019</v>
        <stp/>
        <stp>##V3_BDPV12</stp>
        <stp>912828WL Govt</stp>
        <stp>MATURITY</stp>
        <stp>[TREASURY.xlsx]Sheet1!R1150C5</stp>
        <tr r="E1150" s="1"/>
      </tp>
      <tp t="s">
        <v>T</v>
        <stp/>
        <stp>##V3_BDPV12</stp>
        <stp>912828X9 Govt</stp>
        <stp>TICKER</stp>
        <stp>[TREASURY.xlsx]Sheet1!R882C2</stp>
        <tr r="B882" s="1"/>
      </tp>
      <tp t="s">
        <v>T</v>
        <stp/>
        <stp>##V3_BDPV12</stp>
        <stp>912828Z2 Govt</stp>
        <stp>TICKER</stp>
        <stp>[TREASURY.xlsx]Sheet1!R210C2</stp>
        <tr r="B210" s="1"/>
      </tp>
      <tp t="s">
        <v>8/15/2001</v>
        <stp/>
        <stp>##V3_BDPV12</stp>
        <stp>912810CW Govt</stp>
        <stp>MATURITY</stp>
        <stp>[TREASURY.xlsx]Sheet1!R1618C5</stp>
        <tr r="E1618" s="1"/>
      </tp>
      <tp t="s">
        <v>5/15/2009</v>
        <stp/>
        <stp>##V3_BDPV12</stp>
        <stp>912810CG Govt</stp>
        <stp>MATURITY</stp>
        <stp>[TREASURY.xlsx]Sheet1!R1308C5</stp>
        <tr r="E1308" s="1"/>
      </tp>
      <tp t="s">
        <v>2/15/2017</v>
        <stp/>
        <stp>##V3_BDPV12</stp>
        <stp>912828B7 Govt</stp>
        <stp>MATURITY</stp>
        <stp>[TREASURY.xlsx]Sheet1!R1270C5</stp>
        <tr r="E1270" s="1"/>
      </tp>
      <tp t="s">
        <v>5/15/2017</v>
        <stp/>
        <stp>##V3_BDPV12</stp>
        <stp>912810DY Govt</stp>
        <stp>MATURITY</stp>
        <stp>[TREASURY.xlsx]Sheet1!R1448C5</stp>
        <tr r="E1448" s="1"/>
      </tp>
      <tp t="s">
        <v>6/30/2007</v>
        <stp/>
        <stp>##V3_BDPV12</stp>
        <stp>912828DY Govt</stp>
        <stp>MATURITY</stp>
        <stp>[TREASURY.xlsx]Sheet1!R1430C5</stp>
        <tr r="E1430" s="1"/>
      </tp>
      <tp t="s">
        <v>1/15/2010</v>
        <stp/>
        <stp>##V3_BDPV12</stp>
        <stp>912828DG Govt</stp>
        <stp>MATURITY</stp>
        <stp>[TREASURY.xlsx]Sheet1!R1110C5</stp>
        <tr r="E1110" s="1"/>
      </tp>
      <tp t="s">
        <v>11/15/2014</v>
        <stp/>
        <stp>##V3_BDPV12</stp>
        <stp>912810DN Govt</stp>
        <stp>MATURITY</stp>
        <stp>[TREASURY.xlsx]Sheet1!R1348C5</stp>
        <tr r="E1348" s="1"/>
      </tp>
      <tp t="s">
        <v>11/15/2017</v>
        <stp/>
        <stp>##V3_BDPV12</stp>
        <stp>912828G2 Govt</stp>
        <stp>MATURITY</stp>
        <stp>[TREASURY.xlsx]Sheet1!R1280C5</stp>
        <tr r="E1280" s="1"/>
      </tp>
      <tp t="s">
        <v>7/31/2009</v>
        <stp/>
        <stp>##V3_BDPV12</stp>
        <stp>912828GY Govt</stp>
        <stp>MATURITY</stp>
        <stp>[TREASURY.xlsx]Sheet1!R1120C5</stp>
        <tr r="E1120" s="1"/>
      </tp>
      <tp t="s">
        <v>10/15/2017</v>
        <stp/>
        <stp>##V3_BDPV12</stp>
        <stp>912828F5 Govt</stp>
        <stp>MATURITY</stp>
        <stp>[TREASURY.xlsx]Sheet1!R1240C5</stp>
        <tr r="E1240" s="1"/>
      </tp>
      <tp t="s">
        <v>4/30/2014</v>
        <stp/>
        <stp>##V3_BDPV12</stp>
        <stp>912828KN Govt</stp>
        <stp>MATURITY</stp>
        <stp>[TREASURY.xlsx]Sheet1!R1250C5</stp>
        <tr r="E1250" s="1"/>
      </tp>
      <tp t="s">
        <v>2/15/2024</v>
        <stp/>
        <stp>##V3_BDPV12</stp>
        <stp>91282CBM Govt</stp>
        <stp>MATURITY</stp>
        <stp>[TREASURY.xlsx]Sheet1!R107C5</stp>
        <tr r="E107" s="1"/>
      </tp>
      <tp t="s">
        <v>8/31/2027</v>
        <stp/>
        <stp>##V3_BDPV12</stp>
        <stp>91282CAH Govt</stp>
        <stp>MATURITY</stp>
        <stp>[TREASURY.xlsx]Sheet1!R167C5</stp>
        <tr r="E167" s="1"/>
      </tp>
      <tp t="s">
        <v>8/31/2016</v>
        <stp/>
        <stp>##V3_BDPV12</stp>
        <stp>912828LL Govt</stp>
        <stp>MATURITY</stp>
        <stp>[TREASURY.xlsx]Sheet1!R1290C5</stp>
        <tr r="E1290" s="1"/>
      </tp>
      <tp t="s">
        <v>8/15/2021</v>
        <stp/>
        <stp>##V3_BDPV12</stp>
        <stp>9128284W Govt</stp>
        <stp>MATURITY</stp>
        <stp>[TREASURY.xlsx]Sheet1!R347C5</stp>
        <tr r="E347" s="1"/>
      </tp>
      <tp t="s">
        <v>5/15/2021</v>
        <stp/>
        <stp>##V3_BDPV12</stp>
        <stp>9128284P Govt</stp>
        <stp>MATURITY</stp>
        <stp>[TREASURY.xlsx]Sheet1!R367C5</stp>
        <tr r="E367" s="1"/>
      </tp>
      <tp t="s">
        <v>4/30/2025</v>
        <stp/>
        <stp>##V3_BDPV12</stp>
        <stp>9128284M Govt</stp>
        <stp>MATURITY</stp>
        <stp>[TREASURY.xlsx]Sheet1!R227C5</stp>
        <tr r="E227" s="1"/>
      </tp>
      <tp t="s">
        <v>5/31/2025</v>
        <stp/>
        <stp>##V3_BDPV12</stp>
        <stp>9128284R Govt</stp>
        <stp>MATURITY</stp>
        <stp>[TREASURY.xlsx]Sheet1!R257C5</stp>
        <tr r="E257" s="1"/>
      </tp>
      <tp t="s">
        <v>7/31/2019</v>
        <stp/>
        <stp>##V3_BDPV12</stp>
        <stp>9128282K Govt</stp>
        <stp>MATURITY</stp>
        <stp>[TREASURY.xlsx]Sheet1!R957C5</stp>
        <tr r="E957" s="1"/>
      </tp>
      <tp t="s">
        <v>11/30/2018</v>
        <stp/>
        <stp>##V3_BDPV12</stp>
        <stp>912828A3 Govt</stp>
        <stp>MATURITY</stp>
        <stp>[TREASURY.xlsx]Sheet1!R627C5</stp>
        <tr r="E627" s="1"/>
      </tp>
      <tp t="s">
        <v>5/31/2012</v>
        <stp/>
        <stp>##V3_BDPV12</stp>
        <stp>912828NE Govt</stp>
        <stp>MATURITY</stp>
        <stp>[TREASURY.xlsx]Sheet1!R977C5</stp>
        <tr r="E977" s="1"/>
      </tp>
      <tp t="s">
        <v>11/15/2007</v>
        <stp/>
        <stp>##V3_BDPV12</stp>
        <stp>912828AN Govt</stp>
        <stp>MATURITY</stp>
        <stp>[TREASURY.xlsx]Sheet1!R657C5</stp>
        <tr r="E657" s="1"/>
      </tp>
      <tp t="s">
        <v>3/31/2005</v>
        <stp/>
        <stp>##V3_BDPV12</stp>
        <stp>912828AW Govt</stp>
        <stp>MATURITY</stp>
        <stp>[TREASURY.xlsx]Sheet1!R667C5</stp>
        <tr r="E667" s="1"/>
      </tp>
      <tp t="s">
        <v>10/31/2006</v>
        <stp/>
        <stp>##V3_BDPV12</stp>
        <stp>912828CY Govt</stp>
        <stp>MATURITY</stp>
        <stp>[TREASURY.xlsx]Sheet1!R477C5</stp>
        <tr r="E477" s="1"/>
      </tp>
      <tp t="s">
        <v>11/15/2024</v>
        <stp/>
        <stp>##V3_BDPV12</stp>
        <stp>912828G3 Govt</stp>
        <stp>MATURITY</stp>
        <stp>[TREASURY.xlsx]Sheet1!R137C5</stp>
        <tr r="E137" s="1"/>
      </tp>
      <tp t="s">
        <v>8/15/2008</v>
        <stp/>
        <stp>##V3_BDPV12</stp>
        <stp>912828BG Govt</stp>
        <stp>MATURITY</stp>
        <stp>[TREASURY.xlsx]Sheet1!R427C5</stp>
        <tr r="E427" s="1"/>
      </tp>
      <tp t="s">
        <v>6/15/2009</v>
        <stp/>
        <stp>##V3_BDPV12</stp>
        <stp>912828CL Govt</stp>
        <stp>MATURITY</stp>
        <stp>[TREASURY.xlsx]Sheet1!R557C5</stp>
        <tr r="E557" s="1"/>
      </tp>
      <tp t="s">
        <v>2/28/2011</v>
        <stp/>
        <stp>##V3_BDPV12</stp>
        <stp>912828EX Govt</stp>
        <stp>MATURITY</stp>
        <stp>[TREASURY.xlsx]Sheet1!R397C5</stp>
        <tr r="E397" s="1"/>
      </tp>
      <tp t="s">
        <v>12/15/2008</v>
        <stp/>
        <stp>##V3_BDPV12</stp>
        <stp>912828BT Govt</stp>
        <stp>MATURITY</stp>
        <stp>[TREASURY.xlsx]Sheet1!R787C5</stp>
        <tr r="E787" s="1"/>
      </tp>
      <tp t="s">
        <v>9/30/2021</v>
        <stp/>
        <stp>##V3_BDPV12</stp>
        <stp>912828F2 Govt</stp>
        <stp>MATURITY</stp>
        <stp>[TREASURY.xlsx]Sheet1!R207C5</stp>
        <tr r="E207" s="1"/>
      </tp>
      <tp t="s">
        <v>1/31/2021</v>
        <stp/>
        <stp>##V3_BDPV12</stp>
        <stp>912828B5 Govt</stp>
        <stp>MATURITY</stp>
        <stp>[TREASURY.xlsx]Sheet1!R647C5</stp>
        <tr r="E647" s="1"/>
      </tp>
      <tp t="s">
        <v>10/15/2012</v>
        <stp/>
        <stp>##V3_BDPV12</stp>
        <stp>912828LR Govt</stp>
        <stp>MATURITY</stp>
        <stp>[TREASURY.xlsx]Sheet1!R817C5</stp>
        <tr r="E817" s="1"/>
      </tp>
      <tp t="s">
        <v>5/15/2006</v>
        <stp/>
        <stp>##V3_BDPV12</stp>
        <stp>912828AY Govt</stp>
        <stp>MATURITY</stp>
        <stp>[TREASURY.xlsx]Sheet1!R507C5</stp>
        <tr r="E507" s="1"/>
      </tp>
      <tp t="s">
        <v>4/30/2011</v>
        <stp/>
        <stp>##V3_BDPV12</stp>
        <stp>912828KL Govt</stp>
        <stp>MATURITY</stp>
        <stp>[TREASURY.xlsx]Sheet1!R857C5</stp>
        <tr r="E857" s="1"/>
      </tp>
      <tp t="s">
        <v>9/30/2008</v>
        <stp/>
        <stp>##V3_BDPV12</stp>
        <stp>912828FT Govt</stp>
        <stp>MATURITY</stp>
        <stp>[TREASURY.xlsx]Sheet1!R597C5</stp>
        <tr r="E597" s="1"/>
      </tp>
      <tp t="s">
        <v>11/15/2008</v>
        <stp/>
        <stp>##V3_BDPV12</stp>
        <stp>912828EL Govt</stp>
        <stp>MATURITY</stp>
        <stp>[TREASURY.xlsx]Sheet1!R797C5</stp>
        <tr r="E797" s="1"/>
      </tp>
      <tp t="s">
        <v>3/15/2010</v>
        <stp/>
        <stp>##V3_BDPV12</stp>
        <stp>912828DP Govt</stp>
        <stp>MATURITY</stp>
        <stp>[TREASURY.xlsx]Sheet1!R517C5</stp>
        <tr r="E517" s="1"/>
      </tp>
      <tp t="s">
        <v>2/15/2014</v>
        <stp/>
        <stp>##V3_BDPV12</stp>
        <stp>912828CA Govt</stp>
        <stp>MATURITY</stp>
        <stp>[TREASURY.xlsx]Sheet1!R337C5</stp>
        <tr r="E337" s="1"/>
      </tp>
      <tp t="s">
        <v>11/30/2009</v>
        <stp/>
        <stp>##V3_BDPV12</stp>
        <stp>912828HJ Govt</stp>
        <stp>MATURITY</stp>
        <stp>[TREASURY.xlsx]Sheet1!R807C5</stp>
        <tr r="E807" s="1"/>
      </tp>
      <tp t="s">
        <v>8/31/2020</v>
        <stp/>
        <stp>##V3_BDPV12</stp>
        <stp>912828L3 Govt</stp>
        <stp>MATURITY</stp>
        <stp>[TREASURY.xlsx]Sheet1!R327C5</stp>
        <tr r="E327" s="1"/>
      </tp>
      <tp t="s">
        <v>7/31/2010</v>
        <stp/>
        <stp>##V3_BDPV12</stp>
        <stp>912828JF Govt</stp>
        <stp>MATURITY</stp>
        <stp>[TREASURY.xlsx]Sheet1!R537C5</stp>
        <tr r="E537" s="1"/>
      </tp>
      <tp t="s">
        <v>3/31/2009</v>
        <stp/>
        <stp>##V3_BDPV12</stp>
        <stp>912828GL Govt</stp>
        <stp>MATURITY</stp>
        <stp>[TREASURY.xlsx]Sheet1!R847C5</stp>
        <tr r="E847" s="1"/>
      </tp>
      <tp t="s">
        <v>2/15/2010</v>
        <stp/>
        <stp>##V3_BDPV12</stp>
        <stp>912828GG Govt</stp>
        <stp>MATURITY</stp>
        <stp>[TREASURY.xlsx]Sheet1!R967C5</stp>
        <tr r="E967" s="1"/>
      </tp>
      <tp t="s">
        <v>7/31/2013</v>
        <stp/>
        <stp>##V3_BDPV12</stp>
        <stp>912828JG Govt</stp>
        <stp>MATURITY</stp>
        <stp>[TREASURY.xlsx]Sheet1!R417C5</stp>
        <tr r="E417" s="1"/>
      </tp>
      <tp t="s">
        <v>5/31/2016</v>
        <stp/>
        <stp>##V3_BDPV12</stp>
        <stp>912828KW Govt</stp>
        <stp>MATURITY</stp>
        <stp>[TREASURY.xlsx]Sheet1!R617C5</stp>
        <tr r="E617" s="1"/>
      </tp>
      <tp t="s">
        <v>8/15/2013</v>
        <stp/>
        <stp>##V3_BDPV12</stp>
        <stp>912828NU Govt</stp>
        <stp>MATURITY</stp>
        <stp>[TREASURY.xlsx]Sheet1!R547C5</stp>
        <tr r="E547" s="1"/>
      </tp>
      <tp t="s">
        <v>1/31/2022</v>
        <stp/>
        <stp>##V3_BDPV12</stp>
        <stp>912828H8 Govt</stp>
        <stp>MATURITY</stp>
        <stp>[TREASURY.xlsx]Sheet1!R247C5</stp>
        <tr r="E247" s="1"/>
      </tp>
      <tp t="s">
        <v>7/31/2004</v>
        <stp/>
        <stp>##V3_BDPV12</stp>
        <stp>912828AG Govt</stp>
        <stp>MATURITY</stp>
        <stp>[TREASURY.xlsx]Sheet1!R837C5</stp>
        <tr r="E837" s="1"/>
      </tp>
      <tp t="s">
        <v>2/15/2027</v>
        <stp/>
        <stp>##V3_BDPV12</stp>
        <stp>912828V9 Govt</stp>
        <stp>MATURITY</stp>
        <stp>[TREASURY.xlsx]Sheet1!R127C5</stp>
        <tr r="E127" s="1"/>
      </tp>
      <tp t="s">
        <v>7/15/2019</v>
        <stp/>
        <stp>##V3_BDPV12</stp>
        <stp>912828S4 Govt</stp>
        <stp>MATURITY</stp>
        <stp>[TREASURY.xlsx]Sheet1!R487C5</stp>
        <tr r="E487" s="1"/>
      </tp>
      <tp t="s">
        <v>4/30/2019</v>
        <stp/>
        <stp>##V3_BDPV12</stp>
        <stp>912828ST Govt</stp>
        <stp>MATURITY</stp>
        <stp>[TREASURY.xlsx]Sheet1!R497C5</stp>
        <tr r="E497" s="1"/>
      </tp>
      <tp t="s">
        <v>6/30/2018</v>
        <stp/>
        <stp>##V3_BDPV12</stp>
        <stp>912828R9 Govt</stp>
        <stp>MATURITY</stp>
        <stp>[TREASURY.xlsx]Sheet1!R437C5</stp>
        <tr r="E437" s="1"/>
      </tp>
      <tp t="s">
        <v>11/30/2017</v>
        <stp/>
        <stp>##V3_BDPV12</stp>
        <stp>912828UA Govt</stp>
        <stp>MATURITY</stp>
        <stp>[TREASURY.xlsx]Sheet1!R387C5</stp>
        <tr r="E387" s="1"/>
      </tp>
      <tp t="s">
        <v>1/31/2024</v>
        <stp/>
        <stp>##V3_BDPV12</stp>
        <stp>912828V8 Govt</stp>
        <stp>MATURITY</stp>
        <stp>[TREASURY.xlsx]Sheet1!R307C5</stp>
        <tr r="E307" s="1"/>
      </tp>
      <tp t="s">
        <v>2/29/2016</v>
        <stp/>
        <stp>##V3_BDPV12</stp>
        <stp>912828QJ Govt</stp>
        <stp>MATURITY</stp>
        <stp>[TREASURY.xlsx]Sheet1!R407C5</stp>
        <tr r="E407" s="1"/>
      </tp>
      <tp t="s">
        <v>6/30/2013</v>
        <stp/>
        <stp>##V3_BDPV12</stp>
        <stp>912828RA Govt</stp>
        <stp>MATURITY</stp>
        <stp>[TREASURY.xlsx]Sheet1!R677C5</stp>
        <tr r="E677" s="1"/>
      </tp>
      <tp t="s">
        <v>2/15/2023</v>
        <stp/>
        <stp>##V3_BDPV12</stp>
        <stp>912828UN Govt</stp>
        <stp>MATURITY</stp>
        <stp>[TREASURY.xlsx]Sheet1!R147C5</stp>
        <tr r="E147" s="1"/>
      </tp>
      <tp t="s">
        <v>12/15/2014</v>
        <stp/>
        <stp>##V3_BDPV12</stp>
        <stp>912828RV Govt</stp>
        <stp>MATURITY</stp>
        <stp>[TREASURY.xlsx]Sheet1!R687C5</stp>
        <tr r="E687" s="1"/>
      </tp>
      <tp t="s">
        <v>10/31/2015</v>
        <stp/>
        <stp>##V3_BDPV12</stp>
        <stp>912828WB Govt</stp>
        <stp>MATURITY</stp>
        <stp>[TREASURY.xlsx]Sheet1!R457C5</stp>
        <tr r="E457" s="1"/>
      </tp>
      <tp t="s">
        <v>5/15/2016</v>
        <stp/>
        <stp>##V3_BDPV12</stp>
        <stp>912828VC Govt</stp>
        <stp>MATURITY</stp>
        <stp>[TREASURY.xlsx]Sheet1!R577C5</stp>
        <tr r="E577" s="1"/>
      </tp>
      <tp t="s">
        <v>6/15/2016</v>
        <stp/>
        <stp>##V3_BDPV12</stp>
        <stp>912828VG Govt</stp>
        <stp>MATURITY</stp>
        <stp>[TREASURY.xlsx]Sheet1!R587C5</stp>
        <tr r="E587" s="1"/>
      </tp>
      <tp t="s">
        <v>6/30/2017</v>
        <stp/>
        <stp>##V3_BDPV12</stp>
        <stp>912828TB Govt</stp>
        <stp>MATURITY</stp>
        <stp>[TREASURY.xlsx]Sheet1!R637C5</stp>
        <tr r="E637" s="1"/>
      </tp>
      <tp t="s">
        <v>5/31/2016</v>
        <stp/>
        <stp>##V3_BDPV12</stp>
        <stp>912828WM Govt</stp>
        <stp>MATURITY</stp>
        <stp>[TREASURY.xlsx]Sheet1!R567C5</stp>
        <tr r="E567" s="1"/>
      </tp>
      <tp t="s">
        <v>6/30/2020</v>
        <stp/>
        <stp>##V3_BDPV12</stp>
        <stp>912828VJ Govt</stp>
        <stp>MATURITY</stp>
        <stp>[TREASURY.xlsx]Sheet1!R447C5</stp>
        <tr r="E447" s="1"/>
      </tp>
      <tp t="s">
        <v>3/31/2023</v>
        <stp/>
        <stp>##V3_BDPV12</stp>
        <stp>912828Q2 Govt</stp>
        <stp>MATURITY</stp>
        <stp>[TREASURY.xlsx]Sheet1!R187C5</stp>
        <tr r="E187" s="1"/>
      </tp>
      <tp t="s">
        <v>11/15/2015</v>
        <stp/>
        <stp>##V3_BDPV12</stp>
        <stp>912828TX Govt</stp>
        <stp>MATURITY</stp>
        <stp>[TREASURY.xlsx]Sheet1!R467C5</stp>
        <tr r="E467" s="1"/>
      </tp>
      <tp t="s">
        <v>1/15/2020</v>
        <stp/>
        <stp>##V3_BDPV12</stp>
        <stp>912828V3 Govt</stp>
        <stp>MATURITY</stp>
        <stp>[TREASURY.xlsx]Sheet1!R877C5</stp>
        <tr r="E877" s="1"/>
      </tp>
      <tp t="s">
        <v>7/31/2014</v>
        <stp/>
        <stp>##V3_BDPV12</stp>
        <stp>912828TF Govt</stp>
        <stp>MATURITY</stp>
        <stp>[TREASURY.xlsx]Sheet1!R997C5</stp>
        <tr r="E997" s="1"/>
      </tp>
      <tp t="s">
        <v>7/31/2023</v>
        <stp/>
        <stp>##V3_BDPV12</stp>
        <stp>912828Y6 Govt</stp>
        <stp>MATURITY</stp>
        <stp>[TREASURY.xlsx]Sheet1!R297C5</stp>
        <tr r="E297" s="1"/>
      </tp>
      <tp t="s">
        <v>5/15/2018</v>
        <stp/>
        <stp>##V3_BDPV12</stp>
        <stp>912828XA Govt</stp>
        <stp>MATURITY</stp>
        <stp>[TREASURY.xlsx]Sheet1!R377C5</stp>
        <tr r="E377" s="1"/>
      </tp>
      <tp t="s">
        <v>4/30/2027</v>
        <stp/>
        <stp>##V3_BDPV12</stp>
        <stp>912828ZN Govt</stp>
        <stp>MATURITY</stp>
        <stp>[TREASURY.xlsx]Sheet1!R117C5</stp>
        <tr r="E117" s="1"/>
      </tp>
      <tp t="s">
        <v>6/30/2022</v>
        <stp/>
        <stp>##V3_BDPV12</stp>
        <stp>912828XW Govt</stp>
        <stp>MATURITY</stp>
        <stp>[TREASURY.xlsx]Sheet1!R217C5</stp>
        <tr r="E217" s="1"/>
      </tp>
      <tp t="s">
        <v>6/30/2018</v>
        <stp/>
        <stp>##V3_BDPV12</stp>
        <stp>912828QT Govt</stp>
        <stp>MATURITY</stp>
        <stp>[TREASURY.xlsx]Sheet1!R867C5</stp>
        <tr r="E867" s="1"/>
      </tp>
      <tp t="s">
        <v>7/31/2018</v>
        <stp/>
        <stp>##V3_BDPV12</stp>
        <stp>912828QY Govt</stp>
        <stp>MATURITY</stp>
        <stp>[TREASURY.xlsx]Sheet1!R827C5</stp>
        <tr r="E827" s="1"/>
      </tp>
      <tp t="s">
        <v>12/31/2012</v>
        <stp/>
        <stp>##V3_BDPV12</stp>
        <stp>912828PW Govt</stp>
        <stp>MATURITY</stp>
        <stp>[TREASURY.xlsx]Sheet1!R987C5</stp>
        <tr r="E987" s="1"/>
      </tp>
      <tp t="s">
        <v>7/31/2026</v>
        <stp/>
        <stp>##V3_BDPV12</stp>
        <stp>912828Y9 Govt</stp>
        <stp>MATURITY</stp>
        <stp>[TREASURY.xlsx]Sheet1!R157C5</stp>
        <tr r="E157" s="1"/>
      </tp>
      <tp t="s">
        <v>T</v>
        <stp/>
        <stp>##V3_BDPV12</stp>
        <stp>912827SX Govt</stp>
        <stp>TICKER</stp>
        <stp>[TREASURY.xlsx]Sheet1!R749C2</stp>
        <tr r="B749" s="1"/>
      </tp>
      <tp t="s">
        <v>11/15/2011</v>
        <stp/>
        <stp>##V3_BDPV12</stp>
        <stp>912810CY Govt</stp>
        <stp>MATURITY</stp>
        <stp>[TREASURY.xlsx]Sheet1!R414C5</stp>
        <tr r="E414" s="1"/>
      </tp>
      <tp t="s">
        <v>8/15/2022</v>
        <stp/>
        <stp>##V3_BDPV12</stp>
        <stp>912810EM Govt</stp>
        <stp>MATURITY</stp>
        <stp>[TREASURY.xlsx]Sheet1!R304C5</stp>
        <tr r="E304" s="1"/>
      </tp>
      <tp t="s">
        <v>8/15/2026</v>
        <stp/>
        <stp>##V3_BDPV12</stp>
        <stp>912810EX Govt</stp>
        <stp>MATURITY</stp>
        <stp>[TREASURY.xlsx]Sheet1!R324C5</stp>
        <tr r="E324" s="1"/>
      </tp>
      <tp t="s">
        <v>8/15/2027</v>
        <stp/>
        <stp>##V3_BDPV12</stp>
        <stp>912810FA Govt</stp>
        <stp>MATURITY</stp>
        <stp>[TREASURY.xlsx]Sheet1!R314C5</stp>
        <tr r="E314" s="1"/>
      </tp>
      <tp t="s">
        <v>8/15/2019</v>
        <stp/>
        <stp>##V3_BDPV12</stp>
        <stp>912810ED Govt</stp>
        <stp>MATURITY</stp>
        <stp>[TREASURY.xlsx]Sheet1!R664C5</stp>
        <tr r="E664" s="1"/>
      </tp>
      <tp t="s">
        <v>8/15/2015</v>
        <stp/>
        <stp>##V3_BDPV12</stp>
        <stp>912810DS Govt</stp>
        <stp>MATURITY</stp>
        <stp>[TREASURY.xlsx]Sheet1!R454C5</stp>
        <tr r="E454" s="1"/>
      </tp>
      <tp t="s">
        <v>5/15/2039</v>
        <stp/>
        <stp>##V3_BDPV12</stp>
        <stp>912810QB Govt</stp>
        <stp>MATURITY</stp>
        <stp>[TREASURY.xlsx]Sheet1!R274C5</stp>
        <tr r="E274" s="1"/>
      </tp>
      <tp t="s">
        <v>11/15/2046</v>
        <stp/>
        <stp>##V3_BDPV12</stp>
        <stp>912810RU Govt</stp>
        <stp>MATURITY</stp>
        <stp>[TREASURY.xlsx]Sheet1!R154C5</stp>
        <tr r="E154" s="1"/>
      </tp>
      <tp t="s">
        <v>5/15/2044</v>
        <stp/>
        <stp>##V3_BDPV12</stp>
        <stp>912810RG Govt</stp>
        <stp>MATURITY</stp>
        <stp>[TREASURY.xlsx]Sheet1!R284C5</stp>
        <tr r="E284" s="1"/>
      </tp>
      <tp t="s">
        <v>NORMAL</v>
        <stp/>
        <stp>##V3_BDPV12</stp>
        <stp>912810EH Govt</stp>
        <stp>MTY_TYP</stp>
        <stp>[TREASURY.xlsx]Sheet1!R400C6</stp>
        <tr r="F400" s="1"/>
      </tp>
      <tp t="s">
        <v>NORMAL</v>
        <stp/>
        <stp>##V3_BDPV12</stp>
        <stp>912810DA Govt</stp>
        <stp>MTY_TYP</stp>
        <stp>[TREASURY.xlsx]Sheet1!R529C6</stp>
        <tr r="F529" s="1"/>
      </tp>
      <tp t="s">
        <v>NORMAL</v>
        <stp/>
        <stp>##V3_BDPV12</stp>
        <stp>912810RK Govt</stp>
        <stp>MTY_TYP</stp>
        <stp>[TREASURY.xlsx]Sheet1!R103C6</stp>
        <tr r="F103" s="1"/>
      </tp>
      <tp t="s">
        <v>NORMAL</v>
        <stp/>
        <stp>##V3_BDPV12</stp>
        <stp>912827XK Govt</stp>
        <stp>MTY_TYP</stp>
        <stp>[TREASURY.xlsx]Sheet1!R773C6</stp>
        <tr r="F773" s="1"/>
      </tp>
      <tp t="s">
        <v>NORMAL</v>
        <stp/>
        <stp>##V3_BDPV12</stp>
        <stp>912827YN Govt</stp>
        <stp>MTY_TYP</stp>
        <stp>[TREASURY.xlsx]Sheet1!R776C6</stp>
        <tr r="F776" s="1"/>
      </tp>
      <tp t="s">
        <v>NORMAL</v>
        <stp/>
        <stp>##V3_BDPV12</stp>
        <stp>912827VA Govt</stp>
        <stp>MTY_TYP</stp>
        <stp>[TREASURY.xlsx]Sheet1!R759C6</stp>
        <tr r="F759" s="1"/>
      </tp>
      <tp t="s">
        <v>NORMAL</v>
        <stp/>
        <stp>##V3_BDPV12</stp>
        <stp>912827LM Govt</stp>
        <stp>MTY_TYP</stp>
        <stp>[TREASURY.xlsx]Sheet1!R715C6</stp>
        <tr r="F715" s="1"/>
      </tp>
      <tp t="s">
        <v>NORMAL</v>
        <stp/>
        <stp>##V3_BDPV12</stp>
        <stp>912827LN Govt</stp>
        <stp>MTY_TYP</stp>
        <stp>[TREASURY.xlsx]Sheet1!R716C6</stp>
        <tr r="F716" s="1"/>
      </tp>
      <tp t="s">
        <v>NORMAL</v>
        <stp/>
        <stp>##V3_BDPV12</stp>
        <stp>912828GJ Govt</stp>
        <stp>MTY_TYP</stp>
        <stp>[TREASURY.xlsx]Sheet1!R802C6</stp>
        <tr r="F802" s="1"/>
      </tp>
      <tp t="s">
        <v>NORMAL</v>
        <stp/>
        <stp>##V3_BDPV12</stp>
        <stp>912828HH Govt</stp>
        <stp>MTY_TYP</stp>
        <stp>[TREASURY.xlsx]Sheet1!R470C6</stp>
        <tr r="F470" s="1"/>
      </tp>
      <tp t="s">
        <v>NORMAL</v>
        <stp/>
        <stp>##V3_BDPV12</stp>
        <stp>912828HL Govt</stp>
        <stp>MTY_TYP</stp>
        <stp>[TREASURY.xlsx]Sheet1!R424C6</stp>
        <tr r="F424" s="1"/>
      </tp>
      <tp t="s">
        <v>NORMAL</v>
        <stp/>
        <stp>##V3_BDPV12</stp>
        <stp>912828QA Govt</stp>
        <stp>MTY_TYP</stp>
        <stp>[TREASURY.xlsx]Sheet1!R509C6</stp>
        <tr r="F509" s="1"/>
      </tp>
      <tp t="s">
        <v>NORMAL</v>
        <stp/>
        <stp>##V3_BDPV12</stp>
        <stp>912827YM Govt</stp>
        <stp>MTY_TYP</stp>
        <stp>[TREASURY.xlsx]Sheet1!R945C6</stp>
        <tr r="F945" s="1"/>
      </tp>
      <tp t="s">
        <v>NORMAL</v>
        <stp/>
        <stp>##V3_BDPV12</stp>
        <stp>912828CN Govt</stp>
        <stp>MTY_TYP</stp>
        <stp>[TREASURY.xlsx]Sheet1!R696C6</stp>
        <tr r="F696" s="1"/>
      </tp>
      <tp t="s">
        <v>NORMAL</v>
        <stp/>
        <stp>##V3_BDPV12</stp>
        <stp>912828BJ Govt</stp>
        <stp>MTY_TYP</stp>
        <stp>[TREASURY.xlsx]Sheet1!R642C6</stp>
        <tr r="F642" s="1"/>
      </tp>
      <tp t="s">
        <v>NORMAL</v>
        <stp/>
        <stp>##V3_BDPV12</stp>
        <stp>912828ZM Govt</stp>
        <stp>MTY_TYP</stp>
        <stp>[TREASURY.xlsx]Sheet1!R175C6</stp>
        <tr r="F175" s="1"/>
      </tp>
      <tp t="s">
        <v>NORMAL</v>
        <stp/>
        <stp>##V3_BDPV12</stp>
        <stp>912828WJ Govt</stp>
        <stp>MTY_TYP</stp>
        <stp>[TREASURY.xlsx]Sheet1!R182C6</stp>
        <tr r="F182" s="1"/>
      </tp>
      <tp t="s">
        <v>NORMAL</v>
        <stp/>
        <stp>##V3_BDPV12</stp>
        <stp>9128283N Govt</stp>
        <stp>MTY_TYP</stp>
        <stp>[TREASURY.xlsx]Sheet1!R366C6</stp>
        <tr r="F366" s="1"/>
      </tp>
      <tp t="s">
        <v>NORMAL</v>
        <stp/>
        <stp>##V3_BDPV12</stp>
        <stp>9128287A Govt</stp>
        <stp>MTY_TYP</stp>
        <stp>[TREASURY.xlsx]Sheet1!R339C6</stp>
        <tr r="F339" s="1"/>
      </tp>
      <tp t="s">
        <v>NORMAL</v>
        <stp/>
        <stp>##V3_BDPV12</stp>
        <stp>912828SH Govt</stp>
        <stp>MTY_TYP</stp>
        <stp>[TREASURY.xlsx]Sheet1!R360C6</stp>
        <tr r="F360" s="1"/>
      </tp>
      <tp t="s">
        <v>T</v>
        <stp/>
        <stp>##V3_BDPV12</stp>
        <stp>912810RP Govt</stp>
        <stp>TICKER</stp>
        <stp>[TREASURY.xlsx]Sheet1!R278C2</stp>
        <tr r="B278" s="1"/>
      </tp>
      <tp t="s">
        <v>2/29/2000</v>
        <stp/>
        <stp>##V3_BDPV12</stp>
        <stp>9128273Y Govt</stp>
        <stp>MATURITY</stp>
        <stp>[TREASURY.xlsx]Sheet1!R607C5</stp>
        <tr r="E607" s="1"/>
      </tp>
      <tp t="s">
        <v>9/30/1985</v>
        <stp/>
        <stp>##V3_BDPV12</stp>
        <stp>912827MJ Govt</stp>
        <stp>MATURITY</stp>
        <stp>[TREASURY.xlsx]Sheet1!R897C5</stp>
        <tr r="E897" s="1"/>
      </tp>
      <tp t="s">
        <v>11/15/1985</v>
        <stp/>
        <stp>##V3_BDPV12</stp>
        <stp>912827LA Govt</stp>
        <stp>MATURITY</stp>
        <stp>[TREASURY.xlsx]Sheet1!R887C5</stp>
        <tr r="E887" s="1"/>
      </tp>
      <tp t="s">
        <v>1/15/2000</v>
        <stp/>
        <stp>##V3_BDPV12</stp>
        <stp>912827J3 Govt</stp>
        <stp>MATURITY</stp>
        <stp>[TREASURY.xlsx]Sheet1!R707C5</stp>
        <tr r="E707" s="1"/>
      </tp>
      <tp t="s">
        <v>5/15/1984</v>
        <stp/>
        <stp>##V3_BDPV12</stp>
        <stp>912827LV Govt</stp>
        <stp>MATURITY</stp>
        <stp>[TREASURY.xlsx]Sheet1!R717C5</stp>
        <tr r="E717" s="1"/>
      </tp>
      <tp t="s">
        <v>1/31/1996</v>
        <stp/>
        <stp>##V3_BDPV12</stp>
        <stp>912827N5 Govt</stp>
        <stp>MATURITY</stp>
        <stp>[TREASURY.xlsx]Sheet1!R727C5</stp>
        <tr r="E727" s="1"/>
      </tp>
      <tp t="s">
        <v>5/15/1988</v>
        <stp/>
        <stp>##V3_BDPV12</stp>
        <stp>912827PF Govt</stp>
        <stp>MATURITY</stp>
        <stp>[TREASURY.xlsx]Sheet1!R737C5</stp>
        <tr r="E737" s="1"/>
      </tp>
      <tp t="s">
        <v>4/30/1987</v>
        <stp/>
        <stp>##V3_BDPV12</stp>
        <stp>912827SC Govt</stp>
        <stp>MATURITY</stp>
        <stp>[TREASURY.xlsx]Sheet1!R747C5</stp>
        <tr r="E747" s="1"/>
      </tp>
      <tp t="s">
        <v>9/30/2000</v>
        <stp/>
        <stp>##V3_BDPV12</stp>
        <stp>912827V4 Govt</stp>
        <stp>MATURITY</stp>
        <stp>[TREASURY.xlsx]Sheet1!R757C5</stp>
        <tr r="E757" s="1"/>
      </tp>
      <tp t="s">
        <v>5/31/1991</v>
        <stp/>
        <stp>##V3_BDPV12</stp>
        <stp>912827XP Govt</stp>
        <stp>MATURITY</stp>
        <stp>[TREASURY.xlsx]Sheet1!R937C5</stp>
        <tr r="E937" s="1"/>
      </tp>
      <tp t="s">
        <v>11/30/2000</v>
        <stp/>
        <stp>##V3_BDPV12</stp>
        <stp>912827W2 Govt</stp>
        <stp>MATURITY</stp>
        <stp>[TREASURY.xlsx]Sheet1!R767C5</stp>
        <tr r="E767" s="1"/>
      </tp>
      <tp t="s">
        <v>5/15/1993</v>
        <stp/>
        <stp>##V3_BDPV12</stp>
        <stp>912827YV Govt</stp>
        <stp>MATURITY</stp>
        <stp>[TREASURY.xlsx]Sheet1!R947C5</stp>
        <tr r="E947" s="1"/>
      </tp>
      <tp t="s">
        <v>2/28/1990</v>
        <stp/>
        <stp>##V3_BDPV12</stp>
        <stp>912827VX Govt</stp>
        <stp>MATURITY</stp>
        <stp>[TREASURY.xlsx]Sheet1!R927C5</stp>
        <tr r="E927" s="1"/>
      </tp>
      <tp t="s">
        <v>10/31/1998</v>
        <stp/>
        <stp>##V3_BDPV12</stp>
        <stp>912827Z7 Govt</stp>
        <stp>MATURITY</stp>
        <stp>[TREASURY.xlsx]Sheet1!R777C5</stp>
        <tr r="E777" s="1"/>
      </tp>
      <tp t="s">
        <v>7/15/1992</v>
        <stp/>
        <stp>##V3_BDPV12</stp>
        <stp>912827SL Govt</stp>
        <stp>MATURITY</stp>
        <stp>[TREASURY.xlsx]Sheet1!R917C5</stp>
        <tr r="E917" s="1"/>
      </tp>
      <tp t="s">
        <v>1/15/1991</v>
        <stp/>
        <stp>##V3_BDPV12</stp>
        <stp>912827QJ Govt</stp>
        <stp>MATURITY</stp>
        <stp>[TREASURY.xlsx]Sheet1!R907C5</stp>
        <tr r="E907" s="1"/>
      </tp>
      <tp t="s">
        <v>T</v>
        <stp/>
        <stp>##V3_BDPV12</stp>
        <stp>912828YM Govt</stp>
        <stp>TICKER</stp>
        <stp>[TREASURY.xlsx]Sheet1!R113C2</stp>
        <tr r="B113" s="1"/>
      </tp>
      <tp t="s">
        <v>T</v>
        <stp/>
        <stp>##V3_BDPV12</stp>
        <stp>912828SJ Govt</stp>
        <stp>TICKER</stp>
        <stp>[TREASURY.xlsx]Sheet1!R489C2</stp>
        <tr r="B489" s="1"/>
      </tp>
      <tp t="s">
        <v>T</v>
        <stp/>
        <stp>##V3_BDPV12</stp>
        <stp>912827XH Govt</stp>
        <stp>TICKER</stp>
        <stp>[TREASURY.xlsx]Sheet1!R772C2</stp>
        <tr r="B772" s="1"/>
      </tp>
      <tp t="s">
        <v>T</v>
        <stp/>
        <stp>##V3_BDPV12</stp>
        <stp>912828RF Govt</stp>
        <stp>TICKER</stp>
        <stp>[TREASURY.xlsx]Sheet1!R828C2</stp>
        <tr r="B828" s="1"/>
      </tp>
      <tp t="s">
        <v>T</v>
        <stp/>
        <stp>##V3_BDPV12</stp>
        <stp>912828YE Govt</stp>
        <stp>TICKER</stp>
        <stp>[TREASURY.xlsx]Sheet1!R143C2</stp>
        <tr r="B143" s="1"/>
      </tp>
      <tp t="s">
        <v>T</v>
        <stp/>
        <stp>##V3_BDPV12</stp>
        <stp>912827ZE Govt</stp>
        <stp>TICKER</stp>
        <stp>[TREASURY.xlsx]Sheet1!R780C2</stp>
        <tr r="B780" s="1"/>
      </tp>
      <tp t="s">
        <v>T</v>
        <stp/>
        <stp>##V3_BDPV12</stp>
        <stp>912828RE Govt</stp>
        <stp>TICKER</stp>
        <stp>[TREASURY.xlsx]Sheet1!R868C2</stp>
        <tr r="B868" s="1"/>
      </tp>
      <tp t="s">
        <v>T</v>
        <stp/>
        <stp>##V3_BDPV12</stp>
        <stp>912827YE Govt</stp>
        <stp>TICKER</stp>
        <stp>[TREASURY.xlsx]Sheet1!R943C2</stp>
        <tr r="B943" s="1"/>
      </tp>
      <tp t="s">
        <v>T</v>
        <stp/>
        <stp>##V3_BDPV12</stp>
        <stp>912828XB Govt</stp>
        <stp>TICKER</stp>
        <stp>[TREASURY.xlsx]Sheet1!R122C2</stp>
        <tr r="B122" s="1"/>
      </tp>
      <tp t="s">
        <v>T</v>
        <stp/>
        <stp>##V3_BDPV12</stp>
        <stp>912828YA Govt</stp>
        <stp>TICKER</stp>
        <stp>[TREASURY.xlsx]Sheet1!R183C2</stp>
        <tr r="B183" s="1"/>
      </tp>
      <tp t="s">
        <v>T</v>
        <stp/>
        <stp>##V3_BDPV12</stp>
        <stp>912828ZA Govt</stp>
        <stp>TICKER</stp>
        <stp>[TREASURY.xlsx]Sheet1!R190C2</stp>
        <tr r="B190" s="1"/>
      </tp>
      <tp t="s">
        <v>USD</v>
        <stp/>
        <stp>##V3_BDPV12</stp>
        <stp>912828SR Govt</stp>
        <stp>CRNCY</stp>
        <stp>[TREASURY.xlsx]Sheet1!R1142C7</stp>
        <tr r="G1142" s="1"/>
      </tp>
      <tp t="s">
        <v>USD</v>
        <stp/>
        <stp>##V3_BDPV12</stp>
        <stp>912827PR Govt</stp>
        <stp>CRNCY</stp>
        <stp>[TREASURY.xlsx]Sheet1!R1341C7</stp>
        <tr r="G1341" s="1"/>
      </tp>
      <tp t="s">
        <v>11/30/2011</v>
        <stp/>
        <stp>##V3_BDPV12</stp>
        <stp>912828RU Govt</stp>
        <stp>ISSUE_DT</stp>
        <stp>[TREASURY.xlsx]Sheet1!R1302C15</stp>
        <tr r="O1302" s="1"/>
      </tp>
      <tp t="s">
        <v>T</v>
        <stp/>
        <stp>##V3_BDPV12</stp>
        <stp>912828KX Govt</stp>
        <stp>TICKER</stp>
        <stp>[TREASURY.xlsx]Sheet1!R1126C2</stp>
        <tr r="B1126" s="1"/>
      </tp>
      <tp t="s">
        <v>T</v>
        <stp/>
        <stp>##V3_BDPV12</stp>
        <stp>912828VW Govt</stp>
        <stp>TICKER</stp>
        <stp>[TREASURY.xlsx]Sheet1!R1149C2</stp>
        <tr r="B1149" s="1"/>
      </tp>
      <tp t="s">
        <v>T</v>
        <stp/>
        <stp>##V3_BDPV12</stp>
        <stp>912828RY Govt</stp>
        <stp>TICKER</stp>
        <stp>[TREASURY.xlsx]Sheet1!R1267C2</stp>
        <tr r="B1267" s="1"/>
      </tp>
      <tp t="s">
        <v>T</v>
        <stp/>
        <stp>##V3_BDPV12</stp>
        <stp>912827SW Govt</stp>
        <stp>TICKER</stp>
        <stp>[TREASURY.xlsx]Sheet1!R1189C2</stp>
        <tr r="B1189" s="1"/>
      </tp>
      <tp t="s">
        <v>T</v>
        <stp/>
        <stp>##V3_BDPV12</stp>
        <stp>912827TX Govt</stp>
        <stp>TICKER</stp>
        <stp>[TREASURY.xlsx]Sheet1!R1196C2</stp>
        <tr r="B1196" s="1"/>
      </tp>
      <tp t="s">
        <v>T</v>
        <stp/>
        <stp>##V3_BDPV12</stp>
        <stp>912827ZZ Govt</stp>
        <stp>TICKER</stp>
        <stp>[TREASURY.xlsx]Sheet1!R1614C2</stp>
        <tr r="B1614" s="1"/>
      </tp>
      <tp t="s">
        <v>T</v>
        <stp/>
        <stp>##V3_BDPV12</stp>
        <stp>912827RZ Govt</stp>
        <stp>TICKER</stp>
        <stp>[TREASURY.xlsx]Sheet1!R1584C2</stp>
        <tr r="B1584" s="1"/>
      </tp>
      <tp t="s">
        <v>T</v>
        <stp/>
        <stp>##V3_BDPV12</stp>
        <stp>9128274Z Govt</stp>
        <stp>TICKER</stp>
        <stp>[TREASURY.xlsx]Sheet1!R1534C2</stp>
        <tr r="B1534" s="1"/>
      </tp>
      <tp t="s">
        <v>T</v>
        <stp/>
        <stp>##V3_BDPV12</stp>
        <stp>912827QV Govt</stp>
        <stp>TICKER</stp>
        <stp>[TREASURY.xlsx]Sheet1!R1498C2</stp>
        <tr r="B1498" s="1"/>
      </tp>
      <tp t="s">
        <v>T</v>
        <stp/>
        <stp>##V3_BDPV12</stp>
        <stp>9128276V Govt</stp>
        <stp>TICKER</stp>
        <stp>[TREASURY.xlsx]Sheet1!R1468C2</stp>
        <tr r="B1468" s="1"/>
      </tp>
      <tp t="s">
        <v>T</v>
        <stp/>
        <stp>##V3_BDPV12</stp>
        <stp>912810BZ Govt</stp>
        <stp>TICKER</stp>
        <stp>[TREASURY.xlsx]Sheet1!R1514C2</stp>
        <tr r="B1514" s="1"/>
      </tp>
      <tp t="s">
        <v>1/3/2012</v>
        <stp/>
        <stp>##V3_BDPV12</stp>
        <stp>912828RW Govt</stp>
        <stp>ISSUE_DT</stp>
        <stp>[TREASURY.xlsx]Sheet1!R1303C15</stp>
        <tr r="O1303" s="1"/>
      </tp>
      <tp t="s">
        <v>USD</v>
        <stp/>
        <stp>##V3_BDPV12</stp>
        <stp>912827QQ Govt</stp>
        <stp>CRNCY</stp>
        <stp>[TREASURY.xlsx]Sheet1!R1180C7</stp>
        <tr r="G1180" s="1"/>
      </tp>
      <tp t="s">
        <v>USD</v>
        <stp/>
        <stp>##V3_BDPV12</stp>
        <stp>912828WQ Govt</stp>
        <stp>CRNCY</stp>
        <stp>[TREASURY.xlsx]Sheet1!R1006C7</stp>
        <tr r="G1006" s="1"/>
      </tp>
      <tp t="s">
        <v>USD</v>
        <stp/>
        <stp>##V3_BDPV12</stp>
        <stp>912827TQ Govt</stp>
        <stp>CRNCY</stp>
        <stp>[TREASURY.xlsx]Sheet1!R1075C7</stp>
        <tr r="G1075" s="1"/>
      </tp>
      <tp t="s">
        <v>2/15/1985</v>
        <stp/>
        <stp>##V3_BDPV12</stp>
        <stp>912827RV Govt</stp>
        <stp>ISSUE_DT</stp>
        <stp>[TREASURY.xlsx]Sheet1!R1582C15</stp>
        <tr r="O1582" s="1"/>
      </tp>
      <tp t="s">
        <v>USD</v>
        <stp/>
        <stp>##V3_BDPV12</stp>
        <stp>912827PV Govt</stp>
        <stp>CRNCY</stp>
        <stp>[TREASURY.xlsx]Sheet1!R1391C7</stp>
        <tr r="G1391" s="1"/>
      </tp>
      <tp t="s">
        <v>USD</v>
        <stp/>
        <stp>##V3_BDPV12</stp>
        <stp>912827XV Govt</stp>
        <stp>CRNCY</stp>
        <stp>[TREASURY.xlsx]Sheet1!R1599C7</stp>
        <tr r="G1599" s="1"/>
      </tp>
      <tp t="s">
        <v>USD</v>
        <stp/>
        <stp>##V3_BDPV12</stp>
        <stp>912828RW Govt</stp>
        <stp>CRNCY</stp>
        <stp>[TREASURY.xlsx]Sheet1!R1303C7</stp>
        <tr r="G1303" s="1"/>
      </tp>
      <tp t="s">
        <v>1/4/1985</v>
        <stp/>
        <stp>##V3_BDPV12</stp>
        <stp>912827RT Govt</stp>
        <stp>ISSUE_DT</stp>
        <stp>[TREASURY.xlsx]Sheet1!R1581C15</stp>
        <tr r="O1581" s="1"/>
      </tp>
      <tp t="s">
        <v>USD</v>
        <stp/>
        <stp>##V3_BDPV12</stp>
        <stp>912827TT Govt</stp>
        <stp>CRNCY</stp>
        <stp>[TREASURY.xlsx]Sheet1!R1195C7</stp>
        <tr r="G1195" s="1"/>
      </tp>
      <tp t="s">
        <v>USD</v>
        <stp/>
        <stp>##V3_BDPV12</stp>
        <stp>912828PU Govt</stp>
        <stp>CRNCY</stp>
        <stp>[TREASURY.xlsx]Sheet1!R1261C7</stp>
        <tr r="G1261" s="1"/>
      </tp>
      <tp t="s">
        <v>912828BF6</v>
        <stp/>
        <stp>##V3_BDPV12</stp>
        <stp>912828BF Govt</stp>
        <stp>ID_CUSIP</stp>
        <stp>[TREASURY.xlsx]Sheet1!R1235C19</stp>
        <tr r="S1235" s="1"/>
      </tp>
      <tp t="s">
        <v>4/1/1985</v>
        <stp/>
        <stp>##V3_BDPV12</stp>
        <stp>912827RZ Govt</stp>
        <stp>ISSUE_DT</stp>
        <stp>[TREASURY.xlsx]Sheet1!R1584C15</stp>
        <tr r="O1584" s="1"/>
      </tp>
      <tp t="s">
        <v>USD</v>
        <stp/>
        <stp>##V3_BDPV12</stp>
        <stp>912827PZ Govt</stp>
        <stp>CRNCY</stp>
        <stp>[TREASURY.xlsx]Sheet1!R1571C7</stp>
        <tr r="G1571" s="1"/>
      </tp>
      <tp t="s">
        <v>3/31/2022</v>
        <stp/>
        <stp>##V3_BDPV12</stp>
        <stp>91282CCZ Govt</stp>
        <stp>FIRST_CPN_DT</stp>
        <stp>[TREASURY.xlsx]Sheet1!R7C9</stp>
        <tr r="I7" s="1"/>
      </tp>
      <tp t="s">
        <v>3/1/1985</v>
        <stp/>
        <stp>##V3_BDPV12</stp>
        <stp>912827RY Govt</stp>
        <stp>ISSUE_DT</stp>
        <stp>[TREASURY.xlsx]Sheet1!R1583C15</stp>
        <tr r="O1583" s="1"/>
      </tp>
      <tp t="s">
        <v>USD</v>
        <stp/>
        <stp>##V3_BDPV12</stp>
        <stp>912827RY Govt</stp>
        <stp>CRNCY</stp>
        <stp>[TREASURY.xlsx]Sheet1!R1583C7</stp>
        <tr r="G1583" s="1"/>
      </tp>
      <tp t="s">
        <v>1/3/2012</v>
        <stp/>
        <stp>##V3_BDPV12</stp>
        <stp>912828RY Govt</stp>
        <stp>ISSUE_DT</stp>
        <stp>[TREASURY.xlsx]Sheet1!R1267C15</stp>
        <tr r="O1267" s="1"/>
      </tp>
      <tp t="s">
        <v>912828BE9</v>
        <stp/>
        <stp>##V3_BDPV12</stp>
        <stp>912828BE Govt</stp>
        <stp>ID_CUSIP</stp>
        <stp>[TREASURY.xlsx]Sheet1!R1425C19</stp>
        <tr r="S1425" s="1"/>
      </tp>
      <tp t="s">
        <v>912810BG2</v>
        <stp/>
        <stp>##V3_BDPV12</stp>
        <stp>912810BG Govt</stp>
        <stp>ID_CUSIP</stp>
        <stp>[TREASURY.xlsx]Sheet1!R1513C19</stp>
        <tr r="S1513" s="1"/>
      </tp>
      <tp t="s">
        <v>1/17/2012</v>
        <stp/>
        <stp>##V3_BDPV12</stp>
        <stp>912828RZ Govt</stp>
        <stp>ISSUE_DT</stp>
        <stp>[TREASURY.xlsx]Sheet1!R1268C15</stp>
        <tr r="O1268" s="1"/>
      </tp>
      <tp t="s">
        <v>912810BX5</v>
        <stp/>
        <stp>##V3_BDPV12</stp>
        <stp>912810BX Govt</stp>
        <stp>ID_CUSIP</stp>
        <stp>[TREASURY.xlsx]Sheet1!R1440C19</stp>
        <tr r="S1440" s="1"/>
      </tp>
      <tp t="s">
        <v>8/31/2011</v>
        <stp/>
        <stp>##V3_BDPV12</stp>
        <stp>912828RD Govt</stp>
        <stp>ISSUE_DT</stp>
        <stp>[TREASURY.xlsx]Sheet1!R1265C15</stp>
        <tr r="O1265" s="1"/>
      </tp>
      <tp t="s">
        <v>#N/A Field Not Applicable</v>
        <stp/>
        <stp>##V3_BDPV12</stp>
        <stp>912810BU Govt</stp>
        <stp>IDX_RATIO</stp>
        <stp>[TREASURY.xlsx]Sheet1!R1439C20</stp>
        <tr r="T1439" s="1"/>
      </tp>
      <tp t="s">
        <v>USD</v>
        <stp/>
        <stp>##V3_BDPV12</stp>
        <stp>912828UC Govt</stp>
        <stp>CRNCY</stp>
        <stp>[TREASURY.xlsx]Sheet1!R1144C7</stp>
        <tr r="G1144" s="1"/>
      </tp>
      <tp t="s">
        <v>9/4/1984</v>
        <stp/>
        <stp>##V3_BDPV12</stp>
        <stp>912827RE Govt</stp>
        <stp>ISSUE_DT</stp>
        <stp>[TREASURY.xlsx]Sheet1!R1063C15</stp>
        <tr r="O1063" s="1"/>
      </tp>
      <tp t="s">
        <v>#N/A Field Not Applicable</v>
        <stp/>
        <stp>##V3_BDPV12</stp>
        <stp>9128276U Govt</stp>
        <stp>IDX_RATIO</stp>
        <stp>[TREASURY.xlsx]Sheet1!R1467C20</stp>
        <tr r="T1467" s="1"/>
      </tp>
      <tp t="s">
        <v>#N/A Field Not Applicable</v>
        <stp/>
        <stp>##V3_BDPV12</stp>
        <stp>9128272U Govt</stp>
        <stp>IDX_RATIO</stp>
        <stp>[TREASURY.xlsx]Sheet1!R1454C20</stp>
        <tr r="T1454" s="1"/>
      </tp>
      <tp t="s">
        <v>#N/A Field Not Applicable</v>
        <stp/>
        <stp>##V3_BDPV12</stp>
        <stp>9128273U Govt</stp>
        <stp>IDX_RATIO</stp>
        <stp>[TREASURY.xlsx]Sheet1!R1455C20</stp>
        <tr r="T1455" s="1"/>
      </tp>
      <tp t="s">
        <v>#N/A Field Not Applicable</v>
        <stp/>
        <stp>##V3_BDPV12</stp>
        <stp>912827WU Govt</stp>
        <stp>IDX_RATIO</stp>
        <stp>[TREASURY.xlsx]Sheet1!R1422C20</stp>
        <tr r="T1422" s="1"/>
      </tp>
      <tp t="s">
        <v>#N/A Field Not Applicable</v>
        <stp/>
        <stp>##V3_BDPV12</stp>
        <stp>912827VU Govt</stp>
        <stp>IDX_RATIO</stp>
        <stp>[TREASURY.xlsx]Sheet1!R1412C20</stp>
        <tr r="T1412" s="1"/>
      </tp>
      <tp t="s">
        <v>#N/A Field Not Applicable</v>
        <stp/>
        <stp>##V3_BDPV12</stp>
        <stp>912827UU Govt</stp>
        <stp>IDX_RATIO</stp>
        <stp>[TREASURY.xlsx]Sheet1!R1408C20</stp>
        <tr r="T1408" s="1"/>
      </tp>
      <tp t="s">
        <v>#N/A Field Not Applicable</v>
        <stp/>
        <stp>##V3_BDPV12</stp>
        <stp>912827TU Govt</stp>
        <stp>IDX_RATIO</stp>
        <stp>[TREASURY.xlsx]Sheet1!R1401C20</stp>
        <tr r="T1401" s="1"/>
      </tp>
      <tp t="s">
        <v>#N/A Field Not Applicable</v>
        <stp/>
        <stp>##V3_BDPV12</stp>
        <stp>912827QU Govt</stp>
        <stp>IDX_RATIO</stp>
        <stp>[TREASURY.xlsx]Sheet1!R1497C20</stp>
        <tr r="T1497" s="1"/>
      </tp>
      <tp t="s">
        <v>UNITED STATES</v>
        <stp/>
        <stp>##V3_BDPV12</stp>
        <stp>9128282Y Govt</stp>
        <stp>COUNTRY_FULL_NAME</stp>
        <stp>[TREASURY.xlsx]Sheet1!R145C8</stp>
        <tr r="H145" s="1"/>
      </tp>
      <tp t="s">
        <v>UNITED STATES</v>
        <stp/>
        <stp>##V3_BDPV12</stp>
        <stp>9128282F Govt</stp>
        <stp>COUNTRY_FULL_NAME</stp>
        <stp>[TREASURY.xlsx]Sheet1!R345C8</stp>
        <tr r="H345" s="1"/>
      </tp>
      <tp t="s">
        <v>912810BZ0</v>
        <stp/>
        <stp>##V3_BDPV12</stp>
        <stp>912810BZ Govt</stp>
        <stp>ID_CUSIP</stp>
        <stp>[TREASURY.xlsx]Sheet1!R1514C19</stp>
        <tr r="S1514" s="1"/>
      </tp>
      <tp t="s">
        <v>USD</v>
        <stp/>
        <stp>##V3_BDPV12</stp>
        <stp>912827WA Govt</stp>
        <stp>CRNCY</stp>
        <stp>[TREASURY.xlsx]Sheet1!R1206C7</stp>
        <tr r="G1206" s="1"/>
      </tp>
      <tp t="s">
        <v>UNITED STATES</v>
        <stp/>
        <stp>##V3_BDPV12</stp>
        <stp>9128283Y Govt</stp>
        <stp>COUNTRY_FULL_NAME</stp>
        <stp>[TREASURY.xlsx]Sheet1!R395C8</stp>
        <tr r="H395" s="1"/>
      </tp>
      <tp t="s">
        <v>UNITED STATES</v>
        <stp/>
        <stp>##V3_BDPV12</stp>
        <stp>9128283P Govt</stp>
        <stp>COUNTRY_FULL_NAME</stp>
        <stp>[TREASURY.xlsx]Sheet1!R185C8</stp>
        <tr r="H185" s="1"/>
      </tp>
      <tp t="s">
        <v>UNITED STATES</v>
        <stp/>
        <stp>##V3_BDPV12</stp>
        <stp>9128283Q Govt</stp>
        <stp>COUNTRY_FULL_NAME</stp>
        <stp>[TREASURY.xlsx]Sheet1!R375C8</stp>
        <tr r="H375" s="1"/>
      </tp>
      <tp t="s">
        <v>8/15/1984</v>
        <stp/>
        <stp>##V3_BDPV12</stp>
        <stp>912827RC Govt</stp>
        <stp>ISSUE_DT</stp>
        <stp>[TREASURY.xlsx]Sheet1!R1062C15</stp>
        <tr r="O1062" s="1"/>
      </tp>
      <tp t="s">
        <v>10/1/1984</v>
        <stp/>
        <stp>##V3_BDPV12</stp>
        <stp>912827RF Govt</stp>
        <stp>ISSUE_DT</stp>
        <stp>[TREASURY.xlsx]Sheet1!R1579C15</stp>
        <tr r="O1579" s="1"/>
      </tp>
      <tp t="s">
        <v>#N/A Field Not Applicable</v>
        <stp/>
        <stp>##V3_BDPV12</stp>
        <stp>912827YU Govt</stp>
        <stp>IDX_RATIO</stp>
        <stp>[TREASURY.xlsx]Sheet1!R1224C20</stp>
        <tr r="T1224" s="1"/>
      </tp>
      <tp t="s">
        <v>#N/A Field Not Applicable</v>
        <stp/>
        <stp>##V3_BDPV12</stp>
        <stp>912827XU Govt</stp>
        <stp>IDX_RATIO</stp>
        <stp>[TREASURY.xlsx]Sheet1!R1217C20</stp>
        <tr r="T1217" s="1"/>
      </tp>
      <tp t="s">
        <v>#N/A Field Not Applicable</v>
        <stp/>
        <stp>##V3_BDPV12</stp>
        <stp>912828DU Govt</stp>
        <stp>IDX_RATIO</stp>
        <stp>[TREASURY.xlsx]Sheet1!R1237C20</stp>
        <tr r="T1237" s="1"/>
      </tp>
      <tp t="s">
        <v>#N/A Field Not Applicable</v>
        <stp/>
        <stp>##V3_BDPV12</stp>
        <stp>912828PU Govt</stp>
        <stp>IDX_RATIO</stp>
        <stp>[TREASURY.xlsx]Sheet1!R1261C20</stp>
        <tr r="T1261" s="1"/>
      </tp>
      <tp t="s">
        <v>USD</v>
        <stp/>
        <stp>##V3_BDPV12</stp>
        <stp>912827UF Govt</stp>
        <stp>CRNCY</stp>
        <stp>[TREASURY.xlsx]Sheet1!R1404C7</stp>
        <tr r="G1404" s="1"/>
      </tp>
      <tp t="s">
        <v>UNITED STATES</v>
        <stp/>
        <stp>##V3_BDPV12</stp>
        <stp>9128284Q Govt</stp>
        <stp>COUNTRY_FULL_NAME</stp>
        <stp>[TREASURY.xlsx]Sheet1!R675C8</stp>
        <tr r="H675" s="1"/>
      </tp>
      <tp t="s">
        <v>UNITED STATES</v>
        <stp/>
        <stp>##V3_BDPV12</stp>
        <stp>9128284F Govt</stp>
        <stp>COUNTRY_FULL_NAME</stp>
        <stp>[TREASURY.xlsx]Sheet1!R285C8</stp>
        <tr r="H285" s="1"/>
      </tp>
      <tp t="s">
        <v>UNITED STATES</v>
        <stp/>
        <stp>##V3_BDPV12</stp>
        <stp>9128284C Govt</stp>
        <stp>COUNTRY_FULL_NAME</stp>
        <stp>[TREASURY.xlsx]Sheet1!R505C8</stp>
        <tr r="H505" s="1"/>
      </tp>
      <tp t="s">
        <v>#N/A Field Not Applicable</v>
        <stp/>
        <stp>##V3_BDPV12</stp>
        <stp>912827NU Govt</stp>
        <stp>IDX_RATIO</stp>
        <stp>[TREASURY.xlsx]Sheet1!R1335C20</stp>
        <tr r="T1335" s="1"/>
      </tp>
      <tp t="s">
        <v>#N/A Field Not Applicable</v>
        <stp/>
        <stp>##V3_BDPV12</stp>
        <stp>912827MU Govt</stp>
        <stp>IDX_RATIO</stp>
        <stp>[TREASURY.xlsx]Sheet1!R1328C20</stp>
        <tr r="T1328" s="1"/>
      </tp>
      <tp t="s">
        <v>10/23/1984</v>
        <stp/>
        <stp>##V3_BDPV12</stp>
        <stp>912827RG Govt</stp>
        <stp>ISSUE_DT</stp>
        <stp>[TREASURY.xlsx]Sheet1!R1501C15</stp>
        <tr r="O1501" s="1"/>
      </tp>
      <tp t="s">
        <v>#N/A Field Not Applicable</v>
        <stp/>
        <stp>##V3_BDPV12</stp>
        <stp>912828RU Govt</stp>
        <stp>IDX_RATIO</stp>
        <stp>[TREASURY.xlsx]Sheet1!R1302C20</stp>
        <tr r="T1302" s="1"/>
      </tp>
      <tp t="s">
        <v>UNITED STATES</v>
        <stp/>
        <stp>##V3_BDPV12</stp>
        <stp>9128285C Govt</stp>
        <stp>COUNTRY_FULL_NAME</stp>
        <stp>[TREASURY.xlsx]Sheet1!R205C8</stp>
        <tr r="H205" s="1"/>
      </tp>
      <tp t="s">
        <v>7/31/1984</v>
        <stp/>
        <stp>##V3_BDPV12</stp>
        <stp>912827RA Govt</stp>
        <stp>ISSUE_DT</stp>
        <stp>[TREASURY.xlsx]Sheet1!R1061C15</stp>
        <tr r="O1061" s="1"/>
      </tp>
      <tp t="s">
        <v>#N/A Field Not Applicable</v>
        <stp/>
        <stp>##V3_BDPV12</stp>
        <stp>912810CU Govt</stp>
        <stp>IDX_RATIO</stp>
        <stp>[TREASURY.xlsx]Sheet1!R1345C20</stp>
        <tr r="T1345" s="1"/>
      </tp>
      <tp t="s">
        <v>#N/A Field Not Applicable</v>
        <stp/>
        <stp>##V3_BDPV12</stp>
        <stp>9128274U Govt</stp>
        <stp>IDX_RATIO</stp>
        <stp>[TREASURY.xlsx]Sheet1!R1012C20</stp>
        <tr r="T1012" s="1"/>
      </tp>
      <tp t="s">
        <v>#N/A Field Not Applicable</v>
        <stp/>
        <stp>##V3_BDPV12</stp>
        <stp>912828UU Govt</stp>
        <stp>IDX_RATIO</stp>
        <stp>[TREASURY.xlsx]Sheet1!R1001C20</stp>
        <tr r="T1001" s="1"/>
      </tp>
      <tp t="s">
        <v>#N/A Field Not Applicable</v>
        <stp/>
        <stp>##V3_BDPV12</stp>
        <stp>912828VU Govt</stp>
        <stp>IDX_RATIO</stp>
        <stp>[TREASURY.xlsx]Sheet1!R1003C20</stp>
        <tr r="T1003" s="1"/>
      </tp>
      <tp t="s">
        <v>USD</v>
        <stp/>
        <stp>##V3_BDPV12</stp>
        <stp>912828VD Govt</stp>
        <stp>CRNCY</stp>
        <stp>[TREASURY.xlsx]Sheet1!R1147C7</stp>
        <tr r="G1147" s="1"/>
      </tp>
      <tp t="s">
        <v>UNITED STATES</v>
        <stp/>
        <stp>##V3_BDPV12</stp>
        <stp>9128286F Govt</stp>
        <stp>COUNTRY_FULL_NAME</stp>
        <stp>[TREASURY.xlsx]Sheet1!R225C8</stp>
        <tr r="H225" s="1"/>
      </tp>
      <tp t="s">
        <v>UNITED STATES</v>
        <stp/>
        <stp>##V3_BDPV12</stp>
        <stp>9128286A Govt</stp>
        <stp>COUNTRY_FULL_NAME</stp>
        <stp>[TREASURY.xlsx]Sheet1!R265C8</stp>
        <tr r="H265" s="1"/>
      </tp>
      <tp t="s">
        <v>#N/A Field Not Applicable</v>
        <stp/>
        <stp>##V3_BDPV12</stp>
        <stp>912827PU Govt</stp>
        <stp>IDX_RATIO</stp>
        <stp>[TREASURY.xlsx]Sheet1!R1175C20</stp>
        <tr r="T1175" s="1"/>
      </tp>
      <tp t="s">
        <v>USD</v>
        <stp/>
        <stp>##V3_BDPV12</stp>
        <stp>912827RE Govt</stp>
        <stp>CRNCY</stp>
        <stp>[TREASURY.xlsx]Sheet1!R1063C7</stp>
        <tr r="G1063" s="1"/>
      </tp>
      <tp t="s">
        <v>10/31/2011</v>
        <stp/>
        <stp>##V3_BDPV12</stp>
        <stp>912828RN Govt</stp>
        <stp>ISSUE_DT</stp>
        <stp>[TREASURY.xlsx]Sheet1!R1140C15</stp>
        <tr r="O1140" s="1"/>
      </tp>
      <tp t="s">
        <v>11/30/1984</v>
        <stp/>
        <stp>##V3_BDPV12</stp>
        <stp>912827RN Govt</stp>
        <stp>ISSUE_DT</stp>
        <stp>[TREASURY.xlsx]Sheet1!R1064C15</stp>
        <tr r="O1064" s="1"/>
      </tp>
      <tp t="s">
        <v>USD</v>
        <stp/>
        <stp>##V3_BDPV12</stp>
        <stp>912828SK Govt</stp>
        <stp>CRNCY</stp>
        <stp>[TREASURY.xlsx]Sheet1!R1132C7</stp>
        <tr r="G1132" s="1"/>
      </tp>
      <tp t="s">
        <v>10/17/2011</v>
        <stp/>
        <stp>##V3_BDPV12</stp>
        <stp>912828RL Govt</stp>
        <stp>ISSUE_DT</stp>
        <stp>[TREASURY.xlsx]Sheet1!R1131C15</stp>
        <tr r="O1131" s="1"/>
      </tp>
      <tp t="s">
        <v>10/31/1984</v>
        <stp/>
        <stp>##V3_BDPV12</stp>
        <stp>912827RH Govt</stp>
        <stp>ISSUE_DT</stp>
        <stp>[TREASURY.xlsx]Sheet1!R1502C15</stp>
        <tr r="O1502" s="1"/>
      </tp>
      <tp t="s">
        <v>USD</v>
        <stp/>
        <stp>##V3_BDPV12</stp>
        <stp>912828WH Govt</stp>
        <stp>CRNCY</stp>
        <stp>[TREASURY.xlsx]Sheet1!R1306C7</stp>
        <tr r="G1306" s="1"/>
      </tp>
      <tp t="s">
        <v>912810BU1</v>
        <stp/>
        <stp>##V3_BDPV12</stp>
        <stp>912810BU Govt</stp>
        <stp>ID_CUSIP</stp>
        <stp>[TREASURY.xlsx]Sheet1!R1439C19</stp>
        <tr r="S1439" s="1"/>
      </tp>
      <tp t="s">
        <v>9/30/2011</v>
        <stp/>
        <stp>##V3_BDPV12</stp>
        <stp>912828RK Govt</stp>
        <stp>ISSUE_DT</stp>
        <stp>[TREASURY.xlsx]Sheet1!R1266C15</stp>
        <tr r="O1266" s="1"/>
      </tp>
      <tp t="s">
        <v>11/15/1984</v>
        <stp/>
        <stp>##V3_BDPV12</stp>
        <stp>912827RL Govt</stp>
        <stp>ISSUE_DT</stp>
        <stp>[TREASURY.xlsx]Sheet1!R1503C15</stp>
        <tr r="O1503" s="1"/>
      </tp>
      <tp t="s">
        <v>USD</v>
        <stp/>
        <stp>##V3_BDPV12</stp>
        <stp>912827VL Govt</stp>
        <stp>CRNCY</stp>
        <stp>[TREASURY.xlsx]Sheet1!R1087C7</stp>
        <tr r="G1087" s="1"/>
      </tp>
      <tp t="s">
        <v>USD</v>
        <stp/>
        <stp>##V3_BDPV12</stp>
        <stp>912827RL Govt</stp>
        <stp>CRNCY</stp>
        <stp>[TREASURY.xlsx]Sheet1!R1503C7</stp>
        <tr r="G1503" s="1"/>
      </tp>
      <tp t="s">
        <v>11/15/1984</v>
        <stp/>
        <stp>##V3_BDPV12</stp>
        <stp>912827RM Govt</stp>
        <stp>ISSUE_DT</stp>
        <stp>[TREASURY.xlsx]Sheet1!R1580C15</stp>
        <tr r="O1580" s="1"/>
      </tp>
      <tp t="s">
        <v>USD</v>
        <stp/>
        <stp>##V3_BDPV12</stp>
        <stp>912828QM Govt</stp>
        <stp>CRNCY</stp>
        <stp>[TREASURY.xlsx]Sheet1!R1130C7</stp>
        <tr r="G1130" s="1"/>
      </tp>
      <tp t="s">
        <v>USD</v>
        <stp/>
        <stp>##V3_BDPV12</stp>
        <stp>912827P3 Govt</stp>
        <stp>CRNCY</stp>
        <stp>[TREASURY.xlsx]Sheet1!R1386C7</stp>
        <tr r="G1386" s="1"/>
      </tp>
      <tp t="s">
        <v>USD</v>
        <stp/>
        <stp>##V3_BDPV12</stp>
        <stp>912827S3 Govt</stp>
        <stp>CRNCY</stp>
        <stp>[TREASURY.xlsx]Sheet1!R1585C7</stp>
        <tr r="G1585" s="1"/>
      </tp>
      <tp t="s">
        <v>UNITED STATES</v>
        <stp/>
        <stp>##V3_BDPV12</stp>
        <stp>912828AX Govt</stp>
        <stp>COUNTRY_FULL_NAME</stp>
        <stp>[TREASURY.xlsx]Sheet1!R502C8</stp>
        <tr r="H502" s="1"/>
      </tp>
      <tp t="s">
        <v>UNITED STATES</v>
        <stp/>
        <stp>##V3_BDPV12</stp>
        <stp>912828AQ Govt</stp>
        <stp>COUNTRY_FULL_NAME</stp>
        <stp>[TREASURY.xlsx]Sheet1!R512C8</stp>
        <tr r="H512" s="1"/>
      </tp>
      <tp t="s">
        <v>UNITED STATES</v>
        <stp/>
        <stp>##V3_BDPV12</stp>
        <stp>912828AV Govt</stp>
        <stp>COUNTRY_FULL_NAME</stp>
        <stp>[TREASURY.xlsx]Sheet1!R602C8</stp>
        <tr r="H602" s="1"/>
      </tp>
      <tp t="s">
        <v>UNITED STATES</v>
        <stp/>
        <stp>##V3_BDPV12</stp>
        <stp>912828AD Govt</stp>
        <stp>COUNTRY_FULL_NAME</stp>
        <stp>[TREASURY.xlsx]Sheet1!R412C8</stp>
        <tr r="H412" s="1"/>
      </tp>
      <tp t="s">
        <v>UNITED STATES</v>
        <stp/>
        <stp>##V3_BDPV12</stp>
        <stp>912828BH Govt</stp>
        <stp>COUNTRY_FULL_NAME</stp>
        <stp>[TREASURY.xlsx]Sheet1!R452C8</stp>
        <tr r="H452" s="1"/>
      </tp>
      <tp t="s">
        <v>UNITED STATES</v>
        <stp/>
        <stp>##V3_BDPV12</stp>
        <stp>912828BJ Govt</stp>
        <stp>COUNTRY_FULL_NAME</stp>
        <stp>[TREASURY.xlsx]Sheet1!R642C8</stp>
        <tr r="H642" s="1"/>
      </tp>
      <tp t="s">
        <v>UNITED STATES</v>
        <stp/>
        <stp>##V3_BDPV12</stp>
        <stp>912828BB Govt</stp>
        <stp>COUNTRY_FULL_NAME</stp>
        <stp>[TREASURY.xlsx]Sheet1!R482C8</stp>
        <tr r="H482" s="1"/>
      </tp>
      <tp t="s">
        <v>7/31/1995</v>
        <stp/>
        <stp>##V3_BDPV12</stp>
        <stp>912827U5 Govt</stp>
        <stp>ISSUE_DT</stp>
        <stp>[TREASURY.xlsx]Sheet1!R1197C15</stp>
        <tr r="O1197" s="1"/>
      </tp>
      <tp t="s">
        <v>UNITED STATES</v>
        <stp/>
        <stp>##V3_BDPV12</stp>
        <stp>912828C5 Govt</stp>
        <stp>COUNTRY_FULL_NAME</stp>
        <stp>[TREASURY.xlsx]Sheet1!R342C8</stp>
        <tr r="H342" s="1"/>
      </tp>
      <tp t="s">
        <v>UNITED STATES</v>
        <stp/>
        <stp>##V3_BDPV12</stp>
        <stp>912828C4 Govt</stp>
        <stp>COUNTRY_FULL_NAME</stp>
        <stp>[TREASURY.xlsx]Sheet1!R492C8</stp>
        <tr r="H492" s="1"/>
      </tp>
      <tp t="s">
        <v>UNITED STATES</v>
        <stp/>
        <stp>##V3_BDPV12</stp>
        <stp>912828CS Govt</stp>
        <stp>COUNTRY_FULL_NAME</stp>
        <stp>[TREASURY.xlsx]Sheet1!R462C8</stp>
        <tr r="H462" s="1"/>
      </tp>
      <tp t="s">
        <v>UNITED STATES</v>
        <stp/>
        <stp>##V3_BDPV12</stp>
        <stp>912828D7 Govt</stp>
        <stp>COUNTRY_FULL_NAME</stp>
        <stp>[TREASURY.xlsx]Sheet1!R332C8</stp>
        <tr r="H332" s="1"/>
      </tp>
      <tp t="s">
        <v>UNITED STATES</v>
        <stp/>
        <stp>##V3_BDPV12</stp>
        <stp>912828DR Govt</stp>
        <stp>COUNTRY_FULL_NAME</stp>
        <stp>[TREASURY.xlsx]Sheet1!R792C8</stp>
        <tr r="H792" s="1"/>
      </tp>
      <tp t="s">
        <v>UNITED STATES</v>
        <stp/>
        <stp>##V3_BDPV12</stp>
        <stp>912828DL Govt</stp>
        <stp>COUNTRY_FULL_NAME</stp>
        <stp>[TREASURY.xlsx]Sheet1!R962C8</stp>
        <tr r="H962" s="1"/>
      </tp>
      <tp t="s">
        <v>UNITED STATES</v>
        <stp/>
        <stp>##V3_BDPV12</stp>
        <stp>912828DC Govt</stp>
        <stp>COUNTRY_FULL_NAME</stp>
        <stp>[TREASURY.xlsx]Sheet1!R352C8</stp>
        <tr r="H352" s="1"/>
      </tp>
      <tp t="s">
        <v>8/15/1995</v>
        <stp/>
        <stp>##V3_BDPV12</stp>
        <stp>912827U7 Govt</stp>
        <stp>ISSUE_DT</stp>
        <stp>[TREASURY.xlsx]Sheet1!R1511C15</stp>
        <tr r="O1511" s="1"/>
      </tp>
      <tp t="s">
        <v>USD</v>
        <stp/>
        <stp>##V3_BDPV12</stp>
        <stp>912827V7 Govt</stp>
        <stp>CRNCY</stp>
        <stp>[TREASURY.xlsx]Sheet1!R1410C7</stp>
        <tr r="G1410" s="1"/>
      </tp>
      <tp t="s">
        <v>UNITED STATES</v>
        <stp/>
        <stp>##V3_BDPV12</stp>
        <stp>912828EW Govt</stp>
        <stp>COUNTRY_FULL_NAME</stp>
        <stp>[TREASURY.xlsx]Sheet1!R842C8</stp>
        <tr r="H842" s="1"/>
      </tp>
      <tp t="s">
        <v>UNITED STATES</v>
        <stp/>
        <stp>##V3_BDPV12</stp>
        <stp>912828EZ Govt</stp>
        <stp>COUNTRY_FULL_NAME</stp>
        <stp>[TREASURY.xlsx]Sheet1!R572C8</stp>
        <tr r="H572" s="1"/>
      </tp>
      <tp t="s">
        <v>USD</v>
        <stp/>
        <stp>##V3_BDPV12</stp>
        <stp>912827Q4 Govt</stp>
        <stp>CRNCY</stp>
        <stp>[TREASURY.xlsx]Sheet1!R1177C7</stp>
        <tr r="G1177" s="1"/>
      </tp>
      <tp t="s">
        <v>USD</v>
        <stp/>
        <stp>##V3_BDPV12</stp>
        <stp>912828R4 Govt</stp>
        <stp>CRNCY</stp>
        <stp>[TREASURY.xlsx]Sheet1!R1264C7</stp>
        <tr r="G1264" s="1"/>
      </tp>
      <tp t="s">
        <v>USD</v>
        <stp/>
        <stp>##V3_BDPV12</stp>
        <stp>912827U4 Govt</stp>
        <stp>CRNCY</stp>
        <stp>[TREASURY.xlsx]Sheet1!R1403C7</stp>
        <tr r="G1403" s="1"/>
      </tp>
      <tp t="s">
        <v>UNITED STATES</v>
        <stp/>
        <stp>##V3_BDPV12</stp>
        <stp>912828FM Govt</stp>
        <stp>COUNTRY_FULL_NAME</stp>
        <stp>[TREASURY.xlsx]Sheet1!R532C8</stp>
        <tr r="H532" s="1"/>
      </tp>
      <tp t="s">
        <v>6/30/1995</v>
        <stp/>
        <stp>##V3_BDPV12</stp>
        <stp>912827U4 Govt</stp>
        <stp>ISSUE_DT</stp>
        <stp>[TREASURY.xlsx]Sheet1!R1403C15</stp>
        <tr r="O1403" s="1"/>
      </tp>
      <tp t="s">
        <v>UNITED STATES</v>
        <stp/>
        <stp>##V3_BDPV12</stp>
        <stp>912828G9 Govt</stp>
        <stp>COUNTRY_FULL_NAME</stp>
        <stp>[TREASURY.xlsx]Sheet1!R422C8</stp>
        <tr r="H422" s="1"/>
      </tp>
      <tp t="s">
        <v>USD</v>
        <stp/>
        <stp>##V3_BDPV12</stp>
        <stp>912828R5 Govt</stp>
        <stp>CRNCY</stp>
        <stp>[TREASURY.xlsx]Sheet1!R1284C7</stp>
        <tr r="G1284" s="1"/>
      </tp>
      <tp t="s">
        <v>UNITED STATES</v>
        <stp/>
        <stp>##V3_BDPV12</stp>
        <stp>912828GQ Govt</stp>
        <stp>COUNTRY_FULL_NAME</stp>
        <stp>[TREASURY.xlsx]Sheet1!R672C8</stp>
        <tr r="H672" s="1"/>
      </tp>
      <tp t="s">
        <v>UNITED STATES</v>
        <stp/>
        <stp>##V3_BDPV12</stp>
        <stp>912828GJ Govt</stp>
        <stp>COUNTRY_FULL_NAME</stp>
        <stp>[TREASURY.xlsx]Sheet1!R802C8</stp>
        <tr r="H802" s="1"/>
      </tp>
      <tp t="s">
        <v>UNITED STATES</v>
        <stp/>
        <stp>##V3_BDPV12</stp>
        <stp>912828J9 Govt</stp>
        <stp>COUNTRY_FULL_NAME</stp>
        <stp>[TREASURY.xlsx]Sheet1!R852C8</stp>
        <tr r="H852" s="1"/>
      </tp>
      <tp t="s">
        <v>UNITED STATES</v>
        <stp/>
        <stp>##V3_BDPV12</stp>
        <stp>912828JV Govt</stp>
        <stp>COUNTRY_FULL_NAME</stp>
        <stp>[TREASURY.xlsx]Sheet1!R972C8</stp>
        <tr r="H972" s="1"/>
      </tp>
      <tp t="s">
        <v>UNITED STATES</v>
        <stp/>
        <stp>##V3_BDPV12</stp>
        <stp>912828JH Govt</stp>
        <stp>COUNTRY_FULL_NAME</stp>
        <stp>[TREASURY.xlsx]Sheet1!R542C8</stp>
        <tr r="H542" s="1"/>
      </tp>
      <tp t="s">
        <v>UNITED STATES</v>
        <stp/>
        <stp>##V3_BDPV12</stp>
        <stp>912828KF Govt</stp>
        <stp>COUNTRY_FULL_NAME</stp>
        <stp>[TREASURY.xlsx]Sheet1!R812C8</stp>
        <tr r="H812" s="1"/>
      </tp>
      <tp t="s">
        <v>UNITED STATES</v>
        <stp/>
        <stp>##V3_BDPV12</stp>
        <stp>912828KE Govt</stp>
        <stp>COUNTRY_FULL_NAME</stp>
        <stp>[TREASURY.xlsx]Sheet1!R582C8</stp>
        <tr r="H582" s="1"/>
      </tp>
      <tp t="s">
        <v>UNITED STATES</v>
        <stp/>
        <stp>##V3_BDPV12</stp>
        <stp>912828M9 Govt</stp>
        <stp>COUNTRY_FULL_NAME</stp>
        <stp>[TREASURY.xlsx]Sheet1!R592C8</stp>
        <tr r="H592" s="1"/>
      </tp>
      <tp t="s">
        <v>UNITED STATES</v>
        <stp/>
        <stp>##V3_BDPV12</stp>
        <stp>912828MN Govt</stp>
        <stp>COUNTRY_FULL_NAME</stp>
        <stp>[TREASURY.xlsx]Sheet1!R822C8</stp>
        <tr r="H822" s="1"/>
      </tp>
      <tp t="s">
        <v>8/15/1995</v>
        <stp/>
        <stp>##V3_BDPV12</stp>
        <stp>912827U8 Govt</stp>
        <stp>ISSUE_DT</stp>
        <stp>[TREASURY.xlsx]Sheet1!R1198C15</stp>
        <tr r="O1198" s="1"/>
      </tp>
      <tp t="s">
        <v>UNITED STATES</v>
        <stp/>
        <stp>##V3_BDPV12</stp>
        <stp>912828NV Govt</stp>
        <stp>COUNTRY_FULL_NAME</stp>
        <stp>[TREASURY.xlsx]Sheet1!R382C8</stp>
        <tr r="H382" s="1"/>
      </tp>
      <tp t="s">
        <v>UNITED STATES</v>
        <stp/>
        <stp>##V3_BDPV12</stp>
        <stp>912828NH Govt</stp>
        <stp>COUNTRY_FULL_NAME</stp>
        <stp>[TREASURY.xlsx]Sheet1!R622C8</stp>
        <tr r="H622" s="1"/>
      </tp>
      <tp t="s">
        <v>UNITED STATES</v>
        <stp/>
        <stp>##V3_BDPV12</stp>
        <stp>912828NC Govt</stp>
        <stp>COUNTRY_FULL_NAME</stp>
        <stp>[TREASURY.xlsx]Sheet1!R862C8</stp>
        <tr r="H862" s="1"/>
      </tp>
      <tp t="s">
        <v>UNITED STATES</v>
        <stp/>
        <stp>##V3_BDPV12</stp>
        <stp>912828NG Govt</stp>
        <stp>COUNTRY_FULL_NAME</stp>
        <stp>[TREASURY.xlsx]Sheet1!R562C8</stp>
        <tr r="H562" s="1"/>
      </tp>
      <tp t="s">
        <v>UNITED STATES</v>
        <stp/>
        <stp>##V3_BDPV12</stp>
        <stp>912828P3 Govt</stp>
        <stp>COUNTRY_FULL_NAME</stp>
        <stp>[TREASURY.xlsx]Sheet1!R222C8</stp>
        <tr r="H222" s="1"/>
      </tp>
      <tp t="s">
        <v>UNITED STATES</v>
        <stp/>
        <stp>##V3_BDPV12</stp>
        <stp>912828PV Govt</stp>
        <stp>COUNTRY_FULL_NAME</stp>
        <stp>[TREASURY.xlsx]Sheet1!R652C8</stp>
        <tr r="H652" s="1"/>
      </tp>
      <tp t="s">
        <v>UNITED STATES</v>
        <stp/>
        <stp>##V3_BDPV12</stp>
        <stp>912828PK Govt</stp>
        <stp>COUNTRY_FULL_NAME</stp>
        <stp>[TREASURY.xlsx]Sheet1!R982C8</stp>
        <tr r="H982" s="1"/>
      </tp>
      <tp t="s">
        <v>912827E81</v>
        <stp/>
        <stp>##V3_BDPV12</stp>
        <stp>912827E8 Govt</stp>
        <stp>ID_CUSIP</stp>
        <stp>[TREASURY.xlsx]Sheet1!R1558C19</stp>
        <tr r="S1558" s="1"/>
      </tp>
      <tp t="s">
        <v>UNITED STATES</v>
        <stp/>
        <stp>##V3_BDPV12</stp>
        <stp>912828QS Govt</stp>
        <stp>COUNTRY_FULL_NAME</stp>
        <stp>[TREASURY.xlsx]Sheet1!R992C8</stp>
        <tr r="H992" s="1"/>
      </tp>
      <tp t="s">
        <v>UNITED STATES</v>
        <stp/>
        <stp>##V3_BDPV12</stp>
        <stp>912828S6 Govt</stp>
        <stp>COUNTRY_FULL_NAME</stp>
        <stp>[TREASURY.xlsx]Sheet1!R692C8</stp>
        <tr r="H692" s="1"/>
      </tp>
      <tp t="s">
        <v>UNITED STATES</v>
        <stp/>
        <stp>##V3_BDPV12</stp>
        <stp>912828T2 Govt</stp>
        <stp>COUNTRY_FULL_NAME</stp>
        <stp>[TREASURY.xlsx]Sheet1!R192C8</stp>
        <tr r="H192" s="1"/>
      </tp>
      <tp t="s">
        <v>UNITED STATES</v>
        <stp/>
        <stp>##V3_BDPV12</stp>
        <stp>912828TR Govt</stp>
        <stp>COUNTRY_FULL_NAME</stp>
        <stp>[TREASURY.xlsx]Sheet1!R402C8</stp>
        <tr r="H402" s="1"/>
      </tp>
      <tp t="s">
        <v>UNITED STATES</v>
        <stp/>
        <stp>##V3_BDPV12</stp>
        <stp>912828TD Govt</stp>
        <stp>COUNTRY_FULL_NAME</stp>
        <stp>[TREASURY.xlsx]Sheet1!R872C8</stp>
        <tr r="H872" s="1"/>
      </tp>
      <tp t="s">
        <v>UNITED STATES</v>
        <stp/>
        <stp>##V3_BDPV12</stp>
        <stp>912828U6 Govt</stp>
        <stp>COUNTRY_FULL_NAME</stp>
        <stp>[TREASURY.xlsx]Sheet1!R232C8</stp>
        <tr r="H232" s="1"/>
      </tp>
      <tp t="s">
        <v>UNITED STATES</v>
        <stp/>
        <stp>##V3_BDPV12</stp>
        <stp>912828UT Govt</stp>
        <stp>COUNTRY_FULL_NAME</stp>
        <stp>[TREASURY.xlsx]Sheet1!R552C8</stp>
        <tr r="H552" s="1"/>
      </tp>
      <tp t="s">
        <v>UNITED STATES</v>
        <stp/>
        <stp>##V3_BDPV12</stp>
        <stp>912828UM Govt</stp>
        <stp>COUNTRY_FULL_NAME</stp>
        <stp>[TREASURY.xlsx]Sheet1!R472C8</stp>
        <tr r="H472" s="1"/>
      </tp>
      <tp t="s">
        <v>912827E99</v>
        <stp/>
        <stp>##V3_BDPV12</stp>
        <stp>912827E9 Govt</stp>
        <stp>ID_CUSIP</stp>
        <stp>[TREASURY.xlsx]Sheet1!R1372C19</stp>
        <tr r="S1372" s="1"/>
      </tp>
      <tp t="s">
        <v>UNITED STATES</v>
        <stp/>
        <stp>##V3_BDPV12</stp>
        <stp>912828V7 Govt</stp>
        <stp>COUNTRY_FULL_NAME</stp>
        <stp>[TREASURY.xlsx]Sheet1!R262C8</stp>
        <tr r="H262" s="1"/>
      </tp>
      <tp t="s">
        <v>UNITED STATES</v>
        <stp/>
        <stp>##V3_BDPV12</stp>
        <stp>912828VH Govt</stp>
        <stp>COUNTRY_FULL_NAME</stp>
        <stp>[TREASURY.xlsx]Sheet1!R632C8</stp>
        <tr r="H632" s="1"/>
      </tp>
      <tp t="s">
        <v>UNITED STATES</v>
        <stp/>
        <stp>##V3_BDPV12</stp>
        <stp>912828WJ Govt</stp>
        <stp>COUNTRY_FULL_NAME</stp>
        <stp>[TREASURY.xlsx]Sheet1!R182C8</stp>
        <tr r="H182" s="1"/>
      </tp>
      <tp t="s">
        <v>UNITED STATES</v>
        <stp/>
        <stp>##V3_BDPV12</stp>
        <stp>912828WD Govt</stp>
        <stp>COUNTRY_FULL_NAME</stp>
        <stp>[TREASURY.xlsx]Sheet1!R682C8</stp>
        <tr r="H682" s="1"/>
      </tp>
      <tp t="s">
        <v>UNITED STATES</v>
        <stp/>
        <stp>##V3_BDPV12</stp>
        <stp>912828X9 Govt</stp>
        <stp>COUNTRY_FULL_NAME</stp>
        <stp>[TREASURY.xlsx]Sheet1!R882C8</stp>
        <tr r="H882" s="1"/>
      </tp>
      <tp t="s">
        <v>UNITED STATES</v>
        <stp/>
        <stp>##V3_BDPV12</stp>
        <stp>912828XB Govt</stp>
        <stp>COUNTRY_FULL_NAME</stp>
        <stp>[TREASURY.xlsx]Sheet1!R122C8</stp>
        <tr r="H122" s="1"/>
      </tp>
      <tp t="s">
        <v>912827E65</v>
        <stp/>
        <stp>##V3_BDPV12</stp>
        <stp>912827E6 Govt</stp>
        <stp>ID_CUSIP</stp>
        <stp>[TREASURY.xlsx]Sheet1!R1371C19</stp>
        <tr r="S1371" s="1"/>
      </tp>
      <tp t="s">
        <v>UNITED STATES</v>
        <stp/>
        <stp>##V3_BDPV12</stp>
        <stp>912828ZU Govt</stp>
        <stp>COUNTRY_FULL_NAME</stp>
        <stp>[TREASURY.xlsx]Sheet1!R162C8</stp>
        <tr r="H162" s="1"/>
      </tp>
      <tp t="s">
        <v>UNITED STATES</v>
        <stp/>
        <stp>##V3_BDPV12</stp>
        <stp>912828ZE Govt</stp>
        <stp>COUNTRY_FULL_NAME</stp>
        <stp>[TREASURY.xlsx]Sheet1!R112C8</stp>
        <tr r="H112" s="1"/>
      </tp>
      <tp t="s">
        <v>912827E40</v>
        <stp/>
        <stp>##V3_BDPV12</stp>
        <stp>912827E4 Govt</stp>
        <stp>ID_CUSIP</stp>
        <stp>[TREASURY.xlsx]Sheet1!R1313C19</stp>
        <tr r="S1313" s="1"/>
      </tp>
      <tp t="s">
        <v>912827E24</v>
        <stp/>
        <stp>##V3_BDPV12</stp>
        <stp>912827E2 Govt</stp>
        <stp>ID_CUSIP</stp>
        <stp>[TREASURY.xlsx]Sheet1!R1153C19</stp>
        <tr r="S1153" s="1"/>
      </tp>
      <tp t="s">
        <v>8/15/1997</v>
        <stp/>
        <stp>##V3_BDPV12</stp>
        <stp>912827Q7 Govt</stp>
        <stp>MATURITY</stp>
        <stp>[TREASURY.xlsx]Sheet1!R1178C5</stp>
        <tr r="E1178" s="1"/>
      </tp>
      <tp t="s">
        <v>912810SZ2</v>
        <stp/>
        <stp>##V3_BDPV12</stp>
        <stp>912810SZ Govt</stp>
        <stp>ID_CUSIP</stp>
        <stp>[TREASURY.xlsx]Sheet1!R3C19</stp>
        <tr r="S3" s="1"/>
      </tp>
      <tp t="s">
        <v>5/31/1986</v>
        <stp/>
        <stp>##V3_BDPV12</stp>
        <stp>912827QV Govt</stp>
        <stp>MATURITY</stp>
        <stp>[TREASURY.xlsx]Sheet1!R1498C5</stp>
        <tr r="E1498" s="1"/>
      </tp>
      <tp t="s">
        <v>2/28/1986</v>
        <stp/>
        <stp>##V3_BDPV12</stp>
        <stp>912827QM Govt</stp>
        <stp>MATURITY</stp>
        <stp>[TREASURY.xlsx]Sheet1!R1058C5</stp>
        <tr r="E1058" s="1"/>
      </tp>
      <tp t="s">
        <v>5/15/1997</v>
        <stp/>
        <stp>##V3_BDPV12</stp>
        <stp>912827P7 Govt</stp>
        <stp>MATURITY</stp>
        <stp>[TREASURY.xlsx]Sheet1!R1338C5</stp>
        <tr r="E1338" s="1"/>
      </tp>
      <tp t="s">
        <v>1/31/1985</v>
        <stp/>
        <stp>##V3_BDPV12</stp>
        <stp>912827PB Govt</stp>
        <stp>MATURITY</stp>
        <stp>[TREASURY.xlsx]Sheet1!R1388C5</stp>
        <tr r="E1388" s="1"/>
      </tp>
      <tp t="s">
        <v>10/15/2013</v>
        <stp/>
        <stp>##V3_BDPV12</stp>
        <stp>912828PB Govt</stp>
        <stp>MATURITY</stp>
        <stp>[TREASURY.xlsx]Sheet1!R1297C5</stp>
        <tr r="E1297" s="1"/>
      </tp>
      <tp t="s">
        <v>9/30/1987</v>
        <stp/>
        <stp>##V3_BDPV12</stp>
        <stp>912827SS Govt</stp>
        <stp>MATURITY</stp>
        <stp>[TREASURY.xlsx]Sheet1!R1188C5</stp>
        <tr r="E1188" s="1"/>
      </tp>
      <tp t="s">
        <v>2/15/1991</v>
        <stp/>
        <stp>##V3_BDPV12</stp>
        <stp>912827SZ Govt</stp>
        <stp>MATURITY</stp>
        <stp>[TREASURY.xlsx]Sheet1!R1068C5</stp>
        <tr r="E1068" s="1"/>
      </tp>
      <tp t="s">
        <v>8/15/1990</v>
        <stp/>
        <stp>##V3_BDPV12</stp>
        <stp>912827SG Govt</stp>
        <stp>MATURITY</stp>
        <stp>[TREASURY.xlsx]Sheet1!R1588C5</stp>
        <tr r="E1588" s="1"/>
      </tp>
      <tp t="s">
        <v>#N/A Field Not Applicable</v>
        <stp/>
        <stp>##V3_BDPV12</stp>
        <stp>912810SX Govt</stp>
        <stp>IDX_RATIO</stp>
        <stp>[TREASURY.xlsx]Sheet1!R8C20</stp>
        <tr r="T8" s="1"/>
      </tp>
      <tp t="s">
        <v>#N/A Field Not Applicable</v>
        <stp/>
        <stp>##V3_BDPV12</stp>
        <stp>912810SZ Govt</stp>
        <stp>IDX_RATIO</stp>
        <stp>[TREASURY.xlsx]Sheet1!R3C20</stp>
        <tr r="T3" s="1"/>
      </tp>
      <tp t="s">
        <v>11/30/1996</v>
        <stp/>
        <stp>##V3_BDPV12</stp>
        <stp>912827R9 Govt</stp>
        <stp>MATURITY</stp>
        <stp>[TREASURY.xlsx]Sheet1!R1578C5</stp>
        <tr r="E1578" s="1"/>
      </tp>
      <tp t="s">
        <v>91282CCZ2</v>
        <stp/>
        <stp>##V3_BDPV12</stp>
        <stp>91282CCZ Govt</stp>
        <stp>ID_CUSIP</stp>
        <stp>[TREASURY.xlsx]Sheet1!R7C19</stp>
        <tr r="S7" s="1"/>
      </tp>
      <tp t="s">
        <v>12/31/2018</v>
        <stp/>
        <stp>##V3_BDPV12</stp>
        <stp>912828RY Govt</stp>
        <stp>MATURITY</stp>
        <stp>[TREASURY.xlsx]Sheet1!R1267C5</stp>
        <tr r="E1267" s="1"/>
      </tp>
      <tp t="s">
        <v>8/15/2005</v>
        <stp/>
        <stp>##V3_BDPV12</stp>
        <stp>912827U8 Govt</stp>
        <stp>MATURITY</stp>
        <stp>[TREASURY.xlsx]Sheet1!R1198C5</stp>
        <tr r="E1198" s="1"/>
      </tp>
      <tp t="s">
        <v>3/15/2016</v>
        <stp/>
        <stp>##V3_BDPV12</stp>
        <stp>912828US Govt</stp>
        <stp>MATURITY</stp>
        <stp>[TREASURY.xlsx]Sheet1!R1137C5</stp>
        <tr r="E1137" s="1"/>
      </tp>
      <tp t="s">
        <v>4/30/1989</v>
        <stp/>
        <stp>##V3_BDPV12</stp>
        <stp>912827UU Govt</stp>
        <stp>MATURITY</stp>
        <stp>[TREASURY.xlsx]Sheet1!R1408C5</stp>
        <tr r="E1408" s="1"/>
      </tp>
      <tp t="s">
        <v>2/15/1992</v>
        <stp/>
        <stp>##V3_BDPV12</stp>
        <stp>912827UH Govt</stp>
        <stp>MATURITY</stp>
        <stp>[TREASURY.xlsx]Sheet1!R1078C5</stp>
        <tr r="E1078" s="1"/>
      </tp>
      <tp t="s">
        <v>1/31/1988</v>
        <stp/>
        <stp>##V3_BDPV12</stp>
        <stp>912827TD Govt</stp>
        <stp>MATURITY</stp>
        <stp>[TREASURY.xlsx]Sheet1!R1398C5</stp>
        <tr r="E1398" s="1"/>
      </tp>
      <tp t="s">
        <v>3/31/1988</v>
        <stp/>
        <stp>##V3_BDPV12</stp>
        <stp>912827TK Govt</stp>
        <stp>MATURITY</stp>
        <stp>[TREASURY.xlsx]Sheet1!R1508C5</stp>
        <tr r="E1508" s="1"/>
      </tp>
      <tp t="s">
        <v>7/15/2017</v>
        <stp/>
        <stp>##V3_BDPV12</stp>
        <stp>912828WT Govt</stp>
        <stp>MATURITY</stp>
        <stp>[TREASURY.xlsx]Sheet1!R1007C5</stp>
        <tr r="E1007" s="1"/>
      </tp>
      <tp t="s">
        <v>7/31/1990</v>
        <stp/>
        <stp>##V3_BDPV12</stp>
        <stp>912827WL Govt</stp>
        <stp>MATURITY</stp>
        <stp>[TREASURY.xlsx]Sheet1!R1208C5</stp>
        <tr r="E1208" s="1"/>
      </tp>
      <tp t="s">
        <v>8/15/1991</v>
        <stp/>
        <stp>##V3_BDPV12</stp>
        <stp>912827WM Govt</stp>
        <stp>MATURITY</stp>
        <stp>[TREASURY.xlsx]Sheet1!R1418C5</stp>
        <tr r="E1418" s="1"/>
      </tp>
      <tp t="s">
        <v>T</v>
        <stp/>
        <stp>##V3_BDPV12</stp>
        <stp>912828U9 Govt</stp>
        <stp>TICKER</stp>
        <stp>[TREASURY.xlsx]Sheet1!R678C2</stp>
        <tr r="B678" s="1"/>
      </tp>
      <tp t="s">
        <v>5/31/2015</v>
        <stp/>
        <stp>##V3_BDPV12</stp>
        <stp>912828VD Govt</stp>
        <stp>MATURITY</stp>
        <stp>[TREASURY.xlsx]Sheet1!R1147C5</stp>
        <tr r="E1147" s="1"/>
      </tp>
      <tp t="s">
        <v>11/15/1990</v>
        <stp/>
        <stp>##V3_BDPV12</stp>
        <stp>912827VM Govt</stp>
        <stp>MATURITY</stp>
        <stp>[TREASURY.xlsx]Sheet1!R1088C5</stp>
        <tr r="E1088" s="1"/>
      </tp>
      <tp t="s">
        <v>5/31/2001</v>
        <stp/>
        <stp>##V3_BDPV12</stp>
        <stp>912827Y2 Govt</stp>
        <stp>MATURITY</stp>
        <stp>[TREASURY.xlsx]Sheet1!R1098C5</stp>
        <tr r="E1098" s="1"/>
      </tp>
      <tp t="s">
        <v>T</v>
        <stp/>
        <stp>##V3_BDPV12</stp>
        <stp>912827Z7 Govt</stp>
        <stp>TICKER</stp>
        <stp>[TREASURY.xlsx]Sheet1!R777C2</stp>
        <tr r="B777" s="1"/>
      </tp>
      <tp t="s">
        <v>8/15/1999</v>
        <stp/>
        <stp>##V3_BDPV12</stp>
        <stp>912827XW Govt</stp>
        <stp>MATURITY</stp>
        <stp>[TREASURY.xlsx]Sheet1!R1218C5</stp>
        <tr r="E1218" s="1"/>
      </tp>
      <tp t="s">
        <v>5/31/2019</v>
        <stp/>
        <stp>##V3_BDPV12</stp>
        <stp>912828XS Govt</stp>
        <stp>MATURITY</stp>
        <stp>[TREASURY.xlsx]Sheet1!R1307C5</stp>
        <tr r="E1307" s="1"/>
      </tp>
      <tp t="s">
        <v>5/15/1999</v>
        <stp/>
        <stp>##V3_BDPV12</stp>
        <stp>912827XN Govt</stp>
        <stp>MATURITY</stp>
        <stp>[TREASURY.xlsx]Sheet1!R1598C5</stp>
        <tr r="E1598" s="1"/>
      </tp>
      <tp t="s">
        <v>8/31/2001</v>
        <stp/>
        <stp>##V3_BDPV12</stp>
        <stp>912827Z3 Govt</stp>
        <stp>MATURITY</stp>
        <stp>[TREASURY.xlsx]Sheet1!R1608C5</stp>
        <tr r="E1608" s="1"/>
      </tp>
      <tp t="s">
        <v>FIXED</v>
        <stp/>
        <stp>##V3_BDPV12</stp>
        <stp>912828X8 Govt</stp>
        <stp>CPN_TYP</stp>
        <stp>[TREASURY.xlsx]Sheet1!R97C11</stp>
        <tr r="K97" s="1"/>
      </tp>
      <tp t="s">
        <v>T</v>
        <stp/>
        <stp>##V3_BDPV12</stp>
        <stp>912827T5 Govt</stp>
        <stp>TICKER</stp>
        <stp>[TREASURY.xlsx]Sheet1!R919C2</stp>
        <tr r="B919" s="1"/>
      </tp>
      <tp t="s">
        <v>7/15/1997</v>
        <stp/>
        <stp>##V3_BDPV12</stp>
        <stp>912827ZB Govt</stp>
        <stp>MATURITY</stp>
        <stp>[TREASURY.xlsx]Sheet1!R1228C5</stp>
        <tr r="E1228" s="1"/>
      </tp>
      <tp t="s">
        <v>5/31/1993</v>
        <stp/>
        <stp>##V3_BDPV12</stp>
        <stp>912827A9 Govt</stp>
        <stp>MATURITY</stp>
        <stp>[TREASURY.xlsx]Sheet1!R1548C5</stp>
        <tr r="E1548" s="1"/>
      </tp>
      <tp t="s">
        <v>8/15/2007</v>
        <stp/>
        <stp>##V3_BDPV12</stp>
        <stp>912828AH Govt</stp>
        <stp>MATURITY</stp>
        <stp>[TREASURY.xlsx]Sheet1!R1107C5</stp>
        <tr r="E1107" s="1"/>
      </tp>
      <tp t="s">
        <v>8/15/1994</v>
        <stp/>
        <stp>##V3_BDPV12</stp>
        <stp>912827B8 Govt</stp>
        <stp>MATURITY</stp>
        <stp>[TREASURY.xlsx]Sheet1!R1478C5</stp>
        <tr r="E1478" s="1"/>
      </tp>
      <tp t="s">
        <v>4/15/1999</v>
        <stp/>
        <stp>##V3_BDPV12</stp>
        <stp>912827E8 Govt</stp>
        <stp>MATURITY</stp>
        <stp>[TREASURY.xlsx]Sheet1!R1558C5</stp>
        <tr r="E1558" s="1"/>
      </tp>
      <tp t="s">
        <v>5/15/2010</v>
        <stp/>
        <stp>##V3_BDPV12</stp>
        <stp>912828DU Govt</stp>
        <stp>MATURITY</stp>
        <stp>[TREASURY.xlsx]Sheet1!R1237C5</stp>
        <tr r="E1237" s="1"/>
      </tp>
      <tp t="s">
        <v>2/15/2015</v>
        <stp/>
        <stp>##V3_BDPV12</stp>
        <stp>912828DM Govt</stp>
        <stp>MATURITY</stp>
        <stp>[TREASURY.xlsx]Sheet1!R1427C5</stp>
        <tr r="E1427" s="1"/>
      </tp>
      <tp t="s">
        <v>9/30/2016</v>
        <stp/>
        <stp>##V3_BDPV12</stp>
        <stp>912828F4 Govt</stp>
        <stp>MATURITY</stp>
        <stp>[TREASURY.xlsx]Sheet1!R1117C5</stp>
        <tr r="E1117" s="1"/>
      </tp>
      <tp t="s">
        <v>8/31/2008</v>
        <stp/>
        <stp>##V3_BDPV12</stp>
        <stp>912828FR Govt</stp>
        <stp>MATURITY</stp>
        <stp>[TREASURY.xlsx]Sheet1!R1277C5</stp>
        <tr r="E1277" s="1"/>
      </tp>
      <tp t="s">
        <v>11/30/1994</v>
        <stp/>
        <stp>##V3_BDPV12</stp>
        <stp>912827H7 Govt</stp>
        <stp>MATURITY</stp>
        <stp>[TREASURY.xlsx]Sheet1!R1158C5</stp>
        <tr r="E1158" s="1"/>
      </tp>
      <tp t="s">
        <v>8/15/2017</v>
        <stp/>
        <stp>##V3_BDPV12</stp>
        <stp>912828HA Govt</stp>
        <stp>MATURITY</stp>
        <stp>[TREASURY.xlsx]Sheet1!R1437C5</stp>
        <tr r="E1437" s="1"/>
      </tp>
      <tp t="s">
        <v>4/15/2018</v>
        <stp/>
        <stp>##V3_BDPV12</stp>
        <stp>912828K2 Govt</stp>
        <stp>MATURITY</stp>
        <stp>[TREASURY.xlsx]Sheet1!R1287C5</stp>
        <tr r="E1287" s="1"/>
      </tp>
      <tp t="s">
        <v>8/15/1985</v>
        <stp/>
        <stp>##V3_BDPV12</stp>
        <stp>912827KT Govt</stp>
        <stp>MATURITY</stp>
        <stp>[TREASURY.xlsx]Sheet1!R1318C5</stp>
        <tr r="E1318" s="1"/>
      </tp>
      <tp t="s">
        <v>1/31/1995</v>
        <stp/>
        <stp>##V3_BDPV12</stp>
        <stp>912827J5 Govt</stp>
        <stp>MATURITY</stp>
        <stp>[TREASURY.xlsx]Sheet1!R1488C5</stp>
        <tr r="E1488" s="1"/>
      </tp>
      <tp t="s">
        <v>2/28/1995</v>
        <stp/>
        <stp>##V3_BDPV12</stp>
        <stp>912827J8 Govt</stp>
        <stp>MATURITY</stp>
        <stp>[TREASURY.xlsx]Sheet1!R1038C5</stp>
        <tr r="E1038" s="1"/>
      </tp>
      <tp t="s">
        <v>7/31/2022</v>
        <stp/>
        <stp>##V3_BDPV12</stp>
        <stp>91282CAC Govt</stp>
        <stp>MATURITY</stp>
        <stp>[TREASURY.xlsx]Sheet1!R120C5</stp>
        <tr r="E120" s="1"/>
      </tp>
      <tp t="s">
        <v>11/30/2010</v>
        <stp/>
        <stp>##V3_BDPV12</stp>
        <stp>912828JS Govt</stp>
        <stp>MATURITY</stp>
        <stp>[TREASURY.xlsx]Sheet1!R1247C5</stp>
        <tr r="E1247" s="1"/>
      </tp>
      <tp t="s">
        <v>9/30/1995</v>
        <stp/>
        <stp>##V3_BDPV12</stp>
        <stp>912827M3 Govt</stp>
        <stp>MATURITY</stp>
        <stp>[TREASURY.xlsx]Sheet1!R1568C5</stp>
        <tr r="E1568" s="1"/>
      </tp>
      <tp t="s">
        <v>1/31/1984</v>
        <stp/>
        <stp>##V3_BDPV12</stp>
        <stp>912827MU Govt</stp>
        <stp>MATURITY</stp>
        <stp>[TREASURY.xlsx]Sheet1!R1328C5</stp>
        <tr r="E1328" s="1"/>
      </tp>
      <tp t="s">
        <v>3/31/1984</v>
        <stp/>
        <stp>##V3_BDPV12</stp>
        <stp>912827MZ Govt</stp>
        <stp>MATURITY</stp>
        <stp>[TREASURY.xlsx]Sheet1!R1168C5</stp>
        <tr r="E1168" s="1"/>
      </tp>
      <tp t="s">
        <v>10/15/2018</v>
        <stp/>
        <stp>##V3_BDPV12</stp>
        <stp>912828L8 Govt</stp>
        <stp>MATURITY</stp>
        <stp>[TREASURY.xlsx]Sheet1!R1127C5</stp>
        <tr r="E1127" s="1"/>
      </tp>
      <tp t="s">
        <v>10/31/1982</v>
        <stp/>
        <stp>##V3_BDPV12</stp>
        <stp>912827LD Govt</stp>
        <stp>MATURITY</stp>
        <stp>[TREASURY.xlsx]Sheet1!R1378C5</stp>
        <tr r="E1378" s="1"/>
      </tp>
      <tp t="s">
        <v>12/31/1998</v>
        <stp/>
        <stp>##V3_BDPV12</stp>
        <stp>912827N4 Govt</stp>
        <stp>MATURITY</stp>
        <stp>[TREASURY.xlsx]Sheet1!R1048C5</stp>
        <tr r="E1048" s="1"/>
      </tp>
      <tp t="s">
        <v>7/31/2017</v>
        <stp/>
        <stp>##V3_BDPV12</stp>
        <stp>912828NR Govt</stp>
        <stp>MATURITY</stp>
        <stp>[TREASURY.xlsx]Sheet1!R1257C5</stp>
        <tr r="E1257" s="1"/>
      </tp>
      <tp t="s">
        <v>11/30/2025</v>
        <stp/>
        <stp>##V3_BDPV12</stp>
        <stp>9128285N Govt</stp>
        <stp>MATURITY</stp>
        <stp>[TREASURY.xlsx]Sheet1!R290C5</stp>
        <tr r="E290" s="1"/>
      </tp>
      <tp t="s">
        <v>4/15/2021</v>
        <stp/>
        <stp>##V3_BDPV12</stp>
        <stp>9128284G Govt</stp>
        <stp>MATURITY</stp>
        <stp>[TREASURY.xlsx]Sheet1!R390C5</stp>
        <tr r="E390" s="1"/>
      </tp>
      <tp t="s">
        <v>1/31/2024</v>
        <stp/>
        <stp>##V3_BDPV12</stp>
        <stp>9128285Z Govt</stp>
        <stp>MATURITY</stp>
        <stp>[TREASURY.xlsx]Sheet1!R220C5</stp>
        <tr r="E220" s="1"/>
      </tp>
      <tp t="s">
        <v>2/29/2024</v>
        <stp/>
        <stp>##V3_BDPV12</stp>
        <stp>9128286G Govt</stp>
        <stp>MATURITY</stp>
        <stp>[TREASURY.xlsx]Sheet1!R240C5</stp>
        <tr r="E240" s="1"/>
      </tp>
      <tp t="s">
        <v>12/31/2023</v>
        <stp/>
        <stp>##V3_BDPV12</stp>
        <stp>9128285U Govt</stp>
        <stp>MATURITY</stp>
        <stp>[TREASURY.xlsx]Sheet1!R160C5</stp>
        <tr r="E160" s="1"/>
      </tp>
      <tp t="s">
        <v>12/15/2021</v>
        <stp/>
        <stp>##V3_BDPV12</stp>
        <stp>9128285R Govt</stp>
        <stp>MATURITY</stp>
        <stp>[TREASURY.xlsx]Sheet1!R140C5</stp>
        <tr r="E140" s="1"/>
      </tp>
      <tp t="s">
        <v>6/30/2024</v>
        <stp/>
        <stp>##V3_BDPV12</stp>
        <stp>9128286Z Govt</stp>
        <stp>MATURITY</stp>
        <stp>[TREASURY.xlsx]Sheet1!R200C5</stp>
        <tr r="E200" s="1"/>
      </tp>
      <tp t="s">
        <v>11/30/2020</v>
        <stp/>
        <stp>##V3_BDPV12</stp>
        <stp>9128285Q Govt</stp>
        <stp>MATURITY</stp>
        <stp>[TREASURY.xlsx]Sheet1!R410C5</stp>
        <tr r="E410" s="1"/>
      </tp>
      <tp t="s">
        <v>8/31/2019</v>
        <stp/>
        <stp>##V3_BDPV12</stp>
        <stp>9128282T Govt</stp>
        <stp>MATURITY</stp>
        <stp>[TREASURY.xlsx]Sheet1!R330C5</stp>
        <tr r="E330" s="1"/>
      </tp>
      <tp t="s">
        <v>8/31/2023</v>
        <stp/>
        <stp>##V3_BDPV12</stp>
        <stp>9128282D Govt</stp>
        <stp>MATURITY</stp>
        <stp>[TREASURY.xlsx]Sheet1!R260C5</stp>
        <tr r="E260" s="1"/>
      </tp>
      <tp t="s">
        <v>12/15/2020</v>
        <stp/>
        <stp>##V3_BDPV12</stp>
        <stp>9128283L Govt</stp>
        <stp>MATURITY</stp>
        <stp>[TREASURY.xlsx]Sheet1!R350C5</stp>
        <tr r="E350" s="1"/>
      </tp>
      <tp t="s">
        <v>11/15/2020</v>
        <stp/>
        <stp>##V3_BDPV12</stp>
        <stp>9128283G Govt</stp>
        <stp>MATURITY</stp>
        <stp>[TREASURY.xlsx]Sheet1!R380C5</stp>
        <tr r="E380" s="1"/>
      </tp>
      <tp t="s">
        <v>1/15/2017</v>
        <stp/>
        <stp>##V3_BDPV12</stp>
        <stp>912828A9 Govt</stp>
        <stp>MATURITY</stp>
        <stp>[TREASURY.xlsx]Sheet1!R640C5</stp>
        <tr r="E640" s="1"/>
      </tp>
      <tp t="s">
        <v>9/30/2012</v>
        <stp/>
        <stp>##V3_BDPV12</stp>
        <stp>912828NX Govt</stp>
        <stp>MATURITY</stp>
        <stp>[TREASURY.xlsx]Sheet1!R980C5</stp>
        <tr r="E980" s="1"/>
      </tp>
      <tp t="s">
        <v>8/15/2007</v>
        <stp/>
        <stp>##V3_BDPV12</stp>
        <stp>912828CR Govt</stp>
        <stp>MATURITY</stp>
        <stp>[TREASURY.xlsx]Sheet1!R510C5</stp>
        <tr r="E510" s="1"/>
      </tp>
      <tp t="s">
        <v>11/30/2021</v>
        <stp/>
        <stp>##V3_BDPV12</stp>
        <stp>912828G5 Govt</stp>
        <stp>MATURITY</stp>
        <stp>[TREASURY.xlsx]Sheet1!R230C5</stp>
        <tr r="E230" s="1"/>
      </tp>
      <tp t="s">
        <v>1/15/2013</v>
        <stp/>
        <stp>##V3_BDPV12</stp>
        <stp>912828MG Govt</stp>
        <stp>MATURITY</stp>
        <stp>[TREASURY.xlsx]Sheet1!R860C5</stp>
        <tr r="E860" s="1"/>
      </tp>
      <tp t="s">
        <v>1/31/2012</v>
        <stp/>
        <stp>##V3_BDPV12</stp>
        <stp>912828MJ Govt</stp>
        <stp>MATURITY</stp>
        <stp>[TREASURY.xlsx]Sheet1!R820C5</stp>
        <tr r="E820" s="1"/>
      </tp>
      <tp t="s">
        <v>12/31/2015</v>
        <stp/>
        <stp>##V3_BDPV12</stp>
        <stp>912828A6 Govt</stp>
        <stp>MATURITY</stp>
        <stp>[TREASURY.xlsx]Sheet1!R580C5</stp>
        <tr r="E580" s="1"/>
      </tp>
      <tp t="s">
        <v>5/31/2006</v>
        <stp/>
        <stp>##V3_BDPV12</stp>
        <stp>912828CK Govt</stp>
        <stp>MATURITY</stp>
        <stp>[TREASURY.xlsx]Sheet1!R790C5</stp>
        <tr r="E790" s="1"/>
      </tp>
      <tp t="s">
        <v>6/30/2004</v>
        <stp/>
        <stp>##V3_BDPV12</stp>
        <stp>912828AE Govt</stp>
        <stp>MATURITY</stp>
        <stp>[TREASURY.xlsx]Sheet1!R530C5</stp>
        <tr r="E530" s="1"/>
      </tp>
      <tp t="s">
        <v>2/15/2024</v>
        <stp/>
        <stp>##V3_BDPV12</stp>
        <stp>912828B6 Govt</stp>
        <stp>MATURITY</stp>
        <stp>[TREASURY.xlsx]Sheet1!R110C5</stp>
        <tr r="E110" s="1"/>
      </tp>
      <tp t="s">
        <v>12/15/2017</v>
        <stp/>
        <stp>##V3_BDPV12</stp>
        <stp>912828G7 Govt</stp>
        <stp>MATURITY</stp>
        <stp>[TREASURY.xlsx]Sheet1!R560C5</stp>
        <tr r="E560" s="1"/>
      </tp>
      <tp t="s">
        <v>9/30/2013</v>
        <stp/>
        <stp>##V3_BDPV12</stp>
        <stp>912828JM Govt</stp>
        <stp>MATURITY</stp>
        <stp>[TREASURY.xlsx]Sheet1!R810C5</stp>
        <tr r="E810" s="1"/>
      </tp>
      <tp t="s">
        <v>5/15/2015</v>
        <stp/>
        <stp>##V3_BDPV12</stp>
        <stp>912828DV Govt</stp>
        <stp>MATURITY</stp>
        <stp>[TREASURY.xlsx]Sheet1!R620C5</stp>
        <tr r="E620" s="1"/>
      </tp>
      <tp t="s">
        <v>10/31/2009</v>
        <stp/>
        <stp>##V3_BDPV12</stp>
        <stp>912828HF Govt</stp>
        <stp>MATURITY</stp>
        <stp>[TREASURY.xlsx]Sheet1!R970C5</stp>
        <tr r="E970" s="1"/>
      </tp>
      <tp t="s">
        <v>9/30/2012</v>
        <stp/>
        <stp>##V3_BDPV12</stp>
        <stp>912828HE Govt</stp>
        <stp>MATURITY</stp>
        <stp>[TREASURY.xlsx]Sheet1!R850C5</stp>
        <tr r="E850" s="1"/>
      </tp>
      <tp t="s">
        <v>4/30/2011</v>
        <stp/>
        <stp>##V3_BDPV12</stp>
        <stp>912828FD Govt</stp>
        <stp>MATURITY</stp>
        <stp>[TREASURY.xlsx]Sheet1!R650C5</stp>
        <tr r="E650" s="1"/>
      </tp>
      <tp t="s">
        <v>8/31/2011</v>
        <stp/>
        <stp>##V3_BDPV12</stp>
        <stp>912828FS Govt</stp>
        <stp>MATURITY</stp>
        <stp>[TREASURY.xlsx]Sheet1!R800C5</stp>
        <tr r="E800" s="1"/>
      </tp>
      <tp t="s">
        <v>11/30/2022</v>
        <stp/>
        <stp>##V3_BDPV12</stp>
        <stp>912828M8 Govt</stp>
        <stp>MATURITY</stp>
        <stp>[TREASURY.xlsx]Sheet1!R150C5</stp>
        <tr r="E150" s="1"/>
      </tp>
      <tp t="s">
        <v>12/31/2006</v>
        <stp/>
        <stp>##V3_BDPV12</stp>
        <stp>912828DF Govt</stp>
        <stp>MATURITY</stp>
        <stp>[TREASURY.xlsx]Sheet1!R840C5</stp>
        <tr r="E840" s="1"/>
      </tp>
      <tp t="s">
        <v>8/31/2010</v>
        <stp/>
        <stp>##V3_BDPV12</stp>
        <stp>912828JJ Govt</stp>
        <stp>MATURITY</stp>
        <stp>[TREASURY.xlsx]Sheet1!R690C5</stp>
        <tr r="E690" s="1"/>
      </tp>
      <tp t="s">
        <v>11/15/2017</v>
        <stp/>
        <stp>##V3_BDPV12</stp>
        <stp>912828HH Govt</stp>
        <stp>MATURITY</stp>
        <stp>[TREASURY.xlsx]Sheet1!R470C5</stp>
        <tr r="E470" s="1"/>
      </tp>
      <tp t="s">
        <v>4/30/2013</v>
        <stp/>
        <stp>##V3_BDPV12</stp>
        <stp>912828HY Govt</stp>
        <stp>MATURITY</stp>
        <stp>[TREASURY.xlsx]Sheet1!R450C5</stp>
        <tr r="E450" s="1"/>
      </tp>
      <tp t="s">
        <v>10/31/2005</v>
        <stp/>
        <stp>##V3_BDPV12</stp>
        <stp>912828BN Govt</stp>
        <stp>MATURITY</stp>
        <stp>[TREASURY.xlsx]Sheet1!R960C5</stp>
        <tr r="E960" s="1"/>
      </tp>
      <tp t="s">
        <v>12/15/2018</v>
        <stp/>
        <stp>##V3_BDPV12</stp>
        <stp>912828N2 Govt</stp>
        <stp>MATURITY</stp>
        <stp>[TREASURY.xlsx]Sheet1!R440C5</stp>
        <tr r="E440" s="1"/>
      </tp>
      <tp t="s">
        <v>9/30/2020</v>
        <stp/>
        <stp>##V3_BDPV12</stp>
        <stp>912828L6 Govt</stp>
        <stp>MATURITY</stp>
        <stp>[TREASURY.xlsx]Sheet1!R430C5</stp>
        <tr r="E430" s="1"/>
      </tp>
      <tp t="s">
        <v>12/31/2017</v>
        <stp/>
        <stp>##V3_BDPV12</stp>
        <stp>912828N5 Govt</stp>
        <stp>MATURITY</stp>
        <stp>[TREASURY.xlsx]Sheet1!R600C5</stp>
        <tr r="E600" s="1"/>
      </tp>
      <tp t="s">
        <v>11/30/2015</v>
        <stp/>
        <stp>##V3_BDPV12</stp>
        <stp>912828PJ Govt</stp>
        <stp>MATURITY</stp>
        <stp>[TREASURY.xlsx]Sheet1!R630C5</stp>
        <tr r="E630" s="1"/>
      </tp>
      <tp t="s">
        <v>11/30/2018</v>
        <stp/>
        <stp>##V3_BDPV12</stp>
        <stp>912828RT Govt</stp>
        <stp>MATURITY</stp>
        <stp>[TREASURY.xlsx]Sheet1!R420C5</stp>
        <tr r="E420" s="1"/>
      </tp>
      <tp t="s">
        <v>3/31/2019</v>
        <stp/>
        <stp>##V3_BDPV12</stp>
        <stp>912828SN Govt</stp>
        <stp>MATURITY</stp>
        <stp>[TREASURY.xlsx]Sheet1!R670C5</stp>
        <tr r="E670" s="1"/>
      </tp>
      <tp t="s">
        <v>12/31/2023</v>
        <stp/>
        <stp>##V3_BDPV12</stp>
        <stp>912828V2 Govt</stp>
        <stp>MATURITY</stp>
        <stp>[TREASURY.xlsx]Sheet1!R250C5</stp>
        <tr r="E250" s="1"/>
      </tp>
      <tp t="s">
        <v>4/30/2021</v>
        <stp/>
        <stp>##V3_BDPV12</stp>
        <stp>912828WG Govt</stp>
        <stp>MATURITY</stp>
        <stp>[TREASURY.xlsx]Sheet1!R370C5</stp>
        <tr r="E370" s="1"/>
      </tp>
      <tp t="s">
        <v>7/31/2019</v>
        <stp/>
        <stp>##V3_BDPV12</stp>
        <stp>912828WW Govt</stp>
        <stp>MATURITY</stp>
        <stp>[TREASURY.xlsx]Sheet1!R340C5</stp>
        <tr r="E340" s="1"/>
      </tp>
      <tp t="s">
        <v>5/31/2016</v>
        <stp/>
        <stp>##V3_BDPV12</stp>
        <stp>912828QP Govt</stp>
        <stp>MATURITY</stp>
        <stp>[TREASURY.xlsx]Sheet1!R550C5</stp>
        <tr r="E550" s="1"/>
      </tp>
      <tp t="s">
        <v>5/15/2026</v>
        <stp/>
        <stp>##V3_BDPV12</stp>
        <stp>912828R3 Govt</stp>
        <stp>MATURITY</stp>
        <stp>[TREASURY.xlsx]Sheet1!R130C5</stp>
        <tr r="E130" s="1"/>
      </tp>
      <tp t="s">
        <v>3/15/2020</v>
        <stp/>
        <stp>##V3_BDPV12</stp>
        <stp>912828W6 Govt</stp>
        <stp>MATURITY</stp>
        <stp>[TREASURY.xlsx]Sheet1!R480C5</stp>
        <tr r="E480" s="1"/>
      </tp>
      <tp t="s">
        <v>6/30/2014</v>
        <stp/>
        <stp>##V3_BDPV12</stp>
        <stp>912828TA Govt</stp>
        <stp>MATURITY</stp>
        <stp>[TREASURY.xlsx]Sheet1!R520C5</stp>
        <tr r="E520" s="1"/>
      </tp>
      <tp t="s">
        <v>11/15/2016</v>
        <stp/>
        <stp>##V3_BDPV12</stp>
        <stp>912828WF Govt</stp>
        <stp>MATURITY</stp>
        <stp>[TREASURY.xlsx]Sheet1!R680C5</stp>
        <tr r="E680" s="1"/>
      </tp>
      <tp t="s">
        <v>11/30/2019</v>
        <stp/>
        <stp>##V3_BDPV12</stp>
        <stp>912828UB Govt</stp>
        <stp>MATURITY</stp>
        <stp>[TREASURY.xlsx]Sheet1!R540C5</stp>
        <tr r="E540" s="1"/>
      </tp>
      <tp t="s">
        <v>2/28/2019</v>
        <stp/>
        <stp>##V3_BDPV12</stp>
        <stp>912828SH Govt</stp>
        <stp>MATURITY</stp>
        <stp>[TREASURY.xlsx]Sheet1!R360C5</stp>
        <tr r="E360" s="1"/>
      </tp>
      <tp t="s">
        <v>9/30/2017</v>
        <stp/>
        <stp>##V3_BDPV12</stp>
        <stp>912828TS Govt</stp>
        <stp>MATURITY</stp>
        <stp>[TREASURY.xlsx]Sheet1!R490C5</stp>
        <tr r="E490" s="1"/>
      </tp>
      <tp t="s">
        <v>7/31/2018</v>
        <stp/>
        <stp>##V3_BDPV12</stp>
        <stp>912828VQ Govt</stp>
        <stp>MATURITY</stp>
        <stp>[TREASURY.xlsx]Sheet1!R880C5</stp>
        <tr r="E880" s="1"/>
      </tp>
      <tp t="s">
        <v>4/30/2024</v>
        <stp/>
        <stp>##V3_BDPV12</stp>
        <stp>912828X7 Govt</stp>
        <stp>MATURITY</stp>
        <stp>[TREASURY.xlsx]Sheet1!R300C5</stp>
        <tr r="E300" s="1"/>
      </tp>
      <tp t="s">
        <v>2/28/2022</v>
        <stp/>
        <stp>##V3_BDPV12</stp>
        <stp>912828ZA Govt</stp>
        <stp>MATURITY</stp>
        <stp>[TREASURY.xlsx]Sheet1!R190C5</stp>
        <tr r="E190" s="1"/>
      </tp>
      <tp t="s">
        <v>5/31/2019</v>
        <stp/>
        <stp>##V3_BDPV12</stp>
        <stp>912828SX Govt</stp>
        <stp>MATURITY</stp>
        <stp>[TREASURY.xlsx]Sheet1!R870C5</stp>
        <tr r="E870" s="1"/>
      </tp>
      <tp t="s">
        <v>1/15/2023</v>
        <stp/>
        <stp>##V3_BDPV12</stp>
        <stp>912828Z2 Govt</stp>
        <stp>MATURITY</stp>
        <stp>[TREASURY.xlsx]Sheet1!R210C5</stp>
        <tr r="E210" s="1"/>
      </tp>
      <tp t="s">
        <v>4/30/2018</v>
        <stp/>
        <stp>##V3_BDPV12</stp>
        <stp>912828QG Govt</stp>
        <stp>MATURITY</stp>
        <stp>[TREASURY.xlsx]Sheet1!R990C5</stp>
        <tr r="E990" s="1"/>
      </tp>
      <tp t="s">
        <v>12/31/2021</v>
        <stp/>
        <stp>##V3_BDPV12</stp>
        <stp>912828YZ Govt</stp>
        <stp>MATURITY</stp>
        <stp>[TREASURY.xlsx]Sheet1!R170C5</stp>
        <tr r="E170" s="1"/>
      </tp>
      <tp t="s">
        <v>11/30/2002</v>
        <stp/>
        <stp>##V3_BDPV12</stp>
        <stp>9128273Q Govt</stp>
        <stp>MATURITY</stp>
        <stp>[TREASURY.xlsx]Sheet1!R1358C5</stp>
        <tr r="E1358" s="1"/>
      </tp>
      <tp t="s">
        <v>9/30/2002</v>
        <stp/>
        <stp>##V3_BDPV12</stp>
        <stp>9128273J Govt</stp>
        <stp>MATURITY</stp>
        <stp>[TREASURY.xlsx]Sheet1!R1528C5</stp>
        <tr r="E1528" s="1"/>
      </tp>
      <tp t="s">
        <v>11/30/1998</v>
        <stp/>
        <stp>##V3_BDPV12</stp>
        <stp>9128272B Govt</stp>
        <stp>MATURITY</stp>
        <stp>[TREASURY.xlsx]Sheet1!R1008C5</stp>
        <tr r="E1008" s="1"/>
      </tp>
      <tp t="s">
        <v>2/28/1999</v>
        <stp/>
        <stp>##V3_BDPV12</stp>
        <stp>9128272K Govt</stp>
        <stp>MATURITY</stp>
        <stp>[TREASURY.xlsx]Sheet1!R1518C5</stp>
        <tr r="E1518" s="1"/>
      </tp>
      <tp t="s">
        <v>10/31/2001</v>
        <stp/>
        <stp>##V3_BDPV12</stp>
        <stp>9128275R Govt</stp>
        <stp>MATURITY</stp>
        <stp>[TREASURY.xlsx]Sheet1!R1018C5</stp>
        <tr r="E1018" s="1"/>
      </tp>
      <tp t="s">
        <v>12/31/2000</v>
        <stp/>
        <stp>##V3_BDPV12</stp>
        <stp>9128274X Govt</stp>
        <stp>MATURITY</stp>
        <stp>[TREASURY.xlsx]Sheet1!R1368C5</stp>
        <tr r="E1368" s="1"/>
      </tp>
      <tp t="s">
        <v>4/30/2000</v>
        <stp/>
        <stp>##V3_BDPV12</stp>
        <stp>9128274C Govt</stp>
        <stp>MATURITY</stp>
        <stp>[TREASURY.xlsx]Sheet1!R1458C5</stp>
        <tr r="E1458" s="1"/>
      </tp>
      <tp t="s">
        <v>T</v>
        <stp/>
        <stp>##V3_BDPV12</stp>
        <stp>912828YX Govt</stp>
        <stp>TICKER</stp>
        <stp>[TREASURY.xlsx]Sheet1!R104C2</stp>
        <tr r="B104" s="1"/>
      </tp>
      <tp t="s">
        <v>12/31/2003</v>
        <stp/>
        <stp>##V3_BDPV12</stp>
        <stp>9128277H Govt</stp>
        <stp>MATURITY</stp>
        <stp>[TREASURY.xlsx]Sheet1!R1028C5</stp>
        <tr r="E1028" s="1"/>
      </tp>
      <tp t="s">
        <v>1/31/2025</v>
        <stp/>
        <stp>##V3_BDPV12</stp>
        <stp>912828Z5 Govt</stp>
        <stp>MATURITY</stp>
        <stp>[TREASURY.xlsx]Sheet1!R83C5</stp>
        <tr r="E83" s="1"/>
      </tp>
      <tp t="s">
        <v>11/15/2026</v>
        <stp/>
        <stp>##V3_BDPV12</stp>
        <stp>912828U2 Govt</stp>
        <stp>MATURITY</stp>
        <stp>[TREASURY.xlsx]Sheet1!R84C5</stp>
        <tr r="E84" s="1"/>
      </tp>
      <tp t="s">
        <v>2/15/2025</v>
        <stp/>
        <stp>##V3_BDPV12</stp>
        <stp>912828J2 Govt</stp>
        <stp>MATURITY</stp>
        <stp>[TREASURY.xlsx]Sheet1!R94C5</stp>
        <tr r="E94" s="1"/>
      </tp>
      <tp t="s">
        <v>8/15/2025</v>
        <stp/>
        <stp>##V3_BDPV12</stp>
        <stp>912828K7 Govt</stp>
        <stp>MATURITY</stp>
        <stp>[TREASURY.xlsx]Sheet1!R81C5</stp>
        <tr r="E81" s="1"/>
      </tp>
      <tp t="s">
        <v>3/31/2003</v>
        <stp/>
        <stp>##V3_BDPV12</stp>
        <stp>9128276V Govt</stp>
        <stp>MATURITY</stp>
        <stp>[TREASURY.xlsx]Sheet1!R1468C5</stp>
        <tr r="E1468" s="1"/>
      </tp>
      <tp t="s">
        <v>9/30/2002</v>
        <stp/>
        <stp>##V3_BDPV12</stp>
        <stp>9128276L Govt</stp>
        <stp>MATURITY</stp>
        <stp>[TREASURY.xlsx]Sheet1!R1538C5</stp>
        <tr r="E1538" s="1"/>
      </tp>
      <tp t="s">
        <v>2/15/2025</v>
        <stp/>
        <stp>##V3_BDPV12</stp>
        <stp>912810ET Govt</stp>
        <stp>MATURITY</stp>
        <stp>[TREASURY.xlsx]Sheet1!R313C5</stp>
        <tr r="E313" s="1"/>
      </tp>
      <tp t="s">
        <v>2/15/2027</v>
        <stp/>
        <stp>##V3_BDPV12</stp>
        <stp>912810EZ Govt</stp>
        <stp>MATURITY</stp>
        <stp>[TREASURY.xlsx]Sheet1!R323C5</stp>
        <tr r="E323" s="1"/>
      </tp>
      <tp t="s">
        <v>8/15/2028</v>
        <stp/>
        <stp>##V3_BDPV12</stp>
        <stp>912810FE Govt</stp>
        <stp>MATURITY</stp>
        <stp>[TREASURY.xlsx]Sheet1!R253C5</stp>
        <tr r="E253" s="1"/>
      </tp>
      <tp t="s">
        <v>2/15/2029</v>
        <stp/>
        <stp>##V3_BDPV12</stp>
        <stp>912810FG Govt</stp>
        <stp>MATURITY</stp>
        <stp>[TREASURY.xlsx]Sheet1!R223C5</stp>
        <tr r="E223" s="1"/>
      </tp>
      <tp t="s">
        <v>2/15/2020</v>
        <stp/>
        <stp>##V3_BDPV12</stp>
        <stp>912810EE Govt</stp>
        <stp>MATURITY</stp>
        <stp>[TREASURY.xlsx]Sheet1!R503C5</stp>
        <tr r="E503" s="1"/>
      </tp>
      <tp t="s">
        <v>2/15/2045</v>
        <stp/>
        <stp>##V3_BDPV12</stp>
        <stp>912810RK Govt</stp>
        <stp>MATURITY</stp>
        <stp>[TREASURY.xlsx]Sheet1!R103C5</stp>
        <tr r="E103" s="1"/>
      </tp>
      <tp t="s">
        <v>5/15/2046</v>
        <stp/>
        <stp>##V3_BDPV12</stp>
        <stp>912810RS Govt</stp>
        <stp>MATURITY</stp>
        <stp>[TREASURY.xlsx]Sheet1!R163C5</stp>
        <tr r="E163" s="1"/>
      </tp>
      <tp t="s">
        <v>8/15/2041</v>
        <stp/>
        <stp>##V3_BDPV12</stp>
        <stp>912810QS Govt</stp>
        <stp>MATURITY</stp>
        <stp>[TREASURY.xlsx]Sheet1!R303C5</stp>
        <tr r="E303" s="1"/>
      </tp>
      <tp t="s">
        <v>5/15/2048</v>
        <stp/>
        <stp>##V3_BDPV12</stp>
        <stp>912810SC Govt</stp>
        <stp>MATURITY</stp>
        <stp>[TREASURY.xlsx]Sheet1!R243C5</stp>
        <tr r="E243" s="1"/>
      </tp>
      <tp t="s">
        <v>8/15/2045</v>
        <stp/>
        <stp>##V3_BDPV12</stp>
        <stp>912810RN Govt</stp>
        <stp>MATURITY</stp>
        <stp>[TREASURY.xlsx]Sheet1!R293C5</stp>
        <tr r="E293" s="1"/>
      </tp>
      <tp t="s">
        <v>8/15/2043</v>
        <stp/>
        <stp>##V3_BDPV12</stp>
        <stp>912810RC Govt</stp>
        <stp>MATURITY</stp>
        <stp>[TREASURY.xlsx]Sheet1!R263C5</stp>
        <tr r="E263" s="1"/>
      </tp>
      <tp t="s">
        <v>11/15/2047</v>
        <stp/>
        <stp>##V3_BDPV12</stp>
        <stp>912810RZ Govt</stp>
        <stp>MATURITY</stp>
        <stp>[TREASURY.xlsx]Sheet1!R273C5</stp>
        <tr r="E273" s="1"/>
      </tp>
      <tp t="s">
        <v>T</v>
        <stp/>
        <stp>##V3_BDPV12</stp>
        <stp>912828XT Govt</stp>
        <stp>TICKER</stp>
        <stp>[TREASURY.xlsx]Sheet1!R155C2</stp>
        <tr r="B155" s="1"/>
      </tp>
      <tp t="s">
        <v>T</v>
        <stp/>
        <stp>##V3_BDPV12</stp>
        <stp>912828YU Govt</stp>
        <stp>TICKER</stp>
        <stp>[TREASURY.xlsx]Sheet1!R174C2</stp>
        <tr r="B174" s="1"/>
      </tp>
      <tp t="s">
        <v>T</v>
        <stp/>
        <stp>##V3_BDPV12</stp>
        <stp>912828TU Govt</stp>
        <stp>TICKER</stp>
        <stp>[TREASURY.xlsx]Sheet1!R539C2</stp>
        <tr r="B539" s="1"/>
      </tp>
      <tp t="s">
        <v>T</v>
        <stp/>
        <stp>##V3_BDPV12</stp>
        <stp>912827YR Govt</stp>
        <stp>TICKER</stp>
        <stp>[TREASURY.xlsx]Sheet1!R684C2</stp>
        <tr r="B684" s="1"/>
      </tp>
      <tp t="s">
        <v>NORMAL</v>
        <stp/>
        <stp>##V3_BDPV12</stp>
        <stp>912810QN Govt</stp>
        <stp>MTY_TYP</stp>
        <stp>[TREASURY.xlsx]Sheet1!R291C6</stp>
        <tr r="F291" s="1"/>
      </tp>
      <tp t="s">
        <v>NORMAL</v>
        <stp/>
        <stp>##V3_BDPV12</stp>
        <stp>912827YJ Govt</stp>
        <stp>MTY_TYP</stp>
        <stp>[TREASURY.xlsx]Sheet1!R775C6</stp>
        <tr r="F775" s="1"/>
      </tp>
      <tp t="s">
        <v>NORMAL</v>
        <stp/>
        <stp>##V3_BDPV12</stp>
        <stp>912827UJ Govt</stp>
        <stp>MTY_TYP</stp>
        <stp>[TREASURY.xlsx]Sheet1!R755C6</stp>
        <tr r="F755" s="1"/>
      </tp>
      <tp t="s">
        <v>NORMAL</v>
        <stp/>
        <stp>##V3_BDPV12</stp>
        <stp>912827NM Govt</stp>
        <stp>MTY_TYP</stp>
        <stp>[TREASURY.xlsx]Sheet1!R732C6</stp>
        <tr r="F732" s="1"/>
      </tp>
      <tp t="s">
        <v>NORMAL</v>
        <stp/>
        <stp>##V3_BDPV12</stp>
        <stp>912828JK Govt</stp>
        <stp>MTY_TYP</stp>
        <stp>[TREASURY.xlsx]Sheet1!R854C6</stp>
        <tr r="F854" s="1"/>
      </tp>
      <tp t="s">
        <v>NORMAL</v>
        <stp/>
        <stp>##V3_BDPV12</stp>
        <stp>912828NL Govt</stp>
        <stp>MTY_TYP</stp>
        <stp>[TREASURY.xlsx]Sheet1!R863C6</stp>
        <tr r="F863" s="1"/>
      </tp>
      <tp t="s">
        <v>NORMAL</v>
        <stp/>
        <stp>##V3_BDPV12</stp>
        <stp>912828FK Govt</stp>
        <stp>MTY_TYP</stp>
        <stp>[TREASURY.xlsx]Sheet1!R844C6</stp>
        <tr r="F844" s="1"/>
      </tp>
      <tp t="s">
        <v>NORMAL</v>
        <stp/>
        <stp>##V3_BDPV12</stp>
        <stp>912828PL Govt</stp>
        <stp>MTY_TYP</stp>
        <stp>[TREASURY.xlsx]Sheet1!R983C6</stp>
        <tr r="F983" s="1"/>
      </tp>
      <tp t="s">
        <v>NORMAL</v>
        <stp/>
        <stp>##V3_BDPV12</stp>
        <stp>912828UM Govt</stp>
        <stp>MTY_TYP</stp>
        <stp>[TREASURY.xlsx]Sheet1!R472C6</stp>
        <tr r="F472" s="1"/>
      </tp>
      <tp t="s">
        <v>NORMAL</v>
        <stp/>
        <stp>##V3_BDPV12</stp>
        <stp>912828LJ Govt</stp>
        <stp>MTY_TYP</stp>
        <stp>[TREASURY.xlsx]Sheet1!R485C6</stp>
        <tr r="F485" s="1"/>
      </tp>
      <tp t="s">
        <v>NORMAL</v>
        <stp/>
        <stp>##V3_BDPV12</stp>
        <stp>912828FM Govt</stp>
        <stp>MTY_TYP</stp>
        <stp>[TREASURY.xlsx]Sheet1!R532C6</stp>
        <tr r="F532" s="1"/>
      </tp>
      <tp t="s">
        <v>NORMAL</v>
        <stp/>
        <stp>##V3_BDPV12</stp>
        <stp>912828BL Govt</stp>
        <stp>MTY_TYP</stp>
        <stp>[TREASURY.xlsx]Sheet1!R513C6</stp>
        <tr r="F513" s="1"/>
      </tp>
      <tp t="s">
        <v>NORMAL</v>
        <stp/>
        <stp>##V3_BDPV12</stp>
        <stp>9128285L Govt</stp>
        <stp>MTY_TYP</stp>
        <stp>[TREASURY.xlsx]Sheet1!R193C6</stp>
        <tr r="F193" s="1"/>
      </tp>
      <tp t="s">
        <v>NORMAL</v>
        <stp/>
        <stp>##V3_BDPV12</stp>
        <stp>9128287F Govt</stp>
        <stp>MTY_TYP</stp>
        <stp>[TREASURY.xlsx]Sheet1!R329C6</stp>
        <tr r="F329" s="1"/>
      </tp>
      <tp t="s">
        <v>NORMAL</v>
        <stp/>
        <stp>##V3_BDPV12</stp>
        <stp>9128285G Govt</stp>
        <stp>MTY_TYP</stp>
        <stp>[TREASURY.xlsx]Sheet1!R368C6</stp>
        <tr r="F368" s="1"/>
      </tp>
      <tp t="s">
        <v>NORMAL</v>
        <stp/>
        <stp>##V3_BDPV12</stp>
        <stp>91282CAH Govt</stp>
        <stp>MTY_TYP</stp>
        <stp>[TREASURY.xlsx]Sheet1!R167C6</stp>
        <tr r="F167" s="1"/>
      </tp>
      <tp t="s">
        <v>2/15/2008</v>
        <stp/>
        <stp>##V3_BDPV12</stp>
        <stp>9128273X Govt</stp>
        <stp>MATURITY</stp>
        <stp>[TREASURY.xlsx]Sheet1!R500C5</stp>
        <tr r="E500" s="1"/>
      </tp>
      <tp t="s">
        <v>10/31/2000</v>
        <stp/>
        <stp>##V3_BDPV12</stp>
        <stp>9128274T Govt</stp>
        <stp>MATURITY</stp>
        <stp>[TREASURY.xlsx]Sheet1!R610C5</stp>
        <tr r="E610" s="1"/>
      </tp>
      <tp t="s">
        <v>2/15/1997</v>
        <stp/>
        <stp>##V3_BDPV12</stp>
        <stp>912827N7 Govt</stp>
        <stp>MATURITY</stp>
        <stp>[TREASURY.xlsx]Sheet1!R900C5</stp>
        <tr r="E900" s="1"/>
      </tp>
      <tp t="s">
        <v>12/31/1982</v>
        <stp/>
        <stp>##V3_BDPV12</stp>
        <stp>912827LJ Govt</stp>
        <stp>MATURITY</stp>
        <stp>[TREASURY.xlsx]Sheet1!R890C5</stp>
        <tr r="E890" s="1"/>
      </tp>
      <tp t="s">
        <v>12/31/1996</v>
        <stp/>
        <stp>##V3_BDPV12</stp>
        <stp>912827D6 Govt</stp>
        <stp>MATURITY</stp>
        <stp>[TREASURY.xlsx]Sheet1!R700C5</stp>
        <tr r="E700" s="1"/>
      </tp>
      <tp t="s">
        <v>3/31/1997</v>
        <stp/>
        <stp>##V3_BDPV12</stp>
        <stp>912827E7 Govt</stp>
        <stp>MATURITY</stp>
        <stp>[TREASURY.xlsx]Sheet1!R590C5</stp>
        <tr r="E590" s="1"/>
      </tp>
      <tp t="s">
        <v>4/30/1982</v>
        <stp/>
        <stp>##V3_BDPV12</stp>
        <stp>912827KQ Govt</stp>
        <stp>MATURITY</stp>
        <stp>[TREASURY.xlsx]Sheet1!R710C5</stp>
        <tr r="E710" s="1"/>
      </tp>
      <tp t="s">
        <v>6/30/1985</v>
        <stp/>
        <stp>##V3_BDPV12</stp>
        <stp>912827MA Govt</stp>
        <stp>MATURITY</stp>
        <stp>[TREASURY.xlsx]Sheet1!R720C5</stp>
        <tr r="E720" s="1"/>
      </tp>
      <tp t="s">
        <v>4/30/1984</v>
        <stp/>
        <stp>##V3_BDPV12</stp>
        <stp>912827NC Govt</stp>
        <stp>MATURITY</stp>
        <stp>[TREASURY.xlsx]Sheet1!R730C5</stp>
        <tr r="E730" s="1"/>
      </tp>
      <tp t="s">
        <v>11/30/1985</v>
        <stp/>
        <stp>##V3_BDPV12</stp>
        <stp>912827QE Govt</stp>
        <stp>MATURITY</stp>
        <stp>[TREASURY.xlsx]Sheet1!R740C5</stp>
        <tr r="E740" s="1"/>
      </tp>
      <tp t="s">
        <v>8/15/1991</v>
        <stp/>
        <stp>##V3_BDPV12</stp>
        <stp>912827TS Govt</stp>
        <stp>MATURITY</stp>
        <stp>[TREASURY.xlsx]Sheet1!R750C5</stp>
        <tr r="E750" s="1"/>
      </tp>
      <tp t="s">
        <v>7/31/1989</v>
        <stp/>
        <stp>##V3_BDPV12</stp>
        <stp>912827VC Govt</stp>
        <stp>MATURITY</stp>
        <stp>[TREASURY.xlsx]Sheet1!R760C5</stp>
        <tr r="E760" s="1"/>
      </tp>
      <tp t="s">
        <v>5/15/1997</v>
        <stp/>
        <stp>##V3_BDPV12</stp>
        <stp>912827UW Govt</stp>
        <stp>MATURITY</stp>
        <stp>[TREASURY.xlsx]Sheet1!R460C5</stp>
        <tr r="E460" s="1"/>
      </tp>
      <tp t="s">
        <v>7/15/2006</v>
        <stp/>
        <stp>##V3_BDPV12</stp>
        <stp>912827Y5 Govt</stp>
        <stp>MATURITY</stp>
        <stp>[TREASURY.xlsx]Sheet1!R940C5</stp>
        <tr r="E940" s="1"/>
      </tp>
      <tp t="s">
        <v>6/30/1992</v>
        <stp/>
        <stp>##V3_BDPV12</stp>
        <stp>912827YZ Govt</stp>
        <stp>MATURITY</stp>
        <stp>[TREASURY.xlsx]Sheet1!R950C5</stp>
        <tr r="E950" s="1"/>
      </tp>
      <tp t="s">
        <v>5/31/1998</v>
        <stp/>
        <stp>##V3_BDPV12</stp>
        <stp>912827X9 Govt</stp>
        <stp>MATURITY</stp>
        <stp>[TREASURY.xlsx]Sheet1!R770C5</stp>
        <tr r="E770" s="1"/>
      </tp>
      <tp t="s">
        <v>2/15/2006</v>
        <stp/>
        <stp>##V3_BDPV12</stp>
        <stp>912827W8 Govt</stp>
        <stp>MATURITY</stp>
        <stp>[TREASURY.xlsx]Sheet1!R930C5</stp>
        <tr r="E930" s="1"/>
      </tp>
      <tp t="s">
        <v>2/15/1999</v>
        <stp/>
        <stp>##V3_BDPV12</stp>
        <stp>912827XE Govt</stp>
        <stp>MATURITY</stp>
        <stp>[TREASURY.xlsx]Sheet1!R570C5</stp>
        <tr r="E570" s="1"/>
      </tp>
      <tp t="s">
        <v>8/15/2000</v>
        <stp/>
        <stp>##V3_BDPV12</stp>
        <stp>912827ZE Govt</stp>
        <stp>MATURITY</stp>
        <stp>[TREASURY.xlsx]Sheet1!R780C5</stp>
        <tr r="E780" s="1"/>
      </tp>
      <tp t="s">
        <v>11/15/1991</v>
        <stp/>
        <stp>##V3_BDPV12</stp>
        <stp>912827TZ Govt</stp>
        <stp>MATURITY</stp>
        <stp>[TREASURY.xlsx]Sheet1!R920C5</stp>
        <tr r="E920" s="1"/>
      </tp>
      <tp t="s">
        <v>8/31/1986</v>
        <stp/>
        <stp>##V3_BDPV12</stp>
        <stp>912827RD Govt</stp>
        <stp>MATURITY</stp>
        <stp>[TREASURY.xlsx]Sheet1!R910C5</stp>
        <tr r="E910" s="1"/>
      </tp>
      <tp t="s">
        <v>2/15/1995</v>
        <stp/>
        <stp>##V3_BDPV12</stp>
        <stp>912827RW Govt</stp>
        <stp>MATURITY</stp>
        <stp>[TREASURY.xlsx]Sheet1!R830C5</stp>
        <tr r="E830" s="1"/>
      </tp>
      <tp t="s">
        <v>T</v>
        <stp/>
        <stp>##V3_BDPV12</stp>
        <stp>912828ZN Govt</stp>
        <stp>TICKER</stp>
        <stp>[TREASURY.xlsx]Sheet1!R117C2</stp>
        <tr r="B117" s="1"/>
      </tp>
      <tp t="s">
        <v>T</v>
        <stp/>
        <stp>##V3_BDPV12</stp>
        <stp>912828TL Govt</stp>
        <stp>TICKER</stp>
        <stp>[TREASURY.xlsx]Sheet1!R409C2</stp>
        <tr r="B409" s="1"/>
      </tp>
      <tp t="s">
        <v>T</v>
        <stp/>
        <stp>##V3_BDPV12</stp>
        <stp>912828XK Govt</stp>
        <stp>TICKER</stp>
        <stp>[TREASURY.xlsx]Sheet1!R625C2</stp>
        <tr r="B625" s="1"/>
      </tp>
      <tp t="s">
        <v>T</v>
        <stp/>
        <stp>##V3_BDPV12</stp>
        <stp>912827YG Govt</stp>
        <stp>TICKER</stp>
        <stp>[TREASURY.xlsx]Sheet1!R944C2</stp>
        <tr r="B944" s="1"/>
      </tp>
      <tp t="s">
        <v>T</v>
        <stp/>
        <stp>##V3_BDPV12</stp>
        <stp>912827XD Govt</stp>
        <stp>TICKER</stp>
        <stp>[TREASURY.xlsx]Sheet1!R935C2</stp>
        <tr r="B935" s="1"/>
      </tp>
      <tp t="s">
        <v>3/31/1987</v>
        <stp/>
        <stp>##V3_BDPV12</stp>
        <stp>912827US Govt</stp>
        <stp>ISSUE_DT</stp>
        <stp>[TREASURY.xlsx]Sheet1!R1407C15</stp>
        <tr r="O1407" s="1"/>
      </tp>
      <tp t="s">
        <v>4/15/2013</v>
        <stp/>
        <stp>##V3_BDPV12</stp>
        <stp>912828UW Govt</stp>
        <stp>ISSUE_DT</stp>
        <stp>[TREASURY.xlsx]Sheet1!R1002C15</stp>
        <tr r="O1002" s="1"/>
      </tp>
      <tp t="s">
        <v>912828EM8</v>
        <stp/>
        <stp>##V3_BDPV12</stp>
        <stp>912828EM Govt</stp>
        <stp>ID_CUSIP</stp>
        <stp>[TREASURY.xlsx]Sheet1!R1115C19</stp>
        <tr r="S1115" s="1"/>
      </tp>
      <tp t="s">
        <v>T</v>
        <stp/>
        <stp>##V3_BDPV12</stp>
        <stp>912828DY Govt</stp>
        <stp>TICKER</stp>
        <stp>[TREASURY.xlsx]Sheet1!R1430C2</stp>
        <tr r="B1430" s="1"/>
      </tp>
      <tp t="s">
        <v>T</v>
        <stp/>
        <stp>##V3_BDPV12</stp>
        <stp>912828GY Govt</stp>
        <stp>TICKER</stp>
        <stp>[TREASURY.xlsx]Sheet1!R1120C2</stp>
        <tr r="B1120" s="1"/>
      </tp>
      <tp t="s">
        <v>T</v>
        <stp/>
        <stp>##V3_BDPV12</stp>
        <stp>912828DZ Govt</stp>
        <stp>TICKER</stp>
        <stp>[TREASURY.xlsx]Sheet1!R1273C2</stp>
        <tr r="B1273" s="1"/>
      </tp>
      <tp t="s">
        <v>T</v>
        <stp/>
        <stp>##V3_BDPV12</stp>
        <stp>9128273Q Govt</stp>
        <stp>TICKER</stp>
        <stp>[TREASURY.xlsx]Sheet1!R1358C2</stp>
        <tr r="B1358" s="1"/>
      </tp>
      <tp t="s">
        <v>T</v>
        <stp/>
        <stp>##V3_BDPV12</stp>
        <stp>912827WY Govt</stp>
        <stp>TICKER</stp>
        <stp>[TREASURY.xlsx]Sheet1!R1210C2</stp>
        <tr r="B1210" s="1"/>
      </tp>
      <tp t="s">
        <v>T</v>
        <stp/>
        <stp>##V3_BDPV12</stp>
        <stp>912827NY Govt</stp>
        <stp>TICKER</stp>
        <stp>[TREASURY.xlsx]Sheet1!R1170C2</stp>
        <tr r="B1170" s="1"/>
      </tp>
      <tp t="s">
        <v>T</v>
        <stp/>
        <stp>##V3_BDPV12</stp>
        <stp>912827SY Govt</stp>
        <stp>TICKER</stp>
        <stp>[TREASURY.xlsx]Sheet1!R1190C2</stp>
        <tr r="B1190" s="1"/>
      </tp>
      <tp t="s">
        <v>T</v>
        <stp/>
        <stp>##V3_BDPV12</stp>
        <stp>912827UX Govt</stp>
        <stp>TICKER</stp>
        <stp>[TREASURY.xlsx]Sheet1!R1081C2</stp>
        <tr r="B1081" s="1"/>
      </tp>
      <tp t="s">
        <v>T</v>
        <stp/>
        <stp>##V3_BDPV12</stp>
        <stp>912827XY Govt</stp>
        <stp>TICKER</stp>
        <stp>[TREASURY.xlsx]Sheet1!R1600C2</stp>
        <tr r="B1600" s="1"/>
      </tp>
      <tp t="s">
        <v>T</v>
        <stp/>
        <stp>##V3_BDPV12</stp>
        <stp>912827UY Govt</stp>
        <stp>TICKER</stp>
        <stp>[TREASURY.xlsx]Sheet1!R1590C2</stp>
        <tr r="B1590" s="1"/>
      </tp>
      <tp t="s">
        <v>T</v>
        <stp/>
        <stp>##V3_BDPV12</stp>
        <stp>9128272P Govt</stp>
        <stp>TICKER</stp>
        <stp>[TREASURY.xlsx]Sheet1!R1519C2</stp>
        <tr r="B1519" s="1"/>
      </tp>
      <tp t="s">
        <v>T</v>
        <stp/>
        <stp>##V3_BDPV12</stp>
        <stp>912827WZ Govt</stp>
        <stp>TICKER</stp>
        <stp>[TREASURY.xlsx]Sheet1!R1423C2</stp>
        <tr r="B1423" s="1"/>
      </tp>
      <tp t="s">
        <v>T</v>
        <stp/>
        <stp>##V3_BDPV12</stp>
        <stp>912827WP Govt</stp>
        <stp>TICKER</stp>
        <stp>[TREASURY.xlsx]Sheet1!R1419C2</stp>
        <tr r="B1419" s="1"/>
      </tp>
      <tp t="s">
        <v>4/1/2013</v>
        <stp/>
        <stp>##V3_BDPV12</stp>
        <stp>912828UU Govt</stp>
        <stp>ISSUE_DT</stp>
        <stp>[TREASURY.xlsx]Sheet1!R1001C15</stp>
        <tr r="O1001" s="1"/>
      </tp>
      <tp t="s">
        <v>2/28/2013</v>
        <stp/>
        <stp>##V3_BDPV12</stp>
        <stp>912828UR Govt</stp>
        <stp>ISSUE_DT</stp>
        <stp>[TREASURY.xlsx]Sheet1!R1146C15</stp>
        <tr r="O1146" s="1"/>
      </tp>
      <tp t="s">
        <v>912828EJ5</v>
        <stp/>
        <stp>##V3_BDPV12</stp>
        <stp>912828EJ Govt</stp>
        <stp>ID_CUSIP</stp>
        <stp>[TREASURY.xlsx]Sheet1!R1238C19</stp>
        <tr r="S1238" s="1"/>
      </tp>
      <tp t="s">
        <v>3/15/2013</v>
        <stp/>
        <stp>##V3_BDPV12</stp>
        <stp>912828US Govt</stp>
        <stp>ISSUE_DT</stp>
        <stp>[TREASURY.xlsx]Sheet1!R1137C15</stp>
        <tr r="O1137" s="1"/>
      </tp>
      <tp t="s">
        <v>3/2/1987</v>
        <stp/>
        <stp>##V3_BDPV12</stp>
        <stp>912827UP Govt</stp>
        <stp>ISSUE_DT</stp>
        <stp>[TREASURY.xlsx]Sheet1!R1202C15</stp>
        <tr r="O1202" s="1"/>
      </tp>
      <tp t="s">
        <v>912828EH9</v>
        <stp/>
        <stp>##V3_BDPV12</stp>
        <stp>912828EH Govt</stp>
        <stp>ID_CUSIP</stp>
        <stp>[TREASURY.xlsx]Sheet1!R1114C19</stp>
        <tr r="S1114" s="1"/>
      </tp>
      <tp t="s">
        <v>3/31/1987</v>
        <stp/>
        <stp>##V3_BDPV12</stp>
        <stp>912827UR Govt</stp>
        <stp>ISSUE_DT</stp>
        <stp>[TREASURY.xlsx]Sheet1!R1080C15</stp>
        <tr r="O1080" s="1"/>
      </tp>
      <tp t="s">
        <v>USD</v>
        <stp/>
        <stp>##V3_BDPV12</stp>
        <stp>912827TW Govt</stp>
        <stp>CRNCY</stp>
        <stp>[TREASURY.xlsx]Sheet1!R1402C7</stp>
        <tr r="G1402" s="1"/>
      </tp>
      <tp t="s">
        <v>3/3/1987</v>
        <stp/>
        <stp>##V3_BDPV12</stp>
        <stp>912827UQ Govt</stp>
        <stp>ISSUE_DT</stp>
        <stp>[TREASURY.xlsx]Sheet1!R1079C15</stp>
        <tr r="O1079" s="1"/>
      </tp>
      <tp t="s">
        <v>2/28/2013</v>
        <stp/>
        <stp>##V3_BDPV12</stp>
        <stp>912828UP Govt</stp>
        <stp>ISSUE_DT</stp>
        <stp>[TREASURY.xlsx]Sheet1!R1145C15</stp>
        <tr r="O1145" s="1"/>
      </tp>
      <tp t="s">
        <v>4/30/1987</v>
        <stp/>
        <stp>##V3_BDPV12</stp>
        <stp>912827UU Govt</stp>
        <stp>ISSUE_DT</stp>
        <stp>[TREASURY.xlsx]Sheet1!R1408C15</stp>
        <tr r="O1408" s="1"/>
      </tp>
      <tp t="s">
        <v>USD</v>
        <stp/>
        <stp>##V3_BDPV12</stp>
        <stp>912827WT Govt</stp>
        <stp>CRNCY</stp>
        <stp>[TREASURY.xlsx]Sheet1!R1421C7</stp>
        <tr r="G1421" s="1"/>
      </tp>
      <tp t="s">
        <v>USD</v>
        <stp/>
        <stp>##V3_BDPV12</stp>
        <stp>912827QU Govt</stp>
        <stp>CRNCY</stp>
        <stp>[TREASURY.xlsx]Sheet1!R1497C7</stp>
        <tr r="G1497" s="1"/>
      </tp>
      <tp t="s">
        <v>912810EB0</v>
        <stp/>
        <stp>##V3_BDPV12</stp>
        <stp>912810EB Govt</stp>
        <stp>ID_CUSIP</stp>
        <stp>[TREASURY.xlsx]Sheet1!R1624C19</stp>
        <tr r="S1624" s="1"/>
      </tp>
      <tp t="s">
        <v>912810EG9</v>
        <stp/>
        <stp>##V3_BDPV12</stp>
        <stp>912810EG Govt</stp>
        <stp>ID_CUSIP</stp>
        <stp>[TREASURY.xlsx]Sheet1!R1349C19</stp>
        <tr r="S1349" s="1"/>
      </tp>
      <tp t="s">
        <v>USD</v>
        <stp/>
        <stp>##V3_BDPV12</stp>
        <stp>912827RZ Govt</stp>
        <stp>CRNCY</stp>
        <stp>[TREASURY.xlsx]Sheet1!R1584C7</stp>
        <tr r="G1584" s="1"/>
      </tp>
      <tp t="s">
        <v>6/30/1987</v>
        <stp/>
        <stp>##V3_BDPV12</stp>
        <stp>912827UZ Govt</stp>
        <stp>ISSUE_DT</stp>
        <stp>[TREASURY.xlsx]Sheet1!R1409C15</stp>
        <tr r="O1409" s="1"/>
      </tp>
      <tp t="s">
        <v>912810EA2</v>
        <stp/>
        <stp>##V3_BDPV12</stp>
        <stp>912810EA Govt</stp>
        <stp>ID_CUSIP</stp>
        <stp>[TREASURY.xlsx]Sheet1!R1445C19</stp>
        <tr r="S1445" s="1"/>
      </tp>
      <tp t="s">
        <v>6/3/1987</v>
        <stp/>
        <stp>##V3_BDPV12</stp>
        <stp>912827UY Govt</stp>
        <stp>ISSUE_DT</stp>
        <stp>[TREASURY.xlsx]Sheet1!R1590C15</stp>
        <tr r="O1590" s="1"/>
      </tp>
      <tp t="s">
        <v>912828EF3</v>
        <stp/>
        <stp>##V3_BDPV12</stp>
        <stp>912828EF Govt</stp>
        <stp>ID_CUSIP</stp>
        <stp>[TREASURY.xlsx]Sheet1!R1431C19</stp>
        <tr r="S1431" s="1"/>
      </tp>
      <tp t="s">
        <v>4/30/2013</v>
        <stp/>
        <stp>##V3_BDPV12</stp>
        <stp>912828UY Govt</stp>
        <stp>ISSUE_DT</stp>
        <stp>[TREASURY.xlsx]Sheet1!R1138C15</stp>
        <tr r="O1138" s="1"/>
      </tp>
      <tp t="s">
        <v>912828EB2</v>
        <stp/>
        <stp>##V3_BDPV12</stp>
        <stp>912828EB Govt</stp>
        <stp>ID_CUSIP</stp>
        <stp>[TREASURY.xlsx]Sheet1!R1113C19</stp>
        <tr r="S1113" s="1"/>
      </tp>
      <tp t="s">
        <v>6/1/1987</v>
        <stp/>
        <stp>##V3_BDPV12</stp>
        <stp>912827UX Govt</stp>
        <stp>ISSUE_DT</stp>
        <stp>[TREASURY.xlsx]Sheet1!R1081C15</stp>
        <tr r="O1081" s="1"/>
      </tp>
      <tp t="s">
        <v>USD</v>
        <stp/>
        <stp>##V3_BDPV12</stp>
        <stp>912827TB Govt</stp>
        <stp>CRNCY</stp>
        <stp>[TREASURY.xlsx]Sheet1!R1072C7</stp>
        <tr r="G1072" s="1"/>
      </tp>
      <tp t="s">
        <v>#N/A Field Not Applicable</v>
        <stp/>
        <stp>##V3_BDPV12</stp>
        <stp>912810DR Govt</stp>
        <stp>IDX_RATIO</stp>
        <stp>[TREASURY.xlsx]Sheet1!R1447C20</stp>
        <tr r="T1447" s="1"/>
      </tp>
      <tp t="s">
        <v>1/15/2013</v>
        <stp/>
        <stp>##V3_BDPV12</stp>
        <stp>912828UG Govt</stp>
        <stp>ISSUE_DT</stp>
        <stp>[TREASURY.xlsx]Sheet1!R1135C15</stp>
        <tr r="O1135" s="1"/>
      </tp>
      <tp t="s">
        <v>12/1/1986</v>
        <stp/>
        <stp>##V3_BDPV12</stp>
        <stp>912827UG Govt</stp>
        <stp>ISSUE_DT</stp>
        <stp>[TREASURY.xlsx]Sheet1!R1199C15</stp>
        <tr r="O1199" s="1"/>
      </tp>
      <tp t="s">
        <v>11/17/1986</v>
        <stp/>
        <stp>##V3_BDPV12</stp>
        <stp>912827UE Govt</stp>
        <stp>ISSUE_DT</stp>
        <stp>[TREASURY.xlsx]Sheet1!R1077C15</stp>
        <tr r="O1077" s="1"/>
      </tp>
      <tp t="s">
        <v>#N/A Field Not Applicable</v>
        <stp/>
        <stp>##V3_BDPV12</stp>
        <stp>9128272R Govt</stp>
        <stp>IDX_RATIO</stp>
        <stp>[TREASURY.xlsx]Sheet1!R1453C20</stp>
        <tr r="T1453" s="1"/>
      </tp>
      <tp t="s">
        <v>UNITED STATES</v>
        <stp/>
        <stp>##V3_BDPV12</stp>
        <stp>9128282V Govt</stp>
        <stp>COUNTRY_FULL_NAME</stp>
        <stp>[TREASURY.xlsx]Sheet1!R362C8</stp>
        <tr r="H362" s="1"/>
      </tp>
      <tp t="s">
        <v>UNITED STATES</v>
        <stp/>
        <stp>##V3_BDPV12</stp>
        <stp>9128282U Govt</stp>
        <stp>COUNTRY_FULL_NAME</stp>
        <stp>[TREASURY.xlsx]Sheet1!R252C8</stp>
        <tr r="H252" s="1"/>
      </tp>
      <tp t="s">
        <v>UNITED STATES</v>
        <stp/>
        <stp>##V3_BDPV12</stp>
        <stp>9128282S Govt</stp>
        <stp>COUNTRY_FULL_NAME</stp>
        <stp>[TREASURY.xlsx]Sheet1!R212C8</stp>
        <tr r="H212" s="1"/>
      </tp>
      <tp t="s">
        <v>#N/A Field Not Applicable</v>
        <stp/>
        <stp>##V3_BDPV12</stp>
        <stp>9128274R Govt</stp>
        <stp>IDX_RATIO</stp>
        <stp>[TREASURY.xlsx]Sheet1!R1532C20</stp>
        <tr r="T1532" s="1"/>
      </tp>
      <tp t="s">
        <v>USD</v>
        <stp/>
        <stp>##V3_BDPV12</stp>
        <stp>912828PA Govt</stp>
        <stp>CRNCY</stp>
        <stp>[TREASURY.xlsx]Sheet1!R1296C7</stp>
        <tr r="G1296" s="1"/>
      </tp>
      <tp t="s">
        <v>UNITED STATES</v>
        <stp/>
        <stp>##V3_BDPV12</stp>
        <stp>9128283V Govt</stp>
        <stp>COUNTRY_FULL_NAME</stp>
        <stp>[TREASURY.xlsx]Sheet1!R242C8</stp>
        <tr r="H242" s="1"/>
      </tp>
      <tp t="s">
        <v>#N/A Field Not Applicable</v>
        <stp/>
        <stp>##V3_BDPV12</stp>
        <stp>912827XR Govt</stp>
        <stp>IDX_RATIO</stp>
        <stp>[TREASURY.xlsx]Sheet1!R1216C20</stp>
        <tr r="T1216" s="1"/>
      </tp>
      <tp t="s">
        <v>#N/A Field Not Applicable</v>
        <stp/>
        <stp>##V3_BDPV12</stp>
        <stp>912828NR Govt</stp>
        <stp>IDX_RATIO</stp>
        <stp>[TREASURY.xlsx]Sheet1!R1257C20</stp>
        <tr r="T1257" s="1"/>
      </tp>
      <tp t="s">
        <v>#N/A Field Not Applicable</v>
        <stp/>
        <stp>##V3_BDPV12</stp>
        <stp>912828PR Govt</stp>
        <stp>IDX_RATIO</stp>
        <stp>[TREASURY.xlsx]Sheet1!R1260C20</stp>
        <tr r="T1260" s="1"/>
      </tp>
      <tp t="s">
        <v>#N/A Field Not Applicable</v>
        <stp/>
        <stp>##V3_BDPV12</stp>
        <stp>912828FR Govt</stp>
        <stp>IDX_RATIO</stp>
        <stp>[TREASURY.xlsx]Sheet1!R1277C20</stp>
        <tr r="T1277" s="1"/>
      </tp>
      <tp t="s">
        <v>USD</v>
        <stp/>
        <stp>##V3_BDPV12</stp>
        <stp>912827SF Govt</stp>
        <stp>CRNCY</stp>
        <stp>[TREASURY.xlsx]Sheet1!R1065C7</stp>
        <tr r="G1065" s="1"/>
      </tp>
      <tp t="s">
        <v>UNITED STATES</v>
        <stp/>
        <stp>##V3_BDPV12</stp>
        <stp>9128284D Govt</stp>
        <stp>COUNTRY_FULL_NAME</stp>
        <stp>[TREASURY.xlsx]Sheet1!R202C8</stp>
        <tr r="H202" s="1"/>
      </tp>
      <tp t="s">
        <v>#N/A Field Not Applicable</v>
        <stp/>
        <stp>##V3_BDPV12</stp>
        <stp>9128273R Govt</stp>
        <stp>IDX_RATIO</stp>
        <stp>[TREASURY.xlsx]Sheet1!R1359C20</stp>
        <tr r="T1359" s="1"/>
      </tp>
      <tp t="s">
        <v>12/17/2012</v>
        <stp/>
        <stp>##V3_BDPV12</stp>
        <stp>912828UC Govt</stp>
        <stp>ISSUE_DT</stp>
        <stp>[TREASURY.xlsx]Sheet1!R1144C15</stp>
        <tr r="O1144" s="1"/>
      </tp>
      <tp t="s">
        <v>#N/A Field Not Applicable</v>
        <stp/>
        <stp>##V3_BDPV12</stp>
        <stp>912827PR Govt</stp>
        <stp>IDX_RATIO</stp>
        <stp>[TREASURY.xlsx]Sheet1!R1341C20</stp>
        <tr r="T1341" s="1"/>
      </tp>
      <tp t="s">
        <v>#N/A Field Not Applicable</v>
        <stp/>
        <stp>##V3_BDPV12</stp>
        <stp>912827LR Govt</stp>
        <stp>IDX_RATIO</stp>
        <stp>[TREASURY.xlsx]Sheet1!R1323C20</stp>
        <tr r="T1323" s="1"/>
      </tp>
      <tp t="s">
        <v>#N/A Field Not Applicable</v>
        <stp/>
        <stp>##V3_BDPV12</stp>
        <stp>912827MR Govt</stp>
        <stp>IDX_RATIO</stp>
        <stp>[TREASURY.xlsx]Sheet1!R1327C20</stp>
        <tr r="T1327" s="1"/>
      </tp>
      <tp t="s">
        <v>11/17/1986</v>
        <stp/>
        <stp>##V3_BDPV12</stp>
        <stp>912827UF Govt</stp>
        <stp>ISSUE_DT</stp>
        <stp>[TREASURY.xlsx]Sheet1!R1404C15</stp>
        <tr r="O1404" s="1"/>
      </tp>
      <tp t="s">
        <v>#N/A Field Not Applicable</v>
        <stp/>
        <stp>##V3_BDPV12</stp>
        <stp>912827SR Govt</stp>
        <stp>IDX_RATIO</stp>
        <stp>[TREASURY.xlsx]Sheet1!R1396C20</stp>
        <tr r="T1396" s="1"/>
      </tp>
      <tp t="s">
        <v>USD</v>
        <stp/>
        <stp>##V3_BDPV12</stp>
        <stp>912827WG Govt</stp>
        <stp>CRNCY</stp>
        <stp>[TREASURY.xlsx]Sheet1!R1091C7</stp>
        <tr r="G1091" s="1"/>
      </tp>
      <tp t="s">
        <v>UNITED STATES</v>
        <stp/>
        <stp>##V3_BDPV12</stp>
        <stp>9128285X Govt</stp>
        <stp>COUNTRY_FULL_NAME</stp>
        <stp>[TREASURY.xlsx]Sheet1!R372C8</stp>
        <tr r="H372" s="1"/>
      </tp>
      <tp t="s">
        <v>UNITED STATES</v>
        <stp/>
        <stp>##V3_BDPV12</stp>
        <stp>9128285B Govt</stp>
        <stp>COUNTRY_FULL_NAME</stp>
        <stp>[TREASURY.xlsx]Sheet1!R442C8</stp>
        <tr r="H442" s="1"/>
      </tp>
      <tp t="s">
        <v>#N/A Field Not Applicable</v>
        <stp/>
        <stp>##V3_BDPV12</stp>
        <stp>912827NR Govt</stp>
        <stp>IDX_RATIO</stp>
        <stp>[TREASURY.xlsx]Sheet1!R1052C20</stp>
        <tr r="T1052" s="1"/>
      </tp>
      <tp t="s">
        <v>#N/A Field Not Applicable</v>
        <stp/>
        <stp>##V3_BDPV12</stp>
        <stp>912810CR Govt</stp>
        <stp>IDX_RATIO</stp>
        <stp>[TREASURY.xlsx]Sheet1!R1344C20</stp>
        <tr r="T1344" s="1"/>
      </tp>
      <tp t="s">
        <v>#N/A Field Not Applicable</v>
        <stp/>
        <stp>##V3_BDPV12</stp>
        <stp>9128275R Govt</stp>
        <stp>IDX_RATIO</stp>
        <stp>[TREASURY.xlsx]Sheet1!R1018C20</stp>
        <tr r="T1018" s="1"/>
      </tp>
      <tp t="s">
        <v>11/3/1986</v>
        <stp/>
        <stp>##V3_BDPV12</stp>
        <stp>912827UD Govt</stp>
        <stp>ISSUE_DT</stp>
        <stp>[TREASURY.xlsx]Sheet1!R1512C15</stp>
        <tr r="O1512" s="1"/>
      </tp>
      <tp t="s">
        <v>NORMAL</v>
        <stp/>
        <stp>##V3_BDPV12</stp>
        <stp>9128276Q Govt</stp>
        <stp>MTY_TYP</stp>
        <stp>[TREASURY.xlsx]Sheet1!R1539C6</stp>
        <tr r="F1539" s="1"/>
      </tp>
      <tp t="s">
        <v>NORMAL</v>
        <stp/>
        <stp>##V3_BDPV12</stp>
        <stp>9128276X Govt</stp>
        <stp>MTY_TYP</stp>
        <stp>[TREASURY.xlsx]Sheet1!R1469C6</stp>
        <tr r="F1469" s="1"/>
      </tp>
      <tp t="s">
        <v>NORMAL</v>
        <stp/>
        <stp>##V3_BDPV12</stp>
        <stp>9128272E Govt</stp>
        <stp>MTY_TYP</stp>
        <stp>[TREASURY.xlsx]Sheet1!R1009C6</stp>
        <tr r="F1009" s="1"/>
      </tp>
      <tp t="s">
        <v>NORMAL</v>
        <stp/>
        <stp>##V3_BDPV12</stp>
        <stp>9128273R Govt</stp>
        <stp>MTY_TYP</stp>
        <stp>[TREASURY.xlsx]Sheet1!R1359C6</stp>
        <tr r="F1359" s="1"/>
      </tp>
      <tp t="s">
        <v>NORMAL</v>
        <stp/>
        <stp>##V3_BDPV12</stp>
        <stp>9128274D Govt</stp>
        <stp>MTY_TYP</stp>
        <stp>[TREASURY.xlsx]Sheet1!R1459C6</stp>
        <tr r="F1459" s="1"/>
      </tp>
      <tp t="s">
        <v>NORMAL</v>
        <stp/>
        <stp>##V3_BDPV12</stp>
        <stp>9128272P Govt</stp>
        <stp>MTY_TYP</stp>
        <stp>[TREASURY.xlsx]Sheet1!R1519C6</stp>
        <tr r="F1519" s="1"/>
      </tp>
      <tp t="s">
        <v>NORMAL</v>
        <stp/>
        <stp>##V3_BDPV12</stp>
        <stp>9128273L Govt</stp>
        <stp>MTY_TYP</stp>
        <stp>[TREASURY.xlsx]Sheet1!R1529C6</stp>
        <tr r="F1529" s="1"/>
      </tp>
      <tp t="s">
        <v>NORMAL</v>
        <stp/>
        <stp>##V3_BDPV12</stp>
        <stp>9128275G Govt</stp>
        <stp>MTY_TYP</stp>
        <stp>[TREASURY.xlsx]Sheet1!R1369C6</stp>
        <tr r="F1369" s="1"/>
      </tp>
      <tp t="s">
        <v>NORMAL</v>
        <stp/>
        <stp>##V3_BDPV12</stp>
        <stp>9128272C Govt</stp>
        <stp>MTY_TYP</stp>
        <stp>[TREASURY.xlsx]Sheet1!R1449C6</stp>
        <tr r="F1449" s="1"/>
      </tp>
      <tp t="s">
        <v>NORMAL</v>
        <stp/>
        <stp>##V3_BDPV12</stp>
        <stp>9128275S Govt</stp>
        <stp>MTY_TYP</stp>
        <stp>[TREASURY.xlsx]Sheet1!R1019C6</stp>
        <tr r="F1019" s="1"/>
      </tp>
      <tp t="s">
        <v>#N/A Field Not Applicable</v>
        <stp/>
        <stp>##V3_BDPV12</stp>
        <stp>912827UR Govt</stp>
        <stp>IDX_RATIO</stp>
        <stp>[TREASURY.xlsx]Sheet1!R1080C20</stp>
        <tr r="T1080" s="1"/>
      </tp>
      <tp t="s">
        <v>UNITED STATES</v>
        <stp/>
        <stp>##V3_BDPV12</stp>
        <stp>9128286S Govt</stp>
        <stp>COUNTRY_FULL_NAME</stp>
        <stp>[TREASURY.xlsx]Sheet1!R322C8</stp>
        <tr r="H322" s="1"/>
      </tp>
      <tp t="s">
        <v>UNITED STATES</v>
        <stp/>
        <stp>##V3_BDPV12</stp>
        <stp>9128286C Govt</stp>
        <stp>COUNTRY_FULL_NAME</stp>
        <stp>[TREASURY.xlsx]Sheet1!R272C8</stp>
        <tr r="H272" s="1"/>
      </tp>
      <tp t="s">
        <v>NORMAL</v>
        <stp/>
        <stp>##V3_BDPV12</stp>
        <stp>912827K3 Govt</stp>
        <stp>MTY_TYP</stp>
        <stp>[TREASURY.xlsx]Sheet1!R1039C6</stp>
        <tr r="F1039" s="1"/>
      </tp>
      <tp t="s">
        <v>NORMAL</v>
        <stp/>
        <stp>##V3_BDPV12</stp>
        <stp>912827K5 Govt</stp>
        <stp>MTY_TYP</stp>
        <stp>[TREASURY.xlsx]Sheet1!R1159C6</stp>
        <tr r="F1159" s="1"/>
      </tp>
      <tp t="s">
        <v>NORMAL</v>
        <stp/>
        <stp>##V3_BDPV12</stp>
        <stp>912827LT Govt</stp>
        <stp>MTY_TYP</stp>
        <stp>[TREASURY.xlsx]Sheet1!R1379C6</stp>
        <tr r="F1379" s="1"/>
      </tp>
      <tp t="s">
        <v>NORMAL</v>
        <stp/>
        <stp>##V3_BDPV12</stp>
        <stp>912827NG Govt</stp>
        <stp>MTY_TYP</stp>
        <stp>[TREASURY.xlsx]Sheet1!R1169C6</stp>
        <tr r="F1169" s="1"/>
      </tp>
      <tp t="s">
        <v>NORMAL</v>
        <stp/>
        <stp>##V3_BDPV12</stp>
        <stp>912827K2 Govt</stp>
        <stp>MTY_TYP</stp>
        <stp>[TREASURY.xlsx]Sheet1!R1489C6</stp>
        <tr r="F1489" s="1"/>
      </tp>
      <tp t="s">
        <v>NORMAL</v>
        <stp/>
        <stp>##V3_BDPV12</stp>
        <stp>912827L8 Govt</stp>
        <stp>MTY_TYP</stp>
        <stp>[TREASURY.xlsx]Sheet1!R1319C6</stp>
        <tr r="F1319" s="1"/>
      </tp>
      <tp t="s">
        <v>NORMAL</v>
        <stp/>
        <stp>##V3_BDPV12</stp>
        <stp>912827NF Govt</stp>
        <stp>MTY_TYP</stp>
        <stp>[TREASURY.xlsx]Sheet1!R1049C6</stp>
        <tr r="F1049" s="1"/>
      </tp>
      <tp t="s">
        <v>NORMAL</v>
        <stp/>
        <stp>##V3_BDPV12</stp>
        <stp>912827N2 Govt</stp>
        <stp>MTY_TYP</stp>
        <stp>[TREASURY.xlsx]Sheet1!R1329C6</stp>
        <tr r="F1329" s="1"/>
      </tp>
      <tp t="s">
        <v>NORMAL</v>
        <stp/>
        <stp>##V3_BDPV12</stp>
        <stp>912827F4 Govt</stp>
        <stp>MTY_TYP</stp>
        <stp>[TREASURY.xlsx]Sheet1!R1559C6</stp>
        <tr r="F1559" s="1"/>
      </tp>
      <tp t="s">
        <v>NORMAL</v>
        <stp/>
        <stp>##V3_BDPV12</stp>
        <stp>912827A2 Govt</stp>
        <stp>MTY_TYP</stp>
        <stp>[TREASURY.xlsx]Sheet1!R1029C6</stp>
        <tr r="F1029" s="1"/>
      </tp>
      <tp t="s">
        <v>NORMAL</v>
        <stp/>
        <stp>##V3_BDPV12</stp>
        <stp>912827B3 Govt</stp>
        <stp>MTY_TYP</stp>
        <stp>[TREASURY.xlsx]Sheet1!R1549C6</stp>
        <tr r="F1549" s="1"/>
      </tp>
      <tp t="s">
        <v>NORMAL</v>
        <stp/>
        <stp>##V3_BDPV12</stp>
        <stp>912827C2 Govt</stp>
        <stp>MTY_TYP</stp>
        <stp>[TREASURY.xlsx]Sheet1!R1479C6</stp>
        <tr r="F1479" s="1"/>
      </tp>
      <tp t="s">
        <v>NORMAL</v>
        <stp/>
        <stp>##V3_BDPV12</stp>
        <stp>912827Y7 Govt</stp>
        <stp>MTY_TYP</stp>
        <stp>[TREASURY.xlsx]Sheet1!R1219C6</stp>
        <tr r="F1219" s="1"/>
      </tp>
      <tp t="s">
        <v>NORMAL</v>
        <stp/>
        <stp>##V3_BDPV12</stp>
        <stp>912827Y6 Govt</stp>
        <stp>MTY_TYP</stp>
        <stp>[TREASURY.xlsx]Sheet1!R1099C6</stp>
        <tr r="F1099" s="1"/>
      </tp>
      <tp t="s">
        <v>NORMAL</v>
        <stp/>
        <stp>##V3_BDPV12</stp>
        <stp>912827ZF Govt</stp>
        <stp>MTY_TYP</stp>
        <stp>[TREASURY.xlsx]Sheet1!R1229C6</stp>
        <tr r="F1229" s="1"/>
      </tp>
      <tp t="s">
        <v>NORMAL</v>
        <stp/>
        <stp>##V3_BDPV12</stp>
        <stp>912827XV Govt</stp>
        <stp>MTY_TYP</stp>
        <stp>[TREASURY.xlsx]Sheet1!R1599C6</stp>
        <tr r="F1599" s="1"/>
      </tp>
      <tp t="s">
        <v>NORMAL</v>
        <stp/>
        <stp>##V3_BDPV12</stp>
        <stp>912827Z5 Govt</stp>
        <stp>MTY_TYP</stp>
        <stp>[TREASURY.xlsx]Sheet1!R1609C6</stp>
        <tr r="F1609" s="1"/>
      </tp>
      <tp t="s">
        <v>NORMAL</v>
        <stp/>
        <stp>##V3_BDPV12</stp>
        <stp>912827WP Govt</stp>
        <stp>MTY_TYP</stp>
        <stp>[TREASURY.xlsx]Sheet1!R1419C6</stp>
        <tr r="F1419" s="1"/>
      </tp>
      <tp t="s">
        <v>NORMAL</v>
        <stp/>
        <stp>##V3_BDPV12</stp>
        <stp>912827PJ Govt</stp>
        <stp>MTY_TYP</stp>
        <stp>[TREASURY.xlsx]Sheet1!R1389C6</stp>
        <tr r="F1389" s="1"/>
      </tp>
      <tp t="s">
        <v>NORMAL</v>
        <stp/>
        <stp>##V3_BDPV12</stp>
        <stp>912827P9 Govt</stp>
        <stp>MTY_TYP</stp>
        <stp>[TREASURY.xlsx]Sheet1!R1339C6</stp>
        <tr r="F1339" s="1"/>
      </tp>
      <tp t="s">
        <v>NORMAL</v>
        <stp/>
        <stp>##V3_BDPV12</stp>
        <stp>912827SW Govt</stp>
        <stp>MTY_TYP</stp>
        <stp>[TREASURY.xlsx]Sheet1!R1189C6</stp>
        <tr r="F1189" s="1"/>
      </tp>
      <tp t="s">
        <v>NORMAL</v>
        <stp/>
        <stp>##V3_BDPV12</stp>
        <stp>912827UZ Govt</stp>
        <stp>MTY_TYP</stp>
        <stp>[TREASURY.xlsx]Sheet1!R1409C6</stp>
        <tr r="F1409" s="1"/>
      </tp>
      <tp t="s">
        <v>NORMAL</v>
        <stp/>
        <stp>##V3_BDPV12</stp>
        <stp>912827QT Govt</stp>
        <stp>MTY_TYP</stp>
        <stp>[TREASURY.xlsx]Sheet1!R1059C6</stp>
        <tr r="F1059" s="1"/>
      </tp>
      <tp t="s">
        <v>NORMAL</v>
        <stp/>
        <stp>##V3_BDPV12</stp>
        <stp>912827TL Govt</stp>
        <stp>MTY_TYP</stp>
        <stp>[TREASURY.xlsx]Sheet1!R1509C6</stp>
        <tr r="F1509" s="1"/>
      </tp>
      <tp t="s">
        <v>NORMAL</v>
        <stp/>
        <stp>##V3_BDPV12</stp>
        <stp>912827QN Govt</stp>
        <stp>MTY_TYP</stp>
        <stp>[TREASURY.xlsx]Sheet1!R1179C6</stp>
        <tr r="F1179" s="1"/>
      </tp>
      <tp t="s">
        <v>NORMAL</v>
        <stp/>
        <stp>##V3_BDPV12</stp>
        <stp>912827TF Govt</stp>
        <stp>MTY_TYP</stp>
        <stp>[TREASURY.xlsx]Sheet1!R1399C6</stp>
        <tr r="F1399" s="1"/>
      </tp>
      <tp t="s">
        <v>NORMAL</v>
        <stp/>
        <stp>##V3_BDPV12</stp>
        <stp>912827RF Govt</stp>
        <stp>MTY_TYP</stp>
        <stp>[TREASURY.xlsx]Sheet1!R1579C6</stp>
        <tr r="F1579" s="1"/>
      </tp>
      <tp t="s">
        <v>NORMAL</v>
        <stp/>
        <stp>##V3_BDPV12</stp>
        <stp>912827VZ Govt</stp>
        <stp>MTY_TYP</stp>
        <stp>[TREASURY.xlsx]Sheet1!R1089C6</stp>
        <tr r="F1089" s="1"/>
      </tp>
      <tp t="s">
        <v>NORMAL</v>
        <stp/>
        <stp>##V3_BDPV12</stp>
        <stp>912827SK Govt</stp>
        <stp>MTY_TYP</stp>
        <stp>[TREASURY.xlsx]Sheet1!R1589C6</stp>
        <tr r="F1589" s="1"/>
      </tp>
      <tp t="s">
        <v>NORMAL</v>
        <stp/>
        <stp>##V3_BDPV12</stp>
        <stp>912827R4 Govt</stp>
        <stp>MTY_TYP</stp>
        <stp>[TREASURY.xlsx]Sheet1!R1499C6</stp>
        <tr r="F1499" s="1"/>
      </tp>
      <tp t="s">
        <v>NORMAL</v>
        <stp/>
        <stp>##V3_BDPV12</stp>
        <stp>912827UQ Govt</stp>
        <stp>MTY_TYP</stp>
        <stp>[TREASURY.xlsx]Sheet1!R1079C6</stp>
        <tr r="F1079" s="1"/>
      </tp>
      <tp t="s">
        <v>NORMAL</v>
        <stp/>
        <stp>##V3_BDPV12</stp>
        <stp>912827WV Govt</stp>
        <stp>MTY_TYP</stp>
        <stp>[TREASURY.xlsx]Sheet1!R1209C6</stp>
        <tr r="F1209" s="1"/>
      </tp>
      <tp t="s">
        <v>NORMAL</v>
        <stp/>
        <stp>##V3_BDPV12</stp>
        <stp>912827PD Govt</stp>
        <stp>MTY_TYP</stp>
        <stp>[TREASURY.xlsx]Sheet1!R1569C6</stp>
        <tr r="F1569" s="1"/>
      </tp>
      <tp t="s">
        <v>NORMAL</v>
        <stp/>
        <stp>##V3_BDPV12</stp>
        <stp>912827UG Govt</stp>
        <stp>MTY_TYP</stp>
        <stp>[TREASURY.xlsx]Sheet1!R1199C6</stp>
        <tr r="F1199" s="1"/>
      </tp>
      <tp t="s">
        <v>NORMAL</v>
        <stp/>
        <stp>##V3_BDPV12</stp>
        <stp>912827T3 Govt</stp>
        <stp>MTY_TYP</stp>
        <stp>[TREASURY.xlsx]Sheet1!R1069C6</stp>
        <tr r="F1069" s="1"/>
      </tp>
      <tp t="s">
        <v>#N/A Field Not Applicable</v>
        <stp/>
        <stp>##V3_BDPV12</stp>
        <stp>912827KR Govt</stp>
        <stp>IDX_RATIO</stp>
        <stp>[TREASURY.xlsx]Sheet1!R1161C20</stp>
        <tr r="T1161" s="1"/>
      </tp>
      <tp t="s">
        <v>912828EY2</v>
        <stp/>
        <stp>##V3_BDPV12</stp>
        <stp>912828EY Govt</stp>
        <stp>ID_CUSIP</stp>
        <stp>[TREASURY.xlsx]Sheet1!R1239C19</stp>
        <tr r="S1239" s="1"/>
      </tp>
      <tp t="s">
        <v>#N/A Field Not Applicable</v>
        <stp/>
        <stp>##V3_BDPV12</stp>
        <stp>912828SR Govt</stp>
        <stp>IDX_RATIO</stp>
        <stp>[TREASURY.xlsx]Sheet1!R1142C20</stp>
        <tr r="T1142" s="1"/>
      </tp>
      <tp t="s">
        <v>#N/A Field Not Applicable</v>
        <stp/>
        <stp>##V3_BDPV12</stp>
        <stp>912828UR Govt</stp>
        <stp>IDX_RATIO</stp>
        <stp>[TREASURY.xlsx]Sheet1!R1146C20</stp>
        <tr r="T1146" s="1"/>
      </tp>
      <tp t="s">
        <v>#N/A Field Not Applicable</v>
        <stp/>
        <stp>##V3_BDPV12</stp>
        <stp>912827TR Govt</stp>
        <stp>IDX_RATIO</stp>
        <stp>[TREASURY.xlsx]Sheet1!R1194C20</stp>
        <tr r="T1194" s="1"/>
      </tp>
      <tp t="s">
        <v>USD</v>
        <stp/>
        <stp>##V3_BDPV12</stp>
        <stp>912827SJ Govt</stp>
        <stp>CRNCY</stp>
        <stp>[TREASURY.xlsx]Sheet1!R1185C7</stp>
        <tr r="G1185" s="1"/>
      </tp>
      <tp t="s">
        <v>1/5/1987</v>
        <stp/>
        <stp>##V3_BDPV12</stp>
        <stp>912827UL Govt</stp>
        <stp>ISSUE_DT</stp>
        <stp>[TREASURY.xlsx]Sheet1!R1201C15</stp>
        <tr r="O1201" s="1"/>
      </tp>
      <tp t="s">
        <v>NORMAL</v>
        <stp/>
        <stp>##V3_BDPV12</stp>
        <stp>9128283X Govt</stp>
        <stp>MTY_TYP</stp>
        <stp>[TREASURY.xlsx]Sheet1!R1269C6</stp>
        <tr r="F1269" s="1"/>
      </tp>
      <tp t="s">
        <v>NORMAL</v>
        <stp/>
        <stp>##V3_BDPV12</stp>
        <stp>912828KC Govt</stp>
        <stp>MTY_TYP</stp>
        <stp>[TREASURY.xlsx]Sheet1!R1249C6</stp>
        <tr r="F1249" s="1"/>
      </tp>
      <tp t="s">
        <v>NORMAL</v>
        <stp/>
        <stp>##V3_BDPV12</stp>
        <stp>912828LC Govt</stp>
        <stp>MTY_TYP</stp>
        <stp>[TREASURY.xlsx]Sheet1!R1289C6</stp>
        <tr r="F1289" s="1"/>
      </tp>
      <tp t="s">
        <v>NORMAL</v>
        <stp/>
        <stp>##V3_BDPV12</stp>
        <stp>912828LM Govt</stp>
        <stp>MTY_TYP</stp>
        <stp>[TREASURY.xlsx]Sheet1!R1129C6</stp>
        <tr r="F1129" s="1"/>
      </tp>
      <tp t="s">
        <v>NORMAL</v>
        <stp/>
        <stp>##V3_BDPV12</stp>
        <stp>912828DX Govt</stp>
        <stp>MTY_TYP</stp>
        <stp>[TREASURY.xlsx]Sheet1!R1429C6</stp>
        <tr r="F1429" s="1"/>
      </tp>
      <tp t="s">
        <v>NORMAL</v>
        <stp/>
        <stp>##V3_BDPV12</stp>
        <stp>912828EY Govt</stp>
        <stp>MTY_TYP</stp>
        <stp>[TREASURY.xlsx]Sheet1!R1239C6</stp>
        <tr r="F1239" s="1"/>
      </tp>
      <tp t="s">
        <v>NORMAL</v>
        <stp/>
        <stp>##V3_BDPV12</stp>
        <stp>912828GK Govt</stp>
        <stp>MTY_TYP</stp>
        <stp>[TREASURY.xlsx]Sheet1!R1119C6</stp>
        <tr r="F1119" s="1"/>
      </tp>
      <tp t="s">
        <v>NORMAL</v>
        <stp/>
        <stp>##V3_BDPV12</stp>
        <stp>912828DE Govt</stp>
        <stp>MTY_TYP</stp>
        <stp>[TREASURY.xlsx]Sheet1!R1109C6</stp>
        <tr r="F1109" s="1"/>
      </tp>
      <tp t="s">
        <v>NORMAL</v>
        <stp/>
        <stp>##V3_BDPV12</stp>
        <stp>912828FZ Govt</stp>
        <stp>MTY_TYP</stp>
        <stp>[TREASURY.xlsx]Sheet1!R1279C6</stp>
        <tr r="F1279" s="1"/>
      </tp>
      <tp t="s">
        <v>NORMAL</v>
        <stp/>
        <stp>##V3_BDPV12</stp>
        <stp>912828PF Govt</stp>
        <stp>MTY_TYP</stp>
        <stp>[TREASURY.xlsx]Sheet1!R1299C6</stp>
        <tr r="F1299" s="1"/>
      </tp>
      <tp t="s">
        <v>NORMAL</v>
        <stp/>
        <stp>##V3_BDPV12</stp>
        <stp>912828P5 Govt</stp>
        <stp>MTY_TYP</stp>
        <stp>[TREASURY.xlsx]Sheet1!R1259C6</stp>
        <tr r="F1259" s="1"/>
      </tp>
      <tp t="s">
        <v>NORMAL</v>
        <stp/>
        <stp>##V3_BDPV12</stp>
        <stp>912828VW Govt</stp>
        <stp>MTY_TYP</stp>
        <stp>[TREASURY.xlsx]Sheet1!R1149C6</stp>
        <tr r="F1149" s="1"/>
      </tp>
      <tp t="s">
        <v>NORMAL</v>
        <stp/>
        <stp>##V3_BDPV12</stp>
        <stp>912828WC Govt</stp>
        <stp>MTY_TYP</stp>
        <stp>[TREASURY.xlsx]Sheet1!R1139C6</stp>
        <tr r="F1139" s="1"/>
      </tp>
      <tp t="s">
        <v>USD</v>
        <stp/>
        <stp>##V3_BDPV12</stp>
        <stp>912827TH Govt</stp>
        <stp>CRNCY</stp>
        <stp>[TREASURY.xlsx]Sheet1!R1192C7</stp>
        <tr r="G1192" s="1"/>
      </tp>
      <tp t="s">
        <v>USD</v>
        <stp/>
        <stp>##V3_BDPV12</stp>
        <stp>912827QH Govt</stp>
        <stp>CRNCY</stp>
        <stp>[TREASURY.xlsx]Sheet1!R1057C7</stp>
        <tr r="G1057" s="1"/>
      </tp>
      <tp t="s">
        <v>1/31/2013</v>
        <stp/>
        <stp>##V3_BDPV12</stp>
        <stp>912828UL Govt</stp>
        <stp>ISSUE_DT</stp>
        <stp>[TREASURY.xlsx]Sheet1!R1000C15</stp>
        <tr r="O1000" s="1"/>
      </tp>
      <tp t="s">
        <v>USD</v>
        <stp/>
        <stp>##V3_BDPV12</stp>
        <stp>912827RN Govt</stp>
        <stp>CRNCY</stp>
        <stp>[TREASURY.xlsx]Sheet1!R1064C7</stp>
        <tr r="G1064" s="1"/>
      </tp>
      <tp t="s">
        <v>1/31/2013</v>
        <stp/>
        <stp>##V3_BDPV12</stp>
        <stp>912828UK Govt</stp>
        <stp>ISSUE_DT</stp>
        <stp>[TREASURY.xlsx]Sheet1!R1136C15</stp>
        <tr r="O1136" s="1"/>
      </tp>
      <tp t="s">
        <v>2/17/1987</v>
        <stp/>
        <stp>##V3_BDPV12</stp>
        <stp>912827UN Govt</stp>
        <stp>ISSUE_DT</stp>
        <stp>[TREASURY.xlsx]Sheet1!R1406C15</stp>
        <tr r="O1406" s="1"/>
      </tp>
      <tp t="s">
        <v>12/31/1986</v>
        <stp/>
        <stp>##V3_BDPV12</stp>
        <stp>912827UK Govt</stp>
        <stp>ISSUE_DT</stp>
        <stp>[TREASURY.xlsx]Sheet1!R1200C15</stp>
        <tr r="O1200" s="1"/>
      </tp>
      <tp t="s">
        <v>2/2/1987</v>
        <stp/>
        <stp>##V3_BDPV12</stp>
        <stp>912827UM Govt</stp>
        <stp>ISSUE_DT</stp>
        <stp>[TREASURY.xlsx]Sheet1!R1405C15</stp>
        <tr r="O1405" s="1"/>
      </tp>
      <tp t="s">
        <v>912828ES5</v>
        <stp/>
        <stp>##V3_BDPV12</stp>
        <stp>912828ES Govt</stp>
        <stp>ID_CUSIP</stp>
        <stp>[TREASURY.xlsx]Sheet1!R1116C19</stp>
        <tr r="S1116" s="1"/>
      </tp>
      <tp t="s">
        <v>12/3/1986</v>
        <stp/>
        <stp>##V3_BDPV12</stp>
        <stp>912827UH Govt</stp>
        <stp>ISSUE_DT</stp>
        <stp>[TREASURY.xlsx]Sheet1!R1078C15</stp>
        <tr r="O1078" s="1"/>
      </tp>
      <tp t="s">
        <v>5/15/1995</v>
        <stp/>
        <stp>##V3_BDPV12</stp>
        <stp>912827T7 Govt</stp>
        <stp>ISSUE_DT</stp>
        <stp>[TREASURY.xlsx]Sheet1!R1070C15</stp>
        <tr r="O1070" s="1"/>
      </tp>
      <tp t="s">
        <v>5/1/1995</v>
        <stp/>
        <stp>##V3_BDPV12</stp>
        <stp>912827T6 Govt</stp>
        <stp>ISSUE_DT</stp>
        <stp>[TREASURY.xlsx]Sheet1!R1191C15</stp>
        <tr r="O1191" s="1"/>
      </tp>
      <tp t="s">
        <v>3/31/1995</v>
        <stp/>
        <stp>##V3_BDPV12</stp>
        <stp>912827T4 Govt</stp>
        <stp>ISSUE_DT</stp>
        <stp>[TREASURY.xlsx]Sheet1!R1397C15</stp>
        <tr r="O1397" s="1"/>
      </tp>
      <tp t="s">
        <v>USD</v>
        <stp/>
        <stp>##V3_BDPV12</stp>
        <stp>912827Q2 Govt</stp>
        <stp>CRNCY</stp>
        <stp>[TREASURY.xlsx]Sheet1!R1176C7</stp>
        <tr r="G1176" s="1"/>
      </tp>
      <tp t="s">
        <v>USD</v>
        <stp/>
        <stp>##V3_BDPV12</stp>
        <stp>912827V3 Govt</stp>
        <stp>CRNCY</stp>
        <stp>[TREASURY.xlsx]Sheet1!R1591C7</stp>
        <tr r="G1591" s="1"/>
      </tp>
      <tp t="s">
        <v>UNITED STATES</v>
        <stp/>
        <stp>##V3_BDPV12</stp>
        <stp>912828BU Govt</stp>
        <stp>COUNTRY_FULL_NAME</stp>
        <stp>[TREASURY.xlsx]Sheet1!R533C8</stp>
        <tr r="H533" s="1"/>
      </tp>
      <tp t="s">
        <v>UNITED STATES</v>
        <stp/>
        <stp>##V3_BDPV12</stp>
        <stp>912828BL Govt</stp>
        <stp>COUNTRY_FULL_NAME</stp>
        <stp>[TREASURY.xlsx]Sheet1!R513C8</stp>
        <tr r="H513" s="1"/>
      </tp>
      <tp t="s">
        <v>UNITED STATES</v>
        <stp/>
        <stp>##V3_BDPV12</stp>
        <stp>912828BM Govt</stp>
        <stp>COUNTRY_FULL_NAME</stp>
        <stp>[TREASURY.xlsx]Sheet1!R453C8</stp>
        <tr r="H453" s="1"/>
      </tp>
      <tp t="s">
        <v>UNITED STATES</v>
        <stp/>
        <stp>##V3_BDPV12</stp>
        <stp>912828CW Govt</stp>
        <stp>COUNTRY_FULL_NAME</stp>
        <stp>[TREASURY.xlsx]Sheet1!R603C8</stp>
        <tr r="H603" s="1"/>
      </tp>
      <tp t="s">
        <v>UNITED STATES</v>
        <stp/>
        <stp>##V3_BDPV12</stp>
        <stp>912828CJ Govt</stp>
        <stp>COUNTRY_FULL_NAME</stp>
        <stp>[TREASURY.xlsx]Sheet1!R393C8</stp>
        <tr r="H393" s="1"/>
      </tp>
      <tp t="s">
        <v>UNITED STATES</v>
        <stp/>
        <stp>##V3_BDPV12</stp>
        <stp>912828CM Govt</stp>
        <stp>COUNTRY_FULL_NAME</stp>
        <stp>[TREASURY.xlsx]Sheet1!R493C8</stp>
        <tr r="H493" s="1"/>
      </tp>
      <tp t="s">
        <v>3/31/1995</v>
        <stp/>
        <stp>##V3_BDPV12</stp>
        <stp>912827T3 Govt</stp>
        <stp>ISSUE_DT</stp>
        <stp>[TREASURY.xlsx]Sheet1!R1069C15</stp>
        <tr r="O1069" s="1"/>
      </tp>
      <tp t="s">
        <v>UNITED STATES</v>
        <stp/>
        <stp>##V3_BDPV12</stp>
        <stp>912828D6 Govt</stp>
        <stp>COUNTRY_FULL_NAME</stp>
        <stp>[TREASURY.xlsx]Sheet1!R613C8</stp>
        <tr r="H613" s="1"/>
      </tp>
      <tp t="s">
        <v>USD</v>
        <stp/>
        <stp>##V3_BDPV12</stp>
        <stp>912827P6 Govt</stp>
        <stp>CRNCY</stp>
        <stp>[TREASURY.xlsx]Sheet1!R1387C7</stp>
        <tr r="G1387" s="1"/>
      </tp>
      <tp t="s">
        <v>UNITED STATES</v>
        <stp/>
        <stp>##V3_BDPV12</stp>
        <stp>912828DW Govt</stp>
        <stp>COUNTRY_FULL_NAME</stp>
        <stp>[TREASURY.xlsx]Sheet1!R793C8</stp>
        <tr r="H793" s="1"/>
      </tp>
      <tp t="s">
        <v>UNITED STATES</v>
        <stp/>
        <stp>##V3_BDPV12</stp>
        <stp>912828DN Govt</stp>
        <stp>COUNTRY_FULL_NAME</stp>
        <stp>[TREASURY.xlsx]Sheet1!R963C8</stp>
        <tr r="H963" s="1"/>
      </tp>
      <tp t="s">
        <v>USD</v>
        <stp/>
        <stp>##V3_BDPV12</stp>
        <stp>912827S7 Govt</stp>
        <stp>CRNCY</stp>
        <stp>[TREASURY.xlsx]Sheet1!R1504C7</stp>
        <tr r="G1504" s="1"/>
      </tp>
      <tp t="s">
        <v>UNITED STATES</v>
        <stp/>
        <stp>##V3_BDPV12</stp>
        <stp>912828FH Govt</stp>
        <stp>COUNTRY_FULL_NAME</stp>
        <stp>[TREASURY.xlsx]Sheet1!R843C8</stp>
        <tr r="H843" s="1"/>
      </tp>
      <tp t="s">
        <v>USD</v>
        <stp/>
        <stp>##V3_BDPV12</stp>
        <stp>912827P5 Govt</stp>
        <stp>CRNCY</stp>
        <stp>[TREASURY.xlsx]Sheet1!R1337C7</stp>
        <tr r="G1337" s="1"/>
      </tp>
      <tp t="s">
        <v>UNITED STATES</v>
        <stp/>
        <stp>##V3_BDPV12</stp>
        <stp>912828GP Govt</stp>
        <stp>COUNTRY_FULL_NAME</stp>
        <stp>[TREASURY.xlsx]Sheet1!R803C8</stp>
        <tr r="H803" s="1"/>
      </tp>
      <tp t="s">
        <v>UNITED STATES</v>
        <stp/>
        <stp>##V3_BDPV12</stp>
        <stp>912828HM Govt</stp>
        <stp>COUNTRY_FULL_NAME</stp>
        <stp>[TREASURY.xlsx]Sheet1!R573C8</stp>
        <tr r="H573" s="1"/>
      </tp>
      <tp t="s">
        <v>UNITED STATES</v>
        <stp/>
        <stp>##V3_BDPV12</stp>
        <stp>912828J5 Govt</stp>
        <stp>COUNTRY_FULL_NAME</stp>
        <stp>[TREASURY.xlsx]Sheet1!R403C8</stp>
        <tr r="H403" s="1"/>
      </tp>
      <tp t="s">
        <v>UNITED STATES</v>
        <stp/>
        <stp>##V3_BDPV12</stp>
        <stp>912828JW Govt</stp>
        <stp>COUNTRY_FULL_NAME</stp>
        <stp>[TREASURY.xlsx]Sheet1!R643C8</stp>
        <tr r="H643" s="1"/>
      </tp>
      <tp t="s">
        <v>UNITED STATES</v>
        <stp/>
        <stp>##V3_BDPV12</stp>
        <stp>912828JC Govt</stp>
        <stp>COUNTRY_FULL_NAME</stp>
        <stp>[TREASURY.xlsx]Sheet1!R853C8</stp>
        <tr r="H853" s="1"/>
      </tp>
      <tp t="s">
        <v>5/31/1995</v>
        <stp/>
        <stp>##V3_BDPV12</stp>
        <stp>912827T9 Govt</stp>
        <stp>ISSUE_DT</stp>
        <stp>[TREASURY.xlsx]Sheet1!R1505C15</stp>
        <tr r="O1505" s="1"/>
      </tp>
      <tp t="s">
        <v>UNITED STATES</v>
        <stp/>
        <stp>##V3_BDPV12</stp>
        <stp>912828KU Govt</stp>
        <stp>COUNTRY_FULL_NAME</stp>
        <stp>[TREASURY.xlsx]Sheet1!R813C8</stp>
        <tr r="H813" s="1"/>
      </tp>
      <tp t="s">
        <v>UNITED STATES</v>
        <stp/>
        <stp>##V3_BDPV12</stp>
        <stp>912828KT Govt</stp>
        <stp>COUNTRY_FULL_NAME</stp>
        <stp>[TREASURY.xlsx]Sheet1!R973C8</stp>
        <tr r="H973" s="1"/>
      </tp>
      <tp t="s">
        <v>UNITED STATES</v>
        <stp/>
        <stp>##V3_BDPV12</stp>
        <stp>912828KQ Govt</stp>
        <stp>COUNTRY_FULL_NAME</stp>
        <stp>[TREASURY.xlsx]Sheet1!R583C8</stp>
        <tr r="H583" s="1"/>
      </tp>
      <tp t="s">
        <v>10/31/2016</v>
        <stp/>
        <stp>##V3_BDPV12</stp>
        <stp>912828T8 Govt</stp>
        <stp>ISSUE_DT</stp>
        <stp>[TREASURY.xlsx]Sheet1!R1304C15</stp>
        <tr r="O1304" s="1"/>
      </tp>
      <tp t="s">
        <v>UNITED STATES</v>
        <stp/>
        <stp>##V3_BDPV12</stp>
        <stp>912828L2 Govt</stp>
        <stp>COUNTRY_FULL_NAME</stp>
        <stp>[TREASURY.xlsx]Sheet1!R173C8</stp>
        <tr r="H173" s="1"/>
      </tp>
      <tp t="s">
        <v>UNITED STATES</v>
        <stp/>
        <stp>##V3_BDPV12</stp>
        <stp>912828LY Govt</stp>
        <stp>COUNTRY_FULL_NAME</stp>
        <stp>[TREASURY.xlsx]Sheet1!R353C8</stp>
        <tr r="H353" s="1"/>
      </tp>
      <tp t="s">
        <v>UNITED STATES</v>
        <stp/>
        <stp>##V3_BDPV12</stp>
        <stp>912828M7 Govt</stp>
        <stp>COUNTRY_FULL_NAME</stp>
        <stp>[TREASURY.xlsx]Sheet1!R443C8</stp>
        <tr r="H443" s="1"/>
      </tp>
      <tp t="s">
        <v>UNITED STATES</v>
        <stp/>
        <stp>##V3_BDPV12</stp>
        <stp>912828MR Govt</stp>
        <stp>COUNTRY_FULL_NAME</stp>
        <stp>[TREASURY.xlsx]Sheet1!R823C8</stp>
        <tr r="H823" s="1"/>
      </tp>
      <tp t="s">
        <v>UNITED STATES</v>
        <stp/>
        <stp>##V3_BDPV12</stp>
        <stp>912828MQ Govt</stp>
        <stp>COUNTRY_FULL_NAME</stp>
        <stp>[TREASURY.xlsx]Sheet1!R483C8</stp>
        <tr r="H483" s="1"/>
      </tp>
      <tp t="s">
        <v>UNITED STATES</v>
        <stp/>
        <stp>##V3_BDPV12</stp>
        <stp>912828N8 Govt</stp>
        <stp>COUNTRY_FULL_NAME</stp>
        <stp>[TREASURY.xlsx]Sheet1!R343C8</stp>
        <tr r="H343" s="1"/>
      </tp>
      <tp t="s">
        <v>UNITED STATES</v>
        <stp/>
        <stp>##V3_BDPV12</stp>
        <stp>912828N4 Govt</stp>
        <stp>COUNTRY_FULL_NAME</stp>
        <stp>[TREASURY.xlsx]Sheet1!R463C8</stp>
        <tr r="H463" s="1"/>
      </tp>
      <tp t="s">
        <v>UNITED STATES</v>
        <stp/>
        <stp>##V3_BDPV12</stp>
        <stp>912828NL Govt</stp>
        <stp>COUNTRY_FULL_NAME</stp>
        <stp>[TREASURY.xlsx]Sheet1!R863C8</stp>
        <tr r="H863" s="1"/>
      </tp>
      <tp t="s">
        <v>5/15/1995</v>
        <stp/>
        <stp>##V3_BDPV12</stp>
        <stp>912827T8 Govt</stp>
        <stp>ISSUE_DT</stp>
        <stp>[TREASURY.xlsx]Sheet1!R1071C15</stp>
        <tr r="O1071" s="1"/>
      </tp>
      <tp t="s">
        <v>912827D82</v>
        <stp/>
        <stp>##V3_BDPV12</stp>
        <stp>912827D8 Govt</stp>
        <stp>ID_CUSIP</stp>
        <stp>[TREASURY.xlsx]Sheet1!R1485C19</stp>
        <tr r="S1485" s="1"/>
      </tp>
      <tp t="s">
        <v>UNITED STATES</v>
        <stp/>
        <stp>##V3_BDPV12</stp>
        <stp>912828PM Govt</stp>
        <stp>COUNTRY_FULL_NAME</stp>
        <stp>[TREASURY.xlsx]Sheet1!R593C8</stp>
        <tr r="H593" s="1"/>
      </tp>
      <tp t="s">
        <v>UNITED STATES</v>
        <stp/>
        <stp>##V3_BDPV12</stp>
        <stp>912828PL Govt</stp>
        <stp>COUNTRY_FULL_NAME</stp>
        <stp>[TREASURY.xlsx]Sheet1!R983C8</stp>
        <tr r="H983" s="1"/>
      </tp>
      <tp t="s">
        <v>UNITED STATES</v>
        <stp/>
        <stp>##V3_BDPV12</stp>
        <stp>912828Q3 Govt</stp>
        <stp>COUNTRY_FULL_NAME</stp>
        <stp>[TREASURY.xlsx]Sheet1!R413C8</stp>
        <tr r="H413" s="1"/>
      </tp>
      <tp t="s">
        <v>UNITED STATES</v>
        <stp/>
        <stp>##V3_BDPV12</stp>
        <stp>912828Q4 Govt</stp>
        <stp>COUNTRY_FULL_NAME</stp>
        <stp>[TREASURY.xlsx]Sheet1!R423C8</stp>
        <tr r="H423" s="1"/>
      </tp>
      <tp t="s">
        <v>UNITED STATES</v>
        <stp/>
        <stp>##V3_BDPV12</stp>
        <stp>912828R7 Govt</stp>
        <stp>COUNTRY_FULL_NAME</stp>
        <stp>[TREASURY.xlsx]Sheet1!R383C8</stp>
        <tr r="H383" s="1"/>
      </tp>
      <tp t="s">
        <v>UNITED STATES</v>
        <stp/>
        <stp>##V3_BDPV12</stp>
        <stp>912828RM Govt</stp>
        <stp>COUNTRY_FULL_NAME</stp>
        <stp>[TREASURY.xlsx]Sheet1!R563C8</stp>
        <tr r="H563" s="1"/>
      </tp>
      <tp t="s">
        <v>UNITED STATES</v>
        <stp/>
        <stp>##V3_BDPV12</stp>
        <stp>912828RC Govt</stp>
        <stp>COUNTRY_FULL_NAME</stp>
        <stp>[TREASURY.xlsx]Sheet1!R333C8</stp>
        <tr r="H333" s="1"/>
      </tp>
      <tp t="s">
        <v>UNITED STATES</v>
        <stp/>
        <stp>##V3_BDPV12</stp>
        <stp>912828RJ Govt</stp>
        <stp>COUNTRY_FULL_NAME</stp>
        <stp>[TREASURY.xlsx]Sheet1!R993C8</stp>
        <tr r="H993" s="1"/>
      </tp>
      <tp t="s">
        <v>UNITED STATES</v>
        <stp/>
        <stp>##V3_BDPV12</stp>
        <stp>912828SW Govt</stp>
        <stp>COUNTRY_FULL_NAME</stp>
        <stp>[TREASURY.xlsx]Sheet1!R653C8</stp>
        <tr r="H653" s="1"/>
      </tp>
      <tp t="s">
        <v>UNITED STATES</v>
        <stp/>
        <stp>##V3_BDPV12</stp>
        <stp>912828SD Govt</stp>
        <stp>COUNTRY_FULL_NAME</stp>
        <stp>[TREASURY.xlsx]Sheet1!R623C8</stp>
        <tr r="H623" s="1"/>
      </tp>
      <tp t="s">
        <v>UNITED STATES</v>
        <stp/>
        <stp>##V3_BDPV12</stp>
        <stp>912828TM Govt</stp>
        <stp>COUNTRY_FULL_NAME</stp>
        <stp>[TREASURY.xlsx]Sheet1!R873C8</stp>
        <tr r="H873" s="1"/>
      </tp>
      <tp t="s">
        <v>UNITED STATES</v>
        <stp/>
        <stp>##V3_BDPV12</stp>
        <stp>912828U8 Govt</stp>
        <stp>COUNTRY_FULL_NAME</stp>
        <stp>[TREASURY.xlsx]Sheet1!R213C8</stp>
        <tr r="H213" s="1"/>
      </tp>
      <tp t="s">
        <v>UNITED STATES</v>
        <stp/>
        <stp>##V3_BDPV12</stp>
        <stp>912828UV Govt</stp>
        <stp>COUNTRY_FULL_NAME</stp>
        <stp>[TREASURY.xlsx]Sheet1!R693C8</stp>
        <tr r="H693" s="1"/>
      </tp>
      <tp t="s">
        <v>UNITED STATES</v>
        <stp/>
        <stp>##V3_BDPV12</stp>
        <stp>912828VE Govt</stp>
        <stp>COUNTRY_FULL_NAME</stp>
        <stp>[TREASURY.xlsx]Sheet1!R673C8</stp>
        <tr r="H673" s="1"/>
      </tp>
      <tp t="s">
        <v>UNITED STATES</v>
        <stp/>
        <stp>##V3_BDPV12</stp>
        <stp>912828W9 Govt</stp>
        <stp>COUNTRY_FULL_NAME</stp>
        <stp>[TREASURY.xlsx]Sheet1!R363C8</stp>
        <tr r="H363" s="1"/>
      </tp>
      <tp t="s">
        <v>UNITED STATES</v>
        <stp/>
        <stp>##V3_BDPV12</stp>
        <stp>912828WS Govt</stp>
        <stp>COUNTRY_FULL_NAME</stp>
        <stp>[TREASURY.xlsx]Sheet1!R543C8</stp>
        <tr r="H543" s="1"/>
      </tp>
      <tp t="s">
        <v>UNITED STATES</v>
        <stp/>
        <stp>##V3_BDPV12</stp>
        <stp>912828XY Govt</stp>
        <stp>COUNTRY_FULL_NAME</stp>
        <stp>[TREASURY.xlsx]Sheet1!R473C8</stp>
        <tr r="H473" s="1"/>
      </tp>
      <tp t="s">
        <v>UNITED STATES</v>
        <stp/>
        <stp>##V3_BDPV12</stp>
        <stp>912828XV Govt</stp>
        <stp>COUNTRY_FULL_NAME</stp>
        <stp>[TREASURY.xlsx]Sheet1!R883C8</stp>
        <tr r="H883" s="1"/>
      </tp>
      <tp t="s">
        <v>UNITED STATES</v>
        <stp/>
        <stp>##V3_BDPV12</stp>
        <stp>912828XR Govt</stp>
        <stp>COUNTRY_FULL_NAME</stp>
        <stp>[TREASURY.xlsx]Sheet1!R203C8</stp>
        <tr r="H203" s="1"/>
      </tp>
      <tp t="s">
        <v>UNITED STATES</v>
        <stp/>
        <stp>##V3_BDPV12</stp>
        <stp>912828YM Govt</stp>
        <stp>COUNTRY_FULL_NAME</stp>
        <stp>[TREASURY.xlsx]Sheet1!R113C8</stp>
        <tr r="H113" s="1"/>
      </tp>
      <tp t="s">
        <v>UNITED STATES</v>
        <stp/>
        <stp>##V3_BDPV12</stp>
        <stp>912828YE Govt</stp>
        <stp>COUNTRY_FULL_NAME</stp>
        <stp>[TREASURY.xlsx]Sheet1!R143C8</stp>
        <tr r="H143" s="1"/>
      </tp>
      <tp t="s">
        <v>UNITED STATES</v>
        <stp/>
        <stp>##V3_BDPV12</stp>
        <stp>912828YA Govt</stp>
        <stp>COUNTRY_FULL_NAME</stp>
        <stp>[TREASURY.xlsx]Sheet1!R183C8</stp>
        <tr r="H183" s="1"/>
      </tp>
      <tp t="s">
        <v>UNITED STATES</v>
        <stp/>
        <stp>##V3_BDPV12</stp>
        <stp>912828ZP Govt</stp>
        <stp>COUNTRY_FULL_NAME</stp>
        <stp>[TREASURY.xlsx]Sheet1!R153C8</stp>
        <tr r="H153" s="1"/>
      </tp>
      <tp t="s">
        <v>912827D33</v>
        <stp/>
        <stp>##V3_BDPV12</stp>
        <stp>912827D3 Govt</stp>
        <stp>ID_CUSIP</stp>
        <stp>[TREASURY.xlsx]Sheet1!R1483C19</stp>
        <tr r="S1483" s="1"/>
      </tp>
      <tp t="s">
        <v>912827D58</v>
        <stp/>
        <stp>##V3_BDPV12</stp>
        <stp>912827D5 Govt</stp>
        <stp>ID_CUSIP</stp>
        <stp>[TREASURY.xlsx]Sheet1!R1484C19</stp>
        <tr r="S1484" s="1"/>
      </tp>
      <tp t="s">
        <v>912827D41</v>
        <stp/>
        <stp>##V3_BDPV12</stp>
        <stp>912827D4 Govt</stp>
        <stp>ID_CUSIP</stp>
        <stp>[TREASURY.xlsx]Sheet1!R1557C19</stp>
        <tr r="S1557" s="1"/>
      </tp>
      <tp t="s">
        <v>912827D25</v>
        <stp/>
        <stp>##V3_BDPV12</stp>
        <stp>912827D2 Govt</stp>
        <stp>ID_CUSIP</stp>
        <stp>[TREASURY.xlsx]Sheet1!R1033C19</stp>
        <tr r="S1033" s="1"/>
      </tp>
      <tp t="s">
        <v>5/15/1987</v>
        <stp/>
        <stp>##V3_BDPV12</stp>
        <stp>912827QT Govt</stp>
        <stp>MATURITY</stp>
        <stp>[TREASURY.xlsx]Sheet1!R1059C5</stp>
        <tr r="E1059" s="1"/>
      </tp>
      <tp t="s">
        <v>5/15/1989</v>
        <stp/>
        <stp>##V3_BDPV12</stp>
        <stp>912827QN Govt</stp>
        <stp>MATURITY</stp>
        <stp>[TREASURY.xlsx]Sheet1!R1179C5</stp>
        <tr r="E1179" s="1"/>
      </tp>
      <tp t="s">
        <v>5/31/1996</v>
        <stp/>
        <stp>##V3_BDPV12</stp>
        <stp>912827P9 Govt</stp>
        <stp>MATURITY</stp>
        <stp>[TREASURY.xlsx]Sheet1!R1339C5</stp>
        <tr r="E1339" s="1"/>
      </tp>
      <tp t="s">
        <v>9/30/2017</v>
        <stp/>
        <stp>##V3_BDPV12</stp>
        <stp>912828PA Govt</stp>
        <stp>MATURITY</stp>
        <stp>[TREASURY.xlsx]Sheet1!R1296C5</stp>
        <tr r="E1296" s="1"/>
      </tp>
      <tp t="s">
        <v>2/15/1993</v>
        <stp/>
        <stp>##V3_BDPV12</stp>
        <stp>912827PD Govt</stp>
        <stp>MATURITY</stp>
        <stp>[TREASURY.xlsx]Sheet1!R1569C5</stp>
        <tr r="E1569" s="1"/>
      </tp>
      <tp t="s">
        <v>4/15/1990</v>
        <stp/>
        <stp>##V3_BDPV12</stp>
        <stp>912827PJ Govt</stp>
        <stp>MATURITY</stp>
        <stp>[TREASURY.xlsx]Sheet1!R1389C5</stp>
        <tr r="E1389" s="1"/>
      </tp>
      <tp t="s">
        <v>11/30/1987</v>
        <stp/>
        <stp>##V3_BDPV12</stp>
        <stp>912827SW Govt</stp>
        <stp>MATURITY</stp>
        <stp>[TREASURY.xlsx]Sheet1!R1189C5</stp>
        <tr r="E1189" s="1"/>
      </tp>
      <tp t="s">
        <v>6/30/1989</v>
        <stp/>
        <stp>##V3_BDPV12</stp>
        <stp>912827SK Govt</stp>
        <stp>MATURITY</stp>
        <stp>[TREASURY.xlsx]Sheet1!R1589C5</stp>
        <tr r="E1589" s="1"/>
      </tp>
      <tp t="s">
        <v>9/30/1999</v>
        <stp/>
        <stp>##V3_BDPV12</stp>
        <stp>912827R4 Govt</stp>
        <stp>MATURITY</stp>
        <stp>[TREASURY.xlsx]Sheet1!R1499C5</stp>
        <tr r="E1499" s="1"/>
      </tp>
      <tp t="s">
        <v>9/30/1986</v>
        <stp/>
        <stp>##V3_BDPV12</stp>
        <stp>912827RF Govt</stp>
        <stp>MATURITY</stp>
        <stp>[TREASURY.xlsx]Sheet1!R1579C5</stp>
        <tr r="E1579" s="1"/>
      </tp>
      <tp t="s">
        <v>9/30/2013</v>
        <stp/>
        <stp>##V3_BDPV12</stp>
        <stp>912828RK Govt</stp>
        <stp>MATURITY</stp>
        <stp>[TREASURY.xlsx]Sheet1!R1266C5</stp>
        <tr r="E1266" s="1"/>
      </tp>
      <tp t="s">
        <v>2/28/2018</v>
        <stp/>
        <stp>##V3_BDPV12</stp>
        <stp>912828UR Govt</stp>
        <stp>MATURITY</stp>
        <stp>[TREASURY.xlsx]Sheet1!R1146C5</stp>
        <tr r="E1146" s="1"/>
      </tp>
      <tp t="s">
        <v>5/15/1992</v>
        <stp/>
        <stp>##V3_BDPV12</stp>
        <stp>912827UQ Govt</stp>
        <stp>MATURITY</stp>
        <stp>[TREASURY.xlsx]Sheet1!R1079C5</stp>
        <tr r="E1079" s="1"/>
      </tp>
      <tp t="s">
        <v>6/30/1989</v>
        <stp/>
        <stp>##V3_BDPV12</stp>
        <stp>912827UZ Govt</stp>
        <stp>MATURITY</stp>
        <stp>[TREASURY.xlsx]Sheet1!R1409C5</stp>
        <tr r="E1409" s="1"/>
      </tp>
      <tp t="s">
        <v>11/30/1988</v>
        <stp/>
        <stp>##V3_BDPV12</stp>
        <stp>912827UG Govt</stp>
        <stp>MATURITY</stp>
        <stp>[TREASURY.xlsx]Sheet1!R1199C5</stp>
        <tr r="E1199" s="1"/>
      </tp>
      <tp t="s">
        <v>1/31/2015</v>
        <stp/>
        <stp>##V3_BDPV12</stp>
        <stp>912828UK Govt</stp>
        <stp>MATURITY</stp>
        <stp>[TREASURY.xlsx]Sheet1!R1136C5</stp>
        <tr r="E1136" s="1"/>
      </tp>
      <tp t="s">
        <v>3/31/1997</v>
        <stp/>
        <stp>##V3_BDPV12</stp>
        <stp>912827T3 Govt</stp>
        <stp>MATURITY</stp>
        <stp>[TREASURY.xlsx]Sheet1!R1069C5</stp>
        <tr r="E1069" s="1"/>
      </tp>
      <tp t="s">
        <v>2/15/1996</v>
        <stp/>
        <stp>##V3_BDPV12</stp>
        <stp>912827TF Govt</stp>
        <stp>MATURITY</stp>
        <stp>[TREASURY.xlsx]Sheet1!R1399C5</stp>
        <tr r="E1399" s="1"/>
      </tp>
      <tp t="s">
        <v>3/31/1990</v>
        <stp/>
        <stp>##V3_BDPV12</stp>
        <stp>912827TL Govt</stp>
        <stp>MATURITY</stp>
        <stp>[TREASURY.xlsx]Sheet1!R1509C5</stp>
        <tr r="E1509" s="1"/>
      </tp>
      <tp t="s">
        <v>T</v>
        <stp/>
        <stp>##V3_BDPV12</stp>
        <stp>912828Z8 Govt</stp>
        <stp>TICKER</stp>
        <stp>[TREASURY.xlsx]Sheet1!R236C2</stp>
        <tr r="B236" s="1"/>
      </tp>
      <tp t="s">
        <v>11/15/1991</v>
        <stp/>
        <stp>##V3_BDPV12</stp>
        <stp>912827WV Govt</stp>
        <stp>MATURITY</stp>
        <stp>[TREASURY.xlsx]Sheet1!R1209C5</stp>
        <tr r="E1209" s="1"/>
      </tp>
      <tp t="s">
        <v>8/31/1990</v>
        <stp/>
        <stp>##V3_BDPV12</stp>
        <stp>912827WP Govt</stp>
        <stp>MATURITY</stp>
        <stp>[TREASURY.xlsx]Sheet1!R1419C5</stp>
        <tr r="E1419" s="1"/>
      </tp>
      <tp t="s">
        <v>6/30/2016</v>
        <stp/>
        <stp>##V3_BDPV12</stp>
        <stp>912828WQ Govt</stp>
        <stp>MATURITY</stp>
        <stp>[TREASURY.xlsx]Sheet1!R1006C5</stp>
        <tr r="E1006" s="1"/>
      </tp>
      <tp t="s">
        <v>5/15/2017</v>
        <stp/>
        <stp>##V3_BDPV12</stp>
        <stp>912828WH Govt</stp>
        <stp>MATURITY</stp>
        <stp>[TREASURY.xlsx]Sheet1!R1306C5</stp>
        <tr r="E1306" s="1"/>
      </tp>
      <tp t="s">
        <v>3/31/1990</v>
        <stp/>
        <stp>##V3_BDPV12</stp>
        <stp>912827VZ Govt</stp>
        <stp>MATURITY</stp>
        <stp>[TREASURY.xlsx]Sheet1!R1089C5</stp>
        <tr r="E1089" s="1"/>
      </tp>
      <tp t="s">
        <v>7/31/1998</v>
        <stp/>
        <stp>##V3_BDPV12</stp>
        <stp>912827Y6 Govt</stp>
        <stp>MATURITY</stp>
        <stp>[TREASURY.xlsx]Sheet1!R1099C5</stp>
        <tr r="E1099" s="1"/>
      </tp>
      <tp t="s">
        <v>7/31/2001</v>
        <stp/>
        <stp>##V3_BDPV12</stp>
        <stp>912827Y7 Govt</stp>
        <stp>MATURITY</stp>
        <stp>[TREASURY.xlsx]Sheet1!R1219C5</stp>
        <tr r="E1219" s="1"/>
      </tp>
      <tp t="s">
        <v>T</v>
        <stp/>
        <stp>##V3_BDPV12</stp>
        <stp>912828Y7 Govt</stp>
        <stp>TICKER</stp>
        <stp>[TREASURY.xlsx]Sheet1!R255C2</stp>
        <tr r="B255" s="1"/>
      </tp>
      <tp t="s">
        <v>8/15/1992</v>
        <stp/>
        <stp>##V3_BDPV12</stp>
        <stp>912827XV Govt</stp>
        <stp>MATURITY</stp>
        <stp>[TREASURY.xlsx]Sheet1!R1599C5</stp>
        <tr r="E1599" s="1"/>
      </tp>
      <tp t="s">
        <v>T</v>
        <stp/>
        <stp>##V3_BDPV12</stp>
        <stp>912828X4 Govt</stp>
        <stp>TICKER</stp>
        <stp>[TREASURY.xlsx]Sheet1!R224C2</stp>
        <tr r="B224" s="1"/>
      </tp>
      <tp t="s">
        <v>9/30/2001</v>
        <stp/>
        <stp>##V3_BDPV12</stp>
        <stp>912827Z5 Govt</stp>
        <stp>MATURITY</stp>
        <stp>[TREASURY.xlsx]Sheet1!R1609C5</stp>
        <tr r="E1609" s="1"/>
      </tp>
      <tp t="s">
        <v>FIXED</v>
        <stp/>
        <stp>##V3_BDPV12</stp>
        <stp>912828Z9 Govt</stp>
        <stp>CPN_TYP</stp>
        <stp>[TREASURY.xlsx]Sheet1!R25C11</stp>
        <tr r="K25" s="1"/>
      </tp>
      <tp t="s">
        <v>T</v>
        <stp/>
        <stp>##V3_BDPV12</stp>
        <stp>912827X5 Govt</stp>
        <stp>TICKER</stp>
        <stp>[TREASURY.xlsx]Sheet1!R934C2</stp>
        <tr r="B934" s="1"/>
      </tp>
      <tp t="s">
        <v>8/31/1992</v>
        <stp/>
        <stp>##V3_BDPV12</stp>
        <stp>912827ZF Govt</stp>
        <stp>MATURITY</stp>
        <stp>[TREASURY.xlsx]Sheet1!R1229C5</stp>
        <tr r="E1229" s="1"/>
      </tp>
      <tp t="s">
        <v>T</v>
        <stp/>
        <stp>##V3_BDPV12</stp>
        <stp>912828X2 Govt</stp>
        <stp>TICKER</stp>
        <stp>[TREASURY.xlsx]Sheet1!R624C2</stp>
        <tr r="B624" s="1"/>
      </tp>
      <tp t="s">
        <v>3/31/1993</v>
        <stp/>
        <stp>##V3_BDPV12</stp>
        <stp>912827A2 Govt</stp>
        <stp>MATURITY</stp>
        <stp>[TREASURY.xlsx]Sheet1!R1029C5</stp>
        <tr r="E1029" s="1"/>
      </tp>
      <tp t="s">
        <v>10/31/2004</v>
        <stp/>
        <stp>##V3_BDPV12</stp>
        <stp>912828AM Govt</stp>
        <stp>MATURITY</stp>
        <stp>[TREASURY.xlsx]Sheet1!R1616C5</stp>
        <tr r="E1616" s="1"/>
      </tp>
      <tp t="s">
        <v>8/31/1993</v>
        <stp/>
        <stp>##V3_BDPV12</stp>
        <stp>912827C2 Govt</stp>
        <stp>MATURITY</stp>
        <stp>[TREASURY.xlsx]Sheet1!R1479C5</stp>
        <tr r="E1479" s="1"/>
      </tp>
      <tp t="s">
        <v>7/31/2006</v>
        <stp/>
        <stp>##V3_BDPV12</stp>
        <stp>912828CQ Govt</stp>
        <stp>MATURITY</stp>
        <stp>[TREASURY.xlsx]Sheet1!R1236C5</stp>
        <tr r="E1236" s="1"/>
      </tp>
      <tp t="s">
        <v>4/15/2009</v>
        <stp/>
        <stp>##V3_BDPV12</stp>
        <stp>912828CE Govt</stp>
        <stp>MATURITY</stp>
        <stp>[TREASURY.xlsx]Sheet1!R1426C5</stp>
        <tr r="E1426" s="1"/>
      </tp>
      <tp t="s">
        <v>6/30/1993</v>
        <stp/>
        <stp>##V3_BDPV12</stp>
        <stp>912827B3 Govt</stp>
        <stp>MATURITY</stp>
        <stp>[TREASURY.xlsx]Sheet1!R1549C5</stp>
        <tr r="E1549" s="1"/>
      </tp>
      <tp t="s">
        <v>1/15/2011</v>
        <stp/>
        <stp>##V3_BDPV12</stp>
        <stp>912828ES Govt</stp>
        <stp>MATURITY</stp>
        <stp>[TREASURY.xlsx]Sheet1!R1116C5</stp>
        <tr r="E1116" s="1"/>
      </tp>
      <tp t="s">
        <v>6/30/2012</v>
        <stp/>
        <stp>##V3_BDPV12</stp>
        <stp>912828GW Govt</stp>
        <stp>MATURITY</stp>
        <stp>[TREASURY.xlsx]Sheet1!R1436C5</stp>
        <tr r="E1436" s="1"/>
      </tp>
      <tp t="s">
        <v>5/15/2002</v>
        <stp/>
        <stp>##V3_BDPV12</stp>
        <stp>912827F4 Govt</stp>
        <stp>MATURITY</stp>
        <stp>[TREASURY.xlsx]Sheet1!R1559C5</stp>
        <tr r="E1559" s="1"/>
      </tp>
      <tp t="s">
        <v>8/15/2009</v>
        <stp/>
        <stp>##V3_BDPV12</stp>
        <stp>912828FP Govt</stp>
        <stp>MATURITY</stp>
        <stp>[TREASURY.xlsx]Sheet1!R1276C5</stp>
        <tr r="E1276" s="1"/>
      </tp>
      <tp t="s">
        <v>3/31/1995</v>
        <stp/>
        <stp>##V3_BDPV12</stp>
        <stp>912827K2 Govt</stp>
        <stp>MATURITY</stp>
        <stp>[TREASURY.xlsx]Sheet1!R1489C5</stp>
        <tr r="E1489" s="1"/>
      </tp>
      <tp t="s">
        <v>4/30/1995</v>
        <stp/>
        <stp>##V3_BDPV12</stp>
        <stp>912827K5 Govt</stp>
        <stp>MATURITY</stp>
        <stp>[TREASURY.xlsx]Sheet1!R1159C5</stp>
        <tr r="E1159" s="1"/>
      </tp>
      <tp t="s">
        <v>3/31/1998</v>
        <stp/>
        <stp>##V3_BDPV12</stp>
        <stp>912827K3 Govt</stp>
        <stp>MATURITY</stp>
        <stp>[TREASURY.xlsx]Sheet1!R1039C5</stp>
        <tr r="E1039" s="1"/>
      </tp>
      <tp t="s">
        <v>6/15/2012</v>
        <stp/>
        <stp>##V3_BDPV12</stp>
        <stp>912828KX Govt</stp>
        <stp>MATURITY</stp>
        <stp>[TREASURY.xlsx]Sheet1!R1126C5</stp>
        <tr r="E1126" s="1"/>
      </tp>
      <tp t="s">
        <v>2/28/2017</v>
        <stp/>
        <stp>##V3_BDPV12</stp>
        <stp>912828J3 Govt</stp>
        <stp>MATURITY</stp>
        <stp>[TREASURY.xlsx]Sheet1!R1246C5</stp>
        <tr r="E1246" s="1"/>
      </tp>
      <tp t="s">
        <v>10/15/2023</v>
        <stp/>
        <stp>##V3_BDPV12</stp>
        <stp>91282CAP Govt</stp>
        <stp>MATURITY</stp>
        <stp>[TREASURY.xlsx]Sheet1!R151C5</stp>
        <tr r="E151" s="1"/>
      </tp>
      <tp t="s">
        <v>10/31/2010</v>
        <stp/>
        <stp>##V3_BDPV12</stp>
        <stp>912828JP Govt</stp>
        <stp>MATURITY</stp>
        <stp>[TREASURY.xlsx]Sheet1!R1286C5</stp>
        <tr r="E1286" s="1"/>
      </tp>
      <tp t="s">
        <v>8/15/2003</v>
        <stp/>
        <stp>##V3_BDPV12</stp>
        <stp>912827L8 Govt</stp>
        <stp>MATURITY</stp>
        <stp>[TREASURY.xlsx]Sheet1!R1319C5</stp>
        <tr r="E1319" s="1"/>
      </tp>
      <tp t="s">
        <v>4/15/1988</v>
        <stp/>
        <stp>##V3_BDPV12</stp>
        <stp>912827LT Govt</stp>
        <stp>MATURITY</stp>
        <stp>[TREASURY.xlsx]Sheet1!R1379C5</stp>
        <tr r="E1379" s="1"/>
      </tp>
      <tp t="s">
        <v>11/30/1998</v>
        <stp/>
        <stp>##V3_BDPV12</stp>
        <stp>912827N2 Govt</stp>
        <stp>MATURITY</stp>
        <stp>[TREASURY.xlsx]Sheet1!R1329C5</stp>
        <tr r="E1329" s="1"/>
      </tp>
      <tp t="s">
        <v>5/31/1984</v>
        <stp/>
        <stp>##V3_BDPV12</stp>
        <stp>912827NF Govt</stp>
        <stp>MATURITY</stp>
        <stp>[TREASURY.xlsx]Sheet1!R1049C5</stp>
        <tr r="E1049" s="1"/>
      </tp>
      <tp t="s">
        <v>8/15/1987</v>
        <stp/>
        <stp>##V3_BDPV12</stp>
        <stp>912827NG Govt</stp>
        <stp>MATURITY</stp>
        <stp>[TREASURY.xlsx]Sheet1!R1169C5</stp>
        <tr r="E1169" s="1"/>
      </tp>
      <tp t="s">
        <v>5/31/2015</v>
        <stp/>
        <stp>##V3_BDPV12</stp>
        <stp>912828NF Govt</stp>
        <stp>MATURITY</stp>
        <stp>[TREASURY.xlsx]Sheet1!R1256C5</stp>
        <tr r="E1256" s="1"/>
      </tp>
      <tp t="s">
        <v>4/30/2020</v>
        <stp/>
        <stp>##V3_BDPV12</stp>
        <stp>9128284J Govt</stp>
        <stp>MATURITY</stp>
        <stp>[TREASURY.xlsx]Sheet1!R381C5</stp>
        <tr r="E381" s="1"/>
      </tp>
      <tp t="s">
        <v>11/30/2023</v>
        <stp/>
        <stp>##V3_BDPV12</stp>
        <stp>9128285P Govt</stp>
        <stp>MATURITY</stp>
        <stp>[TREASURY.xlsx]Sheet1!R271C5</stp>
        <tr r="E271" s="1"/>
      </tp>
      <tp t="s">
        <v>8/31/2025</v>
        <stp/>
        <stp>##V3_BDPV12</stp>
        <stp>9128284Z Govt</stp>
        <stp>MATURITY</stp>
        <stp>[TREASURY.xlsx]Sheet1!R251C5</stp>
        <tr r="E251" s="1"/>
      </tp>
      <tp t="s">
        <v>7/15/2020</v>
        <stp/>
        <stp>##V3_BDPV12</stp>
        <stp>9128282J Govt</stp>
        <stp>MATURITY</stp>
        <stp>[TREASURY.xlsx]Sheet1!R611C5</stp>
        <tr r="E611" s="1"/>
      </tp>
      <tp t="s">
        <v>4/30/2024</v>
        <stp/>
        <stp>##V3_BDPV12</stp>
        <stp>9128286R Govt</stp>
        <stp>MATURITY</stp>
        <stp>[TREASURY.xlsx]Sheet1!R201C5</stp>
        <tr r="E201" s="1"/>
      </tp>
      <tp t="s">
        <v>6/15/2022</v>
        <stp/>
        <stp>##V3_BDPV12</stp>
        <stp>9128286Y Govt</stp>
        <stp>MATURITY</stp>
        <stp>[TREASURY.xlsx]Sheet1!R241C5</stp>
        <tr r="E241" s="1"/>
      </tp>
      <tp t="s">
        <v>10/31/2024</v>
        <stp/>
        <stp>##V3_BDPV12</stp>
        <stp>9128283D Govt</stp>
        <stp>MATURITY</stp>
        <stp>[TREASURY.xlsx]Sheet1!R231C5</stp>
        <tr r="E231" s="1"/>
      </tp>
      <tp t="s">
        <v>2/28/2025</v>
        <stp/>
        <stp>##V3_BDPV12</stp>
        <stp>9128283Z Govt</stp>
        <stp>MATURITY</stp>
        <stp>[TREASURY.xlsx]Sheet1!R261C5</stp>
        <tr r="E261" s="1"/>
      </tp>
      <tp t="s">
        <v>2/29/2016</v>
        <stp/>
        <stp>##V3_BDPV12</stp>
        <stp>912828B8 Govt</stp>
        <stp>MATURITY</stp>
        <stp>[TREASURY.xlsx]Sheet1!R571C5</stp>
        <tr r="E571" s="1"/>
      </tp>
      <tp t="s">
        <v>11/15/2013</v>
        <stp/>
        <stp>##V3_BDPV12</stp>
        <stp>912828BR Govt</stp>
        <stp>MATURITY</stp>
        <stp>[TREASURY.xlsx]Sheet1!R541C5</stp>
        <tr r="E541" s="1"/>
      </tp>
      <tp t="s">
        <v>12/31/2018</v>
        <stp/>
        <stp>##V3_BDPV12</stp>
        <stp>912828A7 Govt</stp>
        <stp>MATURITY</stp>
        <stp>[TREASURY.xlsx]Sheet1!R481C5</stp>
        <tr r="E481" s="1"/>
      </tp>
      <tp t="s">
        <v>11/30/2011</v>
        <stp/>
        <stp>##V3_BDPV12</stp>
        <stp>912828MM Govt</stp>
        <stp>MATURITY</stp>
        <stp>[TREASURY.xlsx]Sheet1!R821C5</stp>
        <tr r="E821" s="1"/>
      </tp>
      <tp t="s">
        <v>2/28/2017</v>
        <stp/>
        <stp>##V3_BDPV12</stp>
        <stp>912828MS Govt</stp>
        <stp>MATURITY</stp>
        <stp>[TREASURY.xlsx]Sheet1!R861C5</stp>
        <tr r="E861" s="1"/>
      </tp>
      <tp t="s">
        <v>6/30/2005</v>
        <stp/>
        <stp>##V3_BDPV12</stp>
        <stp>912828BC Govt</stp>
        <stp>MATURITY</stp>
        <stp>[TREASURY.xlsx]Sheet1!R641C5</stp>
        <tr r="E641" s="1"/>
      </tp>
      <tp t="s">
        <v>8/15/2012</v>
        <stp/>
        <stp>##V3_BDPV12</stp>
        <stp>912828AJ Govt</stp>
        <stp>MATURITY</stp>
        <stp>[TREASURY.xlsx]Sheet1!R531C5</stp>
        <tr r="E531" s="1"/>
      </tp>
      <tp t="s">
        <v>6/30/2013</v>
        <stp/>
        <stp>##V3_BDPV12</stp>
        <stp>912828JD Govt</stp>
        <stp>MATURITY</stp>
        <stp>[TREASURY.xlsx]Sheet1!R971C5</stp>
        <tr r="E971" s="1"/>
      </tp>
      <tp t="s">
        <v>11/30/2006</v>
        <stp/>
        <stp>##V3_BDPV12</stp>
        <stp>912828DD Govt</stp>
        <stp>MATURITY</stp>
        <stp>[TREASURY.xlsx]Sheet1!R791C5</stp>
        <tr r="E791" s="1"/>
      </tp>
      <tp t="s">
        <v>10/31/2019</v>
        <stp/>
        <stp>##V3_BDPV12</stp>
        <stp>912828F6 Govt</stp>
        <stp>MATURITY</stp>
        <stp>[TREASURY.xlsx]Sheet1!R411C5</stp>
        <tr r="E411" s="1"/>
      </tp>
      <tp t="s">
        <v>10/31/2013</v>
        <stp/>
        <stp>##V3_BDPV12</stp>
        <stp>912828JQ Govt</stp>
        <stp>MATURITY</stp>
        <stp>[TREASURY.xlsx]Sheet1!R811C5</stp>
        <tr r="E811" s="1"/>
      </tp>
      <tp t="s">
        <v>2/28/2021</v>
        <stp/>
        <stp>##V3_BDPV12</stp>
        <stp>912828B9 Govt</stp>
        <stp>MATURITY</stp>
        <stp>[TREASURY.xlsx]Sheet1!R371C5</stp>
        <tr r="E371" s="1"/>
      </tp>
      <tp t="s">
        <v>11/15/2009</v>
        <stp/>
        <stp>##V3_BDPV12</stp>
        <stp>912828DB Govt</stp>
        <stp>MATURITY</stp>
        <stp>[TREASURY.xlsx]Sheet1!R591C5</stp>
        <tr r="E591" s="1"/>
      </tp>
      <tp t="s">
        <v>2/28/2006</v>
        <stp/>
        <stp>##V3_BDPV12</stp>
        <stp>912828CB Govt</stp>
        <stp>MATURITY</stp>
        <stp>[TREASURY.xlsx]Sheet1!R331C5</stp>
        <tr r="E331" s="1"/>
      </tp>
      <tp t="s">
        <v>2/28/2013</v>
        <stp/>
        <stp>##V3_BDPV12</stp>
        <stp>912828HT Govt</stp>
        <stp>MATURITY</stp>
        <stp>[TREASURY.xlsx]Sheet1!R851C5</stp>
        <tr r="E851" s="1"/>
      </tp>
      <tp t="s">
        <v>11/30/2011</v>
        <stp/>
        <stp>##V3_BDPV12</stp>
        <stp>912828GA Govt</stp>
        <stp>MATURITY</stp>
        <stp>[TREASURY.xlsx]Sheet1!R801C5</stp>
        <tr r="E801" s="1"/>
      </tp>
      <tp t="s">
        <v>3/31/2020</v>
        <stp/>
        <stp>##V3_BDPV12</stp>
        <stp>912828J8 Govt</stp>
        <stp>MATURITY</stp>
        <stp>[TREASURY.xlsx]Sheet1!R451C5</stp>
        <tr r="E451" s="1"/>
      </tp>
      <tp t="s">
        <v>3/31/2014</v>
        <stp/>
        <stp>##V3_BDPV12</stp>
        <stp>912828KJ Govt</stp>
        <stp>MATURITY</stp>
        <stp>[TREASURY.xlsx]Sheet1!R561C5</stp>
        <tr r="E561" s="1"/>
      </tp>
      <tp t="s">
        <v>3/31/2013</v>
        <stp/>
        <stp>##V3_BDPV12</stp>
        <stp>912828HV Govt</stp>
        <stp>MATURITY</stp>
        <stp>[TREASURY.xlsx]Sheet1!R651C5</stp>
        <tr r="E651" s="1"/>
      </tp>
      <tp t="s">
        <v>11/30/2013</v>
        <stp/>
        <stp>##V3_BDPV12</stp>
        <stp>912828JT Govt</stp>
        <stp>MATURITY</stp>
        <stp>[TREASURY.xlsx]Sheet1!R471C5</stp>
        <tr r="E471" s="1"/>
      </tp>
      <tp t="s">
        <v>8/15/2017</v>
        <stp/>
        <stp>##V3_BDPV12</stp>
        <stp>912828D4 Govt</stp>
        <stp>MATURITY</stp>
        <stp>[TREASURY.xlsx]Sheet1!R961C5</stp>
        <tr r="E961" s="1"/>
      </tp>
      <tp t="s">
        <v>9/30/2022</v>
        <stp/>
        <stp>##V3_BDPV12</stp>
        <stp>912828L5 Govt</stp>
        <stp>MATURITY</stp>
        <stp>[TREASURY.xlsx]Sheet1!R161C5</stp>
        <tr r="E161" s="1"/>
      </tp>
      <tp t="s">
        <v>12/31/2016</v>
        <stp/>
        <stp>##V3_BDPV12</stp>
        <stp>912828H2 Govt</stp>
        <stp>MATURITY</stp>
        <stp>[TREASURY.xlsx]Sheet1!R581C5</stp>
        <tr r="E581" s="1"/>
      </tp>
      <tp t="s">
        <v>2/15/2009</v>
        <stp/>
        <stp>##V3_BDPV12</stp>
        <stp>912828EV Govt</stp>
        <stp>MATURITY</stp>
        <stp>[TREASURY.xlsx]Sheet1!R841C5</stp>
        <tr r="E841" s="1"/>
      </tp>
      <tp t="s">
        <v>8/15/2020</v>
        <stp/>
        <stp>##V3_BDPV12</stp>
        <stp>912828NT Govt</stp>
        <stp>MATURITY</stp>
        <stp>[TREASURY.xlsx]Sheet1!R351C5</stp>
        <tr r="E351" s="1"/>
      </tp>
      <tp t="s">
        <v>1/31/2011</v>
        <stp/>
        <stp>##V3_BDPV12</stp>
        <stp>912828JY Govt</stp>
        <stp>MATURITY</stp>
        <stp>[TREASURY.xlsx]Sheet1!R691C5</stp>
        <tr r="E691" s="1"/>
      </tp>
      <tp t="s">
        <v>1/15/2019</v>
        <stp/>
        <stp>##V3_BDPV12</stp>
        <stp>912828N6 Govt</stp>
        <stp>MATURITY</stp>
        <stp>[TREASURY.xlsx]Sheet1!R621C5</stp>
        <tr r="E621" s="1"/>
      </tp>
      <tp t="s">
        <v>10/31/2017</v>
        <stp/>
        <stp>##V3_BDPV12</stp>
        <stp>912828TW Govt</stp>
        <stp>MATURITY</stp>
        <stp>[TREASURY.xlsx]Sheet1!R361C5</stp>
        <tr r="E361" s="1"/>
      </tp>
      <tp t="s">
        <v>3/31/2014</v>
        <stp/>
        <stp>##V3_BDPV12</stp>
        <stp>912828SL Govt</stp>
        <stp>MATURITY</stp>
        <stp>[TREASURY.xlsx]Sheet1!R511C5</stp>
        <tr r="E511" s="1"/>
      </tp>
      <tp t="s">
        <v>6/15/2015</v>
        <stp/>
        <stp>##V3_BDPV12</stp>
        <stp>912828SZ Govt</stp>
        <stp>MATURITY</stp>
        <stp>[TREASURY.xlsx]Sheet1!R551C5</stp>
        <tr r="E551" s="1"/>
      </tp>
      <tp t="s">
        <v>3/31/2022</v>
        <stp/>
        <stp>##V3_BDPV12</stp>
        <stp>912828W8 Govt</stp>
        <stp>MATURITY</stp>
        <stp>[TREASURY.xlsx]Sheet1!R221C5</stp>
        <tr r="E221" s="1"/>
      </tp>
      <tp t="s">
        <v>2/28/2022</v>
        <stp/>
        <stp>##V3_BDPV12</stp>
        <stp>912828W5 Govt</stp>
        <stp>MATURITY</stp>
        <stp>[TREASURY.xlsx]Sheet1!R281C5</stp>
        <tr r="E281" s="1"/>
      </tp>
      <tp t="s">
        <v>3/31/2013</v>
        <stp/>
        <stp>##V3_BDPV12</stp>
        <stp>912828QL Govt</stp>
        <stp>MATURITY</stp>
        <stp>[TREASURY.xlsx]Sheet1!R401C5</stp>
        <tr r="E401" s="1"/>
      </tp>
      <tp t="s">
        <v>3/15/2019</v>
        <stp/>
        <stp>##V3_BDPV12</stp>
        <stp>912828P9 Govt</stp>
        <stp>MATURITY</stp>
        <stp>[TREASURY.xlsx]Sheet1!R431C5</stp>
        <tr r="E431" s="1"/>
      </tp>
      <tp t="s">
        <v>6/30/2021</v>
        <stp/>
        <stp>##V3_BDPV12</stp>
        <stp>912828WR Govt</stp>
        <stp>MATURITY</stp>
        <stp>[TREASURY.xlsx]Sheet1!R341C5</stp>
        <tr r="E341" s="1"/>
      </tp>
      <tp t="s">
        <v>12/31/2019</v>
        <stp/>
        <stp>##V3_BDPV12</stp>
        <stp>912828UF Govt</stp>
        <stp>MATURITY</stp>
        <stp>[TREASURY.xlsx]Sheet1!R671C5</stp>
        <tr r="E671" s="1"/>
      </tp>
      <tp t="s">
        <v>10/15/2019</v>
        <stp/>
        <stp>##V3_BDPV12</stp>
        <stp>912828T5 Govt</stp>
        <stp>MATURITY</stp>
        <stp>[TREASURY.xlsx]Sheet1!R631C5</stp>
        <tr r="E631" s="1"/>
      </tp>
      <tp t="s">
        <v>11/15/2019</v>
        <stp/>
        <stp>##V3_BDPV12</stp>
        <stp>912828U3 Govt</stp>
        <stp>MATURITY</stp>
        <stp>[TREASURY.xlsx]Sheet1!R491C5</stp>
        <tr r="E491" s="1"/>
      </tp>
      <tp t="s">
        <v>2/28/2019</v>
        <stp/>
        <stp>##V3_BDPV12</stp>
        <stp>912828W3 Govt</stp>
        <stp>MATURITY</stp>
        <stp>[TREASURY.xlsx]Sheet1!R681C5</stp>
        <tr r="E681" s="1"/>
      </tp>
      <tp t="s">
        <v>2/29/2020</v>
        <stp/>
        <stp>##V3_BDPV12</stp>
        <stp>912828UQ Govt</stp>
        <stp>MATURITY</stp>
        <stp>[TREASURY.xlsx]Sheet1!R421C5</stp>
        <tr r="E421" s="1"/>
      </tp>
      <tp t="s">
        <v>6/30/2021</v>
        <stp/>
        <stp>##V3_BDPV12</stp>
        <stp>912828S2 Govt</stp>
        <stp>MATURITY</stp>
        <stp>[TREASURY.xlsx]Sheet1!R391C5</stp>
        <tr r="E391" s="1"/>
      </tp>
      <tp t="s">
        <v>7/31/2023</v>
        <stp/>
        <stp>##V3_BDPV12</stp>
        <stp>912828S9 Govt</stp>
        <stp>MATURITY</stp>
        <stp>[TREASURY.xlsx]Sheet1!R301C5</stp>
        <tr r="E301" s="1"/>
      </tp>
      <tp t="s">
        <v>7/31/2016</v>
        <stp/>
        <stp>##V3_BDPV12</stp>
        <stp>912828WX Govt</stp>
        <stp>MATURITY</stp>
        <stp>[TREASURY.xlsx]Sheet1!R881C5</stp>
        <tr r="E881" s="1"/>
      </tp>
      <tp t="s">
        <v>9/30/2018</v>
        <stp/>
        <stp>##V3_BDPV12</stp>
        <stp>912828T4 Govt</stp>
        <stp>MATURITY</stp>
        <stp>[TREASURY.xlsx]Sheet1!R871C5</stp>
        <tr r="E871" s="1"/>
      </tp>
      <tp t="s">
        <v>3/15/2023</v>
        <stp/>
        <stp>##V3_BDPV12</stp>
        <stp>912828ZD Govt</stp>
        <stp>MATURITY</stp>
        <stp>[TREASURY.xlsx]Sheet1!R121C5</stp>
        <tr r="E121" s="1"/>
      </tp>
      <tp t="s">
        <v>6/30/2025</v>
        <stp/>
        <stp>##V3_BDPV12</stp>
        <stp>912828ZW Govt</stp>
        <stp>MATURITY</stp>
        <stp>[TREASURY.xlsx]Sheet1!R101C5</stp>
        <tr r="E101" s="1"/>
      </tp>
      <tp t="s">
        <v>5/31/2027</v>
        <stp/>
        <stp>##V3_BDPV12</stp>
        <stp>912828ZS Govt</stp>
        <stp>MATURITY</stp>
        <stp>[TREASURY.xlsx]Sheet1!R171C5</stp>
        <tr r="E171" s="1"/>
      </tp>
      <tp t="s">
        <v>6/30/2022</v>
        <stp/>
        <stp>##V3_BDPV12</stp>
        <stp>912828ZX Govt</stp>
        <stp>MATURITY</stp>
        <stp>[TREASURY.xlsx]Sheet1!R111C5</stp>
        <tr r="E111" s="1"/>
      </tp>
      <tp t="s">
        <v>1/31/2018</v>
        <stp/>
        <stp>##V3_BDPV12</stp>
        <stp>912828P2 Govt</stp>
        <stp>MATURITY</stp>
        <stp>[TREASURY.xlsx]Sheet1!R981C5</stp>
        <tr r="E981" s="1"/>
      </tp>
      <tp t="s">
        <v>10/15/2022</v>
        <stp/>
        <stp>##V3_BDPV12</stp>
        <stp>912828YK Govt</stp>
        <stp>MATURITY</stp>
        <stp>[TREASURY.xlsx]Sheet1!R131C5</stp>
        <tr r="E131" s="1"/>
      </tp>
      <tp t="s">
        <v>12/15/2022</v>
        <stp/>
        <stp>##V3_BDPV12</stp>
        <stp>912828YW Govt</stp>
        <stp>MATURITY</stp>
        <stp>[TREASURY.xlsx]Sheet1!R141C5</stp>
        <tr r="E141" s="1"/>
      </tp>
      <tp t="s">
        <v>5/31/2018</v>
        <stp/>
        <stp>##V3_BDPV12</stp>
        <stp>912828QQ Govt</stp>
        <stp>MATURITY</stp>
        <stp>[TREASURY.xlsx]Sheet1!R991C5</stp>
        <tr r="E991" s="1"/>
      </tp>
      <tp t="s">
        <v>12/31/1999</v>
        <stp/>
        <stp>##V3_BDPV12</stp>
        <stp>9128273R Govt</stp>
        <stp>MATURITY</stp>
        <stp>[TREASURY.xlsx]Sheet1!R1359C5</stp>
        <tr r="E1359" s="1"/>
      </tp>
      <tp t="s">
        <v>10/31/2002</v>
        <stp/>
        <stp>##V3_BDPV12</stp>
        <stp>9128273L Govt</stp>
        <stp>MATURITY</stp>
        <stp>[TREASURY.xlsx]Sheet1!R1529C5</stp>
        <tr r="E1529" s="1"/>
      </tp>
      <tp t="s">
        <v>3/31/2002</v>
        <stp/>
        <stp>##V3_BDPV12</stp>
        <stp>9128272P Govt</stp>
        <stp>MATURITY</stp>
        <stp>[TREASURY.xlsx]Sheet1!R1519C5</stp>
        <tr r="E1519" s="1"/>
      </tp>
      <tp t="s">
        <v>11/30/2001</v>
        <stp/>
        <stp>##V3_BDPV12</stp>
        <stp>9128272C Govt</stp>
        <stp>MATURITY</stp>
        <stp>[TREASURY.xlsx]Sheet1!R1449C5</stp>
        <tr r="E1449" s="1"/>
      </tp>
      <tp t="s">
        <v>12/31/2001</v>
        <stp/>
        <stp>##V3_BDPV12</stp>
        <stp>9128272E Govt</stp>
        <stp>MATURITY</stp>
        <stp>[TREASURY.xlsx]Sheet1!R1009C5</stp>
        <tr r="E1009" s="1"/>
      </tp>
      <tp t="s">
        <v>11/15/2004</v>
        <stp/>
        <stp>##V3_BDPV12</stp>
        <stp>9128275S Govt</stp>
        <stp>MATURITY</stp>
        <stp>[TREASURY.xlsx]Sheet1!R1019C5</stp>
        <tr r="E1019" s="1"/>
      </tp>
      <tp t="s">
        <v>5/15/2009</v>
        <stp/>
        <stp>##V3_BDPV12</stp>
        <stp>9128275G Govt</stp>
        <stp>MATURITY</stp>
        <stp>[TREASURY.xlsx]Sheet1!R1369C5</stp>
        <tr r="E1369" s="1"/>
      </tp>
      <tp t="s">
        <v>3/15/2021</v>
        <stp/>
        <stp>##V3_BDPV12</stp>
        <stp>9128284B Govt</stp>
        <stp>MATURITY</stp>
        <stp>[TREASURY.xlsx]Sheet1!R1106C5</stp>
        <tr r="E1106" s="1"/>
      </tp>
      <tp t="s">
        <v>4/30/2003</v>
        <stp/>
        <stp>##V3_BDPV12</stp>
        <stp>9128274D Govt</stp>
        <stp>MATURITY</stp>
        <stp>[TREASURY.xlsx]Sheet1!R1459C5</stp>
        <tr r="E1459" s="1"/>
      </tp>
      <tp t="s">
        <v>T</v>
        <stp/>
        <stp>##V3_BDPV12</stp>
        <stp>912827ZX Govt</stp>
        <stp>TICKER</stp>
        <stp>[TREASURY.xlsx]Sheet1!R956C2</stp>
        <tr r="B956" s="1"/>
      </tp>
      <tp t="s">
        <v>T</v>
        <stp/>
        <stp>##V3_BDPV12</stp>
        <stp>912828TY Govt</stp>
        <stp>TICKER</stp>
        <stp>[TREASURY.xlsx]Sheet1!R118C2</stp>
        <tr r="B118" s="1"/>
      </tp>
      <tp t="s">
        <v>12/31/2002</v>
        <stp/>
        <stp>##V3_BDPV12</stp>
        <stp>9128276Q Govt</stp>
        <stp>MATURITY</stp>
        <stp>[TREASURY.xlsx]Sheet1!R1539C5</stp>
        <tr r="E1539" s="1"/>
      </tp>
      <tp t="s">
        <v>5/15/2006</v>
        <stp/>
        <stp>##V3_BDPV12</stp>
        <stp>9128276X Govt</stp>
        <stp>MATURITY</stp>
        <stp>[TREASURY.xlsx]Sheet1!R1469C5</stp>
        <tr r="E1469" s="1"/>
      </tp>
      <tp t="s">
        <v>T</v>
        <stp/>
        <stp>##V3_BDPV12</stp>
        <stp>912828TV Govt</stp>
        <stp>TICKER</stp>
        <stp>[TREASURY.xlsx]Sheet1!R498C2</stp>
        <tr r="B498" s="1"/>
      </tp>
      <tp t="s">
        <v>11/15/2024</v>
        <stp/>
        <stp>##V3_BDPV12</stp>
        <stp>912810ES Govt</stp>
        <stp>MATURITY</stp>
        <stp>[TREASURY.xlsx]Sheet1!R312C5</stp>
        <tr r="E312" s="1"/>
      </tp>
      <tp t="s">
        <v>11/15/2028</v>
        <stp/>
        <stp>##V3_BDPV12</stp>
        <stp>912810FF Govt</stp>
        <stp>MATURITY</stp>
        <stp>[TREASURY.xlsx]Sheet1!R292C5</stp>
        <tr r="E292" s="1"/>
      </tp>
      <tp t="s">
        <v>2/15/2019</v>
        <stp/>
        <stp>##V3_BDPV12</stp>
        <stp>912810EC Govt</stp>
        <stp>MATURITY</stp>
        <stp>[TREASURY.xlsx]Sheet1!R612C5</stp>
        <tr r="E612" s="1"/>
      </tp>
      <tp t="s">
        <v>2/15/2006</v>
        <stp/>
        <stp>##V3_BDPV12</stp>
        <stp>912810DU Govt</stp>
        <stp>MATURITY</stp>
        <stp>[TREASURY.xlsx]Sheet1!R432C5</stp>
        <tr r="E432" s="1"/>
      </tp>
      <tp t="s">
        <v>2/15/2046</v>
        <stp/>
        <stp>##V3_BDPV12</stp>
        <stp>912810RQ Govt</stp>
        <stp>MATURITY</stp>
        <stp>[TREASURY.xlsx]Sheet1!R172C5</stp>
        <tr r="E172" s="1"/>
      </tp>
      <tp t="s">
        <v>11/15/2048</v>
        <stp/>
        <stp>##V3_BDPV12</stp>
        <stp>912810SE Govt</stp>
        <stp>MATURITY</stp>
        <stp>[TREASURY.xlsx]Sheet1!R152C5</stp>
        <tr r="E152" s="1"/>
      </tp>
      <tp t="s">
        <v>2/15/2040</v>
        <stp/>
        <stp>##V3_BDPV12</stp>
        <stp>912810QE Govt</stp>
        <stp>MATURITY</stp>
        <stp>[TREASURY.xlsx]Sheet1!R302C5</stp>
        <tr r="E302" s="1"/>
      </tp>
      <tp t="s">
        <v>5/15/2038</v>
        <stp/>
        <stp>##V3_BDPV12</stp>
        <stp>912810PX Govt</stp>
        <stp>MATURITY</stp>
        <stp>[TREASURY.xlsx]Sheet1!R282C5</stp>
        <tr r="E282" s="1"/>
      </tp>
      <tp t="s">
        <v>T</v>
        <stp/>
        <stp>##V3_BDPV12</stp>
        <stp>912827XT Govt</stp>
        <stp>TICKER</stp>
        <stp>[TREASURY.xlsx]Sheet1!R774C2</stp>
        <tr r="B774" s="1"/>
      </tp>
      <tp t="s">
        <v>T</v>
        <stp/>
        <stp>##V3_BDPV12</stp>
        <stp>912828ZR Govt</stp>
        <stp>TICKER</stp>
        <stp>[TREASURY.xlsx]Sheet1!R136C2</stp>
        <tr r="B136" s="1"/>
      </tp>
      <tp t="s">
        <v>NORMAL</v>
        <stp/>
        <stp>##V3_BDPV12</stp>
        <stp>912810SH Govt</stp>
        <stp>MTY_TYP</stp>
        <stp>[TREASURY.xlsx]Sheet1!R156C6</stp>
        <tr r="F156" s="1"/>
      </tp>
      <tp t="s">
        <v>NORMAL</v>
        <stp/>
        <stp>##V3_BDPV12</stp>
        <stp>912810QH Govt</stp>
        <stp>MTY_TYP</stp>
        <stp>[TREASURY.xlsx]Sheet1!R316C6</stp>
        <tr r="F316" s="1"/>
      </tp>
      <tp t="s">
        <v>NORMAL</v>
        <stp/>
        <stp>##V3_BDPV12</stp>
        <stp>912828RG Govt</stp>
        <stp>MTY_TYP</stp>
        <stp>[TREASURY.xlsx]Sheet1!R869C6</stp>
        <tr r="F869" s="1"/>
      </tp>
      <tp t="s">
        <v>NORMAL</v>
        <stp/>
        <stp>##V3_BDPV12</stp>
        <stp>912828RF Govt</stp>
        <stp>MTY_TYP</stp>
        <stp>[TREASURY.xlsx]Sheet1!R828C6</stp>
        <tr r="F828" s="1"/>
      </tp>
      <tp t="s">
        <v>NORMAL</v>
        <stp/>
        <stp>##V3_BDPV12</stp>
        <stp>912828TM Govt</stp>
        <stp>MTY_TYP</stp>
        <stp>[TREASURY.xlsx]Sheet1!R873C6</stp>
        <tr r="F873" s="1"/>
      </tp>
      <tp t="s">
        <v>NORMAL</v>
        <stp/>
        <stp>##V3_BDPV12</stp>
        <stp>912827ZL Govt</stp>
        <stp>MTY_TYP</stp>
        <stp>[TREASURY.xlsx]Sheet1!R782C6</stp>
        <tr r="F782" s="1"/>
      </tp>
      <tp t="s">
        <v>NORMAL</v>
        <stp/>
        <stp>##V3_BDPV12</stp>
        <stp>912828MH Govt</stp>
        <stp>MTY_TYP</stp>
        <stp>[TREASURY.xlsx]Sheet1!R976C6</stp>
        <tr r="F976" s="1"/>
      </tp>
      <tp t="s">
        <v>NORMAL</v>
        <stp/>
        <stp>##V3_BDPV12</stp>
        <stp>912828BN Govt</stp>
        <stp>MTY_TYP</stp>
        <stp>[TREASURY.xlsx]Sheet1!R960C6</stp>
        <tr r="F960" s="1"/>
      </tp>
      <tp t="s">
        <v>NORMAL</v>
        <stp/>
        <stp>##V3_BDPV12</stp>
        <stp>912828DL Govt</stp>
        <stp>MTY_TYP</stp>
        <stp>[TREASURY.xlsx]Sheet1!R962C6</stp>
        <tr r="F962" s="1"/>
      </tp>
      <tp t="s">
        <v>NORMAL</v>
        <stp/>
        <stp>##V3_BDPV12</stp>
        <stp>9128274F Govt</stp>
        <stp>MTY_TYP</stp>
        <stp>[TREASURY.xlsx]Sheet1!R578C6</stp>
        <tr r="F578" s="1"/>
      </tp>
      <tp t="s">
        <v>NORMAL</v>
        <stp/>
        <stp>##V3_BDPV12</stp>
        <stp>912828RH Govt</stp>
        <stp>MTY_TYP</stp>
        <stp>[TREASURY.xlsx]Sheet1!R456C6</stp>
        <tr r="F456" s="1"/>
      </tp>
      <tp t="s">
        <v>NORMAL</v>
        <stp/>
        <stp>##V3_BDPV12</stp>
        <stp>912828CM Govt</stp>
        <stp>MTY_TYP</stp>
        <stp>[TREASURY.xlsx]Sheet1!R493C6</stp>
        <tr r="F493" s="1"/>
      </tp>
      <tp t="s">
        <v>NORMAL</v>
        <stp/>
        <stp>##V3_BDPV12</stp>
        <stp>912828BM Govt</stp>
        <stp>MTY_TYP</stp>
        <stp>[TREASURY.xlsx]Sheet1!R453C6</stp>
        <tr r="F453" s="1"/>
      </tp>
      <tp t="s">
        <v>NORMAL</v>
        <stp/>
        <stp>##V3_BDPV12</stp>
        <stp>912828PM Govt</stp>
        <stp>MTY_TYP</stp>
        <stp>[TREASURY.xlsx]Sheet1!R593C6</stp>
        <tr r="F593" s="1"/>
      </tp>
      <tp t="s">
        <v>NORMAL</v>
        <stp/>
        <stp>##V3_BDPV12</stp>
        <stp>912828RM Govt</stp>
        <stp>MTY_TYP</stp>
        <stp>[TREASURY.xlsx]Sheet1!R563C6</stp>
        <tr r="F563" s="1"/>
      </tp>
      <tp t="s">
        <v>NORMAL</v>
        <stp/>
        <stp>##V3_BDPV12</stp>
        <stp>912828TK Govt</stp>
        <stp>MTY_TYP</stp>
        <stp>[TREASURY.xlsx]Sheet1!R565C6</stp>
        <tr r="F565" s="1"/>
      </tp>
      <tp t="s">
        <v>NORMAL</v>
        <stp/>
        <stp>##V3_BDPV12</stp>
        <stp>912828HM Govt</stp>
        <stp>MTY_TYP</stp>
        <stp>[TREASURY.xlsx]Sheet1!R573C6</stp>
        <tr r="F573" s="1"/>
      </tp>
      <tp t="s">
        <v>NORMAL</v>
        <stp/>
        <stp>##V3_BDPV12</stp>
        <stp>912828HK Govt</stp>
        <stp>MTY_TYP</stp>
        <stp>[TREASURY.xlsx]Sheet1!R525C6</stp>
        <tr r="F525" s="1"/>
      </tp>
      <tp t="s">
        <v>NORMAL</v>
        <stp/>
        <stp>##V3_BDPV12</stp>
        <stp>912828XK Govt</stp>
        <stp>MTY_TYP</stp>
        <stp>[TREASURY.xlsx]Sheet1!R625C6</stp>
        <tr r="F625" s="1"/>
      </tp>
      <tp t="s">
        <v>NORMAL</v>
        <stp/>
        <stp>##V3_BDPV12</stp>
        <stp>912828SN Govt</stp>
        <stp>MTY_TYP</stp>
        <stp>[TREASURY.xlsx]Sheet1!R670C6</stp>
        <tr r="F670" s="1"/>
      </tp>
      <tp t="s">
        <v>NORMAL</v>
        <stp/>
        <stp>##V3_BDPV12</stp>
        <stp>912827NL Govt</stp>
        <stp>MTY_TYP</stp>
        <stp>[TREASURY.xlsx]Sheet1!R902C6</stp>
        <tr r="F902" s="1"/>
      </tp>
      <tp t="s">
        <v>NORMAL</v>
        <stp/>
        <stp>##V3_BDPV12</stp>
        <stp>912828CG Govt</stp>
        <stp>MTY_TYP</stp>
        <stp>[TREASURY.xlsx]Sheet1!R789C6</stp>
        <tr r="F789" s="1"/>
      </tp>
      <tp t="s">
        <v>NORMAL</v>
        <stp/>
        <stp>##V3_BDPV12</stp>
        <stp>912827KJ Govt</stp>
        <stp>MTY_TYP</stp>
        <stp>[TREASURY.xlsx]Sheet1!R884C6</stp>
        <tr r="F884" s="1"/>
      </tp>
      <tp t="s">
        <v>NORMAL</v>
        <stp/>
        <stp>##V3_BDPV12</stp>
        <stp>912828TJ Govt</stp>
        <stp>MTY_TYP</stp>
        <stp>[TREASURY.xlsx]Sheet1!R194C6</stp>
        <tr r="F194" s="1"/>
      </tp>
      <tp t="s">
        <v>NORMAL</v>
        <stp/>
        <stp>##V3_BDPV12</stp>
        <stp>912828YM Govt</stp>
        <stp>MTY_TYP</stp>
        <stp>[TREASURY.xlsx]Sheet1!R113C6</stp>
        <tr r="F113" s="1"/>
      </tp>
      <tp t="s">
        <v>NORMAL</v>
        <stp/>
        <stp>##V3_BDPV12</stp>
        <stp>912828SF Govt</stp>
        <stp>MTY_TYP</stp>
        <stp>[TREASURY.xlsx]Sheet1!R138C6</stp>
        <tr r="F138" s="1"/>
      </tp>
      <tp t="s">
        <v>NORMAL</v>
        <stp/>
        <stp>##V3_BDPV12</stp>
        <stp>9128285N Govt</stp>
        <stp>MTY_TYP</stp>
        <stp>[TREASURY.xlsx]Sheet1!R290C6</stp>
        <tr r="F290" s="1"/>
      </tp>
      <tp t="s">
        <v>T</v>
        <stp/>
        <stp>##V3_BDPV12</stp>
        <stp>912828TP Govt</stp>
        <stp>TICKER</stp>
        <stp>[TREASURY.xlsx]Sheet1!R998C2</stp>
        <tr r="B998" s="1"/>
      </tp>
      <tp t="s">
        <v>NORMAL</v>
        <stp/>
        <stp>##V3_BDPV12</stp>
        <stp>91282CAL Govt</stp>
        <stp>MTY_TYP</stp>
        <stp>[TREASURY.xlsx]Sheet1!R142C6</stp>
        <tr r="F142" s="1"/>
      </tp>
      <tp t="s">
        <v>11/30/2002</v>
        <stp/>
        <stp>##V3_BDPV12</stp>
        <stp>9128276P Govt</stp>
        <stp>MATURITY</stp>
        <stp>[TREASURY.xlsx]Sheet1!R441C5</stp>
        <tr r="E441" s="1"/>
      </tp>
      <tp t="s">
        <v>7/15/1989</v>
        <stp/>
        <stp>##V3_BDPV12</stp>
        <stp>912827NK Govt</stp>
        <stp>MATURITY</stp>
        <stp>[TREASURY.xlsx]Sheet1!R901C5</stp>
        <tr r="E901" s="1"/>
      </tp>
      <tp t="s">
        <v>1/15/1988</v>
        <stp/>
        <stp>##V3_BDPV12</stp>
        <stp>912827LL Govt</stp>
        <stp>MATURITY</stp>
        <stp>[TREASURY.xlsx]Sheet1!R891C5</stp>
        <tr r="E891" s="1"/>
      </tp>
      <tp t="s">
        <v>1/15/1999</v>
        <stp/>
        <stp>##V3_BDPV12</stp>
        <stp>912827D7 Govt</stp>
        <stp>MATURITY</stp>
        <stp>[TREASURY.xlsx]Sheet1!R701C5</stp>
        <tr r="E701" s="1"/>
      </tp>
      <tp t="s">
        <v>6/30/1984</v>
        <stp/>
        <stp>##V3_BDPV12</stp>
        <stp>912827KV Govt</stp>
        <stp>MATURITY</stp>
        <stp>[TREASURY.xlsx]Sheet1!R711C5</stp>
        <tr r="E711" s="1"/>
      </tp>
      <tp t="s">
        <v>7/15/1988</v>
        <stp/>
        <stp>##V3_BDPV12</stp>
        <stp>912827MB Govt</stp>
        <stp>MATURITY</stp>
        <stp>[TREASURY.xlsx]Sheet1!R721C5</stp>
        <tr r="E721" s="1"/>
      </tp>
      <tp t="s">
        <v>5/15/1985</v>
        <stp/>
        <stp>##V3_BDPV12</stp>
        <stp>912827ND Govt</stp>
        <stp>MATURITY</stp>
        <stp>[TREASURY.xlsx]Sheet1!R731C5</stp>
        <tr r="E731" s="1"/>
      </tp>
      <tp t="s">
        <v>2/15/1987</v>
        <stp/>
        <stp>##V3_BDPV12</stp>
        <stp>912827QL Govt</stp>
        <stp>MATURITY</stp>
        <stp>[TREASURY.xlsx]Sheet1!R741C5</stp>
        <tr r="E741" s="1"/>
      </tp>
      <tp t="s">
        <v>8/31/1998</v>
        <stp/>
        <stp>##V3_BDPV12</stp>
        <stp>912827Z2 Govt</stp>
        <stp>MATURITY</stp>
        <stp>[TREASURY.xlsx]Sheet1!R951C5</stp>
        <tr r="E951" s="1"/>
      </tp>
      <tp t="s">
        <v>7/31/2000</v>
        <stp/>
        <stp>##V3_BDPV12</stp>
        <stp>912827U6 Govt</stp>
        <stp>MATURITY</stp>
        <stp>[TREASURY.xlsx]Sheet1!R751C5</stp>
        <tr r="E751" s="1"/>
      </tp>
      <tp t="s">
        <v>11/15/1992</v>
        <stp/>
        <stp>##V3_BDPV12</stp>
        <stp>912827VG Govt</stp>
        <stp>MATURITY</stp>
        <stp>[TREASURY.xlsx]Sheet1!R761C5</stp>
        <tr r="E761" s="1"/>
      </tp>
      <tp t="s">
        <v>5/15/1998</v>
        <stp/>
        <stp>##V3_BDPV12</stp>
        <stp>912827WE Govt</stp>
        <stp>MATURITY</stp>
        <stp>[TREASURY.xlsx]Sheet1!R601C5</stp>
        <tr r="E601" s="1"/>
      </tp>
      <tp t="s">
        <v>8/15/1999</v>
        <stp/>
        <stp>##V3_BDPV12</stp>
        <stp>912827Y8 Govt</stp>
        <stp>MATURITY</stp>
        <stp>[TREASURY.xlsx]Sheet1!R941C5</stp>
        <tr r="E941" s="1"/>
      </tp>
      <tp t="s">
        <v>1/31/1991</v>
        <stp/>
        <stp>##V3_BDPV12</stp>
        <stp>912827XC Govt</stp>
        <stp>MATURITY</stp>
        <stp>[TREASURY.xlsx]Sheet1!R771C5</stp>
        <tr r="E771" s="1"/>
      </tp>
      <tp t="s">
        <v>4/15/1995</v>
        <stp/>
        <stp>##V3_BDPV12</stp>
        <stp>912827WB Govt</stp>
        <stp>MATURITY</stp>
        <stp>[TREASURY.xlsx]Sheet1!R931C5</stp>
        <tr r="E931" s="1"/>
      </tp>
      <tp t="s">
        <v>9/30/1994</v>
        <stp/>
        <stp>##V3_BDPV12</stp>
        <stp>912827ZJ Govt</stp>
        <stp>MATURITY</stp>
        <stp>[TREASURY.xlsx]Sheet1!R781C5</stp>
        <tr r="E781" s="1"/>
      </tp>
      <tp t="s">
        <v>6/30/1997</v>
        <stp/>
        <stp>##V3_BDPV12</stp>
        <stp>912827U3 Govt</stp>
        <stp>MATURITY</stp>
        <stp>[TREASURY.xlsx]Sheet1!R921C5</stp>
        <tr r="E921" s="1"/>
      </tp>
      <tp t="s">
        <v>1/31/1997</v>
        <stp/>
        <stp>##V3_BDPV12</stp>
        <stp>912827S5 Govt</stp>
        <stp>MATURITY</stp>
        <stp>[TREASURY.xlsx]Sheet1!R831C5</stp>
        <tr r="E831" s="1"/>
      </tp>
      <tp t="s">
        <v>10/31/1986</v>
        <stp/>
        <stp>##V3_BDPV12</stp>
        <stp>912827RK Govt</stp>
        <stp>MATURITY</stp>
        <stp>[TREASURY.xlsx]Sheet1!R911C5</stp>
        <tr r="E911" s="1"/>
      </tp>
      <tp t="s">
        <v>T</v>
        <stp/>
        <stp>##V3_BDPV12</stp>
        <stp>912827YM Govt</stp>
        <stp>TICKER</stp>
        <stp>[TREASURY.xlsx]Sheet1!R945C2</stp>
        <tr r="B945" s="1"/>
      </tp>
      <tp t="s">
        <v>T</v>
        <stp/>
        <stp>##V3_BDPV12</stp>
        <stp>912827YJ Govt</stp>
        <stp>TICKER</stp>
        <stp>[TREASURY.xlsx]Sheet1!R775C2</stp>
        <tr r="B775" s="1"/>
      </tp>
      <tp t="s">
        <v>T</v>
        <stp/>
        <stp>##V3_BDPV12</stp>
        <stp>912828UJ Govt</stp>
        <stp>TICKER</stp>
        <stp>[TREASURY.xlsx]Sheet1!R999C2</stp>
        <tr r="B999" s="1"/>
      </tp>
      <tp t="s">
        <v>T</v>
        <stp/>
        <stp>##V3_BDPV12</stp>
        <stp>912828YH Govt</stp>
        <stp>TICKER</stp>
        <stp>[TREASURY.xlsx]Sheet1!R135C2</stp>
        <tr r="B135" s="1"/>
      </tp>
      <tp t="s">
        <v>T</v>
        <stp/>
        <stp>##V3_BDPV12</stp>
        <stp>912828YC Govt</stp>
        <stp>TICKER</stp>
        <stp>[TREASURY.xlsx]Sheet1!R335C2</stp>
        <tr r="B335" s="1"/>
      </tp>
      <tp t="s">
        <v>912810DN5</v>
        <stp/>
        <stp>##V3_BDPV12</stp>
        <stp>912810DN Govt</stp>
        <stp>ID_CUSIP</stp>
        <stp>[TREASURY.xlsx]Sheet1!R1348C19</stp>
        <tr r="S1348" s="1"/>
      </tp>
      <tp t="s">
        <v>T</v>
        <stp/>
        <stp>##V3_BDPV12</stp>
        <stp>912828HP Govt</stp>
        <stp>TICKER</stp>
        <stp>[TREASURY.xlsx]Sheet1!R1438C2</stp>
        <tr r="B1438" s="1"/>
      </tp>
      <tp t="s">
        <v>USD</v>
        <stp/>
        <stp>##V3_BDPV12</stp>
        <stp>912827WS Govt</stp>
        <stp>CRNCY</stp>
        <stp>[TREASURY.xlsx]Sheet1!R1420C7</stp>
        <tr r="G1420" s="1"/>
      </tp>
      <tp t="s">
        <v>T</v>
        <stp/>
        <stp>##V3_BDPV12</stp>
        <stp>912827UQ Govt</stp>
        <stp>TICKER</stp>
        <stp>[TREASURY.xlsx]Sheet1!R1079C2</stp>
        <tr r="B1079" s="1"/>
      </tp>
      <tp t="s">
        <v>T</v>
        <stp/>
        <stp>##V3_BDPV12</stp>
        <stp>912827PX Govt</stp>
        <stp>TICKER</stp>
        <stp>[TREASURY.xlsx]Sheet1!R1570C2</stp>
        <tr r="B1570" s="1"/>
      </tp>
      <tp t="s">
        <v>T</v>
        <stp/>
        <stp>##V3_BDPV12</stp>
        <stp>9128276Q Govt</stp>
        <stp>TICKER</stp>
        <stp>[TREASURY.xlsx]Sheet1!R1539C2</stp>
        <tr r="B1539" s="1"/>
      </tp>
      <tp t="s">
        <v>10/15/2012</v>
        <stp/>
        <stp>##V3_BDPV12</stp>
        <stp>912828TT Govt</stp>
        <stp>ISSUE_DT</stp>
        <stp>[TREASURY.xlsx]Sheet1!R1134C15</stp>
        <tr r="O1134" s="1"/>
      </tp>
      <tp t="s">
        <v>912810DH8</v>
        <stp/>
        <stp>##V3_BDPV12</stp>
        <stp>912810DH Govt</stp>
        <stp>ID_CUSIP</stp>
        <stp>[TREASURY.xlsx]Sheet1!R1619C19</stp>
        <tr r="S1619" s="1"/>
      </tp>
      <tp t="s">
        <v>6/30/1986</v>
        <stp/>
        <stp>##V3_BDPV12</stp>
        <stp>912827TT Govt</stp>
        <stp>ISSUE_DT</stp>
        <stp>[TREASURY.xlsx]Sheet1!R1195C15</stp>
        <tr r="O1195" s="1"/>
      </tp>
      <tp t="s">
        <v>USD</v>
        <stp/>
        <stp>##V3_BDPV12</stp>
        <stp>912827TP Govt</stp>
        <stp>CRNCY</stp>
        <stp>[TREASURY.xlsx]Sheet1!R1193C7</stp>
        <tr r="G1193" s="1"/>
      </tp>
      <tp t="s">
        <v>USD</v>
        <stp/>
        <stp>##V3_BDPV12</stp>
        <stp>912827UP Govt</stp>
        <stp>CRNCY</stp>
        <stp>[TREASURY.xlsx]Sheet1!R1202C7</stp>
        <tr r="G1202" s="1"/>
      </tp>
      <tp t="s">
        <v>T</v>
        <stp/>
        <stp>##V3_BDPV12</stp>
        <stp>912810BX Govt</stp>
        <stp>TICKER</stp>
        <stp>[TREASURY.xlsx]Sheet1!R1440C2</stp>
        <tr r="B1440" s="1"/>
      </tp>
      <tp t="s">
        <v>7/31/1986</v>
        <stp/>
        <stp>##V3_BDPV12</stp>
        <stp>912827TW Govt</stp>
        <stp>ISSUE_DT</stp>
        <stp>[TREASURY.xlsx]Sheet1!R1402C15</stp>
        <tr r="O1402" s="1"/>
      </tp>
      <tp t="s">
        <v>7/7/1986</v>
        <stp/>
        <stp>##V3_BDPV12</stp>
        <stp>912827TV Govt</stp>
        <stp>ISSUE_DT</stp>
        <stp>[TREASURY.xlsx]Sheet1!R1510C15</stp>
        <tr r="O1510" s="1"/>
      </tp>
      <tp t="s">
        <v>912810DK1</v>
        <stp/>
        <stp>##V3_BDPV12</stp>
        <stp>912810DK Govt</stp>
        <stp>ID_CUSIP</stp>
        <stp>[TREASURY.xlsx]Sheet1!R1347C19</stp>
        <tr r="S1347" s="1"/>
      </tp>
      <tp t="s">
        <v>6/2/1986</v>
        <stp/>
        <stp>##V3_BDPV12</stp>
        <stp>912827TR Govt</stp>
        <stp>ISSUE_DT</stp>
        <stp>[TREASURY.xlsx]Sheet1!R1194C15</stp>
        <tr r="O1194" s="1"/>
      </tp>
      <tp t="s">
        <v>912828DM9</v>
        <stp/>
        <stp>##V3_BDPV12</stp>
        <stp>912828DM Govt</stp>
        <stp>ID_CUSIP</stp>
        <stp>[TREASURY.xlsx]Sheet1!R1427C19</stp>
        <tr r="S1427" s="1"/>
      </tp>
      <tp t="s">
        <v>912828DK3</v>
        <stp/>
        <stp>##V3_BDPV12</stp>
        <stp>912828DK Govt</stp>
        <stp>ID_CUSIP</stp>
        <stp>[TREASURY.xlsx]Sheet1!R1271C19</stp>
        <tr r="S1271" s="1"/>
      </tp>
      <tp t="s">
        <v>USD</v>
        <stp/>
        <stp>##V3_BDPV12</stp>
        <stp>912828UW Govt</stp>
        <stp>CRNCY</stp>
        <stp>[TREASURY.xlsx]Sheet1!R1002C7</stp>
        <tr r="G1002" s="1"/>
      </tp>
      <tp t="s">
        <v>5/15/1986</v>
        <stp/>
        <stp>##V3_BDPV12</stp>
        <stp>912827TQ Govt</stp>
        <stp>ISSUE_DT</stp>
        <stp>[TREASURY.xlsx]Sheet1!R1075C15</stp>
        <tr r="O1075" s="1"/>
      </tp>
      <tp t="s">
        <v>6/30/1986</v>
        <stp/>
        <stp>##V3_BDPV12</stp>
        <stp>912827TU Govt</stp>
        <stp>ISSUE_DT</stp>
        <stp>[TREASURY.xlsx]Sheet1!R1401C15</stp>
        <tr r="O1401" s="1"/>
      </tp>
      <tp t="s">
        <v>912810DL9</v>
        <stp/>
        <stp>##V3_BDPV12</stp>
        <stp>912810DL Govt</stp>
        <stp>ID_CUSIP</stp>
        <stp>[TREASURY.xlsx]Sheet1!R1620C19</stp>
        <tr r="S1620" s="1"/>
      </tp>
      <tp t="s">
        <v>5/15/1986</v>
        <stp/>
        <stp>##V3_BDPV12</stp>
        <stp>912827TP Govt</stp>
        <stp>ISSUE_DT</stp>
        <stp>[TREASURY.xlsx]Sheet1!R1193C15</stp>
        <tr r="O1193" s="1"/>
      </tp>
      <tp t="s">
        <v>912828DJ6</v>
        <stp/>
        <stp>##V3_BDPV12</stp>
        <stp>912828DJ Govt</stp>
        <stp>ID_CUSIP</stp>
        <stp>[TREASURY.xlsx]Sheet1!R1111C19</stp>
        <tr r="S1111" s="1"/>
      </tp>
      <tp t="s">
        <v>912828DE7</v>
        <stp/>
        <stp>##V3_BDPV12</stp>
        <stp>912828DE Govt</stp>
        <stp>ID_CUSIP</stp>
        <stp>[TREASURY.xlsx]Sheet1!R1109C19</stp>
        <tr r="S1109" s="1"/>
      </tp>
      <tp t="s">
        <v>USD</v>
        <stp/>
        <stp>##V3_BDPV12</stp>
        <stp>912827QZ Govt</stp>
        <stp>CRNCY</stp>
        <stp>[TREASURY.xlsx]Sheet1!R1576C7</stp>
        <tr r="G1576" s="1"/>
      </tp>
      <tp t="s">
        <v>912810DF2</v>
        <stp/>
        <stp>##V3_BDPV12</stp>
        <stp>912810DF Govt</stp>
        <stp>ID_CUSIP</stp>
        <stp>[TREASURY.xlsx]Sheet1!R1312C19</stp>
        <tr r="S1312" s="1"/>
      </tp>
      <tp t="s">
        <v>912810DE5</v>
        <stp/>
        <stp>##V3_BDPV12</stp>
        <stp>912810DE Govt</stp>
        <stp>ID_CUSIP</stp>
        <stp>[TREASURY.xlsx]Sheet1!R1311C19</stp>
        <tr r="S1311" s="1"/>
      </tp>
      <tp t="s">
        <v>912828DG2</v>
        <stp/>
        <stp>##V3_BDPV12</stp>
        <stp>912828DG Govt</stp>
        <stp>ID_CUSIP</stp>
        <stp>[TREASURY.xlsx]Sheet1!R1110C19</stp>
        <tr r="S1110" s="1"/>
      </tp>
      <tp t="s">
        <v>912810DC9</v>
        <stp/>
        <stp>##V3_BDPV12</stp>
        <stp>912810DC Govt</stp>
        <stp>ID_CUSIP</stp>
        <stp>[TREASURY.xlsx]Sheet1!R1443C19</stp>
        <tr r="S1443" s="1"/>
      </tp>
      <tp t="s">
        <v>USD</v>
        <stp/>
        <stp>##V3_BDPV12</stp>
        <stp>912827WY Govt</stp>
        <stp>CRNCY</stp>
        <stp>[TREASURY.xlsx]Sheet1!R1210C7</stp>
        <tr r="G1210" s="1"/>
      </tp>
      <tp t="s">
        <v>912810DD7</v>
        <stp/>
        <stp>##V3_BDPV12</stp>
        <stp>912810DD Govt</stp>
        <stp>ID_CUSIP</stp>
        <stp>[TREASURY.xlsx]Sheet1!R1444C19</stp>
        <tr r="S1444" s="1"/>
      </tp>
      <tp t="s">
        <v>912810DB1</v>
        <stp/>
        <stp>##V3_BDPV12</stp>
        <stp>912810DB Govt</stp>
        <stp>ID_CUSIP</stp>
        <stp>[TREASURY.xlsx]Sheet1!R1346C19</stp>
        <tr r="S1346" s="1"/>
      </tp>
      <tp t="s">
        <v>9/2/1986</v>
        <stp/>
        <stp>##V3_BDPV12</stp>
        <stp>912827TY Govt</stp>
        <stp>ISSUE_DT</stp>
        <stp>[TREASURY.xlsx]Sheet1!R1076C15</stp>
        <tr r="O1076" s="1"/>
      </tp>
      <tp t="s">
        <v>912810DG0</v>
        <stp/>
        <stp>##V3_BDPV12</stp>
        <stp>912810DG Govt</stp>
        <stp>ID_CUSIP</stp>
        <stp>[TREASURY.xlsx]Sheet1!R1516C19</stp>
        <tr r="S1516" s="1"/>
      </tp>
      <tp t="s">
        <v>8/15/1986</v>
        <stp/>
        <stp>##V3_BDPV12</stp>
        <stp>912827TX Govt</stp>
        <stp>ISSUE_DT</stp>
        <stp>[TREASURY.xlsx]Sheet1!R1196C15</stp>
        <tr r="O1196" s="1"/>
      </tp>
      <tp t="s">
        <v>912828DX5</v>
        <stp/>
        <stp>##V3_BDPV12</stp>
        <stp>912828DX Govt</stp>
        <stp>ID_CUSIP</stp>
        <stp>[TREASURY.xlsx]Sheet1!R1429C19</stp>
        <tr r="S1429" s="1"/>
      </tp>
      <tp t="s">
        <v>1/31/1986</v>
        <stp/>
        <stp>##V3_BDPV12</stp>
        <stp>912827TD Govt</stp>
        <stp>ISSUE_DT</stp>
        <stp>[TREASURY.xlsx]Sheet1!R1398C15</stp>
        <tr r="O1398" s="1"/>
      </tp>
      <tp t="s">
        <v>USD</v>
        <stp/>
        <stp>##V3_BDPV12</stp>
        <stp>912828PB Govt</stp>
        <stp>CRNCY</stp>
        <stp>[TREASURY.xlsx]Sheet1!R1297C7</stp>
        <tr r="G1297" s="1"/>
      </tp>
      <tp t="s">
        <v>USD</v>
        <stp/>
        <stp>##V3_BDPV12</stp>
        <stp>912827VB Govt</stp>
        <stp>CRNCY</stp>
        <stp>[TREASURY.xlsx]Sheet1!R1411C7</stp>
        <tr r="G1411" s="1"/>
      </tp>
      <tp t="s">
        <v>1/15/1986</v>
        <stp/>
        <stp>##V3_BDPV12</stp>
        <stp>912827TC Govt</stp>
        <stp>ISSUE_DT</stp>
        <stp>[TREASURY.xlsx]Sheet1!R1506C15</stp>
        <tr r="O1506" s="1"/>
      </tp>
      <tp t="s">
        <v>912828DY3</v>
        <stp/>
        <stp>##V3_BDPV12</stp>
        <stp>912828DY Govt</stp>
        <stp>ID_CUSIP</stp>
        <stp>[TREASURY.xlsx]Sheet1!R1430C19</stp>
        <tr r="S1430" s="1"/>
      </tp>
      <tp t="s">
        <v>912810DY1</v>
        <stp/>
        <stp>##V3_BDPV12</stp>
        <stp>912810DY Govt</stp>
        <stp>ID_CUSIP</stp>
        <stp>[TREASURY.xlsx]Sheet1!R1448C19</stp>
        <tr r="S1448" s="1"/>
      </tp>
      <tp t="s">
        <v>#N/A Field Not Applicable</v>
        <stp/>
        <stp>##V3_BDPV12</stp>
        <stp>912827WS Govt</stp>
        <stp>IDX_RATIO</stp>
        <stp>[TREASURY.xlsx]Sheet1!R1420C20</stp>
        <tr r="T1420" s="1"/>
      </tp>
      <tp t="s">
        <v>#N/A Field Not Applicable</v>
        <stp/>
        <stp>##V3_BDPV12</stp>
        <stp>912827US Govt</stp>
        <stp>IDX_RATIO</stp>
        <stp>[TREASURY.xlsx]Sheet1!R1407C20</stp>
        <tr r="T1407" s="1"/>
      </tp>
      <tp t="s">
        <v>#N/A Field Not Applicable</v>
        <stp/>
        <stp>##V3_BDPV12</stp>
        <stp>912828DS Govt</stp>
        <stp>IDX_RATIO</stp>
        <stp>[TREASURY.xlsx]Sheet1!R1428C20</stp>
        <tr r="T1428" s="1"/>
      </tp>
      <tp t="s">
        <v>2/18/1986</v>
        <stp/>
        <stp>##V3_BDPV12</stp>
        <stp>912827TF Govt</stp>
        <stp>ISSUE_DT</stp>
        <stp>[TREASURY.xlsx]Sheet1!R1399C15</stp>
        <tr r="O1399" s="1"/>
      </tp>
      <tp t="s">
        <v>UNITED STATES</v>
        <stp/>
        <stp>##V3_BDPV12</stp>
        <stp>9128282B Govt</stp>
        <stp>COUNTRY_FULL_NAME</stp>
        <stp>[TREASURY.xlsx]Sheet1!R373C8</stp>
        <tr r="H373" s="1"/>
      </tp>
      <tp t="s">
        <v>#N/A Field Not Applicable</v>
        <stp/>
        <stp>##V3_BDPV12</stp>
        <stp>9128276S Govt</stp>
        <stp>IDX_RATIO</stp>
        <stp>[TREASURY.xlsx]Sheet1!R1540C20</stp>
        <tr r="T1540" s="1"/>
      </tp>
      <tp t="s">
        <v>#N/A Field Not Applicable</v>
        <stp/>
        <stp>##V3_BDPV12</stp>
        <stp>9128273S Govt</stp>
        <stp>IDX_RATIO</stp>
        <stp>[TREASURY.xlsx]Sheet1!R1531C20</stp>
        <tr r="T1531" s="1"/>
      </tp>
      <tp t="s">
        <v>#N/A Field Not Applicable</v>
        <stp/>
        <stp>##V3_BDPV12</stp>
        <stp>9128272S Govt</stp>
        <stp>IDX_RATIO</stp>
        <stp>[TREASURY.xlsx]Sheet1!R1520C20</stp>
        <tr r="T1520" s="1"/>
      </tp>
      <tp t="s">
        <v>UNITED STATES</v>
        <stp/>
        <stp>##V3_BDPV12</stp>
        <stp>9128283S Govt</stp>
        <stp>COUNTRY_FULL_NAME</stp>
        <stp>[TREASURY.xlsx]Sheet1!R433C8</stp>
        <tr r="H433" s="1"/>
      </tp>
      <tp t="s">
        <v>#N/A Field Not Applicable</v>
        <stp/>
        <stp>##V3_BDPV12</stp>
        <stp>912827VS Govt</stp>
        <stp>IDX_RATIO</stp>
        <stp>[TREASURY.xlsx]Sheet1!R1205C20</stp>
        <tr r="T1205" s="1"/>
      </tp>
      <tp t="s">
        <v>912828DZ0</v>
        <stp/>
        <stp>##V3_BDPV12</stp>
        <stp>912828DZ Govt</stp>
        <stp>ID_CUSIP</stp>
        <stp>[TREASURY.xlsx]Sheet1!R1273C19</stp>
        <tr r="S1273" s="1"/>
      </tp>
      <tp t="s">
        <v>#N/A Field Not Applicable</v>
        <stp/>
        <stp>##V3_BDPV12</stp>
        <stp>912828HS Govt</stp>
        <stp>IDX_RATIO</stp>
        <stp>[TREASURY.xlsx]Sheet1!R1245C20</stp>
        <tr r="T1245" s="1"/>
      </tp>
      <tp t="s">
        <v>#N/A Field Not Applicable</v>
        <stp/>
        <stp>##V3_BDPV12</stp>
        <stp>912828JS Govt</stp>
        <stp>IDX_RATIO</stp>
        <stp>[TREASURY.xlsx]Sheet1!R1247C20</stp>
        <tr r="T1247" s="1"/>
      </tp>
      <tp t="s">
        <v>USD</v>
        <stp/>
        <stp>##V3_BDPV12</stp>
        <stp>912827WF Govt</stp>
        <stp>CRNCY</stp>
        <stp>[TREASURY.xlsx]Sheet1!R1090C7</stp>
        <tr r="G1090" s="1"/>
      </tp>
      <tp t="s">
        <v>12/31/1985</v>
        <stp/>
        <stp>##V3_BDPV12</stp>
        <stp>912827TB Govt</stp>
        <stp>ISSUE_DT</stp>
        <stp>[TREASURY.xlsx]Sheet1!R1072C15</stp>
        <tr r="O1072" s="1"/>
      </tp>
      <tp t="s">
        <v>#N/A Field Not Applicable</v>
        <stp/>
        <stp>##V3_BDPV12</stp>
        <stp>912827NS Govt</stp>
        <stp>IDX_RATIO</stp>
        <stp>[TREASURY.xlsx]Sheet1!R1334C20</stp>
        <tr r="T1334" s="1"/>
      </tp>
      <tp t="s">
        <v>#N/A Field Not Applicable</v>
        <stp/>
        <stp>##V3_BDPV12</stp>
        <stp>912828XS Govt</stp>
        <stp>IDX_RATIO</stp>
        <stp>[TREASURY.xlsx]Sheet1!R1307C20</stp>
        <tr r="T1307" s="1"/>
      </tp>
      <tp t="s">
        <v>#N/A Field Not Applicable</v>
        <stp/>
        <stp>##V3_BDPV12</stp>
        <stp>912827PS Govt</stp>
        <stp>IDX_RATIO</stp>
        <stp>[TREASURY.xlsx]Sheet1!R1390C20</stp>
        <tr r="T1390" s="1"/>
      </tp>
      <tp t="s">
        <v>#N/A Field Not Applicable</v>
        <stp/>
        <stp>##V3_BDPV12</stp>
        <stp>912827QS Govt</stp>
        <stp>IDX_RATIO</stp>
        <stp>[TREASURY.xlsx]Sheet1!R1393C20</stp>
        <tr r="T1393" s="1"/>
      </tp>
      <tp t="s">
        <v>UNITED STATES</v>
        <stp/>
        <stp>##V3_BDPV12</stp>
        <stp>9128285L Govt</stp>
        <stp>COUNTRY_FULL_NAME</stp>
        <stp>[TREASURY.xlsx]Sheet1!R193C8</stp>
        <tr r="H193" s="1"/>
      </tp>
      <tp t="s">
        <v>UNITED STATES</v>
        <stp/>
        <stp>##V3_BDPV12</stp>
        <stp>9128285A Govt</stp>
        <stp>COUNTRY_FULL_NAME</stp>
        <stp>[TREASURY.xlsx]Sheet1!R283C8</stp>
        <tr r="H283" s="1"/>
      </tp>
      <tp t="s">
        <v>#N/A Field Not Applicable</v>
        <stp/>
        <stp>##V3_BDPV12</stp>
        <stp>912827LS Govt</stp>
        <stp>IDX_RATIO</stp>
        <stp>[TREASURY.xlsx]Sheet1!R1043C20</stp>
        <tr r="T1043" s="1"/>
      </tp>
      <tp t="s">
        <v>#N/A Field Not Applicable</v>
        <stp/>
        <stp>##V3_BDPV12</stp>
        <stp>912827MS Govt</stp>
        <stp>IDX_RATIO</stp>
        <stp>[TREASURY.xlsx]Sheet1!R1046C20</stp>
        <tr r="T1046" s="1"/>
      </tp>
      <tp t="s">
        <v>#N/A Field Not Applicable</v>
        <stp/>
        <stp>##V3_BDPV12</stp>
        <stp>9128275S Govt</stp>
        <stp>IDX_RATIO</stp>
        <stp>[TREASURY.xlsx]Sheet1!R1019C20</stp>
        <tr r="T1019" s="1"/>
      </tp>
      <tp t="s">
        <v>NORMAL</v>
        <stp/>
        <stp>##V3_BDPV12</stp>
        <stp>9128276L Govt</stp>
        <stp>MTY_TYP</stp>
        <stp>[TREASURY.xlsx]Sheet1!R1538C6</stp>
        <tr r="F1538" s="1"/>
      </tp>
      <tp t="s">
        <v>NORMAL</v>
        <stp/>
        <stp>##V3_BDPV12</stp>
        <stp>9128276V Govt</stp>
        <stp>MTY_TYP</stp>
        <stp>[TREASURY.xlsx]Sheet1!R1468C6</stp>
        <tr r="F1468" s="1"/>
      </tp>
      <tp t="s">
        <v>NORMAL</v>
        <stp/>
        <stp>##V3_BDPV12</stp>
        <stp>9128272B Govt</stp>
        <stp>MTY_TYP</stp>
        <stp>[TREASURY.xlsx]Sheet1!R1008C6</stp>
        <tr r="F1008" s="1"/>
      </tp>
      <tp t="s">
        <v>NORMAL</v>
        <stp/>
        <stp>##V3_BDPV12</stp>
        <stp>9128273Q Govt</stp>
        <stp>MTY_TYP</stp>
        <stp>[TREASURY.xlsx]Sheet1!R1358C6</stp>
        <tr r="F1358" s="1"/>
      </tp>
      <tp t="s">
        <v>NORMAL</v>
        <stp/>
        <stp>##V3_BDPV12</stp>
        <stp>9128274C Govt</stp>
        <stp>MTY_TYP</stp>
        <stp>[TREASURY.xlsx]Sheet1!R1458C6</stp>
        <tr r="F1458" s="1"/>
      </tp>
      <tp t="s">
        <v>NORMAL</v>
        <stp/>
        <stp>##V3_BDPV12</stp>
        <stp>9128274X Govt</stp>
        <stp>MTY_TYP</stp>
        <stp>[TREASURY.xlsx]Sheet1!R1368C6</stp>
        <tr r="F1368" s="1"/>
      </tp>
      <tp t="s">
        <v>NORMAL</v>
        <stp/>
        <stp>##V3_BDPV12</stp>
        <stp>9128272K Govt</stp>
        <stp>MTY_TYP</stp>
        <stp>[TREASURY.xlsx]Sheet1!R1518C6</stp>
        <tr r="F1518" s="1"/>
      </tp>
      <tp t="s">
        <v>NORMAL</v>
        <stp/>
        <stp>##V3_BDPV12</stp>
        <stp>9128277H Govt</stp>
        <stp>MTY_TYP</stp>
        <stp>[TREASURY.xlsx]Sheet1!R1028C6</stp>
        <tr r="F1028" s="1"/>
      </tp>
      <tp t="s">
        <v>NORMAL</v>
        <stp/>
        <stp>##V3_BDPV12</stp>
        <stp>9128273J Govt</stp>
        <stp>MTY_TYP</stp>
        <stp>[TREASURY.xlsx]Sheet1!R1528C6</stp>
        <tr r="F1528" s="1"/>
      </tp>
      <tp t="s">
        <v>NORMAL</v>
        <stp/>
        <stp>##V3_BDPV12</stp>
        <stp>9128275R Govt</stp>
        <stp>MTY_TYP</stp>
        <stp>[TREASURY.xlsx]Sheet1!R1018C6</stp>
        <tr r="F1018" s="1"/>
      </tp>
      <tp t="s">
        <v>USD</v>
        <stp/>
        <stp>##V3_BDPV12</stp>
        <stp>912827QD Govt</stp>
        <stp>CRNCY</stp>
        <stp>[TREASURY.xlsx]Sheet1!R1056C7</stp>
        <tr r="G1056" s="1"/>
      </tp>
      <tp t="s">
        <v>USD</v>
        <stp/>
        <stp>##V3_BDPV12</stp>
        <stp>912828RD Govt</stp>
        <stp>CRNCY</stp>
        <stp>[TREASURY.xlsx]Sheet1!R1265C7</stp>
        <tr r="G1265" s="1"/>
      </tp>
      <tp t="s">
        <v>USD</v>
        <stp/>
        <stp>##V3_BDPV12</stp>
        <stp>912827UD Govt</stp>
        <stp>CRNCY</stp>
        <stp>[TREASURY.xlsx]Sheet1!R1512C7</stp>
        <tr r="G1512" s="1"/>
      </tp>
      <tp t="s">
        <v>UNITED STATES</v>
        <stp/>
        <stp>##V3_BDPV12</stp>
        <stp>9128286U Govt</stp>
        <stp>COUNTRY_FULL_NAME</stp>
        <stp>[TREASURY.xlsx]Sheet1!R233C8</stp>
        <tr r="H233" s="1"/>
      </tp>
      <tp t="s">
        <v>UNITED STATES</v>
        <stp/>
        <stp>##V3_BDPV12</stp>
        <stp>9128286V Govt</stp>
        <stp>COUNTRY_FULL_NAME</stp>
        <stp>[TREASURY.xlsx]Sheet1!R523C8</stp>
        <tr r="H523" s="1"/>
      </tp>
      <tp t="s">
        <v>NORMAL</v>
        <stp/>
        <stp>##V3_BDPV12</stp>
        <stp>912827J8 Govt</stp>
        <stp>MTY_TYP</stp>
        <stp>[TREASURY.xlsx]Sheet1!R1038C6</stp>
        <tr r="F1038" s="1"/>
      </tp>
      <tp t="s">
        <v>NORMAL</v>
        <stp/>
        <stp>##V3_BDPV12</stp>
        <stp>912827H7 Govt</stp>
        <stp>MTY_TYP</stp>
        <stp>[TREASURY.xlsx]Sheet1!R1158C6</stp>
        <tr r="F1158" s="1"/>
      </tp>
      <tp t="s">
        <v>NORMAL</v>
        <stp/>
        <stp>##V3_BDPV12</stp>
        <stp>912827KT Govt</stp>
        <stp>MTY_TYP</stp>
        <stp>[TREASURY.xlsx]Sheet1!R1318C6</stp>
        <tr r="F1318" s="1"/>
      </tp>
      <tp t="s">
        <v>NORMAL</v>
        <stp/>
        <stp>##V3_BDPV12</stp>
        <stp>912827M3 Govt</stp>
        <stp>MTY_TYP</stp>
        <stp>[TREASURY.xlsx]Sheet1!R1568C6</stp>
        <tr r="F1568" s="1"/>
      </tp>
      <tp t="s">
        <v>NORMAL</v>
        <stp/>
        <stp>##V3_BDPV12</stp>
        <stp>912827LD Govt</stp>
        <stp>MTY_TYP</stp>
        <stp>[TREASURY.xlsx]Sheet1!R1378C6</stp>
        <tr r="F1378" s="1"/>
      </tp>
      <tp t="s">
        <v>NORMAL</v>
        <stp/>
        <stp>##V3_BDPV12</stp>
        <stp>912827MU Govt</stp>
        <stp>MTY_TYP</stp>
        <stp>[TREASURY.xlsx]Sheet1!R1328C6</stp>
        <tr r="F1328" s="1"/>
      </tp>
      <tp t="s">
        <v>NORMAL</v>
        <stp/>
        <stp>##V3_BDPV12</stp>
        <stp>912827J5 Govt</stp>
        <stp>MTY_TYP</stp>
        <stp>[TREASURY.xlsx]Sheet1!R1488C6</stp>
        <tr r="F1488" s="1"/>
      </tp>
      <tp t="s">
        <v>NORMAL</v>
        <stp/>
        <stp>##V3_BDPV12</stp>
        <stp>912827N4 Govt</stp>
        <stp>MTY_TYP</stp>
        <stp>[TREASURY.xlsx]Sheet1!R1048C6</stp>
        <tr r="F1048" s="1"/>
      </tp>
      <tp t="s">
        <v>NORMAL</v>
        <stp/>
        <stp>##V3_BDPV12</stp>
        <stp>912827MZ Govt</stp>
        <stp>MTY_TYP</stp>
        <stp>[TREASURY.xlsx]Sheet1!R1168C6</stp>
        <tr r="F1168" s="1"/>
      </tp>
      <tp t="s">
        <v>NORMAL</v>
        <stp/>
        <stp>##V3_BDPV12</stp>
        <stp>912827E8 Govt</stp>
        <stp>MTY_TYP</stp>
        <stp>[TREASURY.xlsx]Sheet1!R1558C6</stp>
        <tr r="F1558" s="1"/>
      </tp>
      <tp t="s">
        <v>NORMAL</v>
        <stp/>
        <stp>##V3_BDPV12</stp>
        <stp>912827B8 Govt</stp>
        <stp>MTY_TYP</stp>
        <stp>[TREASURY.xlsx]Sheet1!R1478C6</stp>
        <tr r="F1478" s="1"/>
      </tp>
      <tp t="s">
        <v>NORMAL</v>
        <stp/>
        <stp>##V3_BDPV12</stp>
        <stp>912827A9 Govt</stp>
        <stp>MTY_TYP</stp>
        <stp>[TREASURY.xlsx]Sheet1!R1548C6</stp>
        <tr r="F1548" s="1"/>
      </tp>
      <tp t="s">
        <v>NORMAL</v>
        <stp/>
        <stp>##V3_BDPV12</stp>
        <stp>912827XW Govt</stp>
        <stp>MTY_TYP</stp>
        <stp>[TREASURY.xlsx]Sheet1!R1218C6</stp>
        <tr r="F1218" s="1"/>
      </tp>
      <tp t="s">
        <v>NORMAL</v>
        <stp/>
        <stp>##V3_BDPV12</stp>
        <stp>912827Y2 Govt</stp>
        <stp>MTY_TYP</stp>
        <stp>[TREASURY.xlsx]Sheet1!R1098C6</stp>
        <tr r="F1098" s="1"/>
      </tp>
      <tp t="s">
        <v>NORMAL</v>
        <stp/>
        <stp>##V3_BDPV12</stp>
        <stp>912827ZB Govt</stp>
        <stp>MTY_TYP</stp>
        <stp>[TREASURY.xlsx]Sheet1!R1228C6</stp>
        <tr r="F1228" s="1"/>
      </tp>
      <tp t="s">
        <v>NORMAL</v>
        <stp/>
        <stp>##V3_BDPV12</stp>
        <stp>912827XN Govt</stp>
        <stp>MTY_TYP</stp>
        <stp>[TREASURY.xlsx]Sheet1!R1598C6</stp>
        <tr r="F1598" s="1"/>
      </tp>
      <tp t="s">
        <v>NORMAL</v>
        <stp/>
        <stp>##V3_BDPV12</stp>
        <stp>912827Z3 Govt</stp>
        <stp>MTY_TYP</stp>
        <stp>[TREASURY.xlsx]Sheet1!R1608C6</stp>
        <tr r="F1608" s="1"/>
      </tp>
      <tp t="s">
        <v>NORMAL</v>
        <stp/>
        <stp>##V3_BDPV12</stp>
        <stp>912827SZ Govt</stp>
        <stp>MTY_TYP</stp>
        <stp>[TREASURY.xlsx]Sheet1!R1068C6</stp>
        <tr r="F1068" s="1"/>
      </tp>
      <tp t="s">
        <v>NORMAL</v>
        <stp/>
        <stp>##V3_BDPV12</stp>
        <stp>912827PB Govt</stp>
        <stp>MTY_TYP</stp>
        <stp>[TREASURY.xlsx]Sheet1!R1388C6</stp>
        <tr r="F1388" s="1"/>
      </tp>
      <tp t="s">
        <v>NORMAL</v>
        <stp/>
        <stp>##V3_BDPV12</stp>
        <stp>912827WM Govt</stp>
        <stp>MTY_TYP</stp>
        <stp>[TREASURY.xlsx]Sheet1!R1418C6</stp>
        <tr r="F1418" s="1"/>
      </tp>
      <tp t="s">
        <v>NORMAL</v>
        <stp/>
        <stp>##V3_BDPV12</stp>
        <stp>912827P7 Govt</stp>
        <stp>MTY_TYP</stp>
        <stp>[TREASURY.xlsx]Sheet1!R1338C6</stp>
        <tr r="F1338" s="1"/>
      </tp>
      <tp t="s">
        <v>NORMAL</v>
        <stp/>
        <stp>##V3_BDPV12</stp>
        <stp>912827SS Govt</stp>
        <stp>MTY_TYP</stp>
        <stp>[TREASURY.xlsx]Sheet1!R1188C6</stp>
        <tr r="F1188" s="1"/>
      </tp>
      <tp t="s">
        <v>NORMAL</v>
        <stp/>
        <stp>##V3_BDPV12</stp>
        <stp>912827UU Govt</stp>
        <stp>MTY_TYP</stp>
        <stp>[TREASURY.xlsx]Sheet1!R1408C6</stp>
        <tr r="F1408" s="1"/>
      </tp>
      <tp t="s">
        <v>NORMAL</v>
        <stp/>
        <stp>##V3_BDPV12</stp>
        <stp>912827TK Govt</stp>
        <stp>MTY_TYP</stp>
        <stp>[TREASURY.xlsx]Sheet1!R1508C6</stp>
        <tr r="F1508" s="1"/>
      </tp>
      <tp t="s">
        <v>NORMAL</v>
        <stp/>
        <stp>##V3_BDPV12</stp>
        <stp>912827QM Govt</stp>
        <stp>MTY_TYP</stp>
        <stp>[TREASURY.xlsx]Sheet1!R1058C6</stp>
        <tr r="F1058" s="1"/>
      </tp>
      <tp t="s">
        <v>NORMAL</v>
        <stp/>
        <stp>##V3_BDPV12</stp>
        <stp>912827Q7 Govt</stp>
        <stp>MTY_TYP</stp>
        <stp>[TREASURY.xlsx]Sheet1!R1178C6</stp>
        <tr r="F1178" s="1"/>
      </tp>
      <tp t="s">
        <v>NORMAL</v>
        <stp/>
        <stp>##V3_BDPV12</stp>
        <stp>912827TD Govt</stp>
        <stp>MTY_TYP</stp>
        <stp>[TREASURY.xlsx]Sheet1!R1398C6</stp>
        <tr r="F1398" s="1"/>
      </tp>
      <tp t="s">
        <v>NORMAL</v>
        <stp/>
        <stp>##V3_BDPV12</stp>
        <stp>912827R9 Govt</stp>
        <stp>MTY_TYP</stp>
        <stp>[TREASURY.xlsx]Sheet1!R1578C6</stp>
        <tr r="F1578" s="1"/>
      </tp>
      <tp t="s">
        <v>NORMAL</v>
        <stp/>
        <stp>##V3_BDPV12</stp>
        <stp>912827SG Govt</stp>
        <stp>MTY_TYP</stp>
        <stp>[TREASURY.xlsx]Sheet1!R1588C6</stp>
        <tr r="F1588" s="1"/>
      </tp>
      <tp t="s">
        <v>NORMAL</v>
        <stp/>
        <stp>##V3_BDPV12</stp>
        <stp>912827VM Govt</stp>
        <stp>MTY_TYP</stp>
        <stp>[TREASURY.xlsx]Sheet1!R1088C6</stp>
        <tr r="F1088" s="1"/>
      </tp>
      <tp t="s">
        <v>NORMAL</v>
        <stp/>
        <stp>##V3_BDPV12</stp>
        <stp>912827QV Govt</stp>
        <stp>MTY_TYP</stp>
        <stp>[TREASURY.xlsx]Sheet1!R1498C6</stp>
        <tr r="F1498" s="1"/>
      </tp>
      <tp t="s">
        <v>NORMAL</v>
        <stp/>
        <stp>##V3_BDPV12</stp>
        <stp>912827UH Govt</stp>
        <stp>MTY_TYP</stp>
        <stp>[TREASURY.xlsx]Sheet1!R1078C6</stp>
        <tr r="F1078" s="1"/>
      </tp>
      <tp t="s">
        <v>NORMAL</v>
        <stp/>
        <stp>##V3_BDPV12</stp>
        <stp>912827WL Govt</stp>
        <stp>MTY_TYP</stp>
        <stp>[TREASURY.xlsx]Sheet1!R1208C6</stp>
        <tr r="F1208" s="1"/>
      </tp>
      <tp t="s">
        <v>NORMAL</v>
        <stp/>
        <stp>##V3_BDPV12</stp>
        <stp>912827U8 Govt</stp>
        <stp>MTY_TYP</stp>
        <stp>[TREASURY.xlsx]Sheet1!R1198C6</stp>
        <tr r="F1198" s="1"/>
      </tp>
      <tp t="s">
        <v>2/18/1986</v>
        <stp/>
        <stp>##V3_BDPV12</stp>
        <stp>912827TE Govt</stp>
        <stp>ISSUE_DT</stp>
        <stp>[TREASURY.xlsx]Sheet1!R1507C15</stp>
        <tr r="O1507" s="1"/>
      </tp>
      <tp t="s">
        <v>#N/A Field Not Applicable</v>
        <stp/>
        <stp>##V3_BDPV12</stp>
        <stp>912828ES Govt</stp>
        <stp>IDX_RATIO</stp>
        <stp>[TREASURY.xlsx]Sheet1!R1116C20</stp>
        <tr r="T1116" s="1"/>
      </tp>
      <tp t="s">
        <v>#N/A Field Not Applicable</v>
        <stp/>
        <stp>##V3_BDPV12</stp>
        <stp>912828US Govt</stp>
        <stp>IDX_RATIO</stp>
        <stp>[TREASURY.xlsx]Sheet1!R1137C20</stp>
        <tr r="T1137" s="1"/>
      </tp>
      <tp t="s">
        <v>#N/A Field Not Applicable</v>
        <stp/>
        <stp>##V3_BDPV12</stp>
        <stp>912827SS Govt</stp>
        <stp>IDX_RATIO</stp>
        <stp>[TREASURY.xlsx]Sheet1!R1188C20</stp>
        <tr r="T1188" s="1"/>
      </tp>
      <tp t="s">
        <v>USD</v>
        <stp/>
        <stp>##V3_BDPV12</stp>
        <stp>912827SE Govt</stp>
        <stp>CRNCY</stp>
        <stp>[TREASURY.xlsx]Sheet1!R1184C7</stp>
        <tr r="G1184" s="1"/>
      </tp>
      <tp t="s">
        <v>8/31/2012</v>
        <stp/>
        <stp>##V3_BDPV12</stp>
        <stp>912828TN Govt</stp>
        <stp>ISSUE_DT</stp>
        <stp>[TREASURY.xlsx]Sheet1!R1143C15</stp>
        <tr r="O1143" s="1"/>
      </tp>
      <tp t="s">
        <v>USD</v>
        <stp/>
        <stp>##V3_BDPV12</stp>
        <stp>912827TJ Govt</stp>
        <stp>CRNCY</stp>
        <stp>[TREASURY.xlsx]Sheet1!R1073C7</stp>
        <tr r="G1073" s="1"/>
      </tp>
      <tp t="s">
        <v>4/30/1986</v>
        <stp/>
        <stp>##V3_BDPV12</stp>
        <stp>912827TN Govt</stp>
        <stp>ISSUE_DT</stp>
        <stp>[TREASURY.xlsx]Sheet1!R1074C15</stp>
        <tr r="O1074" s="1"/>
      </tp>
      <tp t="s">
        <v>3/31/1986</v>
        <stp/>
        <stp>##V3_BDPV12</stp>
        <stp>912827TK Govt</stp>
        <stp>ISSUE_DT</stp>
        <stp>[TREASURY.xlsx]Sheet1!R1508C15</stp>
        <tr r="O1508" s="1"/>
      </tp>
      <tp t="s">
        <v>USD</v>
        <stp/>
        <stp>##V3_BDPV12</stp>
        <stp>912827QK Govt</stp>
        <stp>CRNCY</stp>
        <stp>[TREASURY.xlsx]Sheet1!R1496C7</stp>
        <tr r="G1496" s="1"/>
      </tp>
      <tp t="s">
        <v>NORMAL</v>
        <stp/>
        <stp>##V3_BDPV12</stp>
        <stp>912828KG Govt</stp>
        <stp>MTY_TYP</stp>
        <stp>[TREASURY.xlsx]Sheet1!R1288C6</stp>
        <tr r="F1288" s="1"/>
      </tp>
      <tp t="s">
        <v>NORMAL</v>
        <stp/>
        <stp>##V3_BDPV12</stp>
        <stp>912828K6 Govt</stp>
        <stp>MTY_TYP</stp>
        <stp>[TREASURY.xlsx]Sheet1!R1248C6</stp>
        <tr r="F1248" s="1"/>
      </tp>
      <tp t="s">
        <v>NORMAL</v>
        <stp/>
        <stp>##V3_BDPV12</stp>
        <stp>912828LH Govt</stp>
        <stp>MTY_TYP</stp>
        <stp>[TREASURY.xlsx]Sheet1!R1128C6</stp>
        <tr r="F1128" s="1"/>
      </tp>
      <tp t="s">
        <v>NORMAL</v>
        <stp/>
        <stp>##V3_BDPV12</stp>
        <stp>912828NY Govt</stp>
        <stp>MTY_TYP</stp>
        <stp>[TREASURY.xlsx]Sheet1!R1258C6</stp>
        <tr r="F1258" s="1"/>
      </tp>
      <tp t="s">
        <v>NORMAL</v>
        <stp/>
        <stp>##V3_BDPV12</stp>
        <stp>912828HP Govt</stp>
        <stp>MTY_TYP</stp>
        <stp>[TREASURY.xlsx]Sheet1!R1438C6</stp>
        <tr r="F1438" s="1"/>
      </tp>
      <tp t="s">
        <v>NORMAL</v>
        <stp/>
        <stp>##V3_BDPV12</stp>
        <stp>912828B3 Govt</stp>
        <stp>MTY_TYP</stp>
        <stp>[TREASURY.xlsx]Sheet1!R1108C6</stp>
        <tr r="F1108" s="1"/>
      </tp>
      <tp t="s">
        <v>NORMAL</v>
        <stp/>
        <stp>##V3_BDPV12</stp>
        <stp>912828DS Govt</stp>
        <stp>MTY_TYP</stp>
        <stp>[TREASURY.xlsx]Sheet1!R1428C6</stp>
        <tr r="F1428" s="1"/>
      </tp>
      <tp t="s">
        <v>NORMAL</v>
        <stp/>
        <stp>##V3_BDPV12</stp>
        <stp>912828EJ Govt</stp>
        <stp>MTY_TYP</stp>
        <stp>[TREASURY.xlsx]Sheet1!R1238C6</stp>
        <tr r="F1238" s="1"/>
      </tp>
      <tp t="s">
        <v>NORMAL</v>
        <stp/>
        <stp>##V3_BDPV12</stp>
        <stp>912828F8 Govt</stp>
        <stp>MTY_TYP</stp>
        <stp>[TREASURY.xlsx]Sheet1!R1118C6</stp>
        <tr r="F1118" s="1"/>
      </tp>
      <tp t="s">
        <v>NORMAL</v>
        <stp/>
        <stp>##V3_BDPV12</stp>
        <stp>912828FX Govt</stp>
        <stp>MTY_TYP</stp>
        <stp>[TREASURY.xlsx]Sheet1!R1278C6</stp>
        <tr r="F1278" s="1"/>
      </tp>
      <tp t="s">
        <v>NORMAL</v>
        <stp/>
        <stp>##V3_BDPV12</stp>
        <stp>912828PD Govt</stp>
        <stp>MTY_TYP</stp>
        <stp>[TREASURY.xlsx]Sheet1!R1298C6</stp>
        <tr r="F1298" s="1"/>
      </tp>
      <tp t="s">
        <v>NORMAL</v>
        <stp/>
        <stp>##V3_BDPV12</stp>
        <stp>912828RZ Govt</stp>
        <stp>MTY_TYP</stp>
        <stp>[TREASURY.xlsx]Sheet1!R1268C6</stp>
        <tr r="F1268" s="1"/>
      </tp>
      <tp t="s">
        <v>NORMAL</v>
        <stp/>
        <stp>##V3_BDPV12</stp>
        <stp>912828VK Govt</stp>
        <stp>MTY_TYP</stp>
        <stp>[TREASURY.xlsx]Sheet1!R1148C6</stp>
        <tr r="F1148" s="1"/>
      </tp>
      <tp t="s">
        <v>NORMAL</v>
        <stp/>
        <stp>##V3_BDPV12</stp>
        <stp>912828UY Govt</stp>
        <stp>MTY_TYP</stp>
        <stp>[TREASURY.xlsx]Sheet1!R1138C6</stp>
        <tr r="F1138" s="1"/>
      </tp>
      <tp t="s">
        <v>912810DR6</v>
        <stp/>
        <stp>##V3_BDPV12</stp>
        <stp>912810DR Govt</stp>
        <stp>ID_CUSIP</stp>
        <stp>[TREASURY.xlsx]Sheet1!R1447C19</stp>
        <tr r="S1447" s="1"/>
      </tp>
      <tp t="s">
        <v>912828DT4</v>
        <stp/>
        <stp>##V3_BDPV12</stp>
        <stp>912828DT Govt</stp>
        <stp>ID_CUSIP</stp>
        <stp>[TREASURY.xlsx]Sheet1!R1272C19</stp>
        <tr r="S1272" s="1"/>
      </tp>
      <tp t="s">
        <v>912828DU1</v>
        <stp/>
        <stp>##V3_BDPV12</stp>
        <stp>912828DU Govt</stp>
        <stp>ID_CUSIP</stp>
        <stp>[TREASURY.xlsx]Sheet1!R1237C19</stp>
        <tr r="S1237" s="1"/>
      </tp>
      <tp t="s">
        <v>912828DS6</v>
        <stp/>
        <stp>##V3_BDPV12</stp>
        <stp>912828DS Govt</stp>
        <stp>ID_CUSIP</stp>
        <stp>[TREASURY.xlsx]Sheet1!R1428C19</stp>
        <tr r="S1428" s="1"/>
      </tp>
      <tp t="s">
        <v>912810DQ8</v>
        <stp/>
        <stp>##V3_BDPV12</stp>
        <stp>912810DQ Govt</stp>
        <stp>ID_CUSIP</stp>
        <stp>[TREASURY.xlsx]Sheet1!R1621C19</stp>
        <tr r="S1621" s="1"/>
      </tp>
      <tp t="s">
        <v>912828DQ0</v>
        <stp/>
        <stp>##V3_BDPV12</stp>
        <stp>912828DQ Govt</stp>
        <stp>ID_CUSIP</stp>
        <stp>[TREASURY.xlsx]Sheet1!R1112C19</stp>
        <tr r="S1112" s="1"/>
      </tp>
      <tp t="s">
        <v>USD</v>
        <stp/>
        <stp>##V3_BDPV12</stp>
        <stp>912828TN Govt</stp>
        <stp>CRNCY</stp>
        <stp>[TREASURY.xlsx]Sheet1!R1143C7</stp>
        <tr r="G1143" s="1"/>
      </tp>
      <tp t="s">
        <v>3/5/1986</v>
        <stp/>
        <stp>##V3_BDPV12</stp>
        <stp>912827TJ Govt</stp>
        <stp>ISSUE_DT</stp>
        <stp>[TREASURY.xlsx]Sheet1!R1073C15</stp>
        <tr r="O1073" s="1"/>
      </tp>
      <tp t="s">
        <v>4/3/1986</v>
        <stp/>
        <stp>##V3_BDPV12</stp>
        <stp>912827TM Govt</stp>
        <stp>ISSUE_DT</stp>
        <stp>[TREASURY.xlsx]Sheet1!R1400C15</stp>
        <tr r="O1400" s="1"/>
      </tp>
      <tp t="s">
        <v>3/31/1986</v>
        <stp/>
        <stp>##V3_BDPV12</stp>
        <stp>912827TL Govt</stp>
        <stp>ISSUE_DT</stp>
        <stp>[TREASURY.xlsx]Sheet1!R1509C15</stp>
        <tr r="O1509" s="1"/>
      </tp>
      <tp t="s">
        <v>912810DT2</v>
        <stp/>
        <stp>##V3_BDPV12</stp>
        <stp>912810DT Govt</stp>
        <stp>ID_CUSIP</stp>
        <stp>[TREASURY.xlsx]Sheet1!R1622C19</stp>
        <tr r="S1622" s="1"/>
      </tp>
      <tp t="s">
        <v>2/28/1986</v>
        <stp/>
        <stp>##V3_BDPV12</stp>
        <stp>912827TH Govt</stp>
        <stp>ISSUE_DT</stp>
        <stp>[TREASURY.xlsx]Sheet1!R1192C15</stp>
        <tr r="O1192" s="1"/>
      </tp>
      <tp t="s">
        <v>USD</v>
        <stp/>
        <stp>##V3_BDPV12</stp>
        <stp>912828WL Govt</stp>
        <stp>CRNCY</stp>
        <stp>[TREASURY.xlsx]Sheet1!R1150C7</stp>
        <tr r="G1150" s="1"/>
      </tp>
      <tp t="s">
        <v>USD</v>
        <stp/>
        <stp>##V3_BDPV12</stp>
        <stp>912827V2 Govt</stp>
        <stp>CRNCY</stp>
        <stp>[TREASURY.xlsx]Sheet1!R1082C7</stp>
        <tr r="G1082" s="1"/>
      </tp>
      <tp t="s">
        <v>UNITED STATES</v>
        <stp/>
        <stp>##V3_BDPV12</stp>
        <stp>912828A9 Govt</stp>
        <stp>COUNTRY_FULL_NAME</stp>
        <stp>[TREASURY.xlsx]Sheet1!R640C8</stp>
        <tr r="H640" s="1"/>
      </tp>
      <tp t="s">
        <v>UNITED STATES</v>
        <stp/>
        <stp>##V3_BDPV12</stp>
        <stp>912828A6 Govt</stp>
        <stp>COUNTRY_FULL_NAME</stp>
        <stp>[TREASURY.xlsx]Sheet1!R580C8</stp>
        <tr r="H580" s="1"/>
      </tp>
      <tp t="s">
        <v>UNITED STATES</v>
        <stp/>
        <stp>##V3_BDPV12</stp>
        <stp>912828AE Govt</stp>
        <stp>COUNTRY_FULL_NAME</stp>
        <stp>[TREASURY.xlsx]Sheet1!R530C8</stp>
        <tr r="H530" s="1"/>
      </tp>
      <tp t="s">
        <v>UNITED STATES</v>
        <stp/>
        <stp>##V3_BDPV12</stp>
        <stp>912828B6 Govt</stp>
        <stp>COUNTRY_FULL_NAME</stp>
        <stp>[TREASURY.xlsx]Sheet1!R110C8</stp>
        <tr r="H110" s="1"/>
      </tp>
      <tp t="s">
        <v>UNITED STATES</v>
        <stp/>
        <stp>##V3_BDPV12</stp>
        <stp>912828BN Govt</stp>
        <stp>COUNTRY_FULL_NAME</stp>
        <stp>[TREASURY.xlsx]Sheet1!R960C8</stp>
        <tr r="H960" s="1"/>
      </tp>
      <tp t="s">
        <v>UNITED STATES</v>
        <stp/>
        <stp>##V3_BDPV12</stp>
        <stp>912828CR Govt</stp>
        <stp>COUNTRY_FULL_NAME</stp>
        <stp>[TREASURY.xlsx]Sheet1!R510C8</stp>
        <tr r="H510" s="1"/>
      </tp>
      <tp t="s">
        <v>UNITED STATES</v>
        <stp/>
        <stp>##V3_BDPV12</stp>
        <stp>912828CK Govt</stp>
        <stp>COUNTRY_FULL_NAME</stp>
        <stp>[TREASURY.xlsx]Sheet1!R790C8</stp>
        <tr r="H790" s="1"/>
      </tp>
      <tp t="s">
        <v>2/15/1996</v>
        <stp/>
        <stp>##V3_BDPV12</stp>
        <stp>912827W7 Govt</stp>
        <stp>ISSUE_DT</stp>
        <stp>[TREASURY.xlsx]Sheet1!R1416C15</stp>
        <tr r="O1416" s="1"/>
      </tp>
      <tp t="s">
        <v>UNITED STATES</v>
        <stp/>
        <stp>##V3_BDPV12</stp>
        <stp>912810DP Govt</stp>
        <stp>COUNTRY_FULL_NAME</stp>
        <stp>[TREASURY.xlsx]Sheet1!R698C8</stp>
        <tr r="H698" s="1"/>
      </tp>
      <tp t="s">
        <v>UNITED STATES</v>
        <stp/>
        <stp>##V3_BDPV12</stp>
        <stp>912828DV Govt</stp>
        <stp>COUNTRY_FULL_NAME</stp>
        <stp>[TREASURY.xlsx]Sheet1!R620C8</stp>
        <tr r="H620" s="1"/>
      </tp>
      <tp t="s">
        <v>UNITED STATES</v>
        <stp/>
        <stp>##V3_BDPV12</stp>
        <stp>912828DF Govt</stp>
        <stp>COUNTRY_FULL_NAME</stp>
        <stp>[TREASURY.xlsx]Sheet1!R840C8</stp>
        <tr r="H840" s="1"/>
      </tp>
      <tp t="s">
        <v>1/31/1996</v>
        <stp/>
        <stp>##V3_BDPV12</stp>
        <stp>912827W6 Govt</stp>
        <stp>ISSUE_DT</stp>
        <stp>[TREASURY.xlsx]Sheet1!R1415C15</stp>
        <tr r="O1415" s="1"/>
      </tp>
      <tp t="s">
        <v>USD</v>
        <stp/>
        <stp>##V3_BDPV12</stp>
        <stp>912827T7 Govt</stp>
        <stp>CRNCY</stp>
        <stp>[TREASURY.xlsx]Sheet1!R1070C7</stp>
        <tr r="G1070" s="1"/>
      </tp>
      <tp t="s">
        <v>USD</v>
        <stp/>
        <stp>##V3_BDPV12</stp>
        <stp>912827U7 Govt</stp>
        <stp>CRNCY</stp>
        <stp>[TREASURY.xlsx]Sheet1!R1511C7</stp>
        <tr r="G1511" s="1"/>
      </tp>
      <tp t="s">
        <v>UNITED STATES</v>
        <stp/>
        <stp>##V3_BDPV12</stp>
        <stp>912810EY Govt</stp>
        <stp>COUNTRY_FULL_NAME</stp>
        <stp>[TREASURY.xlsx]Sheet1!R328C8</stp>
        <tr r="H328" s="1"/>
      </tp>
      <tp t="s">
        <v>UNITED STATES</v>
        <stp/>
        <stp>##V3_BDPV12</stp>
        <stp>912810EQ Govt</stp>
        <stp>COUNTRY_FULL_NAME</stp>
        <stp>[TREASURY.xlsx]Sheet1!R298C8</stp>
        <tr r="H298" s="1"/>
      </tp>
      <tp t="s">
        <v>1/31/1996</v>
        <stp/>
        <stp>##V3_BDPV12</stp>
        <stp>912827W5 Govt</stp>
        <stp>ISSUE_DT</stp>
        <stp>[TREASURY.xlsx]Sheet1!R1414C15</stp>
        <tr r="O1414" s="1"/>
      </tp>
      <tp t="s">
        <v>UNITED STATES</v>
        <stp/>
        <stp>##V3_BDPV12</stp>
        <stp>912828FS Govt</stp>
        <stp>COUNTRY_FULL_NAME</stp>
        <stp>[TREASURY.xlsx]Sheet1!R800C8</stp>
        <tr r="H800" s="1"/>
      </tp>
      <tp t="s">
        <v>UNITED STATES</v>
        <stp/>
        <stp>##V3_BDPV12</stp>
        <stp>912810FM Govt</stp>
        <stp>COUNTRY_FULL_NAME</stp>
        <stp>[TREASURY.xlsx]Sheet1!R188C8</stp>
        <tr r="H188" s="1"/>
      </tp>
      <tp t="s">
        <v>UNITED STATES</v>
        <stp/>
        <stp>##V3_BDPV12</stp>
        <stp>912828FD Govt</stp>
        <stp>COUNTRY_FULL_NAME</stp>
        <stp>[TREASURY.xlsx]Sheet1!R650C8</stp>
        <tr r="H650" s="1"/>
      </tp>
      <tp t="s">
        <v>UNITED STATES</v>
        <stp/>
        <stp>##V3_BDPV12</stp>
        <stp>912828G5 Govt</stp>
        <stp>COUNTRY_FULL_NAME</stp>
        <stp>[TREASURY.xlsx]Sheet1!R230C8</stp>
        <tr r="H230" s="1"/>
      </tp>
      <tp t="s">
        <v>UNITED STATES</v>
        <stp/>
        <stp>##V3_BDPV12</stp>
        <stp>912828G7 Govt</stp>
        <stp>COUNTRY_FULL_NAME</stp>
        <stp>[TREASURY.xlsx]Sheet1!R560C8</stp>
        <tr r="H560" s="1"/>
      </tp>
      <tp t="s">
        <v>UNITED STATES</v>
        <stp/>
        <stp>##V3_BDPV12</stp>
        <stp>912828HY Govt</stp>
        <stp>COUNTRY_FULL_NAME</stp>
        <stp>[TREASURY.xlsx]Sheet1!R450C8</stp>
        <tr r="H450" s="1"/>
      </tp>
      <tp t="s">
        <v>UNITED STATES</v>
        <stp/>
        <stp>##V3_BDPV12</stp>
        <stp>912828HE Govt</stp>
        <stp>COUNTRY_FULL_NAME</stp>
        <stp>[TREASURY.xlsx]Sheet1!R850C8</stp>
        <tr r="H850" s="1"/>
      </tp>
      <tp t="s">
        <v>UNITED STATES</v>
        <stp/>
        <stp>##V3_BDPV12</stp>
        <stp>912828HH Govt</stp>
        <stp>COUNTRY_FULL_NAME</stp>
        <stp>[TREASURY.xlsx]Sheet1!R470C8</stp>
        <tr r="H470" s="1"/>
      </tp>
      <tp t="s">
        <v>UNITED STATES</v>
        <stp/>
        <stp>##V3_BDPV12</stp>
        <stp>912828HF Govt</stp>
        <stp>COUNTRY_FULL_NAME</stp>
        <stp>[TREASURY.xlsx]Sheet1!R970C8</stp>
        <tr r="H970" s="1"/>
      </tp>
      <tp t="s">
        <v>UNITED STATES</v>
        <stp/>
        <stp>##V3_BDPV12</stp>
        <stp>912828JJ Govt</stp>
        <stp>COUNTRY_FULL_NAME</stp>
        <stp>[TREASURY.xlsx]Sheet1!R690C8</stp>
        <tr r="H690" s="1"/>
      </tp>
      <tp t="s">
        <v>UNITED STATES</v>
        <stp/>
        <stp>##V3_BDPV12</stp>
        <stp>912828JM Govt</stp>
        <stp>COUNTRY_FULL_NAME</stp>
        <stp>[TREASURY.xlsx]Sheet1!R810C8</stp>
        <tr r="H810" s="1"/>
      </tp>
      <tp t="s">
        <v>UNITED STATES</v>
        <stp/>
        <stp>##V3_BDPV12</stp>
        <stp>912828L6 Govt</stp>
        <stp>COUNTRY_FULL_NAME</stp>
        <stp>[TREASURY.xlsx]Sheet1!R430C8</stp>
        <tr r="H430" s="1"/>
      </tp>
      <tp t="s">
        <v>UNITED STATES</v>
        <stp/>
        <stp>##V3_BDPV12</stp>
        <stp>912828M8 Govt</stp>
        <stp>COUNTRY_FULL_NAME</stp>
        <stp>[TREASURY.xlsx]Sheet1!R150C8</stp>
        <tr r="H150" s="1"/>
      </tp>
      <tp t="s">
        <v>UNITED STATES</v>
        <stp/>
        <stp>##V3_BDPV12</stp>
        <stp>912828MG Govt</stp>
        <stp>COUNTRY_FULL_NAME</stp>
        <stp>[TREASURY.xlsx]Sheet1!R860C8</stp>
        <tr r="H860" s="1"/>
      </tp>
      <tp t="s">
        <v>UNITED STATES</v>
        <stp/>
        <stp>##V3_BDPV12</stp>
        <stp>912828MJ Govt</stp>
        <stp>COUNTRY_FULL_NAME</stp>
        <stp>[TREASURY.xlsx]Sheet1!R820C8</stp>
        <tr r="H820" s="1"/>
      </tp>
      <tp t="s">
        <v>UNITED STATES</v>
        <stp/>
        <stp>##V3_BDPV12</stp>
        <stp>912828N2 Govt</stp>
        <stp>COUNTRY_FULL_NAME</stp>
        <stp>[TREASURY.xlsx]Sheet1!R440C8</stp>
        <tr r="H440" s="1"/>
      </tp>
      <tp t="s">
        <v>UNITED STATES</v>
        <stp/>
        <stp>##V3_BDPV12</stp>
        <stp>912828N5 Govt</stp>
        <stp>COUNTRY_FULL_NAME</stp>
        <stp>[TREASURY.xlsx]Sheet1!R600C8</stp>
        <tr r="H600" s="1"/>
      </tp>
      <tp t="s">
        <v>UNITED STATES</v>
        <stp/>
        <stp>##V3_BDPV12</stp>
        <stp>912828NX Govt</stp>
        <stp>COUNTRY_FULL_NAME</stp>
        <stp>[TREASURY.xlsx]Sheet1!R980C8</stp>
        <tr r="H980" s="1"/>
      </tp>
      <tp t="s">
        <v>UNITED STATES</v>
        <stp/>
        <stp>##V3_BDPV12</stp>
        <stp>912828PJ Govt</stp>
        <stp>COUNTRY_FULL_NAME</stp>
        <stp>[TREASURY.xlsx]Sheet1!R630C8</stp>
        <tr r="H630" s="1"/>
      </tp>
      <tp t="s">
        <v>912827G97</v>
        <stp/>
        <stp>##V3_BDPV12</stp>
        <stp>912827G9 Govt</stp>
        <stp>ID_CUSIP</stp>
        <stp>[TREASURY.xlsx]Sheet1!R1486C19</stp>
        <tr r="S1486" s="1"/>
      </tp>
      <tp t="s">
        <v>UNITED STATES</v>
        <stp/>
        <stp>##V3_BDPV12</stp>
        <stp>912828QP Govt</stp>
        <stp>COUNTRY_FULL_NAME</stp>
        <stp>[TREASURY.xlsx]Sheet1!R550C8</stp>
        <tr r="H550" s="1"/>
      </tp>
      <tp t="s">
        <v>UNITED STATES</v>
        <stp/>
        <stp>##V3_BDPV12</stp>
        <stp>912828QG Govt</stp>
        <stp>COUNTRY_FULL_NAME</stp>
        <stp>[TREASURY.xlsx]Sheet1!R990C8</stp>
        <tr r="H990" s="1"/>
      </tp>
      <tp t="s">
        <v>UNITED STATES</v>
        <stp/>
        <stp>##V3_BDPV12</stp>
        <stp>912810QK Govt</stp>
        <stp>COUNTRY_FULL_NAME</stp>
        <stp>[TREASURY.xlsx]Sheet1!R238C8</stp>
        <tr r="H238" s="1"/>
      </tp>
      <tp t="s">
        <v>UNITED STATES</v>
        <stp/>
        <stp>##V3_BDPV12</stp>
        <stp>912810QC Govt</stp>
        <stp>COUNTRY_FULL_NAME</stp>
        <stp>[TREASURY.xlsx]Sheet1!R318C8</stp>
        <tr r="H318" s="1"/>
      </tp>
      <tp t="s">
        <v>UNITED STATES</v>
        <stp/>
        <stp>##V3_BDPV12</stp>
        <stp>912828R3 Govt</stp>
        <stp>COUNTRY_FULL_NAME</stp>
        <stp>[TREASURY.xlsx]Sheet1!R130C8</stp>
        <tr r="H130" s="1"/>
      </tp>
      <tp t="s">
        <v>UNITED STATES</v>
        <stp/>
        <stp>##V3_BDPV12</stp>
        <stp>912828RT Govt</stp>
        <stp>COUNTRY_FULL_NAME</stp>
        <stp>[TREASURY.xlsx]Sheet1!R420C8</stp>
        <tr r="H420" s="1"/>
      </tp>
      <tp t="s">
        <v>UNITED STATES</v>
        <stp/>
        <stp>##V3_BDPV12</stp>
        <stp>912810RP Govt</stp>
        <stp>COUNTRY_FULL_NAME</stp>
        <stp>[TREASURY.xlsx]Sheet1!R278C8</stp>
        <tr r="H278" s="1"/>
      </tp>
      <tp t="s">
        <v>UNITED STATES</v>
        <stp/>
        <stp>##V3_BDPV12</stp>
        <stp>912828SX Govt</stp>
        <stp>COUNTRY_FULL_NAME</stp>
        <stp>[TREASURY.xlsx]Sheet1!R870C8</stp>
        <tr r="H870" s="1"/>
      </tp>
      <tp t="s">
        <v>UNITED STATES</v>
        <stp/>
        <stp>##V3_BDPV12</stp>
        <stp>912828SN Govt</stp>
        <stp>COUNTRY_FULL_NAME</stp>
        <stp>[TREASURY.xlsx]Sheet1!R670C8</stp>
        <tr r="H670" s="1"/>
      </tp>
      <tp t="s">
        <v>UNITED STATES</v>
        <stp/>
        <stp>##V3_BDPV12</stp>
        <stp>912828SH Govt</stp>
        <stp>COUNTRY_FULL_NAME</stp>
        <stp>[TREASURY.xlsx]Sheet1!R360C8</stp>
        <tr r="H360" s="1"/>
      </tp>
      <tp t="s">
        <v>UNITED STATES</v>
        <stp/>
        <stp>##V3_BDPV12</stp>
        <stp>912828TS Govt</stp>
        <stp>COUNTRY_FULL_NAME</stp>
        <stp>[TREASURY.xlsx]Sheet1!R490C8</stp>
        <tr r="H490" s="1"/>
      </tp>
      <tp t="s">
        <v>UNITED STATES</v>
        <stp/>
        <stp>##V3_BDPV12</stp>
        <stp>912828TA Govt</stp>
        <stp>COUNTRY_FULL_NAME</stp>
        <stp>[TREASURY.xlsx]Sheet1!R520C8</stp>
        <tr r="H520" s="1"/>
      </tp>
      <tp t="s">
        <v>UNITED STATES</v>
        <stp/>
        <stp>##V3_BDPV12</stp>
        <stp>912828UB Govt</stp>
        <stp>COUNTRY_FULL_NAME</stp>
        <stp>[TREASURY.xlsx]Sheet1!R540C8</stp>
        <tr r="H540" s="1"/>
      </tp>
      <tp t="s">
        <v>UNITED STATES</v>
        <stp/>
        <stp>##V3_BDPV12</stp>
        <stp>912828V2 Govt</stp>
        <stp>COUNTRY_FULL_NAME</stp>
        <stp>[TREASURY.xlsx]Sheet1!R250C8</stp>
        <tr r="H250" s="1"/>
      </tp>
      <tp t="s">
        <v>UNITED STATES</v>
        <stp/>
        <stp>##V3_BDPV12</stp>
        <stp>912828VQ Govt</stp>
        <stp>COUNTRY_FULL_NAME</stp>
        <stp>[TREASURY.xlsx]Sheet1!R880C8</stp>
        <tr r="H880" s="1"/>
      </tp>
      <tp t="s">
        <v>912827G89</v>
        <stp/>
        <stp>##V3_BDPV12</stp>
        <stp>912827G8 Govt</stp>
        <stp>ID_CUSIP</stp>
        <stp>[TREASURY.xlsx]Sheet1!R1374C19</stp>
        <tr r="S1374" s="1"/>
      </tp>
      <tp t="s">
        <v>UNITED STATES</v>
        <stp/>
        <stp>##V3_BDPV12</stp>
        <stp>912828W6 Govt</stp>
        <stp>COUNTRY_FULL_NAME</stp>
        <stp>[TREASURY.xlsx]Sheet1!R480C8</stp>
        <tr r="H480" s="1"/>
      </tp>
      <tp t="s">
        <v>UNITED STATES</v>
        <stp/>
        <stp>##V3_BDPV12</stp>
        <stp>912828WW Govt</stp>
        <stp>COUNTRY_FULL_NAME</stp>
        <stp>[TREASURY.xlsx]Sheet1!R340C8</stp>
        <tr r="H340" s="1"/>
      </tp>
      <tp t="s">
        <v>UNITED STATES</v>
        <stp/>
        <stp>##V3_BDPV12</stp>
        <stp>912828WG Govt</stp>
        <stp>COUNTRY_FULL_NAME</stp>
        <stp>[TREASURY.xlsx]Sheet1!R370C8</stp>
        <tr r="H370" s="1"/>
      </tp>
      <tp t="s">
        <v>UNITED STATES</v>
        <stp/>
        <stp>##V3_BDPV12</stp>
        <stp>912828WF Govt</stp>
        <stp>COUNTRY_FULL_NAME</stp>
        <stp>[TREASURY.xlsx]Sheet1!R680C8</stp>
        <tr r="H680" s="1"/>
      </tp>
      <tp t="s">
        <v>912827G48</v>
        <stp/>
        <stp>##V3_BDPV12</stp>
        <stp>912827G4 Govt</stp>
        <stp>ID_CUSIP</stp>
        <stp>[TREASURY.xlsx]Sheet1!R1035C19</stp>
        <tr r="S1035" s="1"/>
      </tp>
      <tp t="s">
        <v>912827G55</v>
        <stp/>
        <stp>##V3_BDPV12</stp>
        <stp>912827G5 Govt</stp>
        <stp>ID_CUSIP</stp>
        <stp>[TREASURY.xlsx]Sheet1!R1156C19</stp>
        <tr r="S1156" s="1"/>
      </tp>
      <tp t="s">
        <v>UNITED STATES</v>
        <stp/>
        <stp>##V3_BDPV12</stp>
        <stp>912828X7 Govt</stp>
        <stp>COUNTRY_FULL_NAME</stp>
        <stp>[TREASURY.xlsx]Sheet1!R300C8</stp>
        <tr r="H300" s="1"/>
      </tp>
      <tp t="s">
        <v>UNITED STATES</v>
        <stp/>
        <stp>##V3_BDPV12</stp>
        <stp>912828YZ Govt</stp>
        <stp>COUNTRY_FULL_NAME</stp>
        <stp>[TREASURY.xlsx]Sheet1!R170C8</stp>
        <tr r="H170" s="1"/>
      </tp>
      <tp t="s">
        <v>912828G46</v>
        <stp/>
        <stp>##V3_BDPV12</stp>
        <stp>912828G4 Govt</stp>
        <stp>ID_CUSIP</stp>
        <stp>[TREASURY.xlsx]Sheet1!R1281C19</stp>
        <tr r="S1281" s="1"/>
      </tp>
      <tp t="s">
        <v>912827G63</v>
        <stp/>
        <stp>##V3_BDPV12</stp>
        <stp>912827G6 Govt</stp>
        <stp>ID_CUSIP</stp>
        <stp>[TREASURY.xlsx]Sheet1!R1036C19</stp>
        <tr r="S1036" s="1"/>
      </tp>
      <tp t="s">
        <v>UNITED STATES</v>
        <stp/>
        <stp>##V3_BDPV12</stp>
        <stp>912828Z2 Govt</stp>
        <stp>COUNTRY_FULL_NAME</stp>
        <stp>[TREASURY.xlsx]Sheet1!R210C8</stp>
        <tr r="H210" s="1"/>
      </tp>
      <tp t="s">
        <v>UNITED STATES</v>
        <stp/>
        <stp>##V3_BDPV12</stp>
        <stp>912828ZA Govt</stp>
        <stp>COUNTRY_FULL_NAME</stp>
        <stp>[TREASURY.xlsx]Sheet1!R190C8</stp>
        <tr r="H190" s="1"/>
      </tp>
      <tp t="s">
        <v>912827G71</v>
        <stp/>
        <stp>##V3_BDPV12</stp>
        <stp>912827G7 Govt</stp>
        <stp>ID_CUSIP</stp>
        <stp>[TREASURY.xlsx]Sheet1!R1037C19</stp>
        <tr r="S1037" s="1"/>
      </tp>
      <tp t="s">
        <v>912828G20</v>
        <stp/>
        <stp>##V3_BDPV12</stp>
        <stp>912828G2 Govt</stp>
        <stp>ID_CUSIP</stp>
        <stp>[TREASURY.xlsx]Sheet1!R1280C19</stp>
        <tr r="S1280" s="1"/>
      </tp>
      <tp t="s">
        <v>912827G22</v>
        <stp/>
        <stp>##V3_BDPV12</stp>
        <stp>912827G2 Govt</stp>
        <stp>ID_CUSIP</stp>
        <stp>[TREASURY.xlsx]Sheet1!R1034C19</stp>
        <tr r="S1034" s="1"/>
      </tp>
      <tp t="s">
        <v>912810SX7</v>
        <stp/>
        <stp>##V3_BDPV12</stp>
        <stp>912810SX Govt</stp>
        <stp>ID_CUSIP</stp>
        <stp>[TREASURY.xlsx]Sheet1!R8C19</stp>
        <tr r="S8" s="1"/>
      </tp>
      <tp t="s">
        <v>91282CCX7</v>
        <stp/>
        <stp>##V3_BDPV12</stp>
        <stp>91282CCX Govt</stp>
        <stp>ID_CUSIP</stp>
        <stp>[TREASURY.xlsx]Sheet1!R5C19</stp>
        <tr r="S5" s="1"/>
      </tp>
      <tp t="s">
        <v>8/31/2013</v>
        <stp/>
        <stp>##V3_BDPV12</stp>
        <stp>912828RD Govt</stp>
        <stp>MATURITY</stp>
        <stp>[TREASURY.xlsx]Sheet1!R1265C5</stp>
        <tr r="E1265" s="1"/>
      </tp>
      <tp t="s">
        <v>2/28/2015</v>
        <stp/>
        <stp>##V3_BDPV12</stp>
        <stp>912828UP Govt</stp>
        <stp>MATURITY</stp>
        <stp>[TREASURY.xlsx]Sheet1!R1145C5</stp>
        <tr r="E1145" s="1"/>
      </tp>
      <tp t="s">
        <v>1/15/2016</v>
        <stp/>
        <stp>##V3_BDPV12</stp>
        <stp>912828UG Govt</stp>
        <stp>MATURITY</stp>
        <stp>[TREASURY.xlsx]Sheet1!R1135C5</stp>
        <tr r="E1135" s="1"/>
      </tp>
      <tp t="s">
        <v>10/15/2016</v>
        <stp/>
        <stp>##V3_BDPV12</stp>
        <stp>912828WA Govt</stp>
        <stp>MATURITY</stp>
        <stp>[TREASURY.xlsx]Sheet1!R1005C5</stp>
        <tr r="E1005" s="1"/>
      </tp>
      <tp t="s">
        <v>8/31/2020</v>
        <stp/>
        <stp>##V3_BDPV12</stp>
        <stp>912828VV Govt</stp>
        <stp>MATURITY</stp>
        <stp>[TREASURY.xlsx]Sheet1!R1305C5</stp>
        <tr r="E1305" s="1"/>
      </tp>
      <tp t="s">
        <v>T</v>
        <stp/>
        <stp>##V3_BDPV12</stp>
        <stp>912828Y2 Govt</stp>
        <stp>TICKER</stp>
        <stp>[TREASURY.xlsx]Sheet1!R336C2</stp>
        <tr r="B336" s="1"/>
      </tp>
      <tp t="s">
        <v>T</v>
        <stp/>
        <stp>##V3_BDPV12</stp>
        <stp>912827W3 Govt</stp>
        <stp>TICKER</stp>
        <stp>[TREASURY.xlsx]Sheet1!R928C2</stp>
        <tr r="B928" s="1"/>
      </tp>
      <tp t="s">
        <v>8/15/2006</v>
        <stp/>
        <stp>##V3_BDPV12</stp>
        <stp>912828BF Govt</stp>
        <stp>MATURITY</stp>
        <stp>[TREASURY.xlsx]Sheet1!R1235C5</stp>
        <tr r="E1235" s="1"/>
      </tp>
      <tp t="s">
        <v>7/31/2005</v>
        <stp/>
        <stp>##V3_BDPV12</stp>
        <stp>912828BE Govt</stp>
        <stp>MATURITY</stp>
        <stp>[TREASURY.xlsx]Sheet1!R1425C5</stp>
        <tr r="E1425" s="1"/>
      </tp>
      <tp t="s">
        <v>11/15/2010</v>
        <stp/>
        <stp>##V3_BDPV12</stp>
        <stp>912828EM Govt</stp>
        <stp>MATURITY</stp>
        <stp>[TREASURY.xlsx]Sheet1!R1115C5</stp>
        <tr r="E1115" s="1"/>
      </tp>
      <tp t="s">
        <v>2/15/2017</v>
        <stp/>
        <stp>##V3_BDPV12</stp>
        <stp>912828GH Govt</stp>
        <stp>MATURITY</stp>
        <stp>[TREASURY.xlsx]Sheet1!R1435C5</stp>
        <tr r="E1435" s="1"/>
      </tp>
      <tp t="s">
        <v>7/31/2011</v>
        <stp/>
        <stp>##V3_BDPV12</stp>
        <stp>912828FN Govt</stp>
        <stp>MATURITY</stp>
        <stp>[TREASURY.xlsx]Sheet1!R1275C5</stp>
        <tr r="E1275" s="1"/>
      </tp>
      <tp t="s">
        <v>2/28/2010</v>
        <stp/>
        <stp>##V3_BDPV12</stp>
        <stp>912828HS Govt</stp>
        <stp>MATURITY</stp>
        <stp>[TREASURY.xlsx]Sheet1!R1245C5</stp>
        <tr r="E1245" s="1"/>
      </tp>
      <tp t="s">
        <v>5/15/2012</v>
        <stp/>
        <stp>##V3_BDPV12</stp>
        <stp>912828KP Govt</stp>
        <stp>MATURITY</stp>
        <stp>[TREASURY.xlsx]Sheet1!R1125C5</stp>
        <tr r="E1125" s="1"/>
      </tp>
      <tp t="s">
        <v>7/31/2027</v>
        <stp/>
        <stp>##V3_BDPV12</stp>
        <stp>91282CAD Govt</stp>
        <stp>MATURITY</stp>
        <stp>[TREASURY.xlsx]Sheet1!R132C5</stp>
        <tr r="E132" s="1"/>
      </tp>
      <tp t="s">
        <v>9/30/2027</v>
        <stp/>
        <stp>##V3_BDPV12</stp>
        <stp>91282CAL Govt</stp>
        <stp>MATURITY</stp>
        <stp>[TREASURY.xlsx]Sheet1!R142C5</stp>
        <tr r="E142" s="1"/>
      </tp>
      <tp t="s">
        <v>10/31/2027</v>
        <stp/>
        <stp>##V3_BDPV12</stp>
        <stp>91282CAU Govt</stp>
        <stp>MATURITY</stp>
        <stp>[TREASURY.xlsx]Sheet1!R102C5</stp>
        <tr r="E102" s="1"/>
      </tp>
      <tp t="s">
        <v>5/31/2010</v>
        <stp/>
        <stp>##V3_BDPV12</stp>
        <stp>912828JA Govt</stp>
        <stp>MATURITY</stp>
        <stp>[TREASURY.xlsx]Sheet1!R1285C5</stp>
        <tr r="E1285" s="1"/>
      </tp>
      <tp t="s">
        <v>4/30/2015</v>
        <stp/>
        <stp>##V3_BDPV12</stp>
        <stp>912828MZ Govt</stp>
        <stp>MATURITY</stp>
        <stp>[TREASURY.xlsx]Sheet1!R1255C5</stp>
        <tr r="E1255" s="1"/>
      </tp>
      <tp t="s">
        <v>9/30/2015</v>
        <stp/>
        <stp>##V3_BDPV12</stp>
        <stp>912828NZ Govt</stp>
        <stp>MATURITY</stp>
        <stp>[TREASURY.xlsx]Sheet1!R1295C5</stp>
        <tr r="E1295" s="1"/>
      </tp>
      <tp t="s">
        <v>3/31/2023</v>
        <stp/>
        <stp>##V3_BDPV12</stp>
        <stp>9128284D Govt</stp>
        <stp>MATURITY</stp>
        <stp>[TREASURY.xlsx]Sheet1!R202C5</stp>
        <tr r="E202" s="1"/>
      </tp>
      <tp t="s">
        <v>1/31/2021</v>
        <stp/>
        <stp>##V3_BDPV12</stp>
        <stp>9128285X Govt</stp>
        <stp>MATURITY</stp>
        <stp>[TREASURY.xlsx]Sheet1!R372C5</stp>
        <tr r="E372" s="1"/>
      </tp>
      <tp t="s">
        <v>4/30/2026</v>
        <stp/>
        <stp>##V3_BDPV12</stp>
        <stp>9128286S Govt</stp>
        <stp>MATURITY</stp>
        <stp>[TREASURY.xlsx]Sheet1!R322C5</stp>
        <tr r="E322" s="1"/>
      </tp>
      <tp t="s">
        <v>2/15/2022</v>
        <stp/>
        <stp>##V3_BDPV12</stp>
        <stp>9128286C Govt</stp>
        <stp>MATURITY</stp>
        <stp>[TREASURY.xlsx]Sheet1!R272C5</stp>
        <tr r="E272" s="1"/>
      </tp>
      <tp t="s">
        <v>9/30/2020</v>
        <stp/>
        <stp>##V3_BDPV12</stp>
        <stp>9128285B Govt</stp>
        <stp>MATURITY</stp>
        <stp>[TREASURY.xlsx]Sheet1!R442C5</stp>
        <tr r="E442" s="1"/>
      </tp>
      <tp t="s">
        <v>1/31/2025</v>
        <stp/>
        <stp>##V3_BDPV12</stp>
        <stp>9128283V Govt</stp>
        <stp>MATURITY</stp>
        <stp>[TREASURY.xlsx]Sheet1!R242C5</stp>
        <tr r="E242" s="1"/>
      </tp>
      <tp t="s">
        <v>9/15/2020</v>
        <stp/>
        <stp>##V3_BDPV12</stp>
        <stp>9128282V Govt</stp>
        <stp>MATURITY</stp>
        <stp>[TREASURY.xlsx]Sheet1!R362C5</stp>
        <tr r="E362" s="1"/>
      </tp>
      <tp t="s">
        <v>8/31/2022</v>
        <stp/>
        <stp>##V3_BDPV12</stp>
        <stp>9128282S Govt</stp>
        <stp>MATURITY</stp>
        <stp>[TREASURY.xlsx]Sheet1!R212C5</stp>
        <tr r="E212" s="1"/>
      </tp>
      <tp t="s">
        <v>8/31/2024</v>
        <stp/>
        <stp>##V3_BDPV12</stp>
        <stp>9128282U Govt</stp>
        <stp>MATURITY</stp>
        <stp>[TREASURY.xlsx]Sheet1!R252C5</stp>
        <tr r="E252" s="1"/>
      </tp>
      <tp t="s">
        <v>8/31/2021</v>
        <stp/>
        <stp>##V3_BDPV12</stp>
        <stp>912828D7 Govt</stp>
        <stp>MATURITY</stp>
        <stp>[TREASURY.xlsx]Sheet1!R332C5</stp>
        <tr r="E332" s="1"/>
      </tp>
      <tp t="s">
        <v>3/31/2016</v>
        <stp/>
        <stp>##V3_BDPV12</stp>
        <stp>912828C4 Govt</stp>
        <stp>MATURITY</stp>
        <stp>[TREASURY.xlsx]Sheet1!R492C5</stp>
        <tr r="E492" s="1"/>
      </tp>
      <tp t="s">
        <v>11/15/2014</v>
        <stp/>
        <stp>##V3_BDPV12</stp>
        <stp>912828DC Govt</stp>
        <stp>MATURITY</stp>
        <stp>[TREASURY.xlsx]Sheet1!R352C5</stp>
        <tr r="E352" s="1"/>
      </tp>
      <tp t="s">
        <v>2/28/2005</v>
        <stp/>
        <stp>##V3_BDPV12</stp>
        <stp>912828AV Govt</stp>
        <stp>MATURITY</stp>
        <stp>[TREASURY.xlsx]Sheet1!R602C5</stp>
        <tr r="E602" s="1"/>
      </tp>
      <tp t="s">
        <v>8/15/2009</v>
        <stp/>
        <stp>##V3_BDPV12</stp>
        <stp>912828CS Govt</stp>
        <stp>MATURITY</stp>
        <stp>[TREASURY.xlsx]Sheet1!R462C5</stp>
        <tr r="E462" s="1"/>
      </tp>
      <tp t="s">
        <v>5/15/2013</v>
        <stp/>
        <stp>##V3_BDPV12</stp>
        <stp>912828NC Govt</stp>
        <stp>MATURITY</stp>
        <stp>[TREASURY.xlsx]Sheet1!R862C5</stp>
        <tr r="E862" s="1"/>
      </tp>
      <tp t="s">
        <v>5/31/2005</v>
        <stp/>
        <stp>##V3_BDPV12</stp>
        <stp>912828BB Govt</stp>
        <stp>MATURITY</stp>
        <stp>[TREASURY.xlsx]Sheet1!R482C5</stp>
        <tr r="E482" s="1"/>
      </tp>
      <tp t="s">
        <v>8/15/2013</v>
        <stp/>
        <stp>##V3_BDPV12</stp>
        <stp>912828BH Govt</stp>
        <stp>MATURITY</stp>
        <stp>[TREASURY.xlsx]Sheet1!R452C5</stp>
        <tr r="E452" s="1"/>
      </tp>
      <tp t="s">
        <v>5/31/2004</v>
        <stp/>
        <stp>##V3_BDPV12</stp>
        <stp>912828AD Govt</stp>
        <stp>MATURITY</stp>
        <stp>[TREASURY.xlsx]Sheet1!R412C5</stp>
        <tr r="E412" s="1"/>
      </tp>
      <tp t="s">
        <v>2/15/2013</v>
        <stp/>
        <stp>##V3_BDPV12</stp>
        <stp>912828MN Govt</stp>
        <stp>MATURITY</stp>
        <stp>[TREASURY.xlsx]Sheet1!R822C5</stp>
        <tr r="E822" s="1"/>
      </tp>
      <tp t="s">
        <v>8/31/2005</v>
        <stp/>
        <stp>##V3_BDPV12</stp>
        <stp>912828BJ Govt</stp>
        <stp>MATURITY</stp>
        <stp>[TREASURY.xlsx]Sheet1!R642C5</stp>
        <tr r="E642" s="1"/>
      </tp>
      <tp t="s">
        <v>11/30/2004</v>
        <stp/>
        <stp>##V3_BDPV12</stp>
        <stp>912828AQ Govt</stp>
        <stp>MATURITY</stp>
        <stp>[TREASURY.xlsx]Sheet1!R512C5</stp>
        <tr r="E512" s="1"/>
      </tp>
      <tp t="s">
        <v>4/30/2005</v>
        <stp/>
        <stp>##V3_BDPV12</stp>
        <stp>912828AX Govt</stp>
        <stp>MATURITY</stp>
        <stp>[TREASURY.xlsx]Sheet1!R502C5</stp>
        <tr r="E502" s="1"/>
      </tp>
      <tp t="s">
        <v>12/31/2019</v>
        <stp/>
        <stp>##V3_BDPV12</stp>
        <stp>912828G9 Govt</stp>
        <stp>MATURITY</stp>
        <stp>[TREASURY.xlsx]Sheet1!R422C5</stp>
        <tr r="E422" s="1"/>
      </tp>
      <tp t="s">
        <v>2/28/2014</v>
        <stp/>
        <stp>##V3_BDPV12</stp>
        <stp>912828KF Govt</stp>
        <stp>MATURITY</stp>
        <stp>[TREASURY.xlsx]Sheet1!R812C5</stp>
        <tr r="E812" s="1"/>
      </tp>
      <tp t="s">
        <v>7/31/2008</v>
        <stp/>
        <stp>##V3_BDPV12</stp>
        <stp>912828FM Govt</stp>
        <stp>MATURITY</stp>
        <stp>[TREASURY.xlsx]Sheet1!R532C5</stp>
        <tr r="E532" s="1"/>
      </tp>
      <tp t="s">
        <v>12/31/2010</v>
        <stp/>
        <stp>##V3_BDPV12</stp>
        <stp>912828JV Govt</stp>
        <stp>MATURITY</stp>
        <stp>[TREASURY.xlsx]Sheet1!R972C5</stp>
        <tr r="E972" s="1"/>
      </tp>
      <tp t="s">
        <v>4/15/2010</v>
        <stp/>
        <stp>##V3_BDPV12</stp>
        <stp>912828DR Govt</stp>
        <stp>MATURITY</stp>
        <stp>[TREASURY.xlsx]Sheet1!R792C5</stp>
        <tr r="E792" s="1"/>
      </tp>
      <tp t="s">
        <v>3/31/2017</v>
        <stp/>
        <stp>##V3_BDPV12</stp>
        <stp>912828J9 Govt</stp>
        <stp>MATURITY</stp>
        <stp>[TREASURY.xlsx]Sheet1!R852C5</stp>
        <tr r="E852" s="1"/>
      </tp>
      <tp t="s">
        <v>4/30/2012</v>
        <stp/>
        <stp>##V3_BDPV12</stp>
        <stp>912828GQ Govt</stp>
        <stp>MATURITY</stp>
        <stp>[TREASURY.xlsx]Sheet1!R672C5</stp>
        <tr r="E672" s="1"/>
      </tp>
      <tp t="s">
        <v>3/31/2021</v>
        <stp/>
        <stp>##V3_BDPV12</stp>
        <stp>912828C5 Govt</stp>
        <stp>MATURITY</stp>
        <stp>[TREASURY.xlsx]Sheet1!R342C5</stp>
        <tr r="E342" s="1"/>
      </tp>
      <tp t="s">
        <v>3/31/2008</v>
        <stp/>
        <stp>##V3_BDPV12</stp>
        <stp>912828EZ Govt</stp>
        <stp>MATURITY</stp>
        <stp>[TREASURY.xlsx]Sheet1!R572C5</stp>
        <tr r="E572" s="1"/>
      </tp>
      <tp t="s">
        <v>2/28/2009</v>
        <stp/>
        <stp>##V3_BDPV12</stp>
        <stp>912828GJ Govt</stp>
        <stp>MATURITY</stp>
        <stp>[TREASURY.xlsx]Sheet1!R802C5</stp>
        <tr r="E802" s="1"/>
      </tp>
      <tp t="s">
        <v>8/15/2018</v>
        <stp/>
        <stp>##V3_BDPV12</stp>
        <stp>912828JH Govt</stp>
        <stp>MATURITY</stp>
        <stp>[TREASURY.xlsx]Sheet1!R542C5</stp>
        <tr r="E542" s="1"/>
      </tp>
      <tp t="s">
        <v>2/28/2011</v>
        <stp/>
        <stp>##V3_BDPV12</stp>
        <stp>912828KE Govt</stp>
        <stp>MATURITY</stp>
        <stp>[TREASURY.xlsx]Sheet1!R582C5</stp>
        <tr r="E582" s="1"/>
      </tp>
      <tp t="s">
        <v>2/15/2010</v>
        <stp/>
        <stp>##V3_BDPV12</stp>
        <stp>912828DL Govt</stp>
        <stp>MATURITY</stp>
        <stp>[TREASURY.xlsx]Sheet1!R962C5</stp>
        <tr r="E962" s="1"/>
      </tp>
      <tp t="s">
        <v>2/15/2016</v>
        <stp/>
        <stp>##V3_BDPV12</stp>
        <stp>912828EW Govt</stp>
        <stp>MATURITY</stp>
        <stp>[TREASURY.xlsx]Sheet1!R842C5</stp>
        <tr r="E842" s="1"/>
      </tp>
      <tp t="s">
        <v>8/31/2015</v>
        <stp/>
        <stp>##V3_BDPV12</stp>
        <stp>912828NV Govt</stp>
        <stp>MATURITY</stp>
        <stp>[TREASURY.xlsx]Sheet1!R382C5</stp>
        <tr r="E382" s="1"/>
      </tp>
      <tp t="s">
        <v>5/31/2017</v>
        <stp/>
        <stp>##V3_BDPV12</stp>
        <stp>912828NG Govt</stp>
        <stp>MATURITY</stp>
        <stp>[TREASURY.xlsx]Sheet1!R562C5</stp>
        <tr r="E562" s="1"/>
      </tp>
      <tp t="s">
        <v>11/30/2020</v>
        <stp/>
        <stp>##V3_BDPV12</stp>
        <stp>912828M9 Govt</stp>
        <stp>MATURITY</stp>
        <stp>[TREASURY.xlsx]Sheet1!R592C5</stp>
        <tr r="E592" s="1"/>
      </tp>
      <tp t="s">
        <v>6/15/2013</v>
        <stp/>
        <stp>##V3_BDPV12</stp>
        <stp>912828NH Govt</stp>
        <stp>MATURITY</stp>
        <stp>[TREASURY.xlsx]Sheet1!R622C5</stp>
        <tr r="E622" s="1"/>
      </tp>
      <tp t="s">
        <v>11/30/2021</v>
        <stp/>
        <stp>##V3_BDPV12</stp>
        <stp>912828U6 Govt</stp>
        <stp>MATURITY</stp>
        <stp>[TREASURY.xlsx]Sheet1!R232C5</stp>
        <tr r="E232" s="1"/>
      </tp>
      <tp t="s">
        <v>5/15/2024</v>
        <stp/>
        <stp>##V3_BDPV12</stp>
        <stp>912828WJ Govt</stp>
        <stp>MATURITY</stp>
        <stp>[TREASURY.xlsx]Sheet1!R182C5</stp>
        <tr r="E182" s="1"/>
      </tp>
      <tp t="s">
        <v>11/30/2012</v>
        <stp/>
        <stp>##V3_BDPV12</stp>
        <stp>912828PV Govt</stp>
        <stp>MATURITY</stp>
        <stp>[TREASURY.xlsx]Sheet1!R652C5</stp>
        <tr r="E652" s="1"/>
      </tp>
      <tp t="s">
        <v>9/30/2023</v>
        <stp/>
        <stp>##V3_BDPV12</stp>
        <stp>912828T2 Govt</stp>
        <stp>MATURITY</stp>
        <stp>[TREASURY.xlsx]Sheet1!R192C5</stp>
        <tr r="E192" s="1"/>
      </tp>
      <tp t="s">
        <v>7/31/2018</v>
        <stp/>
        <stp>##V3_BDPV12</stp>
        <stp>912828S6 Govt</stp>
        <stp>MATURITY</stp>
        <stp>[TREASURY.xlsx]Sheet1!R692C5</stp>
        <tr r="E692" s="1"/>
      </tp>
      <tp t="s">
        <v>1/31/2022</v>
        <stp/>
        <stp>##V3_BDPV12</stp>
        <stp>912828V7 Govt</stp>
        <stp>MATURITY</stp>
        <stp>[TREASURY.xlsx]Sheet1!R262C5</stp>
        <tr r="E262" s="1"/>
      </tp>
      <tp t="s">
        <v>1/31/2023</v>
        <stp/>
        <stp>##V3_BDPV12</stp>
        <stp>912828P3 Govt</stp>
        <stp>MATURITY</stp>
        <stp>[TREASURY.xlsx]Sheet1!R222C5</stp>
        <tr r="E222" s="1"/>
      </tp>
      <tp t="s">
        <v>2/15/2016</v>
        <stp/>
        <stp>##V3_BDPV12</stp>
        <stp>912828UM Govt</stp>
        <stp>MATURITY</stp>
        <stp>[TREASURY.xlsx]Sheet1!R472C5</stp>
        <tr r="E472" s="1"/>
      </tp>
      <tp t="s">
        <v>10/31/2018</v>
        <stp/>
        <stp>##V3_BDPV12</stp>
        <stp>912828WD Govt</stp>
        <stp>MATURITY</stp>
        <stp>[TREASURY.xlsx]Sheet1!R682C5</stp>
        <tr r="E682" s="1"/>
      </tp>
      <tp t="s">
        <v>5/15/2020</v>
        <stp/>
        <stp>##V3_BDPV12</stp>
        <stp>912828X9 Govt</stp>
        <stp>MATURITY</stp>
        <stp>[TREASURY.xlsx]Sheet1!R882C5</stp>
        <tr r="E882" s="1"/>
      </tp>
      <tp t="s">
        <v>6/30/2015</v>
        <stp/>
        <stp>##V3_BDPV12</stp>
        <stp>912828VH Govt</stp>
        <stp>MATURITY</stp>
        <stp>[TREASURY.xlsx]Sheet1!R632C5</stp>
        <tr r="E632" s="1"/>
      </tp>
      <tp t="s">
        <v>9/30/2019</v>
        <stp/>
        <stp>##V3_BDPV12</stp>
        <stp>912828TR Govt</stp>
        <stp>MATURITY</stp>
        <stp>[TREASURY.xlsx]Sheet1!R402C5</stp>
        <tr r="E402" s="1"/>
      </tp>
      <tp t="s">
        <v>3/31/2015</v>
        <stp/>
        <stp>##V3_BDPV12</stp>
        <stp>912828UT Govt</stp>
        <stp>MATURITY</stp>
        <stp>[TREASURY.xlsx]Sheet1!R552C5</stp>
        <tr r="E552" s="1"/>
      </tp>
      <tp t="s">
        <v>7/15/2015</v>
        <stp/>
        <stp>##V3_BDPV12</stp>
        <stp>912828TD Govt</stp>
        <stp>MATURITY</stp>
        <stp>[TREASURY.xlsx]Sheet1!R872C5</stp>
        <tr r="E872" s="1"/>
      </tp>
      <tp t="s">
        <v>3/31/2027</v>
        <stp/>
        <stp>##V3_BDPV12</stp>
        <stp>912828ZE Govt</stp>
        <stp>MATURITY</stp>
        <stp>[TREASURY.xlsx]Sheet1!R112C5</stp>
        <tr r="E112" s="1"/>
      </tp>
      <tp t="s">
        <v>6/15/2023</v>
        <stp/>
        <stp>##V3_BDPV12</stp>
        <stp>912828ZU Govt</stp>
        <stp>MATURITY</stp>
        <stp>[TREASURY.xlsx]Sheet1!R162C5</stp>
        <tr r="E162" s="1"/>
      </tp>
      <tp t="s">
        <v>11/30/2017</v>
        <stp/>
        <stp>##V3_BDPV12</stp>
        <stp>912828PK Govt</stp>
        <stp>MATURITY</stp>
        <stp>[TREASURY.xlsx]Sheet1!R982C5</stp>
        <tr r="E982" s="1"/>
      </tp>
      <tp t="s">
        <v>5/15/2025</v>
        <stp/>
        <stp>##V3_BDPV12</stp>
        <stp>912828XB Govt</stp>
        <stp>MATURITY</stp>
        <stp>[TREASURY.xlsx]Sheet1!R122C5</stp>
        <tr r="E122" s="1"/>
      </tp>
      <tp t="s">
        <v>6/15/2014</v>
        <stp/>
        <stp>##V3_BDPV12</stp>
        <stp>912828QS Govt</stp>
        <stp>MATURITY</stp>
        <stp>[TREASURY.xlsx]Sheet1!R992C5</stp>
        <tr r="E992" s="1"/>
      </tp>
      <tp t="s">
        <v>10/15/2020</v>
        <stp/>
        <stp>##V3_BDPV12</stp>
        <stp>9128282Z Govt</stp>
        <stp>MATURITY</stp>
        <stp>[TREASURY.xlsx]Sheet1!R1615C5</stp>
        <tr r="E1615" s="1"/>
      </tp>
      <tp t="s">
        <v>9/15/2019</v>
        <stp/>
        <stp>##V3_BDPV12</stp>
        <stp>9128282G Govt</stp>
        <stp>MATURITY</stp>
        <stp>[TREASURY.xlsx]Sheet1!R1105C5</stp>
        <tr r="E1105" s="1"/>
      </tp>
      <tp t="s">
        <v>11/15/2021</v>
        <stp/>
        <stp>##V3_BDPV12</stp>
        <stp>912810EL Govt</stp>
        <stp>MATURITY</stp>
        <stp>[TREASURY.xlsx]Sheet1!R211C5</stp>
        <tr r="E211" s="1"/>
      </tp>
      <tp t="s">
        <v>2/15/2001</v>
        <stp/>
        <stp>##V3_BDPV12</stp>
        <stp>912810CT Govt</stp>
        <stp>MATURITY</stp>
        <stp>[TREASURY.xlsx]Sheet1!R501C5</stp>
        <tr r="E501" s="1"/>
      </tp>
      <tp t="s">
        <v>11/15/2001</v>
        <stp/>
        <stp>##V3_BDPV12</stp>
        <stp>912810CX Govt</stp>
        <stp>MATURITY</stp>
        <stp>[TREASURY.xlsx]Sheet1!R661C5</stp>
        <tr r="E661" s="1"/>
      </tp>
      <tp t="s">
        <v>5/15/2021</v>
        <stp/>
        <stp>##V3_BDPV12</stp>
        <stp>912810EJ Govt</stp>
        <stp>MATURITY</stp>
        <stp>[TREASURY.xlsx]Sheet1!R521C5</stp>
        <tr r="E521" s="1"/>
      </tp>
      <tp t="s">
        <v>11/15/2016</v>
        <stp/>
        <stp>##V3_BDPV12</stp>
        <stp>912810DX Govt</stp>
        <stp>MATURITY</stp>
        <stp>[TREASURY.xlsx]Sheet1!R461C5</stp>
        <tr r="E461" s="1"/>
      </tp>
      <tp t="s">
        <v>2/15/2041</v>
        <stp/>
        <stp>##V3_BDPV12</stp>
        <stp>912810QN Govt</stp>
        <stp>MATURITY</stp>
        <stp>[TREASURY.xlsx]Sheet1!R291C5</stp>
        <tr r="E291" s="1"/>
      </tp>
      <tp t="s">
        <v>8/15/2047</v>
        <stp/>
        <stp>##V3_BDPV12</stp>
        <stp>912810RY Govt</stp>
        <stp>MATURITY</stp>
        <stp>[TREASURY.xlsx]Sheet1!R191C5</stp>
        <tr r="E191" s="1"/>
      </tp>
      <tp t="s">
        <v>11/15/2039</v>
        <stp/>
        <stp>##V3_BDPV12</stp>
        <stp>912810QD Govt</stp>
        <stp>MATURITY</stp>
        <stp>[TREASURY.xlsx]Sheet1!R311C5</stp>
        <tr r="E311" s="1"/>
      </tp>
      <tp t="s">
        <v>11/15/2040</v>
        <stp/>
        <stp>##V3_BDPV12</stp>
        <stp>912810QL Govt</stp>
        <stp>MATURITY</stp>
        <stp>[TREASURY.xlsx]Sheet1!R321C5</stp>
        <tr r="E321" s="1"/>
      </tp>
      <tp t="s">
        <v>8/15/2048</v>
        <stp/>
        <stp>##V3_BDPV12</stp>
        <stp>912810SD Govt</stp>
        <stp>MATURITY</stp>
        <stp>[TREASURY.xlsx]Sheet1!R181C5</stp>
        <tr r="E181" s="1"/>
      </tp>
      <tp t="s">
        <v>T</v>
        <stp/>
        <stp>##V3_BDPV12</stp>
        <stp>912828XW Govt</stp>
        <stp>TICKER</stp>
        <stp>[TREASURY.xlsx]Sheet1!R217C2</stp>
        <tr r="B217" s="1"/>
      </tp>
      <tp t="s">
        <v>T</v>
        <stp/>
        <stp>##V3_BDPV12</stp>
        <stp>912827ZU Govt</stp>
        <stp>TICKER</stp>
        <stp>[TREASURY.xlsx]Sheet1!R955C2</stp>
        <tr r="B955" s="1"/>
      </tp>
      <tp t="s">
        <v>NORMAL</v>
        <stp/>
        <stp>##V3_BDPV12</stp>
        <stp>912810RN Govt</stp>
        <stp>MTY_TYP</stp>
        <stp>[TREASURY.xlsx]Sheet1!R293C6</stp>
        <tr r="F293" s="1"/>
      </tp>
      <tp t="s">
        <v>NORMAL</v>
        <stp/>
        <stp>##V3_BDPV12</stp>
        <stp>912810EL Govt</stp>
        <stp>MTY_TYP</stp>
        <stp>[TREASURY.xlsx]Sheet1!R211C6</stp>
        <tr r="F211" s="1"/>
      </tp>
      <tp t="s">
        <v>NORMAL</v>
        <stp/>
        <stp>##V3_BDPV12</stp>
        <stp>912810FJ Govt</stp>
        <stp>MTY_TYP</stp>
        <stp>[TREASURY.xlsx]Sheet1!R267C6</stp>
        <tr r="F267" s="1"/>
      </tp>
      <tp t="s">
        <v>NORMAL</v>
        <stp/>
        <stp>##V3_BDPV12</stp>
        <stp>912810QL Govt</stp>
        <stp>MTY_TYP</stp>
        <stp>[TREASURY.xlsx]Sheet1!R321C6</stp>
        <tr r="F321" s="1"/>
      </tp>
      <tp t="s">
        <v>T</v>
        <stp/>
        <stp>##V3_BDPV12</stp>
        <stp>912827YS Govt</stp>
        <stp>TICKER</stp>
        <stp>[TREASURY.xlsx]Sheet1!R946C2</stp>
        <tr r="B946" s="1"/>
      </tp>
      <tp t="s">
        <v>NORMAL</v>
        <stp/>
        <stp>##V3_BDPV12</stp>
        <stp>912827QL Govt</stp>
        <stp>MTY_TYP</stp>
        <stp>[TREASURY.xlsx]Sheet1!R741C6</stp>
        <tr r="F741" s="1"/>
      </tp>
      <tp t="s">
        <v>NORMAL</v>
        <stp/>
        <stp>##V3_BDPV12</stp>
        <stp>912828RE Govt</stp>
        <stp>MTY_TYP</stp>
        <stp>[TREASURY.xlsx]Sheet1!R868C6</stp>
        <tr r="F868" s="1"/>
      </tp>
      <tp t="s">
        <v>NORMAL</v>
        <stp/>
        <stp>##V3_BDPV12</stp>
        <stp>912828HJ Govt</stp>
        <stp>MTY_TYP</stp>
        <stp>[TREASURY.xlsx]Sheet1!R807C6</stp>
        <tr r="F807" s="1"/>
      </tp>
      <tp t="s">
        <v>NORMAL</v>
        <stp/>
        <stp>##V3_BDPV12</stp>
        <stp>912828MD Govt</stp>
        <stp>MTY_TYP</stp>
        <stp>[TREASURY.xlsx]Sheet1!R859C6</stp>
        <tr r="F859" s="1"/>
      </tp>
      <tp t="s">
        <v>NORMAL</v>
        <stp/>
        <stp>##V3_BDPV12</stp>
        <stp>912828JM Govt</stp>
        <stp>MTY_TYP</stp>
        <stp>[TREASURY.xlsx]Sheet1!R810C6</stp>
        <tr r="F810" s="1"/>
      </tp>
      <tp t="s">
        <v>NORMAL</v>
        <stp/>
        <stp>##V3_BDPV12</stp>
        <stp>912828HD Govt</stp>
        <stp>MTY_TYP</stp>
        <stp>[TREASURY.xlsx]Sheet1!R969C6</stp>
        <tr r="F969" s="1"/>
      </tp>
      <tp t="s">
        <v>NORMAL</v>
        <stp/>
        <stp>##V3_BDPV12</stp>
        <stp>912828DN Govt</stp>
        <stp>MTY_TYP</stp>
        <stp>[TREASURY.xlsx]Sheet1!R963C6</stp>
        <tr r="F963" s="1"/>
      </tp>
      <tp t="s">
        <v>NORMAL</v>
        <stp/>
        <stp>##V3_BDPV12</stp>
        <stp>912827KH Govt</stp>
        <stp>MTY_TYP</stp>
        <stp>[TREASURY.xlsx]Sheet1!R455C6</stp>
        <tr r="F455" s="1"/>
      </tp>
      <tp t="s">
        <v>NORMAL</v>
        <stp/>
        <stp>##V3_BDPV12</stp>
        <stp>912828XE Govt</stp>
        <stp>MTY_TYP</stp>
        <stp>[TREASURY.xlsx]Sheet1!R448C6</stp>
        <tr r="F448" s="1"/>
      </tp>
      <tp t="s">
        <v>NORMAL</v>
        <stp/>
        <stp>##V3_BDPV12</stp>
        <stp>912828QJ Govt</stp>
        <stp>MTY_TYP</stp>
        <stp>[TREASURY.xlsx]Sheet1!R407C6</stp>
        <tr r="F407" s="1"/>
      </tp>
      <tp t="s">
        <v>NORMAL</v>
        <stp/>
        <stp>##V3_BDPV12</stp>
        <stp>912828QL Govt</stp>
        <stp>MTY_TYP</stp>
        <stp>[TREASURY.xlsx]Sheet1!R401C6</stp>
        <tr r="F401" s="1"/>
      </tp>
      <tp t="s">
        <v>NORMAL</v>
        <stp/>
        <stp>##V3_BDPV12</stp>
        <stp>912828VJ Govt</stp>
        <stp>MTY_TYP</stp>
        <stp>[TREASURY.xlsx]Sheet1!R447C6</stp>
        <tr r="F447" s="1"/>
      </tp>
      <tp t="s">
        <v>NORMAL</v>
        <stp/>
        <stp>##V3_BDPV12</stp>
        <stp>912828TH Govt</stp>
        <stp>MTY_TYP</stp>
        <stp>[TREASURY.xlsx]Sheet1!R585C6</stp>
        <tr r="F585" s="1"/>
      </tp>
      <tp t="s">
        <v>NORMAL</v>
        <stp/>
        <stp>##V3_BDPV12</stp>
        <stp>912828QH Govt</stp>
        <stp>MTY_TYP</stp>
        <stp>[TREASURY.xlsx]Sheet1!R595C6</stp>
        <tr r="F595" s="1"/>
      </tp>
      <tp t="s">
        <v>NORMAL</v>
        <stp/>
        <stp>##V3_BDPV12</stp>
        <stp>912828PE Govt</stp>
        <stp>MTY_TYP</stp>
        <stp>[TREASURY.xlsx]Sheet1!R548C6</stp>
        <tr r="F548" s="1"/>
      </tp>
      <tp t="s">
        <v>NORMAL</v>
        <stp/>
        <stp>##V3_BDPV12</stp>
        <stp>912828SL Govt</stp>
        <stp>MTY_TYP</stp>
        <stp>[TREASURY.xlsx]Sheet1!R511C6</stp>
        <tr r="F511" s="1"/>
      </tp>
      <tp t="s">
        <v>NORMAL</v>
        <stp/>
        <stp>##V3_BDPV12</stp>
        <stp>912828LK Govt</stp>
        <stp>MTY_TYP</stp>
        <stp>[TREASURY.xlsx]Sheet1!R546C6</stp>
        <tr r="F546" s="1"/>
      </tp>
      <tp t="s">
        <v>NORMAL</v>
        <stp/>
        <stp>##V3_BDPV12</stp>
        <stp>912827QJ Govt</stp>
        <stp>MTY_TYP</stp>
        <stp>[TREASURY.xlsx]Sheet1!R907C6</stp>
        <tr r="F907" s="1"/>
      </tp>
      <tp t="s">
        <v>NORMAL</v>
        <stp/>
        <stp>##V3_BDPV12</stp>
        <stp>912827PN Govt</stp>
        <stp>MTY_TYP</stp>
        <stp>[TREASURY.xlsx]Sheet1!R903C6</stp>
        <tr r="F903" s="1"/>
      </tp>
      <tp t="s">
        <v>NORMAL</v>
        <stp/>
        <stp>##V3_BDPV12</stp>
        <stp>912828SE Govt</stp>
        <stp>MTY_TYP</stp>
        <stp>[TREASURY.xlsx]Sheet1!R618C6</stp>
        <tr r="F618" s="1"/>
      </tp>
      <tp t="s">
        <v>NORMAL</v>
        <stp/>
        <stp>##V3_BDPV12</stp>
        <stp>912828EK Govt</stp>
        <stp>MTY_TYP</stp>
        <stp>[TREASURY.xlsx]Sheet1!R796C6</stp>
        <tr r="F796" s="1"/>
      </tp>
      <tp t="s">
        <v>NORMAL</v>
        <stp/>
        <stp>##V3_BDPV12</stp>
        <stp>912828BK Govt</stp>
        <stp>MTY_TYP</stp>
        <stp>[TREASURY.xlsx]Sheet1!R786C6</stp>
        <tr r="F786" s="1"/>
      </tp>
      <tp t="s">
        <v>NORMAL</v>
        <stp/>
        <stp>##V3_BDPV12</stp>
        <stp>912827LL Govt</stp>
        <stp>MTY_TYP</stp>
        <stp>[TREASURY.xlsx]Sheet1!R891C6</stp>
        <tr r="F891" s="1"/>
      </tp>
      <tp t="s">
        <v>NORMAL</v>
        <stp/>
        <stp>##V3_BDPV12</stp>
        <stp>912827MJ Govt</stp>
        <stp>MTY_TYP</stp>
        <stp>[TREASURY.xlsx]Sheet1!R897C6</stp>
        <tr r="F897" s="1"/>
      </tp>
      <tp t="s">
        <v>NORMAL</v>
        <stp/>
        <stp>##V3_BDPV12</stp>
        <stp>912828ZH Govt</stp>
        <stp>MTY_TYP</stp>
        <stp>[TREASURY.xlsx]Sheet1!R165C6</stp>
        <tr r="F165" s="1"/>
      </tp>
      <tp t="s">
        <v>NORMAL</v>
        <stp/>
        <stp>##V3_BDPV12</stp>
        <stp>912828YH Govt</stp>
        <stp>MTY_TYP</stp>
        <stp>[TREASURY.xlsx]Sheet1!R135C6</stp>
        <tr r="F135" s="1"/>
      </tp>
      <tp t="s">
        <v>NORMAL</v>
        <stp/>
        <stp>##V3_BDPV12</stp>
        <stp>912828WE Govt</stp>
        <stp>MTY_TYP</stp>
        <stp>[TREASURY.xlsx]Sheet1!R108C6</stp>
        <tr r="F108" s="1"/>
      </tp>
      <tp t="s">
        <v>NORMAL</v>
        <stp/>
        <stp>##V3_BDPV12</stp>
        <stp>912828XD Govt</stp>
        <stp>MTY_TYP</stp>
        <stp>[TREASURY.xlsx]Sheet1!R189C6</stp>
        <tr r="F189" s="1"/>
      </tp>
      <tp t="s">
        <v>T</v>
        <stp/>
        <stp>##V3_BDPV12</stp>
        <stp>912828VP Govt</stp>
        <stp>TICKER</stp>
        <stp>[TREASURY.xlsx]Sheet1!R479C2</stp>
        <tr r="B479" s="1"/>
      </tp>
      <tp t="s">
        <v>T</v>
        <stp/>
        <stp>##V3_BDPV12</stp>
        <stp>912828WP Govt</stp>
        <stp>TICKER</stp>
        <stp>[TREASURY.xlsx]Sheet1!R488C2</stp>
        <tr r="B488" s="1"/>
      </tp>
      <tp t="s">
        <v>T</v>
        <stp/>
        <stp>##V3_BDPV12</stp>
        <stp>912827XP Govt</stp>
        <stp>TICKER</stp>
        <stp>[TREASURY.xlsx]Sheet1!R937C2</stp>
        <tr r="B937" s="1"/>
      </tp>
      <tp t="s">
        <v>5/15/2004</v>
        <stp/>
        <stp>##V3_BDPV12</stp>
        <stp>9128275F Govt</stp>
        <stp>MATURITY</stp>
        <stp>[TREASURY.xlsx]Sheet1!R662C5</stp>
        <tr r="E662" s="1"/>
      </tp>
      <tp t="s">
        <v>11/30/2000</v>
        <stp/>
        <stp>##V3_BDPV12</stp>
        <stp>9128274W Govt</stp>
        <stp>MATURITY</stp>
        <stp>[TREASURY.xlsx]Sheet1!R522C5</stp>
        <tr r="E522" s="1"/>
      </tp>
      <tp t="s">
        <v>7/31/1984</v>
        <stp/>
        <stp>##V3_BDPV12</stp>
        <stp>912827NL Govt</stp>
        <stp>MATURITY</stp>
        <stp>[TREASURY.xlsx]Sheet1!R902C5</stp>
        <tr r="E902" s="1"/>
      </tp>
      <tp t="s">
        <v>4/30/1983</v>
        <stp/>
        <stp>##V3_BDPV12</stp>
        <stp>912827LU Govt</stp>
        <stp>MATURITY</stp>
        <stp>[TREASURY.xlsx]Sheet1!R892C5</stp>
        <tr r="E892" s="1"/>
      </tp>
      <tp t="s">
        <v>1/31/1997</v>
        <stp/>
        <stp>##V3_BDPV12</stp>
        <stp>912827D9 Govt</stp>
        <stp>MATURITY</stp>
        <stp>[TREASURY.xlsx]Sheet1!R702C5</stp>
        <tr r="E702" s="1"/>
      </tp>
      <tp t="s">
        <v>8/15/1990</v>
        <stp/>
        <stp>##V3_BDPV12</stp>
        <stp>912827KY Govt</stp>
        <stp>MATURITY</stp>
        <stp>[TREASURY.xlsx]Sheet1!R712C5</stp>
        <tr r="E712" s="1"/>
      </tp>
      <tp t="s">
        <v>8/31/1983</v>
        <stp/>
        <stp>##V3_BDPV12</stp>
        <stp>912827MF Govt</stp>
        <stp>MATURITY</stp>
        <stp>[TREASURY.xlsx]Sheet1!R722C5</stp>
        <tr r="E722" s="1"/>
      </tp>
      <tp t="s">
        <v>8/15/1985</v>
        <stp/>
        <stp>##V3_BDPV12</stp>
        <stp>912827NM Govt</stp>
        <stp>MATURITY</stp>
        <stp>[TREASURY.xlsx]Sheet1!R732C5</stp>
        <tr r="E732" s="1"/>
      </tp>
      <tp t="s">
        <v>7/31/1982</v>
        <stp/>
        <stp>##V3_BDPV12</stp>
        <stp>912827KW Govt</stp>
        <stp>MATURITY</stp>
        <stp>[TREASURY.xlsx]Sheet1!R392C5</stp>
        <tr r="E392" s="1"/>
      </tp>
      <tp t="s">
        <v>3/31/1986</v>
        <stp/>
        <stp>##V3_BDPV12</stp>
        <stp>912827QP Govt</stp>
        <stp>MATURITY</stp>
        <stp>[TREASURY.xlsx]Sheet1!R742C5</stp>
        <tr r="E742" s="1"/>
      </tp>
      <tp t="s">
        <v>10/15/1997</v>
        <stp/>
        <stp>##V3_BDPV12</stp>
        <stp>912827ZK Govt</stp>
        <stp>MATURITY</stp>
        <stp>[TREASURY.xlsx]Sheet1!R952C5</stp>
        <tr r="E952" s="1"/>
      </tp>
      <tp t="s">
        <v>8/31/1997</v>
        <stp/>
        <stp>##V3_BDPV12</stp>
        <stp>912827U9 Govt</stp>
        <stp>MATURITY</stp>
        <stp>[TREASURY.xlsx]Sheet1!R752C5</stp>
        <tr r="E752" s="1"/>
      </tp>
      <tp t="s">
        <v>10/15/1994</v>
        <stp/>
        <stp>##V3_BDPV12</stp>
        <stp>912827VK Govt</stp>
        <stp>MATURITY</stp>
        <stp>[TREASURY.xlsx]Sheet1!R762C5</stp>
        <tr r="E762" s="1"/>
      </tp>
      <tp t="s">
        <v>9/30/1993</v>
        <stp/>
        <stp>##V3_BDPV12</stp>
        <stp>912827YA Govt</stp>
        <stp>MATURITY</stp>
        <stp>[TREASURY.xlsx]Sheet1!R942C5</stp>
        <tr r="E942" s="1"/>
      </tp>
      <tp t="s">
        <v>3/31/1991</v>
        <stp/>
        <stp>##V3_BDPV12</stp>
        <stp>912827XH Govt</stp>
        <stp>MATURITY</stp>
        <stp>[TREASURY.xlsx]Sheet1!R772C5</stp>
        <tr r="E772" s="1"/>
      </tp>
      <tp t="s">
        <v>7/15/1995</v>
        <stp/>
        <stp>##V3_BDPV12</stp>
        <stp>912827WK Govt</stp>
        <stp>MATURITY</stp>
        <stp>[TREASURY.xlsx]Sheet1!R932C5</stp>
        <tr r="E932" s="1"/>
      </tp>
      <tp t="s">
        <v>10/31/1992</v>
        <stp/>
        <stp>##V3_BDPV12</stp>
        <stp>912827ZL Govt</stp>
        <stp>MATURITY</stp>
        <stp>[TREASURY.xlsx]Sheet1!R782C5</stp>
        <tr r="E782" s="1"/>
      </tp>
      <tp t="s">
        <v>5/15/1990</v>
        <stp/>
        <stp>##V3_BDPV12</stp>
        <stp>912827UV Govt</stp>
        <stp>MATURITY</stp>
        <stp>[TREASURY.xlsx]Sheet1!R922C5</stp>
        <tr r="E922" s="1"/>
      </tp>
      <tp t="s">
        <v>2/15/1990</v>
        <stp/>
        <stp>##V3_BDPV12</stp>
        <stp>912827RP Govt</stp>
        <stp>MATURITY</stp>
        <stp>[TREASURY.xlsx]Sheet1!R912C5</stp>
        <tr r="E912" s="1"/>
      </tp>
      <tp t="s">
        <v>9/30/1989</v>
        <stp/>
        <stp>##V3_BDPV12</stp>
        <stp>912827SU Govt</stp>
        <stp>MATURITY</stp>
        <stp>[TREASURY.xlsx]Sheet1!R832C5</stp>
        <tr r="E832" s="1"/>
      </tp>
      <tp t="s">
        <v>T</v>
        <stp/>
        <stp>##V3_BDPV12</stp>
        <stp>912828WN Govt</stp>
        <stp>TICKER</stp>
        <stp>[TREASURY.xlsx]Sheet1!R338C2</stp>
        <tr r="B338" s="1"/>
      </tp>
      <tp t="s">
        <v>T</v>
        <stp/>
        <stp>##V3_BDPV12</stp>
        <stp>912827ZN Govt</stp>
        <stp>TICKER</stp>
        <stp>[TREASURY.xlsx]Sheet1!R685C2</stp>
        <tr r="B685" s="1"/>
      </tp>
      <tp t="s">
        <v>T</v>
        <stp/>
        <stp>##V3_BDPV12</stp>
        <stp>912827YN Govt</stp>
        <stp>TICKER</stp>
        <stp>[TREASURY.xlsx]Sheet1!R776C2</stp>
        <tr r="B776" s="1"/>
      </tp>
      <tp t="s">
        <v>T</v>
        <stp/>
        <stp>##V3_BDPV12</stp>
        <stp>912828VN Govt</stp>
        <stp>TICKER</stp>
        <stp>[TREASURY.xlsx]Sheet1!R879C2</stp>
        <tr r="B879" s="1"/>
      </tp>
      <tp t="s">
        <v>11/16/2020</v>
        <stp/>
        <stp>##V3_BDPV12</stp>
        <stp>91282CAW Govt</stp>
        <stp>ISSUE_DT</stp>
        <stp>[TREASURY.xlsx]Sheet1!R109C15</stp>
        <tr r="O109" s="1"/>
      </tp>
      <tp t="s">
        <v>11/2/2020</v>
        <stp/>
        <stp>##V3_BDPV12</stp>
        <stp>91282CAU Govt</stp>
        <stp>ISSUE_DT</stp>
        <stp>[TREASURY.xlsx]Sheet1!R102C15</stp>
        <tr r="O102" s="1"/>
      </tp>
      <tp t="s">
        <v>10/15/2020</v>
        <stp/>
        <stp>##V3_BDPV12</stp>
        <stp>91282CAP Govt</stp>
        <stp>ISSUE_DT</stp>
        <stp>[TREASURY.xlsx]Sheet1!R151C15</stp>
        <tr r="O151" s="1"/>
      </tp>
      <tp t="s">
        <v>11/30/2020</v>
        <stp/>
        <stp>##V3_BDPV12</stp>
        <stp>91282CAY Govt</stp>
        <stp>ISSUE_DT</stp>
        <stp>[TREASURY.xlsx]Sheet1!R144C15</stp>
        <tr r="O144" s="1"/>
      </tp>
      <tp t="s">
        <v>7/31/2020</v>
        <stp/>
        <stp>##V3_BDPV12</stp>
        <stp>91282CAC Govt</stp>
        <stp>ISSUE_DT</stp>
        <stp>[TREASURY.xlsx]Sheet1!R120C15</stp>
        <tr r="O120" s="1"/>
      </tp>
      <tp t="s">
        <v>7/31/2020</v>
        <stp/>
        <stp>##V3_BDPV12</stp>
        <stp>91282CAD Govt</stp>
        <stp>ISSUE_DT</stp>
        <stp>[TREASURY.xlsx]Sheet1!R132C15</stp>
        <tr r="O132" s="1"/>
      </tp>
      <tp t="s">
        <v>8/31/2020</v>
        <stp/>
        <stp>##V3_BDPV12</stp>
        <stp>91282CAG Govt</stp>
        <stp>ISSUE_DT</stp>
        <stp>[TREASURY.xlsx]Sheet1!R133C15</stp>
        <tr r="O133" s="1"/>
      </tp>
      <tp t="s">
        <v>9/30/2020</v>
        <stp/>
        <stp>##V3_BDPV12</stp>
        <stp>91282CAL Govt</stp>
        <stp>ISSUE_DT</stp>
        <stp>[TREASURY.xlsx]Sheet1!R142C15</stp>
        <tr r="O142" s="1"/>
      </tp>
      <tp t="s">
        <v>8/17/2020</v>
        <stp/>
        <stp>##V3_BDPV12</stp>
        <stp>91282CAF Govt</stp>
        <stp>ISSUE_DT</stp>
        <stp>[TREASURY.xlsx]Sheet1!R195C15</stp>
        <tr r="O195" s="1"/>
      </tp>
      <tp t="s">
        <v>8/31/2020</v>
        <stp/>
        <stp>##V3_BDPV12</stp>
        <stp>91282CAH Govt</stp>
        <stp>ISSUE_DT</stp>
        <stp>[TREASURY.xlsx]Sheet1!R167C15</stp>
        <tr r="O167" s="1"/>
      </tp>
      <tp t="s">
        <v>4/30/2021</v>
        <stp/>
        <stp>##V3_BDPV12</stp>
        <stp>91282CBZ Govt</stp>
        <stp>ISSUE_DT</stp>
        <stp>[TREASURY.xlsx]Sheet1!R126C15</stp>
        <tr r="O126" s="1"/>
      </tp>
      <tp t="s">
        <v>12/31/2020</v>
        <stp/>
        <stp>##V3_BDPV12</stp>
        <stp>91282CBB Govt</stp>
        <stp>ISSUE_DT</stp>
        <stp>[TREASURY.xlsx]Sheet1!R114C15</stp>
        <tr r="O114" s="1"/>
      </tp>
      <tp t="s">
        <v>1/15/2021</v>
        <stp/>
        <stp>##V3_BDPV12</stp>
        <stp>91282CBE Govt</stp>
        <stp>ISSUE_DT</stp>
        <stp>[TREASURY.xlsx]Sheet1!R115C15</stp>
        <tr r="O115" s="1"/>
      </tp>
      <tp t="s">
        <v>2/1/2021</v>
        <stp/>
        <stp>##V3_BDPV12</stp>
        <stp>91282CBJ Govt</stp>
        <stp>ISSUE_DT</stp>
        <stp>[TREASURY.xlsx]Sheet1!R123C15</stp>
        <tr r="O123" s="1"/>
      </tp>
      <tp t="s">
        <v>2/16/2021</v>
        <stp/>
        <stp>##V3_BDPV12</stp>
        <stp>91282CBM Govt</stp>
        <stp>ISSUE_DT</stp>
        <stp>[TREASURY.xlsx]Sheet1!R107C15</stp>
        <tr r="O107" s="1"/>
      </tp>
      <tp t="s">
        <v>T</v>
        <stp/>
        <stp>##V3_BDPV12</stp>
        <stp>912828ZM Govt</stp>
        <stp>TICKER</stp>
        <stp>[TREASURY.xlsx]Sheet1!R175C2</stp>
        <tr r="B175" s="1"/>
      </tp>
      <tp t="s">
        <v>T</v>
        <stp/>
        <stp>##V3_BDPV12</stp>
        <stp>912828ZH Govt</stp>
        <stp>TICKER</stp>
        <stp>[TREASURY.xlsx]Sheet1!R165C2</stp>
        <tr r="B165" s="1"/>
      </tp>
      <tp t="s">
        <v>T</v>
        <stp/>
        <stp>##V3_BDPV12</stp>
        <stp>912828WE Govt</stp>
        <stp>TICKER</stp>
        <stp>[TREASURY.xlsx]Sheet1!R108C2</stp>
        <tr r="B108" s="1"/>
      </tp>
      <tp t="s">
        <v>T</v>
        <stp/>
        <stp>##V3_BDPV12</stp>
        <stp>912827WC Govt</stp>
        <stp>TICKER</stp>
        <stp>[TREASURY.xlsx]Sheet1!R768C2</stp>
        <tr r="B768" s="1"/>
      </tp>
      <tp t="s">
        <v>T</v>
        <stp/>
        <stp>##V3_BDPV12</stp>
        <stp>912828XA Govt</stp>
        <stp>TICKER</stp>
        <stp>[TREASURY.xlsx]Sheet1!R377C2</stp>
        <tr r="B377" s="1"/>
      </tp>
      <tp t="s">
        <v>T</v>
        <stp/>
        <stp>##V3_BDPV12</stp>
        <stp>912827VA Govt</stp>
        <stp>TICKER</stp>
        <stp>[TREASURY.xlsx]Sheet1!R759C2</stp>
        <tr r="B759" s="1"/>
      </tp>
      <tp t="s">
        <v>9/30/1988</v>
        <stp/>
        <stp>##V3_BDPV12</stp>
        <stp>912827WS Govt</stp>
        <stp>ISSUE_DT</stp>
        <stp>[TREASURY.xlsx]Sheet1!R1420C15</stp>
        <tr r="O1420" s="1"/>
      </tp>
      <tp t="s">
        <v>912828GH7</v>
        <stp/>
        <stp>##V3_BDPV12</stp>
        <stp>912828GH Govt</stp>
        <stp>ID_CUSIP</stp>
        <stp>[TREASURY.xlsx]Sheet1!R1435C19</stp>
        <tr r="S1435" s="1"/>
      </tp>
      <tp t="s">
        <v>T</v>
        <stp/>
        <stp>##V3_BDPV12</stp>
        <stp>912828DS Govt</stp>
        <stp>TICKER</stp>
        <stp>[TREASURY.xlsx]Sheet1!R1428C2</stp>
        <tr r="B1428" s="1"/>
      </tp>
      <tp t="s">
        <v>T</v>
        <stp/>
        <stp>##V3_BDPV12</stp>
        <stp>912828GZ Govt</stp>
        <stp>TICKER</stp>
        <stp>[TREASURY.xlsx]Sheet1!R1121C2</stp>
        <tr r="B1121" s="1"/>
      </tp>
      <tp t="s">
        <v>T</v>
        <stp/>
        <stp>##V3_BDPV12</stp>
        <stp>9128273Z Govt</stp>
        <stp>TICKER</stp>
        <stp>[TREASURY.xlsx]Sheet1!R1361C2</stp>
        <tr r="B1361" s="1"/>
      </tp>
      <tp t="s">
        <v>T</v>
        <stp/>
        <stp>##V3_BDPV12</stp>
        <stp>9128273R Govt</stp>
        <stp>TICKER</stp>
        <stp>[TREASURY.xlsx]Sheet1!R1359C2</stp>
        <tr r="B1359" s="1"/>
      </tp>
      <tp t="s">
        <v>T</v>
        <stp/>
        <stp>##V3_BDPV12</stp>
        <stp>912827SS Govt</stp>
        <stp>TICKER</stp>
        <stp>[TREASURY.xlsx]Sheet1!R1188C2</stp>
        <tr r="B1188" s="1"/>
      </tp>
      <tp t="s">
        <v>T</v>
        <stp/>
        <stp>##V3_BDPV12</stp>
        <stp>912827WX Govt</stp>
        <stp>TICKER</stp>
        <stp>[TREASURY.xlsx]Sheet1!R1593C2</stp>
        <tr r="B1593" s="1"/>
      </tp>
      <tp t="s">
        <v>T</v>
        <stp/>
        <stp>##V3_BDPV12</stp>
        <stp>912827PZ Govt</stp>
        <stp>TICKER</stp>
        <stp>[TREASURY.xlsx]Sheet1!R1571C2</stp>
        <tr r="B1571" s="1"/>
      </tp>
      <tp t="s">
        <v>T</v>
        <stp/>
        <stp>##V3_BDPV12</stp>
        <stp>9128276Y Govt</stp>
        <stp>TICKER</stp>
        <stp>[TREASURY.xlsx]Sheet1!R1542C2</stp>
        <tr r="B1542" s="1"/>
      </tp>
      <tp t="s">
        <v>11/15/1988</v>
        <stp/>
        <stp>##V3_BDPV12</stp>
        <stp>912827WV Govt</stp>
        <stp>ISSUE_DT</stp>
        <stp>[TREASURY.xlsx]Sheet1!R1209C15</stp>
        <tr r="O1209" s="1"/>
      </tp>
      <tp t="s">
        <v>7/15/2014</v>
        <stp/>
        <stp>##V3_BDPV12</stp>
        <stp>912828WT Govt</stp>
        <stp>ISSUE_DT</stp>
        <stp>[TREASURY.xlsx]Sheet1!R1007C15</stp>
        <tr r="O1007" s="1"/>
      </tp>
      <tp t="s">
        <v>8/31/1988</v>
        <stp/>
        <stp>##V3_BDPV12</stp>
        <stp>912827WP Govt</stp>
        <stp>ISSUE_DT</stp>
        <stp>[TREASURY.xlsx]Sheet1!R1419C15</stp>
        <tr r="O1419" s="1"/>
      </tp>
      <tp t="s">
        <v>USD</v>
        <stp/>
        <stp>##V3_BDPV12</stp>
        <stp>912827SQ Govt</stp>
        <stp>CRNCY</stp>
        <stp>[TREASURY.xlsx]Sheet1!R1187C7</stp>
        <tr r="G1187" s="1"/>
      </tp>
      <tp t="s">
        <v>USD</v>
        <stp/>
        <stp>##V3_BDPV12</stp>
        <stp>912827WQ Govt</stp>
        <stp>CRNCY</stp>
        <stp>[TREASURY.xlsx]Sheet1!R1093C7</stp>
        <tr r="G1093" s="1"/>
      </tp>
      <tp t="s">
        <v>2/15/2022</v>
        <stp/>
        <stp>##V3_BDPV12</stp>
        <stp>91282CCS Govt</stp>
        <stp>FIRST_CPN_DT</stp>
        <stp>[TREASURY.xlsx]Sheet1!R2C9</stp>
        <tr r="I2" s="1"/>
      </tp>
      <tp t="s">
        <v>USD</v>
        <stp/>
        <stp>##V3_BDPV12</stp>
        <stp>912827TV Govt</stp>
        <stp>CRNCY</stp>
        <stp>[TREASURY.xlsx]Sheet1!R1510C7</stp>
        <tr r="G1510" s="1"/>
      </tp>
      <tp t="s">
        <v>11/15/1988</v>
        <stp/>
        <stp>##V3_BDPV12</stp>
        <stp>912827WW Govt</stp>
        <stp>ISSUE_DT</stp>
        <stp>[TREASURY.xlsx]Sheet1!R1592C15</stp>
        <tr r="O1592" s="1"/>
      </tp>
      <tp t="s">
        <v>10/31/1988</v>
        <stp/>
        <stp>##V3_BDPV12</stp>
        <stp>912827WU Govt</stp>
        <stp>ISSUE_DT</stp>
        <stp>[TREASURY.xlsx]Sheet1!R1422C15</stp>
        <tr r="O1422" s="1"/>
      </tp>
      <tp t="s">
        <v>6/30/2014</v>
        <stp/>
        <stp>##V3_BDPV12</stp>
        <stp>912828WQ Govt</stp>
        <stp>ISSUE_DT</stp>
        <stp>[TREASURY.xlsx]Sheet1!R1006C15</stp>
        <tr r="O1006" s="1"/>
      </tp>
      <tp t="s">
        <v>912828GK0</v>
        <stp/>
        <stp>##V3_BDPV12</stp>
        <stp>912828GK Govt</stp>
        <stp>ID_CUSIP</stp>
        <stp>[TREASURY.xlsx]Sheet1!R1119C19</stp>
        <tr r="S1119" s="1"/>
      </tp>
      <tp t="s">
        <v>9/1/1988</v>
        <stp/>
        <stp>##V3_BDPV12</stp>
        <stp>912827WQ Govt</stp>
        <stp>ISSUE_DT</stp>
        <stp>[TREASURY.xlsx]Sheet1!R1093C15</stp>
        <tr r="O1093" s="1"/>
      </tp>
      <tp t="s">
        <v>USD</v>
        <stp/>
        <stp>##V3_BDPV12</stp>
        <stp>912827ST Govt</stp>
        <stp>CRNCY</stp>
        <stp>[TREASURY.xlsx]Sheet1!R1067C7</stp>
        <tr r="G1067" s="1"/>
      </tp>
      <tp t="s">
        <v>10/17/1988</v>
        <stp/>
        <stp>##V3_BDPV12</stp>
        <stp>912827WT Govt</stp>
        <stp>ISSUE_DT</stp>
        <stp>[TREASURY.xlsx]Sheet1!R1421C15</stp>
        <tr r="O1421" s="1"/>
      </tp>
      <tp t="s">
        <v>USD</v>
        <stp/>
        <stp>##V3_BDPV12</stp>
        <stp>912828UU Govt</stp>
        <stp>CRNCY</stp>
        <stp>[TREASURY.xlsx]Sheet1!R1001C7</stp>
        <tr r="G1001" s="1"/>
      </tp>
      <tp t="s">
        <v>USD</v>
        <stp/>
        <stp>##V3_BDPV12</stp>
        <stp>912827VU Govt</stp>
        <stp>CRNCY</stp>
        <stp>[TREASURY.xlsx]Sheet1!R1412C7</stp>
        <tr r="G1412" s="1"/>
      </tp>
      <tp t="s">
        <v>USD</v>
        <stp/>
        <stp>##V3_BDPV12</stp>
        <stp>912827WZ Govt</stp>
        <stp>CRNCY</stp>
        <stp>[TREASURY.xlsx]Sheet1!R1423C7</stp>
        <tr r="G1423" s="1"/>
      </tp>
      <tp t="s">
        <v>1/3/1989</v>
        <stp/>
        <stp>##V3_BDPV12</stp>
        <stp>912827WZ Govt</stp>
        <stp>ISSUE_DT</stp>
        <stp>[TREASURY.xlsx]Sheet1!R1423C15</stp>
        <tr r="O1423" s="1"/>
      </tp>
      <tp t="s">
        <v>912828GB0</v>
        <stp/>
        <stp>##V3_BDPV12</stp>
        <stp>912828GB Govt</stp>
        <stp>ID_CUSIP</stp>
        <stp>[TREASURY.xlsx]Sheet1!R1433C19</stp>
        <tr r="S1433" s="1"/>
      </tp>
      <tp t="s">
        <v>11/30/1988</v>
        <stp/>
        <stp>##V3_BDPV12</stp>
        <stp>912827WX Govt</stp>
        <stp>ISSUE_DT</stp>
        <stp>[TREASURY.xlsx]Sheet1!R1593C15</stp>
        <tr r="O1593" s="1"/>
      </tp>
      <tp t="s">
        <v>USD</v>
        <stp/>
        <stp>##V3_BDPV12</stp>
        <stp>912827UX Govt</stp>
        <stp>CRNCY</stp>
        <stp>[TREASURY.xlsx]Sheet1!R1081C7</stp>
        <tr r="G1081" s="1"/>
      </tp>
      <tp t="s">
        <v>USD</v>
        <stp/>
        <stp>##V3_BDPV12</stp>
        <stp>912827WX Govt</stp>
        <stp>CRNCY</stp>
        <stp>[TREASURY.xlsx]Sheet1!R1593C7</stp>
        <tr r="G1593" s="1"/>
      </tp>
      <tp t="s">
        <v>USD</v>
        <stp/>
        <stp>##V3_BDPV12</stp>
        <stp>912827QX Govt</stp>
        <stp>CRNCY</stp>
        <stp>[TREASURY.xlsx]Sheet1!R1575C7</stp>
        <tr r="G1575" s="1"/>
      </tp>
      <tp t="s">
        <v>912828GE4</v>
        <stp/>
        <stp>##V3_BDPV12</stp>
        <stp>912828GE Govt</stp>
        <stp>ID_CUSIP</stp>
        <stp>[TREASURY.xlsx]Sheet1!R1242C19</stp>
        <tr r="S1242" s="1"/>
      </tp>
      <tp t="s">
        <v>USD</v>
        <stp/>
        <stp>##V3_BDPV12</stp>
        <stp>912827QY Govt</stp>
        <stp>CRNCY</stp>
        <stp>[TREASURY.xlsx]Sheet1!R1395C7</stp>
        <tr r="G1395" s="1"/>
      </tp>
      <tp t="s">
        <v>12/1/1988</v>
        <stp/>
        <stp>##V3_BDPV12</stp>
        <stp>912827WY Govt</stp>
        <stp>ISSUE_DT</stp>
        <stp>[TREASURY.xlsx]Sheet1!R1210C15</stp>
        <tr r="O1210" s="1"/>
      </tp>
      <tp t="s">
        <v>912828GC8</v>
        <stp/>
        <stp>##V3_BDPV12</stp>
        <stp>912828GC Govt</stp>
        <stp>ID_CUSIP</stp>
        <stp>[TREASURY.xlsx]Sheet1!R1282C19</stp>
        <tr r="S1282" s="1"/>
      </tp>
      <tp t="s">
        <v>912828GF1</v>
        <stp/>
        <stp>##V3_BDPV12</stp>
        <stp>912828GF Govt</stp>
        <stp>ID_CUSIP</stp>
        <stp>[TREASURY.xlsx]Sheet1!R1434C19</stp>
        <tr r="S1434" s="1"/>
      </tp>
      <tp t="s">
        <v>#N/A Field Not Applicable</v>
        <stp/>
        <stp>##V3_BDPV12</stp>
        <stp>912827YP Govt</stp>
        <stp>IDX_RATIO</stp>
        <stp>[TREASURY.xlsx]Sheet1!R1606C20</stp>
        <tr r="T1606" s="1"/>
      </tp>
      <tp t="s">
        <v>6/1/1988</v>
        <stp/>
        <stp>##V3_BDPV12</stp>
        <stp>912827WG Govt</stp>
        <stp>ISSUE_DT</stp>
        <stp>[TREASURY.xlsx]Sheet1!R1091C15</stp>
        <tr r="O1091" s="1"/>
      </tp>
      <tp t="s">
        <v>5/31/1988</v>
        <stp/>
        <stp>##V3_BDPV12</stp>
        <stp>912827WF Govt</stp>
        <stp>ISSUE_DT</stp>
        <stp>[TREASURY.xlsx]Sheet1!R1090C15</stp>
        <tr r="O1090" s="1"/>
      </tp>
      <tp t="s">
        <v>USD</v>
        <stp/>
        <stp>##V3_BDPV12</stp>
        <stp>912827QC Govt</stp>
        <stp>CRNCY</stp>
        <stp>[TREASURY.xlsx]Sheet1!R1055C7</stp>
        <tr r="G1055" s="1"/>
      </tp>
      <tp t="s">
        <v>NORMAL</v>
        <stp/>
        <stp>##V3_BDPV12</stp>
        <stp>912810DY Govt</stp>
        <stp>MTY_TYP</stp>
        <stp>[TREASURY.xlsx]Sheet1!R1448C6</stp>
        <tr r="F1448" s="1"/>
      </tp>
      <tp t="s">
        <v>CALLABLE</v>
        <stp/>
        <stp>##V3_BDPV12</stp>
        <stp>912810CG Govt</stp>
        <stp>MTY_TYP</stp>
        <stp>[TREASURY.xlsx]Sheet1!R1308C6</stp>
        <tr r="F1308" s="1"/>
      </tp>
      <tp t="s">
        <v>CALLABLE</v>
        <stp/>
        <stp>##V3_BDPV12</stp>
        <stp>912810DN Govt</stp>
        <stp>MTY_TYP</stp>
        <stp>[TREASURY.xlsx]Sheet1!R1348C6</stp>
        <tr r="F1348" s="1"/>
      </tp>
      <tp t="s">
        <v>NORMAL</v>
        <stp/>
        <stp>##V3_BDPV12</stp>
        <stp>912810CW Govt</stp>
        <stp>MTY_TYP</stp>
        <stp>[TREASURY.xlsx]Sheet1!R1618C6</stp>
        <tr r="F1618" s="1"/>
      </tp>
      <tp t="s">
        <v>#N/A Field Not Applicable</v>
        <stp/>
        <stp>##V3_BDPV12</stp>
        <stp>912827WP Govt</stp>
        <stp>IDX_RATIO</stp>
        <stp>[TREASURY.xlsx]Sheet1!R1419C20</stp>
        <tr r="T1419" s="1"/>
      </tp>
      <tp t="s">
        <v>#N/A Field Not Applicable</v>
        <stp/>
        <stp>##V3_BDPV12</stp>
        <stp>912828AP Govt</stp>
        <stp>IDX_RATIO</stp>
        <stp>[TREASURY.xlsx]Sheet1!R1424C20</stp>
        <tr r="T1424" s="1"/>
      </tp>
      <tp t="s">
        <v>#N/A Field Not Applicable</v>
        <stp/>
        <stp>##V3_BDPV12</stp>
        <stp>912828HP Govt</stp>
        <stp>IDX_RATIO</stp>
        <stp>[TREASURY.xlsx]Sheet1!R1438C20</stp>
        <tr r="T1438" s="1"/>
      </tp>
      <tp t="s">
        <v>#N/A Field Not Applicable</v>
        <stp/>
        <stp>##V3_BDPV12</stp>
        <stp>912827LP Govt</stp>
        <stp>IDX_RATIO</stp>
        <stp>[TREASURY.xlsx]Sheet1!R1491C20</stp>
        <tr r="T1491" s="1"/>
      </tp>
      <tp t="s">
        <v>UNITED STATES</v>
        <stp/>
        <stp>##V3_BDPV12</stp>
        <stp>9128282T Govt</stp>
        <stp>COUNTRY_FULL_NAME</stp>
        <stp>[TREASURY.xlsx]Sheet1!R330C8</stp>
        <tr r="H330" s="1"/>
      </tp>
      <tp t="s">
        <v>UNITED STATES</v>
        <stp/>
        <stp>##V3_BDPV12</stp>
        <stp>9128282D Govt</stp>
        <stp>COUNTRY_FULL_NAME</stp>
        <stp>[TREASURY.xlsx]Sheet1!R260C8</stp>
        <tr r="H260" s="1"/>
      </tp>
      <tp t="s">
        <v>#N/A Field Not Applicable</v>
        <stp/>
        <stp>##V3_BDPV12</stp>
        <stp>9128273P Govt</stp>
        <stp>IDX_RATIO</stp>
        <stp>[TREASURY.xlsx]Sheet1!R1530C20</stp>
        <tr r="T1530" s="1"/>
      </tp>
      <tp t="s">
        <v>#N/A Field Not Applicable</v>
        <stp/>
        <stp>##V3_BDPV12</stp>
        <stp>9128272P Govt</stp>
        <stp>IDX_RATIO</stp>
        <stp>[TREASURY.xlsx]Sheet1!R1519C20</stp>
        <tr r="T1519" s="1"/>
      </tp>
      <tp t="s">
        <v>USD</v>
        <stp/>
        <stp>##V3_BDPV12</stp>
        <stp>912827SA Govt</stp>
        <stp>CRNCY</stp>
        <stp>[TREASURY.xlsx]Sheet1!R1587C7</stp>
        <tr r="G1587" s="1"/>
      </tp>
      <tp t="s">
        <v>UNITED STATES</v>
        <stp/>
        <stp>##V3_BDPV12</stp>
        <stp>9128283L Govt</stp>
        <stp>COUNTRY_FULL_NAME</stp>
        <stp>[TREASURY.xlsx]Sheet1!R350C8</stp>
        <tr r="H350" s="1"/>
      </tp>
      <tp t="s">
        <v>UNITED STATES</v>
        <stp/>
        <stp>##V3_BDPV12</stp>
        <stp>9128283G Govt</stp>
        <stp>COUNTRY_FULL_NAME</stp>
        <stp>[TREASURY.xlsx]Sheet1!R380C8</stp>
        <tr r="H380" s="1"/>
      </tp>
      <tp t="s">
        <v>#N/A Field Not Applicable</v>
        <stp/>
        <stp>##V3_BDPV12</stp>
        <stp>912828JP Govt</stp>
        <stp>IDX_RATIO</stp>
        <stp>[TREASURY.xlsx]Sheet1!R1286C20</stp>
        <tr r="T1286" s="1"/>
      </tp>
      <tp t="s">
        <v>3/31/1988</v>
        <stp/>
        <stp>##V3_BDPV12</stp>
        <stp>912827WA Govt</stp>
        <stp>ISSUE_DT</stp>
        <stp>[TREASURY.xlsx]Sheet1!R1206C15</stp>
        <tr r="O1206" s="1"/>
      </tp>
      <tp t="s">
        <v>#N/A Field Not Applicable</v>
        <stp/>
        <stp>##V3_BDPV12</stp>
        <stp>912827UP Govt</stp>
        <stp>IDX_RATIO</stp>
        <stp>[TREASURY.xlsx]Sheet1!R1202C20</stp>
        <tr r="T1202" s="1"/>
      </tp>
      <tp t="s">
        <v>#N/A Field Not Applicable</v>
        <stp/>
        <stp>##V3_BDPV12</stp>
        <stp>912827VP Govt</stp>
        <stp>IDX_RATIO</stp>
        <stp>[TREASURY.xlsx]Sheet1!R1204C20</stp>
        <tr r="T1204" s="1"/>
      </tp>
      <tp t="s">
        <v>912828GY0</v>
        <stp/>
        <stp>##V3_BDPV12</stp>
        <stp>912828GY Govt</stp>
        <stp>ID_CUSIP</stp>
        <stp>[TREASURY.xlsx]Sheet1!R1120C19</stp>
        <tr r="S1120" s="1"/>
      </tp>
      <tp t="s">
        <v>#N/A Field Not Applicable</v>
        <stp/>
        <stp>##V3_BDPV12</stp>
        <stp>912828FP Govt</stp>
        <stp>IDX_RATIO</stp>
        <stp>[TREASURY.xlsx]Sheet1!R1276C20</stp>
        <tr r="T1276" s="1"/>
      </tp>
      <tp t="s">
        <v>USD</v>
        <stp/>
        <stp>##V3_BDPV12</stp>
        <stp>912827QF Govt</stp>
        <stp>CRNCY</stp>
        <stp>[TREASURY.xlsx]Sheet1!R1495C7</stp>
        <tr r="G1495" s="1"/>
      </tp>
      <tp t="s">
        <v>UNITED STATES</v>
        <stp/>
        <stp>##V3_BDPV12</stp>
        <stp>9128284G Govt</stp>
        <stp>COUNTRY_FULL_NAME</stp>
        <stp>[TREASURY.xlsx]Sheet1!R390C8</stp>
        <tr r="H390" s="1"/>
      </tp>
      <tp t="s">
        <v>10/31/2013</v>
        <stp/>
        <stp>##V3_BDPV12</stp>
        <stp>912828WC Govt</stp>
        <stp>ISSUE_DT</stp>
        <stp>[TREASURY.xlsx]Sheet1!R1139C15</stp>
        <tr r="O1139" s="1"/>
      </tp>
      <tp t="s">
        <v>UNITED STATES</v>
        <stp/>
        <stp>##V3_BDPV12</stp>
        <stp>9128285Z Govt</stp>
        <stp>COUNTRY_FULL_NAME</stp>
        <stp>[TREASURY.xlsx]Sheet1!R220C8</stp>
        <tr r="H220" s="1"/>
      </tp>
      <tp t="s">
        <v>UNITED STATES</v>
        <stp/>
        <stp>##V3_BDPV12</stp>
        <stp>9128285Q Govt</stp>
        <stp>COUNTRY_FULL_NAME</stp>
        <stp>[TREASURY.xlsx]Sheet1!R410C8</stp>
        <tr r="H410" s="1"/>
      </tp>
      <tp t="s">
        <v>UNITED STATES</v>
        <stp/>
        <stp>##V3_BDPV12</stp>
        <stp>9128285U Govt</stp>
        <stp>COUNTRY_FULL_NAME</stp>
        <stp>[TREASURY.xlsx]Sheet1!R160C8</stp>
        <tr r="H160" s="1"/>
      </tp>
      <tp t="s">
        <v>UNITED STATES</v>
        <stp/>
        <stp>##V3_BDPV12</stp>
        <stp>9128285R Govt</stp>
        <stp>COUNTRY_FULL_NAME</stp>
        <stp>[TREASURY.xlsx]Sheet1!R140C8</stp>
        <tr r="H140" s="1"/>
      </tp>
      <tp t="s">
        <v>UNITED STATES</v>
        <stp/>
        <stp>##V3_BDPV12</stp>
        <stp>9128285N Govt</stp>
        <stp>COUNTRY_FULL_NAME</stp>
        <stp>[TREASURY.xlsx]Sheet1!R290C8</stp>
        <tr r="H290" s="1"/>
      </tp>
      <tp t="s">
        <v>#N/A Field Not Applicable</v>
        <stp/>
        <stp>##V3_BDPV12</stp>
        <stp>9128275P Govt</stp>
        <stp>IDX_RATIO</stp>
        <stp>[TREASURY.xlsx]Sheet1!R1016C20</stp>
        <tr r="T1016" s="1"/>
      </tp>
      <tp t="s">
        <v>10/15/2013</v>
        <stp/>
        <stp>##V3_BDPV12</stp>
        <stp>912828WA Govt</stp>
        <stp>ISSUE_DT</stp>
        <stp>[TREASURY.xlsx]Sheet1!R1005C15</stp>
        <tr r="O1005" s="1"/>
      </tp>
      <tp t="s">
        <v>UNITED STATES</v>
        <stp/>
        <stp>##V3_BDPV12</stp>
        <stp>9128286Z Govt</stp>
        <stp>COUNTRY_FULL_NAME</stp>
        <stp>[TREASURY.xlsx]Sheet1!R200C8</stp>
        <tr r="H200" s="1"/>
      </tp>
      <tp t="s">
        <v>UNITED STATES</v>
        <stp/>
        <stp>##V3_BDPV12</stp>
        <stp>9128286G Govt</stp>
        <stp>COUNTRY_FULL_NAME</stp>
        <stp>[TREASURY.xlsx]Sheet1!R240C8</stp>
        <tr r="H240" s="1"/>
      </tp>
      <tp t="s">
        <v>912828GZ7</v>
        <stp/>
        <stp>##V3_BDPV12</stp>
        <stp>912828GZ Govt</stp>
        <stp>ID_CUSIP</stp>
        <stp>[TREASURY.xlsx]Sheet1!R1121C19</stp>
        <tr r="S1121" s="1"/>
      </tp>
      <tp t="s">
        <v>#N/A Field Not Applicable</v>
        <stp/>
        <stp>##V3_BDPV12</stp>
        <stp>912828KP Govt</stp>
        <stp>IDX_RATIO</stp>
        <stp>[TREASURY.xlsx]Sheet1!R1125C20</stp>
        <tr r="T1125" s="1"/>
      </tp>
      <tp t="s">
        <v>#N/A Field Not Applicable</v>
        <stp/>
        <stp>##V3_BDPV12</stp>
        <stp>912828UP Govt</stp>
        <stp>IDX_RATIO</stp>
        <stp>[TREASURY.xlsx]Sheet1!R1145C20</stp>
        <tr r="T1145" s="1"/>
      </tp>
      <tp t="s">
        <v>#N/A Field Not Applicable</v>
        <stp/>
        <stp>##V3_BDPV12</stp>
        <stp>912827TP Govt</stp>
        <stp>IDX_RATIO</stp>
        <stp>[TREASURY.xlsx]Sheet1!R1193C20</stp>
        <tr r="T1193" s="1"/>
      </tp>
      <tp t="s">
        <v>#N/A Field Not Applicable</v>
        <stp/>
        <stp>##V3_BDPV12</stp>
        <stp>912827SP Govt</stp>
        <stp>IDX_RATIO</stp>
        <stp>[TREASURY.xlsx]Sheet1!R1186C20</stp>
        <tr r="T1186" s="1"/>
      </tp>
      <tp t="s">
        <v>USD</v>
        <stp/>
        <stp>##V3_BDPV12</stp>
        <stp>912827PE Govt</stp>
        <stp>CRNCY</stp>
        <stp>[TREASURY.xlsx]Sheet1!R1054C7</stp>
        <tr r="G1054" s="1"/>
      </tp>
      <tp t="s">
        <v>8/1/1988</v>
        <stp/>
        <stp>##V3_BDPV12</stp>
        <stp>912827WL Govt</stp>
        <stp>ISSUE_DT</stp>
        <stp>[TREASURY.xlsx]Sheet1!R1208C15</stp>
        <tr r="O1208" s="1"/>
      </tp>
      <tp t="s">
        <v>8/15/1988</v>
        <stp/>
        <stp>##V3_BDPV12</stp>
        <stp>912827WN Govt</stp>
        <stp>ISSUE_DT</stp>
        <stp>[TREASURY.xlsx]Sheet1!R1092C15</stp>
        <tr r="O1092" s="1"/>
      </tp>
      <tp t="s">
        <v>USD</v>
        <stp/>
        <stp>##V3_BDPV12</stp>
        <stp>912828RK Govt</stp>
        <stp>CRNCY</stp>
        <stp>[TREASURY.xlsx]Sheet1!R1266C7</stp>
        <tr r="G1266" s="1"/>
      </tp>
      <tp t="s">
        <v>6/2/2014</v>
        <stp/>
        <stp>##V3_BDPV12</stp>
        <stp>912828WL Govt</stp>
        <stp>ISSUE_DT</stp>
        <stp>[TREASURY.xlsx]Sheet1!R1150C15</stp>
        <tr r="O1150" s="1"/>
      </tp>
      <tp t="s">
        <v>6/30/1988</v>
        <stp/>
        <stp>##V3_BDPV12</stp>
        <stp>912827WH Govt</stp>
        <stp>ISSUE_DT</stp>
        <stp>[TREASURY.xlsx]Sheet1!R1417C15</stp>
        <tr r="O1417" s="1"/>
      </tp>
      <tp t="s">
        <v>5/15/2014</v>
        <stp/>
        <stp>##V3_BDPV12</stp>
        <stp>912828WH Govt</stp>
        <stp>ISSUE_DT</stp>
        <stp>[TREASURY.xlsx]Sheet1!R1306C15</stp>
        <tr r="O1306" s="1"/>
      </tp>
      <tp t="s">
        <v>8/15/1988</v>
        <stp/>
        <stp>##V3_BDPV12</stp>
        <stp>912827WM Govt</stp>
        <stp>ISSUE_DT</stp>
        <stp>[TREASURY.xlsx]Sheet1!R1418C15</stp>
        <tr r="O1418" s="1"/>
      </tp>
      <tp t="s">
        <v>USD</v>
        <stp/>
        <stp>##V3_BDPV12</stp>
        <stp>912827UL Govt</stp>
        <stp>CRNCY</stp>
        <stp>[TREASURY.xlsx]Sheet1!R1201C7</stp>
        <tr r="G1201" s="1"/>
      </tp>
      <tp t="s">
        <v>6/30/1988</v>
        <stp/>
        <stp>##V3_BDPV12</stp>
        <stp>912827WJ Govt</stp>
        <stp>ISSUE_DT</stp>
        <stp>[TREASURY.xlsx]Sheet1!R1207C15</stp>
        <tr r="O1207" s="1"/>
      </tp>
      <tp t="s">
        <v>912828GW4</v>
        <stp/>
        <stp>##V3_BDPV12</stp>
        <stp>912828GW Govt</stp>
        <stp>ID_CUSIP</stp>
        <stp>[TREASURY.xlsx]Sheet1!R1436C19</stp>
        <tr r="S1436" s="1"/>
      </tp>
      <tp t="s">
        <v>USD</v>
        <stp/>
        <stp>##V3_BDPV12</stp>
        <stp>912827PM Govt</stp>
        <stp>CRNCY</stp>
        <stp>[TREASURY.xlsx]Sheet1!R1174C7</stp>
        <tr r="G1174" s="1"/>
      </tp>
      <tp t="s">
        <v>USD</v>
        <stp/>
        <stp>##V3_BDPV12</stp>
        <stp>912827TM Govt</stp>
        <stp>CRNCY</stp>
        <stp>[TREASURY.xlsx]Sheet1!R1400C7</stp>
        <tr r="G1400" s="1"/>
      </tp>
      <tp t="s">
        <v>10/31/1995</v>
        <stp/>
        <stp>##V3_BDPV12</stp>
        <stp>912827V6 Govt</stp>
        <stp>ISSUE_DT</stp>
        <stp>[TREASURY.xlsx]Sheet1!R1084C15</stp>
        <tr r="O1084" s="1"/>
      </tp>
      <tp t="s">
        <v>10/2/1995</v>
        <stp/>
        <stp>##V3_BDPV12</stp>
        <stp>912827V3 Govt</stp>
        <stp>ISSUE_DT</stp>
        <stp>[TREASURY.xlsx]Sheet1!R1591C15</stp>
        <tr r="O1591" s="1"/>
      </tp>
      <tp t="s">
        <v>UNITED STATES</v>
        <stp/>
        <stp>##V3_BDPV12</stp>
        <stp>912828A7 Govt</stp>
        <stp>COUNTRY_FULL_NAME</stp>
        <stp>[TREASURY.xlsx]Sheet1!R481C8</stp>
        <tr r="H481" s="1"/>
      </tp>
      <tp t="s">
        <v>USD</v>
        <stp/>
        <stp>##V3_BDPV12</stp>
        <stp>912827Q3 Govt</stp>
        <stp>CRNCY</stp>
        <stp>[TREASURY.xlsx]Sheet1!R1494C7</stp>
        <tr r="G1494" s="1"/>
      </tp>
      <tp t="s">
        <v>UNITED STATES</v>
        <stp/>
        <stp>##V3_BDPV12</stp>
        <stp>912828AJ Govt</stp>
        <stp>COUNTRY_FULL_NAME</stp>
        <stp>[TREASURY.xlsx]Sheet1!R531C8</stp>
        <tr r="H531" s="1"/>
      </tp>
      <tp t="s">
        <v>10/31/1995</v>
        <stp/>
        <stp>##V3_BDPV12</stp>
        <stp>912827V5 Govt</stp>
        <stp>ISSUE_DT</stp>
        <stp>[TREASURY.xlsx]Sheet1!R1083C15</stp>
        <tr r="O1083" s="1"/>
      </tp>
      <tp t="s">
        <v>UNITED STATES</v>
        <stp/>
        <stp>##V3_BDPV12</stp>
        <stp>912828B8 Govt</stp>
        <stp>COUNTRY_FULL_NAME</stp>
        <stp>[TREASURY.xlsx]Sheet1!R571C8</stp>
        <tr r="H571" s="1"/>
      </tp>
      <tp t="s">
        <v>UNITED STATES</v>
        <stp/>
        <stp>##V3_BDPV12</stp>
        <stp>912828B9 Govt</stp>
        <stp>COUNTRY_FULL_NAME</stp>
        <stp>[TREASURY.xlsx]Sheet1!R371C8</stp>
        <tr r="H371" s="1"/>
      </tp>
      <tp t="s">
        <v>UNITED STATES</v>
        <stp/>
        <stp>##V3_BDPV12</stp>
        <stp>912828BR Govt</stp>
        <stp>COUNTRY_FULL_NAME</stp>
        <stp>[TREASURY.xlsx]Sheet1!R541C8</stp>
        <tr r="H541" s="1"/>
      </tp>
      <tp t="s">
        <v>UNITED STATES</v>
        <stp/>
        <stp>##V3_BDPV12</stp>
        <stp>912828BC Govt</stp>
        <stp>COUNTRY_FULL_NAME</stp>
        <stp>[TREASURY.xlsx]Sheet1!R641C8</stp>
        <tr r="H641" s="1"/>
      </tp>
      <tp t="s">
        <v>UNITED STATES</v>
        <stp/>
        <stp>##V3_BDPV12</stp>
        <stp>912828CB Govt</stp>
        <stp>COUNTRY_FULL_NAME</stp>
        <stp>[TREASURY.xlsx]Sheet1!R331C8</stp>
        <tr r="H331" s="1"/>
      </tp>
      <tp t="s">
        <v>11/24/1995</v>
        <stp/>
        <stp>##V3_BDPV12</stp>
        <stp>912827V7 Govt</stp>
        <stp>ISSUE_DT</stp>
        <stp>[TREASURY.xlsx]Sheet1!R1410C15</stp>
        <tr r="O1410" s="1"/>
      </tp>
      <tp t="s">
        <v>UNITED STATES</v>
        <stp/>
        <stp>##V3_BDPV12</stp>
        <stp>912828D4 Govt</stp>
        <stp>COUNTRY_FULL_NAME</stp>
        <stp>[TREASURY.xlsx]Sheet1!R961C8</stp>
        <tr r="H961" s="1"/>
      </tp>
      <tp t="s">
        <v>USD</v>
        <stp/>
        <stp>##V3_BDPV12</stp>
        <stp>912827T6 Govt</stp>
        <stp>CRNCY</stp>
        <stp>[TREASURY.xlsx]Sheet1!R1191C7</stp>
        <tr r="G1191" s="1"/>
      </tp>
      <tp t="s">
        <v>UNITED STATES</v>
        <stp/>
        <stp>##V3_BDPV12</stp>
        <stp>912810DZ Govt</stp>
        <stp>COUNTRY_FULL_NAME</stp>
        <stp>[TREASURY.xlsx]Sheet1!R699C8</stp>
        <tr r="H699" s="1"/>
      </tp>
      <tp t="s">
        <v>UNITED STATES</v>
        <stp/>
        <stp>##V3_BDPV12</stp>
        <stp>912810DW Govt</stp>
        <stp>COUNTRY_FULL_NAME</stp>
        <stp>[TREASURY.xlsx]Sheet1!R609C8</stp>
        <tr r="H609" s="1"/>
      </tp>
      <tp t="s">
        <v>UNITED STATES</v>
        <stp/>
        <stp>##V3_BDPV12</stp>
        <stp>912810DJ Govt</stp>
        <stp>COUNTRY_FULL_NAME</stp>
        <stp>[TREASURY.xlsx]Sheet1!R399C8</stp>
        <tr r="H399" s="1"/>
      </tp>
      <tp t="s">
        <v>UNITED STATES</v>
        <stp/>
        <stp>##V3_BDPV12</stp>
        <stp>912810DA Govt</stp>
        <stp>COUNTRY_FULL_NAME</stp>
        <stp>[TREASURY.xlsx]Sheet1!R529C8</stp>
        <tr r="H529" s="1"/>
      </tp>
      <tp t="s">
        <v>UNITED STATES</v>
        <stp/>
        <stp>##V3_BDPV12</stp>
        <stp>912828DB Govt</stp>
        <stp>COUNTRY_FULL_NAME</stp>
        <stp>[TREASURY.xlsx]Sheet1!R591C8</stp>
        <tr r="H591" s="1"/>
      </tp>
      <tp t="s">
        <v>UNITED STATES</v>
        <stp/>
        <stp>##V3_BDPV12</stp>
        <stp>912828DD Govt</stp>
        <stp>COUNTRY_FULL_NAME</stp>
        <stp>[TREASURY.xlsx]Sheet1!R791C8</stp>
        <tr r="H791" s="1"/>
      </tp>
      <tp t="s">
        <v>8/31/1995</v>
        <stp/>
        <stp>##V3_BDPV12</stp>
        <stp>912827V2 Govt</stp>
        <stp>ISSUE_DT</stp>
        <stp>[TREASURY.xlsx]Sheet1!R1082C15</stp>
        <tr r="O1082" s="1"/>
      </tp>
      <tp t="s">
        <v>USD</v>
        <stp/>
        <stp>##V3_BDPV12</stp>
        <stp>912827R7 Govt</stp>
        <stp>CRNCY</stp>
        <stp>[TREASURY.xlsx]Sheet1!R1577C7</stp>
        <tr r="G1577" s="1"/>
      </tp>
      <tp t="s">
        <v>UNITED STATES</v>
        <stp/>
        <stp>##V3_BDPV12</stp>
        <stp>912828EV Govt</stp>
        <stp>COUNTRY_FULL_NAME</stp>
        <stp>[TREASURY.xlsx]Sheet1!R841C8</stp>
        <tr r="H841" s="1"/>
      </tp>
      <tp t="s">
        <v>UNITED STATES</v>
        <stp/>
        <stp>##V3_BDPV12</stp>
        <stp>912810EN Govt</stp>
        <stp>COUNTRY_FULL_NAME</stp>
        <stp>[TREASURY.xlsx]Sheet1!R319C8</stp>
        <tr r="H319" s="1"/>
      </tp>
      <tp t="s">
        <v>UNITED STATES</v>
        <stp/>
        <stp>##V3_BDPV12</stp>
        <stp>912828F6 Govt</stp>
        <stp>COUNTRY_FULL_NAME</stp>
        <stp>[TREASURY.xlsx]Sheet1!R411C8</stp>
        <tr r="H411" s="1"/>
      </tp>
      <tp t="s">
        <v>USD</v>
        <stp/>
        <stp>##V3_BDPV12</stp>
        <stp>912827V5 Govt</stp>
        <stp>CRNCY</stp>
        <stp>[TREASURY.xlsx]Sheet1!R1083C7</stp>
        <tr r="G1083" s="1"/>
      </tp>
      <tp t="s">
        <v>UNITED STATES</v>
        <stp/>
        <stp>##V3_BDPV12</stp>
        <stp>912828GA Govt</stp>
        <stp>COUNTRY_FULL_NAME</stp>
        <stp>[TREASURY.xlsx]Sheet1!R801C8</stp>
        <tr r="H801" s="1"/>
      </tp>
      <tp t="s">
        <v>UNITED STATES</v>
        <stp/>
        <stp>##V3_BDPV12</stp>
        <stp>912828H2 Govt</stp>
        <stp>COUNTRY_FULL_NAME</stp>
        <stp>[TREASURY.xlsx]Sheet1!R581C8</stp>
        <tr r="H581" s="1"/>
      </tp>
      <tp t="s">
        <v>UNITED STATES</v>
        <stp/>
        <stp>##V3_BDPV12</stp>
        <stp>912828HT Govt</stp>
        <stp>COUNTRY_FULL_NAME</stp>
        <stp>[TREASURY.xlsx]Sheet1!R851C8</stp>
        <tr r="H851" s="1"/>
      </tp>
      <tp t="s">
        <v>UNITED STATES</v>
        <stp/>
        <stp>##V3_BDPV12</stp>
        <stp>912828HV Govt</stp>
        <stp>COUNTRY_FULL_NAME</stp>
        <stp>[TREASURY.xlsx]Sheet1!R651C8</stp>
        <tr r="H651" s="1"/>
      </tp>
      <tp t="s">
        <v>UNITED STATES</v>
        <stp/>
        <stp>##V3_BDPV12</stp>
        <stp>912828J8 Govt</stp>
        <stp>COUNTRY_FULL_NAME</stp>
        <stp>[TREASURY.xlsx]Sheet1!R451C8</stp>
        <tr r="H451" s="1"/>
      </tp>
      <tp t="s">
        <v>USD</v>
        <stp/>
        <stp>##V3_BDPV12</stp>
        <stp>912827T8 Govt</stp>
        <stp>CRNCY</stp>
        <stp>[TREASURY.xlsx]Sheet1!R1071C7</stp>
        <tr r="G1071" s="1"/>
      </tp>
      <tp t="s">
        <v>USD</v>
        <stp/>
        <stp>##V3_BDPV12</stp>
        <stp>912827S8 Govt</stp>
        <stp>CRNCY</stp>
        <stp>[TREASURY.xlsx]Sheet1!R1586C7</stp>
        <tr r="G1586" s="1"/>
      </tp>
      <tp t="s">
        <v>UNITED STATES</v>
        <stp/>
        <stp>##V3_BDPV12</stp>
        <stp>912828JY Govt</stp>
        <stp>COUNTRY_FULL_NAME</stp>
        <stp>[TREASURY.xlsx]Sheet1!R691C8</stp>
        <tr r="H691" s="1"/>
      </tp>
      <tp t="s">
        <v>UNITED STATES</v>
        <stp/>
        <stp>##V3_BDPV12</stp>
        <stp>912828JQ Govt</stp>
        <stp>COUNTRY_FULL_NAME</stp>
        <stp>[TREASURY.xlsx]Sheet1!R811C8</stp>
        <tr r="H811" s="1"/>
      </tp>
      <tp t="s">
        <v>UNITED STATES</v>
        <stp/>
        <stp>##V3_BDPV12</stp>
        <stp>912828JT Govt</stp>
        <stp>COUNTRY_FULL_NAME</stp>
        <stp>[TREASURY.xlsx]Sheet1!R471C8</stp>
        <tr r="H471" s="1"/>
      </tp>
      <tp t="s">
        <v>UNITED STATES</v>
        <stp/>
        <stp>##V3_BDPV12</stp>
        <stp>912828JD Govt</stp>
        <stp>COUNTRY_FULL_NAME</stp>
        <stp>[TREASURY.xlsx]Sheet1!R971C8</stp>
        <tr r="H971" s="1"/>
      </tp>
      <tp t="s">
        <v>UNITED STATES</v>
        <stp/>
        <stp>##V3_BDPV12</stp>
        <stp>912828KJ Govt</stp>
        <stp>COUNTRY_FULL_NAME</stp>
        <stp>[TREASURY.xlsx]Sheet1!R561C8</stp>
        <tr r="H561" s="1"/>
      </tp>
      <tp t="s">
        <v>UNITED STATES</v>
        <stp/>
        <stp>##V3_BDPV12</stp>
        <stp>912828L5 Govt</stp>
        <stp>COUNTRY_FULL_NAME</stp>
        <stp>[TREASURY.xlsx]Sheet1!R161C8</stp>
        <tr r="H161" s="1"/>
      </tp>
      <tp t="s">
        <v>UNITED STATES</v>
        <stp/>
        <stp>##V3_BDPV12</stp>
        <stp>912828MS Govt</stp>
        <stp>COUNTRY_FULL_NAME</stp>
        <stp>[TREASURY.xlsx]Sheet1!R861C8</stp>
        <tr r="H861" s="1"/>
      </tp>
      <tp t="s">
        <v>UNITED STATES</v>
        <stp/>
        <stp>##V3_BDPV12</stp>
        <stp>912828MM Govt</stp>
        <stp>COUNTRY_FULL_NAME</stp>
        <stp>[TREASURY.xlsx]Sheet1!R821C8</stp>
        <tr r="H821" s="1"/>
      </tp>
      <tp t="s">
        <v>UNITED STATES</v>
        <stp/>
        <stp>##V3_BDPV12</stp>
        <stp>912828N6 Govt</stp>
        <stp>COUNTRY_FULL_NAME</stp>
        <stp>[TREASURY.xlsx]Sheet1!R621C8</stp>
        <tr r="H621" s="1"/>
      </tp>
      <tp t="s">
        <v>UNITED STATES</v>
        <stp/>
        <stp>##V3_BDPV12</stp>
        <stp>912828NT Govt</stp>
        <stp>COUNTRY_FULL_NAME</stp>
        <stp>[TREASURY.xlsx]Sheet1!R351C8</stp>
        <tr r="H351" s="1"/>
      </tp>
      <tp t="s">
        <v>UNITED STATES</v>
        <stp/>
        <stp>##V3_BDPV12</stp>
        <stp>912828P9 Govt</stp>
        <stp>COUNTRY_FULL_NAME</stp>
        <stp>[TREASURY.xlsx]Sheet1!R431C8</stp>
        <tr r="H431" s="1"/>
      </tp>
      <tp t="s">
        <v>UNITED STATES</v>
        <stp/>
        <stp>##V3_BDPV12</stp>
        <stp>912828P2 Govt</stp>
        <stp>COUNTRY_FULL_NAME</stp>
        <stp>[TREASURY.xlsx]Sheet1!R981C8</stp>
        <tr r="H981" s="1"/>
      </tp>
      <tp t="s">
        <v>UNITED STATES</v>
        <stp/>
        <stp>##V3_BDPV12</stp>
        <stp>912810PW Govt</stp>
        <stp>COUNTRY_FULL_NAME</stp>
        <stp>[TREASURY.xlsx]Sheet1!R289C8</stp>
        <tr r="H289" s="1"/>
      </tp>
      <tp t="s">
        <v>UNITED STATES</v>
        <stp/>
        <stp>##V3_BDPV12</stp>
        <stp>912828QQ Govt</stp>
        <stp>COUNTRY_FULL_NAME</stp>
        <stp>[TREASURY.xlsx]Sheet1!R991C8</stp>
        <tr r="H991" s="1"/>
      </tp>
      <tp t="s">
        <v>UNITED STATES</v>
        <stp/>
        <stp>##V3_BDPV12</stp>
        <stp>912828QL Govt</stp>
        <stp>COUNTRY_FULL_NAME</stp>
        <stp>[TREASURY.xlsx]Sheet1!R401C8</stp>
        <tr r="H401" s="1"/>
      </tp>
      <tp t="s">
        <v>UNITED STATES</v>
        <stp/>
        <stp>##V3_BDPV12</stp>
        <stp>912810RH Govt</stp>
        <stp>COUNTRY_FULL_NAME</stp>
        <stp>[TREASURY.xlsx]Sheet1!R259C8</stp>
        <tr r="H259" s="1"/>
      </tp>
      <tp t="s">
        <v>UNITED STATES</v>
        <stp/>
        <stp>##V3_BDPV12</stp>
        <stp>912810RB Govt</stp>
        <stp>COUNTRY_FULL_NAME</stp>
        <stp>[TREASURY.xlsx]Sheet1!R269C8</stp>
        <tr r="H269" s="1"/>
      </tp>
      <tp t="s">
        <v>UNITED STATES</v>
        <stp/>
        <stp>##V3_BDPV12</stp>
        <stp>912828S9 Govt</stp>
        <stp>COUNTRY_FULL_NAME</stp>
        <stp>[TREASURY.xlsx]Sheet1!R301C8</stp>
        <tr r="H301" s="1"/>
      </tp>
      <tp t="s">
        <v>UNITED STATES</v>
        <stp/>
        <stp>##V3_BDPV12</stp>
        <stp>912828S2 Govt</stp>
        <stp>COUNTRY_FULL_NAME</stp>
        <stp>[TREASURY.xlsx]Sheet1!R391C8</stp>
        <tr r="H391" s="1"/>
      </tp>
      <tp t="s">
        <v>UNITED STATES</v>
        <stp/>
        <stp>##V3_BDPV12</stp>
        <stp>912828SZ Govt</stp>
        <stp>COUNTRY_FULL_NAME</stp>
        <stp>[TREASURY.xlsx]Sheet1!R551C8</stp>
        <tr r="H551" s="1"/>
      </tp>
      <tp t="s">
        <v>UNITED STATES</v>
        <stp/>
        <stp>##V3_BDPV12</stp>
        <stp>912828SL Govt</stp>
        <stp>COUNTRY_FULL_NAME</stp>
        <stp>[TREASURY.xlsx]Sheet1!R511C8</stp>
        <tr r="H511" s="1"/>
      </tp>
      <tp t="s">
        <v>912827F98</v>
        <stp/>
        <stp>##V3_BDPV12</stp>
        <stp>912827F9 Govt</stp>
        <stp>ID_CUSIP</stp>
        <stp>[TREASURY.xlsx]Sheet1!R1155C19</stp>
        <tr r="S1155" s="1"/>
      </tp>
      <tp t="s">
        <v>UNITED STATES</v>
        <stp/>
        <stp>##V3_BDPV12</stp>
        <stp>912828T4 Govt</stp>
        <stp>COUNTRY_FULL_NAME</stp>
        <stp>[TREASURY.xlsx]Sheet1!R871C8</stp>
        <tr r="H871" s="1"/>
      </tp>
      <tp t="s">
        <v>UNITED STATES</v>
        <stp/>
        <stp>##V3_BDPV12</stp>
        <stp>912828T5 Govt</stp>
        <stp>COUNTRY_FULL_NAME</stp>
        <stp>[TREASURY.xlsx]Sheet1!R631C8</stp>
        <tr r="H631" s="1"/>
      </tp>
      <tp t="s">
        <v>UNITED STATES</v>
        <stp/>
        <stp>##V3_BDPV12</stp>
        <stp>912828TW Govt</stp>
        <stp>COUNTRY_FULL_NAME</stp>
        <stp>[TREASURY.xlsx]Sheet1!R361C8</stp>
        <tr r="H361" s="1"/>
      </tp>
      <tp t="s">
        <v>912828F88</v>
        <stp/>
        <stp>##V3_BDPV12</stp>
        <stp>912828F8 Govt</stp>
        <stp>ID_CUSIP</stp>
        <stp>[TREASURY.xlsx]Sheet1!R1118C19</stp>
        <tr r="S1118" s="1"/>
      </tp>
      <tp t="s">
        <v>912827F80</v>
        <stp/>
        <stp>##V3_BDPV12</stp>
        <stp>912827F8 Govt</stp>
        <stp>ID_CUSIP</stp>
        <stp>[TREASURY.xlsx]Sheet1!R1154C19</stp>
        <tr r="S1154" s="1"/>
      </tp>
      <tp t="s">
        <v>UNITED STATES</v>
        <stp/>
        <stp>##V3_BDPV12</stp>
        <stp>912828U3 Govt</stp>
        <stp>COUNTRY_FULL_NAME</stp>
        <stp>[TREASURY.xlsx]Sheet1!R491C8</stp>
        <tr r="H491" s="1"/>
      </tp>
      <tp t="s">
        <v>UNITED STATES</v>
        <stp/>
        <stp>##V3_BDPV12</stp>
        <stp>912828UQ Govt</stp>
        <stp>COUNTRY_FULL_NAME</stp>
        <stp>[TREASURY.xlsx]Sheet1!R421C8</stp>
        <tr r="H421" s="1"/>
      </tp>
      <tp t="s">
        <v>UNITED STATES</v>
        <stp/>
        <stp>##V3_BDPV12</stp>
        <stp>912828UF Govt</stp>
        <stp>COUNTRY_FULL_NAME</stp>
        <stp>[TREASURY.xlsx]Sheet1!R671C8</stp>
        <tr r="H671" s="1"/>
      </tp>
      <tp t="s">
        <v>UNITED STATES</v>
        <stp/>
        <stp>##V3_BDPV12</stp>
        <stp>912828W8 Govt</stp>
        <stp>COUNTRY_FULL_NAME</stp>
        <stp>[TREASURY.xlsx]Sheet1!R221C8</stp>
        <tr r="H221" s="1"/>
      </tp>
      <tp t="s">
        <v>UNITED STATES</v>
        <stp/>
        <stp>##V3_BDPV12</stp>
        <stp>912828W3 Govt</stp>
        <stp>COUNTRY_FULL_NAME</stp>
        <stp>[TREASURY.xlsx]Sheet1!R681C8</stp>
        <tr r="H681" s="1"/>
      </tp>
      <tp t="s">
        <v>UNITED STATES</v>
        <stp/>
        <stp>##V3_BDPV12</stp>
        <stp>912828W5 Govt</stp>
        <stp>COUNTRY_FULL_NAME</stp>
        <stp>[TREASURY.xlsx]Sheet1!R281C8</stp>
        <tr r="H281" s="1"/>
      </tp>
      <tp t="s">
        <v>UNITED STATES</v>
        <stp/>
        <stp>##V3_BDPV12</stp>
        <stp>912828WR Govt</stp>
        <stp>COUNTRY_FULL_NAME</stp>
        <stp>[TREASURY.xlsx]Sheet1!R341C8</stp>
        <tr r="H341" s="1"/>
      </tp>
      <tp t="s">
        <v>UNITED STATES</v>
        <stp/>
        <stp>##V3_BDPV12</stp>
        <stp>912828WX Govt</stp>
        <stp>COUNTRY_FULL_NAME</stp>
        <stp>[TREASURY.xlsx]Sheet1!R881C8</stp>
        <tr r="H881" s="1"/>
      </tp>
      <tp t="s">
        <v>912827F72</v>
        <stp/>
        <stp>##V3_BDPV12</stp>
        <stp>912827F7 Govt</stp>
        <stp>ID_CUSIP</stp>
        <stp>[TREASURY.xlsx]Sheet1!R1315C19</stp>
        <tr r="S1315" s="1"/>
      </tp>
      <tp t="s">
        <v>912828F47</v>
        <stp/>
        <stp>##V3_BDPV12</stp>
        <stp>912828F4 Govt</stp>
        <stp>ID_CUSIP</stp>
        <stp>[TREASURY.xlsx]Sheet1!R1117C19</stp>
        <tr r="S1117" s="1"/>
      </tp>
      <tp t="s">
        <v>912827F64</v>
        <stp/>
        <stp>##V3_BDPV12</stp>
        <stp>912827F6 Govt</stp>
        <stp>ID_CUSIP</stp>
        <stp>[TREASURY.xlsx]Sheet1!R1373C19</stp>
        <tr r="S1373" s="1"/>
      </tp>
      <tp t="s">
        <v>UNITED STATES</v>
        <stp/>
        <stp>##V3_BDPV12</stp>
        <stp>912828YW Govt</stp>
        <stp>COUNTRY_FULL_NAME</stp>
        <stp>[TREASURY.xlsx]Sheet1!R141C8</stp>
        <tr r="H141" s="1"/>
      </tp>
      <tp t="s">
        <v>UNITED STATES</v>
        <stp/>
        <stp>##V3_BDPV12</stp>
        <stp>912828YK Govt</stp>
        <stp>COUNTRY_FULL_NAME</stp>
        <stp>[TREASURY.xlsx]Sheet1!R131C8</stp>
        <tr r="H131" s="1"/>
      </tp>
      <tp t="s">
        <v>UNITED STATES</v>
        <stp/>
        <stp>##V3_BDPV12</stp>
        <stp>912828ZX Govt</stp>
        <stp>COUNTRY_FULL_NAME</stp>
        <stp>[TREASURY.xlsx]Sheet1!R111C8</stp>
        <tr r="H111" s="1"/>
      </tp>
      <tp t="s">
        <v>UNITED STATES</v>
        <stp/>
        <stp>##V3_BDPV12</stp>
        <stp>912828ZW Govt</stp>
        <stp>COUNTRY_FULL_NAME</stp>
        <stp>[TREASURY.xlsx]Sheet1!R101C8</stp>
        <tr r="H101" s="1"/>
      </tp>
      <tp t="s">
        <v>UNITED STATES</v>
        <stp/>
        <stp>##V3_BDPV12</stp>
        <stp>912828ZS Govt</stp>
        <stp>COUNTRY_FULL_NAME</stp>
        <stp>[TREASURY.xlsx]Sheet1!R171C8</stp>
        <tr r="H171" s="1"/>
      </tp>
      <tp t="s">
        <v>UNITED STATES</v>
        <stp/>
        <stp>##V3_BDPV12</stp>
        <stp>912828ZD Govt</stp>
        <stp>COUNTRY_FULL_NAME</stp>
        <stp>[TREASURY.xlsx]Sheet1!R121C8</stp>
        <tr r="H121" s="1"/>
      </tp>
      <tp t="s">
        <v>912828F54</v>
        <stp/>
        <stp>##V3_BDPV12</stp>
        <stp>912828F5 Govt</stp>
        <stp>ID_CUSIP</stp>
        <stp>[TREASURY.xlsx]Sheet1!R1240C19</stp>
        <tr r="S1240" s="1"/>
      </tp>
      <tp t="s">
        <v>912827F31</v>
        <stp/>
        <stp>##V3_BDPV12</stp>
        <stp>912827F3 Govt</stp>
        <stp>ID_CUSIP</stp>
        <stp>[TREASURY.xlsx]Sheet1!R1314C19</stp>
        <tr r="S1314" s="1"/>
      </tp>
      <tp t="s">
        <v>912827F56</v>
        <stp/>
        <stp>##V3_BDPV12</stp>
        <stp>912827F5 Govt</stp>
        <stp>ID_CUSIP</stp>
        <stp>[TREASURY.xlsx]Sheet1!R1560C19</stp>
        <tr r="S1560" s="1"/>
      </tp>
      <tp t="s">
        <v>912827F49</v>
        <stp/>
        <stp>##V3_BDPV12</stp>
        <stp>912827F4 Govt</stp>
        <stp>ID_CUSIP</stp>
        <stp>[TREASURY.xlsx]Sheet1!R1559C19</stp>
        <tr r="S1559" s="1"/>
      </tp>
      <tp t="s">
        <v>5/31/2018</v>
        <stp/>
        <stp>##V3_BDPV12</stp>
        <stp>912828R5 Govt</stp>
        <stp>MATURITY</stp>
        <stp>[TREASURY.xlsx]Sheet1!R1284C5</stp>
        <tr r="E1284" s="1"/>
      </tp>
      <tp t="s">
        <v>5/15/2019</v>
        <stp/>
        <stp>##V3_BDPV12</stp>
        <stp>912828R4 Govt</stp>
        <stp>MATURITY</stp>
        <stp>[TREASURY.xlsx]Sheet1!R1264C5</stp>
        <tr r="E1264" s="1"/>
      </tp>
      <tp t="s">
        <v>12/15/2015</v>
        <stp/>
        <stp>##V3_BDPV12</stp>
        <stp>912828UC Govt</stp>
        <stp>MATURITY</stp>
        <stp>[TREASURY.xlsx]Sheet1!R1144C5</stp>
        <tr r="E1144" s="1"/>
      </tp>
      <tp t="s">
        <v>10/31/2018</v>
        <stp/>
        <stp>##V3_BDPV12</stp>
        <stp>912828T8 Govt</stp>
        <stp>MATURITY</stp>
        <stp>[TREASURY.xlsx]Sheet1!R1304C5</stp>
        <tr r="E1304" s="1"/>
      </tp>
      <tp t="s">
        <v>10/15/2015</v>
        <stp/>
        <stp>##V3_BDPV12</stp>
        <stp>912828TT Govt</stp>
        <stp>MATURITY</stp>
        <stp>[TREASURY.xlsx]Sheet1!R1134C5</stp>
        <tr r="E1134" s="1"/>
      </tp>
      <tp t="s">
        <v>T</v>
        <stp/>
        <stp>##V3_BDPV12</stp>
        <stp>912827V8 Govt</stp>
        <stp>TICKER</stp>
        <stp>[TREASURY.xlsx]Sheet1!R758C2</stp>
        <tr r="B758" s="1"/>
      </tp>
      <tp t="s">
        <v>T</v>
        <stp/>
        <stp>##V3_BDPV12</stp>
        <stp>912828Y9 Govt</stp>
        <stp>TICKER</stp>
        <stp>[TREASURY.xlsx]Sheet1!R157C2</stp>
        <tr r="B157" s="1"/>
      </tp>
      <tp t="s">
        <v>9/30/2015</v>
        <stp/>
        <stp>##V3_BDPV12</stp>
        <stp>912828VY Govt</stp>
        <stp>MATURITY</stp>
        <stp>[TREASURY.xlsx]Sheet1!R1004C5</stp>
        <tr r="E1004" s="1"/>
      </tp>
      <tp t="s">
        <v>T</v>
        <stp/>
        <stp>##V3_BDPV12</stp>
        <stp>912828Z6 Govt</stp>
        <stp>TICKER</stp>
        <stp>[TREASURY.xlsx]Sheet1!R234C2</stp>
        <tr r="B234" s="1"/>
      </tp>
      <tp t="s">
        <v>T</v>
        <stp/>
        <stp>##V3_BDPV12</stp>
        <stp>912828Y6 Govt</stp>
        <stp>TICKER</stp>
        <stp>[TREASURY.xlsx]Sheet1!R297C2</stp>
        <tr r="B297" s="1"/>
      </tp>
      <tp t="s">
        <v>T</v>
        <stp/>
        <stp>##V3_BDPV12</stp>
        <stp>912827W4 Govt</stp>
        <stp>TICKER</stp>
        <stp>[TREASURY.xlsx]Sheet1!R929C2</stp>
        <tr r="B929" s="1"/>
      </tp>
      <tp t="s">
        <v>T</v>
        <stp/>
        <stp>##V3_BDPV12</stp>
        <stp>912828W2 Govt</stp>
        <stp>TICKER</stp>
        <stp>[TREASURY.xlsx]Sheet1!R679C2</stp>
        <tr r="B679" s="1"/>
      </tp>
      <tp t="s">
        <v>11/15/2012</v>
        <stp/>
        <stp>##V3_BDPV12</stp>
        <stp>912828AP Govt</stp>
        <stp>MATURITY</stp>
        <stp>[TREASURY.xlsx]Sheet1!R1424C5</stp>
        <tr r="E1424" s="1"/>
      </tp>
      <tp t="s">
        <v>5/15/2007</v>
        <stp/>
        <stp>##V3_BDPV12</stp>
        <stp>912828AC Govt</stp>
        <stp>MATURITY</stp>
        <stp>[TREASURY.xlsx]Sheet1!R1234C5</stp>
        <tr r="E1234" s="1"/>
      </tp>
      <tp t="s">
        <v>9/30/2007</v>
        <stp/>
        <stp>##V3_BDPV12</stp>
        <stp>912828EH Govt</stp>
        <stp>MATURITY</stp>
        <stp>[TREASURY.xlsx]Sheet1!R1114C5</stp>
        <tr r="E1114" s="1"/>
      </tp>
      <tp t="s">
        <v>1/31/2012</v>
        <stp/>
        <stp>##V3_BDPV12</stp>
        <stp>912828GF Govt</stp>
        <stp>MATURITY</stp>
        <stp>[TREASURY.xlsx]Sheet1!R1434C5</stp>
        <tr r="E1434" s="1"/>
      </tp>
      <tp t="s">
        <v>5/15/2009</v>
        <stp/>
        <stp>##V3_BDPV12</stp>
        <stp>912828FE Govt</stp>
        <stp>MATURITY</stp>
        <stp>[TREASURY.xlsx]Sheet1!R1274C5</stp>
        <tr r="E1274" s="1"/>
      </tp>
      <tp t="s">
        <v>1/31/2013</v>
        <stp/>
        <stp>##V3_BDPV12</stp>
        <stp>912828HQ Govt</stp>
        <stp>MATURITY</stp>
        <stp>[TREASURY.xlsx]Sheet1!R1244C5</stp>
        <tr r="E1244" s="1"/>
      </tp>
      <tp t="s">
        <v>4/15/2012</v>
        <stp/>
        <stp>##V3_BDPV12</stp>
        <stp>912828KK Govt</stp>
        <stp>MATURITY</stp>
        <stp>[TREASURY.xlsx]Sheet1!R1124C5</stp>
        <tr r="E1124" s="1"/>
      </tp>
      <tp t="s">
        <v>1/31/2028</v>
        <stp/>
        <stp>##V3_BDPV12</stp>
        <stp>91282CBJ Govt</stp>
        <stp>MATURITY</stp>
        <stp>[TREASURY.xlsx]Sheet1!R123C5</stp>
        <tr r="E123" s="1"/>
      </tp>
      <tp t="s">
        <v>8/31/2022</v>
        <stp/>
        <stp>##V3_BDPV12</stp>
        <stp>91282CAG Govt</stp>
        <stp>MATURITY</stp>
        <stp>[TREASURY.xlsx]Sheet1!R133C5</stp>
        <tr r="E133" s="1"/>
      </tp>
      <tp t="s">
        <v>3/15/2013</v>
        <stp/>
        <stp>##V3_BDPV12</stp>
        <stp>912828MT Govt</stp>
        <stp>MATURITY</stp>
        <stp>[TREASURY.xlsx]Sheet1!R1254C5</stp>
        <tr r="E1254" s="1"/>
      </tp>
      <tp t="s">
        <v>NORMAL</v>
        <stp/>
        <stp>##V3_BDPV12</stp>
        <stp>912810SZ Govt</stp>
        <stp>MTY_TYP</stp>
        <stp>[TREASURY.xlsx]Sheet1!R3C6</stp>
        <tr r="F3" s="1"/>
      </tp>
      <tp t="s">
        <v>8/31/2017</v>
        <stp/>
        <stp>##V3_BDPV12</stp>
        <stp>912828NW Govt</stp>
        <stp>MATURITY</stp>
        <stp>[TREASURY.xlsx]Sheet1!R1294C5</stp>
        <tr r="E1294" s="1"/>
      </tp>
      <tp t="s">
        <v>9/15/2021</v>
        <stp/>
        <stp>##V3_BDPV12</stp>
        <stp>9128285A Govt</stp>
        <stp>MATURITY</stp>
        <stp>[TREASURY.xlsx]Sheet1!R283C5</stp>
        <tr r="E283" s="1"/>
      </tp>
      <tp t="s">
        <v>1/31/2020</v>
        <stp/>
        <stp>##V3_BDPV12</stp>
        <stp>9128283S Govt</stp>
        <stp>MATURITY</stp>
        <stp>[TREASURY.xlsx]Sheet1!R433C5</stp>
        <tr r="E433" s="1"/>
      </tp>
      <tp t="s">
        <v>11/15/2021</v>
        <stp/>
        <stp>##V3_BDPV12</stp>
        <stp>9128285L Govt</stp>
        <stp>MATURITY</stp>
        <stp>[TREASURY.xlsx]Sheet1!R193C5</stp>
        <tr r="E193" s="1"/>
      </tp>
      <tp t="s">
        <v>5/15/2022</v>
        <stp/>
        <stp>##V3_BDPV12</stp>
        <stp>9128286U Govt</stp>
        <stp>MATURITY</stp>
        <stp>[TREASURY.xlsx]Sheet1!R233C5</stp>
        <tr r="E233" s="1"/>
      </tp>
      <tp t="s">
        <v>5/31/2021</v>
        <stp/>
        <stp>##V3_BDPV12</stp>
        <stp>9128286V Govt</stp>
        <stp>MATURITY</stp>
        <stp>[TREASURY.xlsx]Sheet1!R523C5</stp>
        <tr r="E523" s="1"/>
      </tp>
      <tp t="s">
        <v>8/15/2019</v>
        <stp/>
        <stp>##V3_BDPV12</stp>
        <stp>9128282B Govt</stp>
        <stp>MATURITY</stp>
        <stp>[TREASURY.xlsx]Sheet1!R373C5</stp>
        <tr r="E373" s="1"/>
      </tp>
      <tp t="s">
        <v>6/30/2006</v>
        <stp/>
        <stp>##V3_BDPV12</stp>
        <stp>912828CM Govt</stp>
        <stp>MATURITY</stp>
        <stp>[TREASURY.xlsx]Sheet1!R493C5</stp>
        <tr r="E493" s="1"/>
      </tp>
      <tp t="s">
        <v>9/30/2005</v>
        <stp/>
        <stp>##V3_BDPV12</stp>
        <stp>912828BL Govt</stp>
        <stp>MATURITY</stp>
        <stp>[TREASURY.xlsx]Sheet1!R513C5</stp>
        <tr r="E513" s="1"/>
      </tp>
      <tp t="s">
        <v>12/31/2005</v>
        <stp/>
        <stp>##V3_BDPV12</stp>
        <stp>912828BU Govt</stp>
        <stp>MATURITY</stp>
        <stp>[TREASURY.xlsx]Sheet1!R533C5</stp>
        <tr r="E533" s="1"/>
      </tp>
      <tp t="s">
        <v>6/30/2015</v>
        <stp/>
        <stp>##V3_BDPV12</stp>
        <stp>912828NL Govt</stp>
        <stp>MATURITY</stp>
        <stp>[TREASURY.xlsx]Sheet1!R863C5</stp>
        <tr r="E863" s="1"/>
      </tp>
      <tp t="s">
        <v>10/15/2008</v>
        <stp/>
        <stp>##V3_BDPV12</stp>
        <stp>912828BM Govt</stp>
        <stp>MATURITY</stp>
        <stp>[TREASURY.xlsx]Sheet1!R453C5</stp>
        <tr r="E453" s="1"/>
      </tp>
      <tp t="s">
        <v>2/28/2015</v>
        <stp/>
        <stp>##V3_BDPV12</stp>
        <stp>912828MR Govt</stp>
        <stp>MATURITY</stp>
        <stp>[TREASURY.xlsx]Sheet1!R823C5</stp>
        <tr r="E823" s="1"/>
      </tp>
      <tp t="s">
        <v>9/30/2006</v>
        <stp/>
        <stp>##V3_BDPV12</stp>
        <stp>912828CW Govt</stp>
        <stp>MATURITY</stp>
        <stp>[TREASURY.xlsx]Sheet1!R603C5</stp>
        <tr r="E603" s="1"/>
      </tp>
      <tp t="s">
        <v>5/31/2011</v>
        <stp/>
        <stp>##V3_BDPV12</stp>
        <stp>912828KU Govt</stp>
        <stp>MATURITY</stp>
        <stp>[TREASURY.xlsx]Sheet1!R813C5</stp>
        <tr r="E813" s="1"/>
      </tp>
      <tp t="s">
        <v>5/31/2007</v>
        <stp/>
        <stp>##V3_BDPV12</stp>
        <stp>912828DW Govt</stp>
        <stp>MATURITY</stp>
        <stp>[TREASURY.xlsx]Sheet1!R793C5</stp>
        <tr r="E793" s="1"/>
      </tp>
      <tp t="s">
        <v>8/31/2016</v>
        <stp/>
        <stp>##V3_BDPV12</stp>
        <stp>912828D6 Govt</stp>
        <stp>MATURITY</stp>
        <stp>[TREASURY.xlsx]Sheet1!R613C5</stp>
        <tr r="E613" s="1"/>
      </tp>
      <tp t="s">
        <v>6/30/2010</v>
        <stp/>
        <stp>##V3_BDPV12</stp>
        <stp>912828JC Govt</stp>
        <stp>MATURITY</stp>
        <stp>[TREASURY.xlsx]Sheet1!R853C5</stp>
        <tr r="E853" s="1"/>
      </tp>
      <tp t="s">
        <v>3/31/2016</v>
        <stp/>
        <stp>##V3_BDPV12</stp>
        <stp>912828KT Govt</stp>
        <stp>MATURITY</stp>
        <stp>[TREASURY.xlsx]Sheet1!R973C5</stp>
        <tr r="E973" s="1"/>
      </tp>
      <tp t="s">
        <v>5/15/2014</v>
        <stp/>
        <stp>##V3_BDPV12</stp>
        <stp>912828CJ Govt</stp>
        <stp>MATURITY</stp>
        <stp>[TREASURY.xlsx]Sheet1!R393C5</stp>
        <tr r="E393" s="1"/>
      </tp>
      <tp t="s">
        <v>4/30/2009</v>
        <stp/>
        <stp>##V3_BDPV12</stp>
        <stp>912828GP Govt</stp>
        <stp>MATURITY</stp>
        <stp>[TREASURY.xlsx]Sheet1!R803C5</stp>
        <tr r="E803" s="1"/>
      </tp>
      <tp t="s">
        <v>11/15/2019</v>
        <stp/>
        <stp>##V3_BDPV12</stp>
        <stp>912828LY Govt</stp>
        <stp>MATURITY</stp>
        <stp>[TREASURY.xlsx]Sheet1!R353C5</stp>
        <tr r="E353" s="1"/>
      </tp>
      <tp t="s">
        <v>2/29/2020</v>
        <stp/>
        <stp>##V3_BDPV12</stp>
        <stp>912828J5 Govt</stp>
        <stp>MATURITY</stp>
        <stp>[TREASURY.xlsx]Sheet1!R403C5</stp>
        <tr r="E403" s="1"/>
      </tp>
      <tp t="s">
        <v>5/31/2011</v>
        <stp/>
        <stp>##V3_BDPV12</stp>
        <stp>912828FH Govt</stp>
        <stp>MATURITY</stp>
        <stp>[TREASURY.xlsx]Sheet1!R843C5</stp>
        <tr r="E843" s="1"/>
      </tp>
      <tp t="s">
        <v>5/15/2019</v>
        <stp/>
        <stp>##V3_BDPV12</stp>
        <stp>912828KQ Govt</stp>
        <stp>MATURITY</stp>
        <stp>[TREASURY.xlsx]Sheet1!R583C5</stp>
        <tr r="E583" s="1"/>
      </tp>
      <tp t="s">
        <v>8/31/2022</v>
        <stp/>
        <stp>##V3_BDPV12</stp>
        <stp>912828L2 Govt</stp>
        <stp>MATURITY</stp>
        <stp>[TREASURY.xlsx]Sheet1!R173C5</stp>
        <tr r="E173" s="1"/>
      </tp>
      <tp t="s">
        <v>1/31/2021</v>
        <stp/>
        <stp>##V3_BDPV12</stp>
        <stp>912828N8 Govt</stp>
        <stp>MATURITY</stp>
        <stp>[TREASURY.xlsx]Sheet1!R343C5</stp>
        <tr r="E343" s="1"/>
      </tp>
      <tp t="s">
        <v>12/31/2012</v>
        <stp/>
        <stp>##V3_BDPV12</stp>
        <stp>912828HM Govt</stp>
        <stp>MATURITY</stp>
        <stp>[TREASURY.xlsx]Sheet1!R573C5</stp>
        <tr r="E573" s="1"/>
      </tp>
      <tp t="s">
        <v>2/28/2007</v>
        <stp/>
        <stp>##V3_BDPV12</stp>
        <stp>912828DN Govt</stp>
        <stp>MATURITY</stp>
        <stp>[TREASURY.xlsx]Sheet1!R963C5</stp>
        <tr r="E963" s="1"/>
      </tp>
      <tp t="s">
        <v>12/31/2013</v>
        <stp/>
        <stp>##V3_BDPV12</stp>
        <stp>912828JW Govt</stp>
        <stp>MATURITY</stp>
        <stp>[TREASURY.xlsx]Sheet1!R643C5</stp>
        <tr r="E643" s="1"/>
      </tp>
      <tp t="s">
        <v>12/31/2020</v>
        <stp/>
        <stp>##V3_BDPV12</stp>
        <stp>912828N4 Govt</stp>
        <stp>MATURITY</stp>
        <stp>[TREASURY.xlsx]Sheet1!R463C5</stp>
        <tr r="E463" s="1"/>
      </tp>
      <tp t="s">
        <v>11/30/2017</v>
        <stp/>
        <stp>##V3_BDPV12</stp>
        <stp>912828M7 Govt</stp>
        <stp>MATURITY</stp>
        <stp>[TREASURY.xlsx]Sheet1!R443C5</stp>
        <tr r="E443" s="1"/>
      </tp>
      <tp t="s">
        <v>2/29/2012</v>
        <stp/>
        <stp>##V3_BDPV12</stp>
        <stp>912828MQ Govt</stp>
        <stp>MATURITY</stp>
        <stp>[TREASURY.xlsx]Sheet1!R483C5</stp>
        <tr r="E483" s="1"/>
      </tp>
      <tp t="s">
        <v>12/31/2021</v>
        <stp/>
        <stp>##V3_BDPV12</stp>
        <stp>912828U8 Govt</stp>
        <stp>MATURITY</stp>
        <stp>[TREASURY.xlsx]Sheet1!R213C5</stp>
        <tr r="E213" s="1"/>
      </tp>
      <tp t="s">
        <v>10/31/2016</v>
        <stp/>
        <stp>##V3_BDPV12</stp>
        <stp>912828RM Govt</stp>
        <stp>MATURITY</stp>
        <stp>[TREASURY.xlsx]Sheet1!R563C5</stp>
        <tr r="E563" s="1"/>
      </tp>
      <tp t="s">
        <v>3/31/2021</v>
        <stp/>
        <stp>##V3_BDPV12</stp>
        <stp>912828Q3 Govt</stp>
        <stp>MATURITY</stp>
        <stp>[TREASURY.xlsx]Sheet1!R413C5</stp>
        <tr r="E413" s="1"/>
      </tp>
      <tp t="s">
        <v>3/31/2018</v>
        <stp/>
        <stp>##V3_BDPV12</stp>
        <stp>912828Q4 Govt</stp>
        <stp>MATURITY</stp>
        <stp>[TREASURY.xlsx]Sheet1!R423C5</stp>
        <tr r="E423" s="1"/>
      </tp>
      <tp t="s">
        <v>1/31/2019</v>
        <stp/>
        <stp>##V3_BDPV12</stp>
        <stp>912828SD Govt</stp>
        <stp>MATURITY</stp>
        <stp>[TREASURY.xlsx]Sheet1!R623C5</stp>
        <tr r="E623" s="1"/>
      </tp>
      <tp t="s">
        <v>12/31/2015</v>
        <stp/>
        <stp>##V3_BDPV12</stp>
        <stp>912828PM Govt</stp>
        <stp>MATURITY</stp>
        <stp>[TREASURY.xlsx]Sheet1!R593C5</stp>
        <tr r="E593" s="1"/>
      </tp>
      <tp t="s">
        <v>5/31/2014</v>
        <stp/>
        <stp>##V3_BDPV12</stp>
        <stp>912828SW Govt</stp>
        <stp>MATURITY</stp>
        <stp>[TREASURY.xlsx]Sheet1!R653C5</stp>
        <tr r="E653" s="1"/>
      </tp>
      <tp t="s">
        <v>3/31/2019</v>
        <stp/>
        <stp>##V3_BDPV12</stp>
        <stp>912828W9 Govt</stp>
        <stp>MATURITY</stp>
        <stp>[TREASURY.xlsx]Sheet1!R363C5</stp>
        <tr r="E363" s="1"/>
      </tp>
      <tp t="s">
        <v>3/31/2020</v>
        <stp/>
        <stp>##V3_BDPV12</stp>
        <stp>912828UV Govt</stp>
        <stp>MATURITY</stp>
        <stp>[TREASURY.xlsx]Sheet1!R693C5</stp>
        <tr r="E693" s="1"/>
      </tp>
      <tp t="s">
        <v>6/30/2019</v>
        <stp/>
        <stp>##V3_BDPV12</stp>
        <stp>912828WS Govt</stp>
        <stp>MATURITY</stp>
        <stp>[TREASURY.xlsx]Sheet1!R543C5</stp>
        <tr r="E543" s="1"/>
      </tp>
      <tp t="s">
        <v>5/31/2021</v>
        <stp/>
        <stp>##V3_BDPV12</stp>
        <stp>912828R7 Govt</stp>
        <stp>MATURITY</stp>
        <stp>[TREASURY.xlsx]Sheet1!R383C5</stp>
        <tr r="E383" s="1"/>
      </tp>
      <tp t="s">
        <v>8/15/2021</v>
        <stp/>
        <stp>##V3_BDPV12</stp>
        <stp>912828RC Govt</stp>
        <stp>MATURITY</stp>
        <stp>[TREASURY.xlsx]Sheet1!R333C5</stp>
        <tr r="E333" s="1"/>
      </tp>
      <tp t="s">
        <v>5/31/2018</v>
        <stp/>
        <stp>##V3_BDPV12</stp>
        <stp>912828VE Govt</stp>
        <stp>MATURITY</stp>
        <stp>[TREASURY.xlsx]Sheet1!R673C5</stp>
        <tr r="E673" s="1"/>
      </tp>
      <tp t="s">
        <v>6/30/2019</v>
        <stp/>
        <stp>##V3_BDPV12</stp>
        <stp>912828XV Govt</stp>
        <stp>MATURITY</stp>
        <stp>[TREASURY.xlsx]Sheet1!R883C5</stp>
        <tr r="E883" s="1"/>
      </tp>
      <tp t="s">
        <v>8/31/2017</v>
        <stp/>
        <stp>##V3_BDPV12</stp>
        <stp>912828TM Govt</stp>
        <stp>MATURITY</stp>
        <stp>[TREASURY.xlsx]Sheet1!R873C5</stp>
        <tr r="E873" s="1"/>
      </tp>
      <tp t="s">
        <v>6/30/2020</v>
        <stp/>
        <stp>##V3_BDPV12</stp>
        <stp>912828XY Govt</stp>
        <stp>MATURITY</stp>
        <stp>[TREASURY.xlsx]Sheet1!R473C5</stp>
        <tr r="E473" s="1"/>
      </tp>
      <tp t="s">
        <v>9/30/2016</v>
        <stp/>
        <stp>##V3_BDPV12</stp>
        <stp>912828RJ Govt</stp>
        <stp>MATURITY</stp>
        <stp>[TREASURY.xlsx]Sheet1!R993C5</stp>
        <tr r="E993" s="1"/>
      </tp>
      <tp t="s">
        <v>5/15/2023</v>
        <stp/>
        <stp>##V3_BDPV12</stp>
        <stp>912828ZP Govt</stp>
        <stp>MATURITY</stp>
        <stp>[TREASURY.xlsx]Sheet1!R153C5</stp>
        <tr r="E153" s="1"/>
      </tp>
      <tp t="s">
        <v>5/31/2022</v>
        <stp/>
        <stp>##V3_BDPV12</stp>
        <stp>912828XR Govt</stp>
        <stp>MATURITY</stp>
        <stp>[TREASURY.xlsx]Sheet1!R203C5</stp>
        <tr r="E203" s="1"/>
      </tp>
      <tp t="s">
        <v>12/15/2013</v>
        <stp/>
        <stp>##V3_BDPV12</stp>
        <stp>912828PL Govt</stp>
        <stp>MATURITY</stp>
        <stp>[TREASURY.xlsx]Sheet1!R983C5</stp>
        <tr r="E983" s="1"/>
      </tp>
      <tp t="s">
        <v>8/31/2024</v>
        <stp/>
        <stp>##V3_BDPV12</stp>
        <stp>912828YE Govt</stp>
        <stp>MATURITY</stp>
        <stp>[TREASURY.xlsx]Sheet1!R143C5</stp>
        <tr r="E143" s="1"/>
      </tp>
      <tp t="s">
        <v>8/15/2022</v>
        <stp/>
        <stp>##V3_BDPV12</stp>
        <stp>912828YA Govt</stp>
        <stp>MATURITY</stp>
        <stp>[TREASURY.xlsx]Sheet1!R183C5</stp>
        <tr r="E183" s="1"/>
      </tp>
      <tp t="s">
        <v>10/31/2024</v>
        <stp/>
        <stp>##V3_BDPV12</stp>
        <stp>912828YM Govt</stp>
        <stp>MATURITY</stp>
        <stp>[TREASURY.xlsx]Sheet1!R113C5</stp>
        <tr r="E113" s="1"/>
      </tp>
      <tp t="s">
        <v>T</v>
        <stp/>
        <stp>##V3_BDPV12</stp>
        <stp>912828ZY Govt</stp>
        <stp>TICKER</stp>
        <stp>[TREASURY.xlsx]Sheet1!R184C2</stp>
        <tr r="B184" s="1"/>
      </tp>
      <tp t="s">
        <v>T</v>
        <stp/>
        <stp>##V3_BDPV12</stp>
        <stp>912828WY Govt</stp>
        <stp>TICKER</stp>
        <stp>[TREASURY.xlsx]Sheet1!R359C2</stp>
        <tr r="B359" s="1"/>
      </tp>
      <tp t="s">
        <v>2/15/2026</v>
        <stp/>
        <stp>##V3_BDPV12</stp>
        <stp>912828P4 Govt</stp>
        <stp>MATURITY</stp>
        <stp>[TREASURY.xlsx]Sheet1!R91C5</stp>
        <tr r="E91" s="1"/>
      </tp>
      <tp t="s">
        <v>8/15/2024</v>
        <stp/>
        <stp>##V3_BDPV12</stp>
        <stp>912828D5 Govt</stp>
        <stp>MATURITY</stp>
        <stp>[TREASURY.xlsx]Sheet1!R70C5</stp>
        <tr r="E70" s="1"/>
      </tp>
      <tp t="s">
        <v>T</v>
        <stp/>
        <stp>##V3_BDPV12</stp>
        <stp>912827YV Govt</stp>
        <stp>TICKER</stp>
        <stp>[TREASURY.xlsx]Sheet1!R947C2</stp>
        <tr r="B947" s="1"/>
      </tp>
      <tp t="s">
        <v>11/15/2027</v>
        <stp/>
        <stp>##V3_BDPV12</stp>
        <stp>912810FB Govt</stp>
        <stp>MATURITY</stp>
        <stp>[TREASURY.xlsx]Sheet1!R320C5</stp>
        <tr r="E320" s="1"/>
      </tp>
      <tp t="s">
        <v>11/15/2010</v>
        <stp/>
        <stp>##V3_BDPV12</stp>
        <stp>912810CS Govt</stp>
        <stp>MATURITY</stp>
        <stp>[TREASURY.xlsx]Sheet1!R660C5</stp>
        <tr r="E660" s="1"/>
      </tp>
      <tp t="s">
        <v>2/15/2021</v>
        <stp/>
        <stp>##V3_BDPV12</stp>
        <stp>912810EH Govt</stp>
        <stp>MATURITY</stp>
        <stp>[TREASURY.xlsx]Sheet1!R400C5</stp>
        <tr r="E400" s="1"/>
      </tp>
      <tp t="s">
        <v>11/15/2044</v>
        <stp/>
        <stp>##V3_BDPV12</stp>
        <stp>912810RJ Govt</stp>
        <stp>MATURITY</stp>
        <stp>[TREASURY.xlsx]Sheet1!R180C5</stp>
        <tr r="E180" s="1"/>
      </tp>
      <tp t="s">
        <v>2/15/2039</v>
        <stp/>
        <stp>##V3_BDPV12</stp>
        <stp>912810QA Govt</stp>
        <stp>MATURITY</stp>
        <stp>[TREASURY.xlsx]Sheet1!R280C5</stp>
        <tr r="E280" s="1"/>
      </tp>
      <tp t="s">
        <v>11/15/2042</v>
        <stp/>
        <stp>##V3_BDPV12</stp>
        <stp>912810QY Govt</stp>
        <stp>MATURITY</stp>
        <stp>[TREASURY.xlsx]Sheet1!R270C5</stp>
        <tr r="E270" s="1"/>
      </tp>
      <tp t="s">
        <v>5/15/2040</v>
        <stp/>
        <stp>##V3_BDPV12</stp>
        <stp>912810SR Govt</stp>
        <stp>MATURITY</stp>
        <stp>[TREASURY.xlsx]Sheet1!R100C5</stp>
        <tr r="E100" s="1"/>
      </tp>
      <tp t="s">
        <v>2/15/2043</v>
        <stp/>
        <stp>##V3_BDPV12</stp>
        <stp>912810QZ Govt</stp>
        <stp>MATURITY</stp>
        <stp>[TREASURY.xlsx]Sheet1!R310C5</stp>
        <tr r="E310" s="1"/>
      </tp>
      <tp t="s">
        <v>NORMAL</v>
        <stp/>
        <stp>##V3_BDPV12</stp>
        <stp>912810EK Govt</stp>
        <stp>MTY_TYP</stp>
        <stp>[TREASURY.xlsx]Sheet1!R357C6</stp>
        <tr r="F357" s="1"/>
      </tp>
      <tp t="s">
        <v>T</v>
        <stp/>
        <stp>##V3_BDPV12</stp>
        <stp>912827ZS Govt</stp>
        <stp>TICKER</stp>
        <stp>[TREASURY.xlsx]Sheet1!R954C2</stp>
        <tr r="B954" s="1"/>
      </tp>
      <tp t="s">
        <v>NORMAL</v>
        <stp/>
        <stp>##V3_BDPV12</stp>
        <stp>912828MM Govt</stp>
        <stp>MTY_TYP</stp>
        <stp>[TREASURY.xlsx]Sheet1!R821C6</stp>
        <tr r="F821" s="1"/>
      </tp>
      <tp t="s">
        <v>NORMAL</v>
        <stp/>
        <stp>##V3_BDPV12</stp>
        <stp>912828MN Govt</stp>
        <stp>MTY_TYP</stp>
        <stp>[TREASURY.xlsx]Sheet1!R822C6</stp>
        <tr r="F822" s="1"/>
      </tp>
      <tp t="s">
        <v>NORMAL</v>
        <stp/>
        <stp>##V3_BDPV12</stp>
        <stp>9128282K Govt</stp>
        <stp>MTY_TYP</stp>
        <stp>[TREASURY.xlsx]Sheet1!R957C6</stp>
        <tr r="F957" s="1"/>
      </tp>
      <tp t="s">
        <v>NORMAL</v>
        <stp/>
        <stp>##V3_BDPV12</stp>
        <stp>912827ZH Govt</stp>
        <stp>MTY_TYP</stp>
        <stp>[TREASURY.xlsx]Sheet1!R634C6</stp>
        <tr r="F634" s="1"/>
      </tp>
      <tp t="s">
        <v>NORMAL</v>
        <stp/>
        <stp>##V3_BDPV12</stp>
        <stp>912828QE Govt</stp>
        <stp>MTY_TYP</stp>
        <stp>[TREASURY.xlsx]Sheet1!R989C6</stp>
        <tr r="F989" s="1"/>
      </tp>
      <tp t="s">
        <v>NORMAL</v>
        <stp/>
        <stp>##V3_BDPV12</stp>
        <stp>912827MH Govt</stp>
        <stp>MTY_TYP</stp>
        <stp>[TREASURY.xlsx]Sheet1!R544C6</stp>
        <tr r="F544" s="1"/>
      </tp>
      <tp t="s">
        <v>NORMAL</v>
        <stp/>
        <stp>##V3_BDPV12</stp>
        <stp>912828PH Govt</stp>
        <stp>MTY_TYP</stp>
        <stp>[TREASURY.xlsx]Sheet1!R464C6</stp>
        <tr r="F464" s="1"/>
      </tp>
      <tp t="s">
        <v>NORMAL</v>
        <stp/>
        <stp>##V3_BDPV12</stp>
        <stp>912827XJ Govt</stp>
        <stp>MTY_TYP</stp>
        <stp>[TREASURY.xlsx]Sheet1!R936C6</stp>
        <tr r="F936" s="1"/>
      </tp>
      <tp t="s">
        <v>NORMAL</v>
        <stp/>
        <stp>##V3_BDPV12</stp>
        <stp>912827VH Govt</stp>
        <stp>MTY_TYP</stp>
        <stp>[TREASURY.xlsx]Sheet1!R924C6</stp>
        <tr r="F924" s="1"/>
      </tp>
      <tp t="s">
        <v>NORMAL</v>
        <stp/>
        <stp>##V3_BDPV12</stp>
        <stp>9128283H Govt</stp>
        <stp>MTY_TYP</stp>
        <stp>[TREASURY.xlsx]Sheet1!R784C6</stp>
        <tr r="F784" s="1"/>
      </tp>
      <tp t="s">
        <v>NORMAL</v>
        <stp/>
        <stp>##V3_BDPV12</stp>
        <stp>912827LE Govt</stp>
        <stp>MTY_TYP</stp>
        <stp>[TREASURY.xlsx]Sheet1!R889C6</stp>
        <tr r="F889" s="1"/>
      </tp>
      <tp t="s">
        <v>NORMAL</v>
        <stp/>
        <stp>##V3_BDPV12</stp>
        <stp>912828YD Govt</stp>
        <stp>MTY_TYP</stp>
        <stp>[TREASURY.xlsx]Sheet1!R178C6</stp>
        <tr r="F178" s="1"/>
      </tp>
      <tp t="s">
        <v>NORMAL</v>
        <stp/>
        <stp>##V3_BDPV12</stp>
        <stp>9128283J Govt</stp>
        <stp>MTY_TYP</stp>
        <stp>[TREASURY.xlsx]Sheet1!R216C6</stp>
        <tr r="F216" s="1"/>
      </tp>
      <tp t="s">
        <v>NORMAL</v>
        <stp/>
        <stp>##V3_BDPV12</stp>
        <stp>9128283L Govt</stp>
        <stp>MTY_TYP</stp>
        <stp>[TREASURY.xlsx]Sheet1!R350C6</stp>
        <tr r="F350" s="1"/>
      </tp>
      <tp t="s">
        <v>NORMAL</v>
        <stp/>
        <stp>##V3_BDPV12</stp>
        <stp>9128286D Govt</stp>
        <stp>MTY_TYP</stp>
        <stp>[TREASURY.xlsx]Sheet1!R348C6</stp>
        <tr r="F348" s="1"/>
      </tp>
      <tp t="s">
        <v>T</v>
        <stp/>
        <stp>##V3_BDPV12</stp>
        <stp>912828XQ Govt</stp>
        <stp>TICKER</stp>
        <stp>[TREASURY.xlsx]Sheet1!R206C2</stp>
        <tr r="B206" s="1"/>
      </tp>
      <tp t="s">
        <v>1/31/2002</v>
        <stp/>
        <stp>##V3_BDPV12</stp>
        <stp>9128275X Govt</stp>
        <stp>MATURITY</stp>
        <stp>[TREASURY.xlsx]Sheet1!R633C5</stp>
        <tr r="E633" s="1"/>
      </tp>
      <tp t="s">
        <v>4/30/2001</v>
        <stp/>
        <stp>##V3_BDPV12</stp>
        <stp>9128275E Govt</stp>
        <stp>MATURITY</stp>
        <stp>[TREASURY.xlsx]Sheet1!R553C5</stp>
        <tr r="E553" s="1"/>
      </tp>
      <tp t="s">
        <v>5/31/1983</v>
        <stp/>
        <stp>##V3_BDPV12</stp>
        <stp>912827LX Govt</stp>
        <stp>MATURITY</stp>
        <stp>[TREASURY.xlsx]Sheet1!R893C5</stp>
        <tr r="E893" s="1"/>
      </tp>
      <tp t="s">
        <v>7/31/1997</v>
        <stp/>
        <stp>##V3_BDPV12</stp>
        <stp>912827G3 Govt</stp>
        <stp>MATURITY</stp>
        <stp>[TREASURY.xlsx]Sheet1!R703C5</stp>
        <tr r="E703" s="1"/>
      </tp>
      <tp t="s">
        <v>4/30/1997</v>
        <stp/>
        <stp>##V3_BDPV12</stp>
        <stp>912827F2 Govt</stp>
        <stp>MATURITY</stp>
        <stp>[TREASURY.xlsx]Sheet1!R663C5</stp>
        <tr r="E663" s="1"/>
      </tp>
      <tp t="s">
        <v>6/30/1982</v>
        <stp/>
        <stp>##V3_BDPV12</stp>
        <stp>912827KU Govt</stp>
        <stp>MATURITY</stp>
        <stp>[TREASURY.xlsx]Sheet1!R683C5</stp>
        <tr r="E683" s="1"/>
      </tp>
      <tp t="s">
        <v>8/31/1982</v>
        <stp/>
        <stp>##V3_BDPV12</stp>
        <stp>912827KZ Govt</stp>
        <stp>MATURITY</stp>
        <stp>[TREASURY.xlsx]Sheet1!R713C5</stp>
        <tr r="E713" s="1"/>
      </tp>
      <tp t="s">
        <v>2/15/1987</v>
        <stp/>
        <stp>##V3_BDPV12</stp>
        <stp>912827MQ Govt</stp>
        <stp>MATURITY</stp>
        <stp>[TREASURY.xlsx]Sheet1!R723C5</stp>
        <tr r="E723" s="1"/>
      </tp>
      <tp t="s">
        <v>11/15/1987</v>
        <stp/>
        <stp>##V3_BDPV12</stp>
        <stp>912827NP Govt</stp>
        <stp>MATURITY</stp>
        <stp>[TREASURY.xlsx]Sheet1!R733C5</stp>
        <tr r="E733" s="1"/>
      </tp>
      <tp t="s">
        <v>8/31/1999</v>
        <stp/>
        <stp>##V3_BDPV12</stp>
        <stp>912827R2 Govt</stp>
        <stp>MATURITY</stp>
        <stp>[TREASURY.xlsx]Sheet1!R743C5</stp>
        <tr r="E743" s="1"/>
      </tp>
      <tp t="s">
        <v>11/30/1992</v>
        <stp/>
        <stp>##V3_BDPV12</stp>
        <stp>912827ZP Govt</stp>
        <stp>MATURITY</stp>
        <stp>[TREASURY.xlsx]Sheet1!R953C5</stp>
        <tr r="E953" s="1"/>
      </tp>
      <tp t="s">
        <v>9/30/1990</v>
        <stp/>
        <stp>##V3_BDPV12</stp>
        <stp>912827UB Govt</stp>
        <stp>MATURITY</stp>
        <stp>[TREASURY.xlsx]Sheet1!R753C5</stp>
        <tr r="E753" s="1"/>
      </tp>
      <tp t="s">
        <v>2/15/1993</v>
        <stp/>
        <stp>##V3_BDPV12</stp>
        <stp>912827VQ Govt</stp>
        <stp>MATURITY</stp>
        <stp>[TREASURY.xlsx]Sheet1!R763C5</stp>
        <tr r="E763" s="1"/>
      </tp>
      <tp t="s">
        <v>11/15/1999</v>
        <stp/>
        <stp>##V3_BDPV12</stp>
        <stp>912827YE Govt</stp>
        <stp>MATURITY</stp>
        <stp>[TREASURY.xlsx]Sheet1!R943C5</stp>
        <tr r="E943" s="1"/>
      </tp>
      <tp t="s">
        <v>11/30/1997</v>
        <stp/>
        <stp>##V3_BDPV12</stp>
        <stp>912827V9 Govt</stp>
        <stp>MATURITY</stp>
        <stp>[TREASURY.xlsx]Sheet1!R923C5</stp>
        <tr r="E923" s="1"/>
      </tp>
      <tp t="s">
        <v>4/15/1996</v>
        <stp/>
        <stp>##V3_BDPV12</stp>
        <stp>912827XK Govt</stp>
        <stp>MATURITY</stp>
        <stp>[TREASURY.xlsx]Sheet1!R773C5</stp>
        <tr r="E773" s="1"/>
      </tp>
      <tp t="s">
        <v>9/30/1990</v>
        <stp/>
        <stp>##V3_BDPV12</stp>
        <stp>912827WR Govt</stp>
        <stp>MATURITY</stp>
        <stp>[TREASURY.xlsx]Sheet1!R933C5</stp>
        <tr r="E933" s="1"/>
      </tp>
      <tp t="s">
        <v>12/31/1992</v>
        <stp/>
        <stp>##V3_BDPV12</stp>
        <stp>912827ZR Govt</stp>
        <stp>MATURITY</stp>
        <stp>[TREASURY.xlsx]Sheet1!R783C5</stp>
        <tr r="E783" s="1"/>
      </tp>
      <tp t="s">
        <v>2/29/2000</v>
        <stp/>
        <stp>##V3_BDPV12</stp>
        <stp>912827T2 Govt</stp>
        <stp>MATURITY</stp>
        <stp>[TREASURY.xlsx]Sheet1!R833C5</stp>
        <tr r="E833" s="1"/>
      </tp>
      <tp t="s">
        <v>12/31/1988</v>
        <stp/>
        <stp>##V3_BDPV12</stp>
        <stp>912827RS Govt</stp>
        <stp>MATURITY</stp>
        <stp>[TREASURY.xlsx]Sheet1!R913C5</stp>
        <tr r="E913" s="1"/>
      </tp>
      <tp t="s">
        <v>5/31/1985</v>
        <stp/>
        <stp>##V3_BDPV12</stp>
        <stp>912827PN Govt</stp>
        <stp>MATURITY</stp>
        <stp>[TREASURY.xlsx]Sheet1!R903C5</stp>
        <tr r="E903" s="1"/>
      </tp>
      <tp t="s">
        <v>#N/A Field Not Applicable</v>
        <stp/>
        <stp>##V3_BDPV12</stp>
        <stp>91282CCS Govt</stp>
        <stp>IDX_RATIO</stp>
        <stp>[TREASURY.xlsx]Sheet1!R2C20</stp>
        <tr r="T2" s="1"/>
      </tp>
      <tp t="s">
        <v>#N/A Field Not Applicable</v>
        <stp/>
        <stp>##V3_BDPV12</stp>
        <stp>91282CCU Govt</stp>
        <stp>IDX_RATIO</stp>
        <stp>[TREASURY.xlsx]Sheet1!R6C20</stp>
        <tr r="T6" s="1"/>
      </tp>
      <tp t="s">
        <v>#N/A Field Not Applicable</v>
        <stp/>
        <stp>##V3_BDPV12</stp>
        <stp>91282CCW Govt</stp>
        <stp>IDX_RATIO</stp>
        <stp>[TREASURY.xlsx]Sheet1!R4C20</stp>
        <tr r="T4" s="1"/>
      </tp>
      <tp t="s">
        <v>#N/A Field Not Applicable</v>
        <stp/>
        <stp>##V3_BDPV12</stp>
        <stp>91282CCX Govt</stp>
        <stp>IDX_RATIO</stp>
        <stp>[TREASURY.xlsx]Sheet1!R5C20</stp>
        <tr r="T5" s="1"/>
      </tp>
      <tp t="s">
        <v>#N/A Field Not Applicable</v>
        <stp/>
        <stp>##V3_BDPV12</stp>
        <stp>91282CCZ Govt</stp>
        <stp>IDX_RATIO</stp>
        <stp>[TREASURY.xlsx]Sheet1!R7C20</stp>
        <tr r="T7" s="1"/>
      </tp>
      <tp t="s">
        <v>#N/A Field Not Applicable</v>
        <stp/>
        <stp>##V3_BDPV12</stp>
        <stp>91282CCV Govt</stp>
        <stp>IDX_RATIO</stp>
        <stp>[TREASURY.xlsx]Sheet1!R9C20</stp>
        <tr r="T9" s="1"/>
      </tp>
      <tp t="s">
        <v>T</v>
        <stp/>
        <stp>##V3_BDPV12</stp>
        <stp>912828VL Govt</stp>
        <stp>TICKER</stp>
        <stp>[TREASURY.xlsx]Sheet1!R878C2</stp>
        <tr r="B878" s="1"/>
      </tp>
      <tp t="s">
        <v>T</v>
        <stp/>
        <stp>##V3_BDPV12</stp>
        <stp>912828XM Govt</stp>
        <stp>TICKER</stp>
        <stp>[TREASURY.xlsx]Sheet1!R536C2</stp>
        <tr r="B536" s="1"/>
      </tp>
      <tp t="s">
        <v>T</v>
        <stp/>
        <stp>##V3_BDPV12</stp>
        <stp>912827XJ Govt</stp>
        <stp>TICKER</stp>
        <stp>[TREASURY.xlsx]Sheet1!R936C2</stp>
        <tr r="B936" s="1"/>
      </tp>
      <tp t="s">
        <v>T</v>
        <stp/>
        <stp>##V3_BDPV12</stp>
        <stp>912827ZH Govt</stp>
        <stp>TICKER</stp>
        <stp>[TREASURY.xlsx]Sheet1!R634C2</stp>
        <tr r="B634" s="1"/>
      </tp>
      <tp t="s">
        <v>T</v>
        <stp/>
        <stp>##V3_BDPV12</stp>
        <stp>912828XG Govt</stp>
        <stp>TICKER</stp>
        <stp>[TREASURY.xlsx]Sheet1!R196C2</stp>
        <tr r="B196" s="1"/>
      </tp>
      <tp t="s">
        <v>T</v>
        <stp/>
        <stp>##V3_BDPV12</stp>
        <stp>912828VB Govt</stp>
        <stp>TICKER</stp>
        <stp>[TREASURY.xlsx]Sheet1!R168C2</stp>
        <tr r="B168" s="1"/>
      </tp>
      <tp t="s">
        <v>T</v>
        <stp/>
        <stp>##V3_BDPV12</stp>
        <stp>912828VA Govt</stp>
        <stp>TICKER</stp>
        <stp>[TREASURY.xlsx]Sheet1!R638C2</stp>
        <tr r="B638" s="1"/>
      </tp>
      <tp t="s">
        <v>912828FN5</v>
        <stp/>
        <stp>##V3_BDPV12</stp>
        <stp>912828FN Govt</stp>
        <stp>ID_CUSIP</stp>
        <stp>[TREASURY.xlsx]Sheet1!R1275C19</stp>
        <tr r="S1275" s="1"/>
      </tp>
      <tp t="s">
        <v>USD</v>
        <stp/>
        <stp>##V3_BDPV12</stp>
        <stp>912827UR Govt</stp>
        <stp>CRNCY</stp>
        <stp>[TREASURY.xlsx]Sheet1!R1080C7</stp>
        <tr r="G1080" s="1"/>
      </tp>
      <tp t="s">
        <v>USD</v>
        <stp/>
        <stp>##V3_BDPV12</stp>
        <stp>912827SR Govt</stp>
        <stp>CRNCY</stp>
        <stp>[TREASURY.xlsx]Sheet1!R1396C7</stp>
        <tr r="G1396" s="1"/>
      </tp>
      <tp t="s">
        <v>9/16/2013</v>
        <stp/>
        <stp>##V3_BDPV12</stp>
        <stp>912828VW Govt</stp>
        <stp>ISSUE_DT</stp>
        <stp>[TREASURY.xlsx]Sheet1!R1149C15</stp>
        <tr r="O1149" s="1"/>
      </tp>
      <tp t="s">
        <v>T</v>
        <stp/>
        <stp>##V3_BDPV12</stp>
        <stp>912828SY Govt</stp>
        <stp>TICKER</stp>
        <stp>[TREASURY.xlsx]Sheet1!R1133C2</stp>
        <tr r="B1133" s="1"/>
      </tp>
      <tp t="s">
        <v>T</v>
        <stp/>
        <stp>##V3_BDPV12</stp>
        <stp>912827MX Govt</stp>
        <stp>TICKER</stp>
        <stp>[TREASURY.xlsx]Sheet1!R1382C2</stp>
        <tr r="B1382" s="1"/>
      </tp>
      <tp t="s">
        <v>T</v>
        <stp/>
        <stp>##V3_BDPV12</stp>
        <stp>912827KX Govt</stp>
        <stp>TICKER</stp>
        <stp>[TREASURY.xlsx]Sheet1!R1162C2</stp>
        <tr r="B1162" s="1"/>
      </tp>
      <tp t="s">
        <v>T</v>
        <stp/>
        <stp>##V3_BDPV12</stp>
        <stp>9128275R Govt</stp>
        <stp>TICKER</stp>
        <stp>[TREASURY.xlsx]Sheet1!R1018C2</stp>
        <tr r="B1018" s="1"/>
      </tp>
      <tp t="s">
        <v>T</v>
        <stp/>
        <stp>##V3_BDPV12</stp>
        <stp>9128275S Govt</stp>
        <stp>TICKER</stp>
        <stp>[TREASURY.xlsx]Sheet1!R1019C2</stp>
        <tr r="B1019" s="1"/>
      </tp>
      <tp t="s">
        <v>T</v>
        <stp/>
        <stp>##V3_BDPV12</stp>
        <stp>912827ZY Govt</stp>
        <stp>TICKER</stp>
        <stp>[TREASURY.xlsx]Sheet1!R1613C2</stp>
        <tr r="B1613" s="1"/>
      </tp>
      <tp t="s">
        <v>T</v>
        <stp/>
        <stp>##V3_BDPV12</stp>
        <stp>912827RY Govt</stp>
        <stp>TICKER</stp>
        <stp>[TREASURY.xlsx]Sheet1!R1583C2</stp>
        <tr r="B1583" s="1"/>
      </tp>
      <tp t="s">
        <v>T</v>
        <stp/>
        <stp>##V3_BDPV12</stp>
        <stp>912827PY Govt</stp>
        <stp>TICKER</stp>
        <stp>[TREASURY.xlsx]Sheet1!R1493C2</stp>
        <tr r="B1493" s="1"/>
      </tp>
      <tp t="s">
        <v>9/3/2013</v>
        <stp/>
        <stp>##V3_BDPV12</stp>
        <stp>912828VV Govt</stp>
        <stp>ISSUE_DT</stp>
        <stp>[TREASURY.xlsx]Sheet1!R1305C15</stp>
        <tr r="O1305" s="1"/>
      </tp>
      <tp t="s">
        <v>9/3/2013</v>
        <stp/>
        <stp>##V3_BDPV12</stp>
        <stp>912828VU Govt</stp>
        <stp>ISSUE_DT</stp>
        <stp>[TREASURY.xlsx]Sheet1!R1003C15</stp>
        <tr r="O1003" s="1"/>
      </tp>
      <tp t="s">
        <v>USD</v>
        <stp/>
        <stp>##V3_BDPV12</stp>
        <stp>912827SP Govt</stp>
        <stp>CRNCY</stp>
        <stp>[TREASURY.xlsx]Sheet1!R1186C7</stp>
        <tr r="G1186" s="1"/>
      </tp>
      <tp t="s">
        <v>2/15/1988</v>
        <stp/>
        <stp>##V3_BDPV12</stp>
        <stp>912827VW Govt</stp>
        <stp>ISSUE_DT</stp>
        <stp>[TREASURY.xlsx]Sheet1!R1413C15</stp>
        <tr r="O1413" s="1"/>
      </tp>
      <tp t="s">
        <v>11/30/1987</v>
        <stp/>
        <stp>##V3_BDPV12</stp>
        <stp>912827VP Govt</stp>
        <stp>ISSUE_DT</stp>
        <stp>[TREASURY.xlsx]Sheet1!R1204C15</stp>
        <tr r="O1204" s="1"/>
      </tp>
      <tp t="s">
        <v>USD</v>
        <stp/>
        <stp>##V3_BDPV12</stp>
        <stp>912827QW Govt</stp>
        <stp>CRNCY</stp>
        <stp>[TREASURY.xlsx]Sheet1!R1394C7</stp>
        <tr r="G1394" s="1"/>
      </tp>
      <tp t="s">
        <v>USD</v>
        <stp/>
        <stp>##V3_BDPV12</stp>
        <stp>912827WW Govt</stp>
        <stp>CRNCY</stp>
        <stp>[TREASURY.xlsx]Sheet1!R1592C7</stp>
        <tr r="G1592" s="1"/>
      </tp>
      <tp t="s">
        <v>USD</v>
        <stp/>
        <stp>##V3_BDPV12</stp>
        <stp>912827VW Govt</stp>
        <stp>CRNCY</stp>
        <stp>[TREASURY.xlsx]Sheet1!R1413C7</stp>
        <tr r="G1413" s="1"/>
      </tp>
      <tp t="s">
        <v>12/31/1987</v>
        <stp/>
        <stp>##V3_BDPV12</stp>
        <stp>912827VS Govt</stp>
        <stp>ISSUE_DT</stp>
        <stp>[TREASURY.xlsx]Sheet1!R1205C15</stp>
        <tr r="O1205" s="1"/>
      </tp>
      <tp t="s">
        <v>2/1/1988</v>
        <stp/>
        <stp>##V3_BDPV12</stp>
        <stp>912827VU Govt</stp>
        <stp>ISSUE_DT</stp>
        <stp>[TREASURY.xlsx]Sheet1!R1412C15</stp>
        <tr r="O1412" s="1"/>
      </tp>
      <tp t="s">
        <v>USD</v>
        <stp/>
        <stp>##V3_BDPV12</stp>
        <stp>912827PU Govt</stp>
        <stp>CRNCY</stp>
        <stp>[TREASURY.xlsx]Sheet1!R1175C7</stp>
        <tr r="G1175" s="1"/>
      </tp>
      <tp t="s">
        <v>USD</v>
        <stp/>
        <stp>##V3_BDPV12</stp>
        <stp>912828VU Govt</stp>
        <stp>CRNCY</stp>
        <stp>[TREASURY.xlsx]Sheet1!R1003C7</stp>
        <tr r="G1003" s="1"/>
      </tp>
      <tp t="s">
        <v>USD</v>
        <stp/>
        <stp>##V3_BDPV12</stp>
        <stp>912827WU Govt</stp>
        <stp>CRNCY</stp>
        <stp>[TREASURY.xlsx]Sheet1!R1422C7</stp>
        <tr r="G1422" s="1"/>
      </tp>
      <tp t="s">
        <v>USD</v>
        <stp/>
        <stp>##V3_BDPV12</stp>
        <stp>912827TU Govt</stp>
        <stp>CRNCY</stp>
        <stp>[TREASURY.xlsx]Sheet1!R1401C7</stp>
        <tr r="G1401" s="1"/>
      </tp>
      <tp t="s">
        <v>912828FA3</v>
        <stp/>
        <stp>##V3_BDPV12</stp>
        <stp>912828FA Govt</stp>
        <stp>ID_CUSIP</stp>
        <stp>[TREASURY.xlsx]Sheet1!R1432C19</stp>
        <tr r="S1432" s="1"/>
      </tp>
      <tp t="s">
        <v>912828FG0</v>
        <stp/>
        <stp>##V3_BDPV12</stp>
        <stp>912828FG Govt</stp>
        <stp>ID_CUSIP</stp>
        <stp>[TREASURY.xlsx]Sheet1!R1241C19</stp>
        <tr r="S1241" s="1"/>
      </tp>
      <tp t="s">
        <v>912828FE5</v>
        <stp/>
        <stp>##V3_BDPV12</stp>
        <stp>912828FE Govt</stp>
        <stp>ID_CUSIP</stp>
        <stp>[TREASURY.xlsx]Sheet1!R1274C19</stp>
        <tr r="S1274" s="1"/>
      </tp>
      <tp t="s">
        <v>USD</v>
        <stp/>
        <stp>##V3_BDPV12</stp>
        <stp>912828RY Govt</stp>
        <stp>CRNCY</stp>
        <stp>[TREASURY.xlsx]Sheet1!R1267C7</stp>
        <tr r="G1267" s="1"/>
      </tp>
      <tp t="s">
        <v>USD</v>
        <stp/>
        <stp>##V3_BDPV12</stp>
        <stp>912827UY Govt</stp>
        <stp>CRNCY</stp>
        <stp>[TREASURY.xlsx]Sheet1!R1590C7</stp>
        <tr r="G1590" s="1"/>
      </tp>
      <tp t="s">
        <v>3/31/1988</v>
        <stp/>
        <stp>##V3_BDPV12</stp>
        <stp>912827VZ Govt</stp>
        <stp>ISSUE_DT</stp>
        <stp>[TREASURY.xlsx]Sheet1!R1089C15</stp>
        <tr r="O1089" s="1"/>
      </tp>
      <tp t="s">
        <v>9/30/2013</v>
        <stp/>
        <stp>##V3_BDPV12</stp>
        <stp>912828VY Govt</stp>
        <stp>ISSUE_DT</stp>
        <stp>[TREASURY.xlsx]Sheet1!R1004C15</stp>
        <tr r="O1004" s="1"/>
      </tp>
      <tp t="s">
        <v>#N/A Field Not Applicable</v>
        <stp/>
        <stp>##V3_BDPV12</stp>
        <stp>912827ZQ Govt</stp>
        <stp>IDX_RATIO</stp>
        <stp>[TREASURY.xlsx]Sheet1!R1611C20</stp>
        <tr r="T1611" s="1"/>
      </tp>
      <tp t="s">
        <v>USD</v>
        <stp/>
        <stp>##V3_BDPV12</stp>
        <stp>912827QB Govt</stp>
        <stp>CRNCY</stp>
        <stp>[TREASURY.xlsx]Sheet1!R1574C7</stp>
        <tr r="G1574" s="1"/>
      </tp>
      <tp t="s">
        <v>7/6/1987</v>
        <stp/>
        <stp>##V3_BDPV12</stp>
        <stp>912827VB Govt</stp>
        <stp>ISSUE_DT</stp>
        <stp>[TREASURY.xlsx]Sheet1!R1411C15</stp>
        <tr r="O1411" s="1"/>
      </tp>
      <tp t="s">
        <v>8/31/1987</v>
        <stp/>
        <stp>##V3_BDPV12</stp>
        <stp>912827VF Govt</stp>
        <stp>ISSUE_DT</stp>
        <stp>[TREASURY.xlsx]Sheet1!R1086C15</stp>
        <tr r="O1086" s="1"/>
      </tp>
      <tp t="s">
        <v>NORMAL</v>
        <stp/>
        <stp>##V3_BDPV12</stp>
        <stp>912810DH Govt</stp>
        <stp>MTY_TYP</stp>
        <stp>[TREASURY.xlsx]Sheet1!R1619C6</stp>
        <tr r="F1619" s="1"/>
      </tp>
      <tp t="s">
        <v>CALLABLE</v>
        <stp/>
        <stp>##V3_BDPV12</stp>
        <stp>912810CK Govt</stp>
        <stp>MTY_TYP</stp>
        <stp>[TREASURY.xlsx]Sheet1!R1309C6</stp>
        <tr r="F1309" s="1"/>
      </tp>
      <tp t="s">
        <v>CALLABLE</v>
        <stp/>
        <stp>##V3_BDPV12</stp>
        <stp>912810BU Govt</stp>
        <stp>MTY_TYP</stp>
        <stp>[TREASURY.xlsx]Sheet1!R1439C6</stp>
        <tr r="F1439" s="1"/>
      </tp>
      <tp t="s">
        <v>NORMAL</v>
        <stp/>
        <stp>##V3_BDPV12</stp>
        <stp>912810EG Govt</stp>
        <stp>MTY_TYP</stp>
        <stp>[TREASURY.xlsx]Sheet1!R1349C6</stp>
        <tr r="F1349" s="1"/>
      </tp>
      <tp t="s">
        <v>5/31/2013</v>
        <stp/>
        <stp>##V3_BDPV12</stp>
        <stp>912828VD Govt</stp>
        <stp>ISSUE_DT</stp>
        <stp>[TREASURY.xlsx]Sheet1!R1147C15</stp>
        <tr r="O1147" s="1"/>
      </tp>
      <tp t="s">
        <v>UNITED STATES</v>
        <stp/>
        <stp>##V3_BDPV12</stp>
        <stp>9128282J Govt</stp>
        <stp>COUNTRY_FULL_NAME</stp>
        <stp>[TREASURY.xlsx]Sheet1!R611C8</stp>
        <tr r="H611" s="1"/>
      </tp>
      <tp t="s">
        <v>#N/A Field Not Applicable</v>
        <stp/>
        <stp>##V3_BDPV12</stp>
        <stp>912810DQ Govt</stp>
        <stp>IDX_RATIO</stp>
        <stp>[TREASURY.xlsx]Sheet1!R1621C20</stp>
        <tr r="T1621" s="1"/>
      </tp>
      <tp t="s">
        <v>#N/A Field Not Applicable</v>
        <stp/>
        <stp>##V3_BDPV12</stp>
        <stp>912810CQ Govt</stp>
        <stp>IDX_RATIO</stp>
        <stp>[TREASURY.xlsx]Sheet1!R1623C20</stp>
        <tr r="T1623" s="1"/>
      </tp>
      <tp t="s">
        <v>#N/A Field Not Applicable</v>
        <stp/>
        <stp>##V3_BDPV12</stp>
        <stp>9128276Q Govt</stp>
        <stp>IDX_RATIO</stp>
        <stp>[TREASURY.xlsx]Sheet1!R1539C20</stp>
        <tr r="T1539" s="1"/>
      </tp>
      <tp t="s">
        <v>8/17/1987</v>
        <stp/>
        <stp>##V3_BDPV12</stp>
        <stp>912827VD Govt</stp>
        <stp>ISSUE_DT</stp>
        <stp>[TREASURY.xlsx]Sheet1!R1085C15</stp>
        <tr r="O1085" s="1"/>
      </tp>
      <tp t="s">
        <v>UNITED STATES</v>
        <stp/>
        <stp>##V3_BDPV12</stp>
        <stp>9128283Z Govt</stp>
        <stp>COUNTRY_FULL_NAME</stp>
        <stp>[TREASURY.xlsx]Sheet1!R261C8</stp>
        <tr r="H261" s="1"/>
      </tp>
      <tp t="s">
        <v>UNITED STATES</v>
        <stp/>
        <stp>##V3_BDPV12</stp>
        <stp>9128283D Govt</stp>
        <stp>COUNTRY_FULL_NAME</stp>
        <stp>[TREASURY.xlsx]Sheet1!R231C8</stp>
        <tr r="H231" s="1"/>
      </tp>
      <tp t="s">
        <v>#N/A Field Not Applicable</v>
        <stp/>
        <stp>##V3_BDPV12</stp>
        <stp>912828NQ Govt</stp>
        <stp>IDX_RATIO</stp>
        <stp>[TREASURY.xlsx]Sheet1!R1293C20</stp>
        <tr r="T1293" s="1"/>
      </tp>
      <tp t="s">
        <v>#N/A Field Not Applicable</v>
        <stp/>
        <stp>##V3_BDPV12</stp>
        <stp>912827YQ Govt</stp>
        <stp>IDX_RATIO</stp>
        <stp>[TREASURY.xlsx]Sheet1!R1223C20</stp>
        <tr r="T1223" s="1"/>
      </tp>
      <tp t="s">
        <v>#N/A Field Not Applicable</v>
        <stp/>
        <stp>##V3_BDPV12</stp>
        <stp>912828CQ Govt</stp>
        <stp>IDX_RATIO</stp>
        <stp>[TREASURY.xlsx]Sheet1!R1236C20</stp>
        <tr r="T1236" s="1"/>
      </tp>
      <tp t="s">
        <v>912828FZ8</v>
        <stp/>
        <stp>##V3_BDPV12</stp>
        <stp>912828FZ Govt</stp>
        <stp>ID_CUSIP</stp>
        <stp>[TREASURY.xlsx]Sheet1!R1279C19</stp>
        <tr r="S1279" s="1"/>
      </tp>
      <tp t="s">
        <v>#N/A Field Not Applicable</v>
        <stp/>
        <stp>##V3_BDPV12</stp>
        <stp>912828HQ Govt</stp>
        <stp>IDX_RATIO</stp>
        <stp>[TREASURY.xlsx]Sheet1!R1244C20</stp>
        <tr r="T1244" s="1"/>
      </tp>
      <tp t="s">
        <v>UNITED STATES</v>
        <stp/>
        <stp>##V3_BDPV12</stp>
        <stp>9128284Z Govt</stp>
        <stp>COUNTRY_FULL_NAME</stp>
        <stp>[TREASURY.xlsx]Sheet1!R251C8</stp>
        <tr r="H251" s="1"/>
      </tp>
      <tp t="s">
        <v>UNITED STATES</v>
        <stp/>
        <stp>##V3_BDPV12</stp>
        <stp>9128284J Govt</stp>
        <stp>COUNTRY_FULL_NAME</stp>
        <stp>[TREASURY.xlsx]Sheet1!R381C8</stp>
        <tr r="H381" s="1"/>
      </tp>
      <tp t="s">
        <v>#N/A Field Not Applicable</v>
        <stp/>
        <stp>##V3_BDPV12</stp>
        <stp>9128274Q Govt</stp>
        <stp>IDX_RATIO</stp>
        <stp>[TREASURY.xlsx]Sheet1!R1367C20</stp>
        <tr r="T1367" s="1"/>
      </tp>
      <tp t="s">
        <v>#N/A Field Not Applicable</v>
        <stp/>
        <stp>##V3_BDPV12</stp>
        <stp>9128273Q Govt</stp>
        <stp>IDX_RATIO</stp>
        <stp>[TREASURY.xlsx]Sheet1!R1358C20</stp>
        <tr r="T1358" s="1"/>
      </tp>
      <tp t="s">
        <v>#N/A Field Not Applicable</v>
        <stp/>
        <stp>##V3_BDPV12</stp>
        <stp>912827LQ Govt</stp>
        <stp>IDX_RATIO</stp>
        <stp>[TREASURY.xlsx]Sheet1!R1322C20</stp>
        <tr r="T1322" s="1"/>
      </tp>
      <tp t="s">
        <v>UNITED STATES</v>
        <stp/>
        <stp>##V3_BDPV12</stp>
        <stp>9128285P Govt</stp>
        <stp>COUNTRY_FULL_NAME</stp>
        <stp>[TREASURY.xlsx]Sheet1!R271C8</stp>
        <tr r="H271" s="1"/>
      </tp>
      <tp t="s">
        <v>#N/A Field Not Applicable</v>
        <stp/>
        <stp>##V3_BDPV12</stp>
        <stp>912827UQ Govt</stp>
        <stp>IDX_RATIO</stp>
        <stp>[TREASURY.xlsx]Sheet1!R1079C20</stp>
        <tr r="T1079" s="1"/>
      </tp>
      <tp t="s">
        <v>#N/A Field Not Applicable</v>
        <stp/>
        <stp>##V3_BDPV12</stp>
        <stp>912827TQ Govt</stp>
        <stp>IDX_RATIO</stp>
        <stp>[TREASURY.xlsx]Sheet1!R1075C20</stp>
        <tr r="T1075" s="1"/>
      </tp>
      <tp t="s">
        <v>#N/A Field Not Applicable</v>
        <stp/>
        <stp>##V3_BDPV12</stp>
        <stp>9128275Q Govt</stp>
        <stp>IDX_RATIO</stp>
        <stp>[TREASURY.xlsx]Sheet1!R1017C20</stp>
        <tr r="T1017" s="1"/>
      </tp>
      <tp t="s">
        <v>#N/A Field Not Applicable</v>
        <stp/>
        <stp>##V3_BDPV12</stp>
        <stp>912828WQ Govt</stp>
        <stp>IDX_RATIO</stp>
        <stp>[TREASURY.xlsx]Sheet1!R1006C20</stp>
        <tr r="T1006" s="1"/>
      </tp>
      <tp t="s">
        <v>912828FX3</v>
        <stp/>
        <stp>##V3_BDPV12</stp>
        <stp>912828FX Govt</stp>
        <stp>ID_CUSIP</stp>
        <stp>[TREASURY.xlsx]Sheet1!R1278C19</stp>
        <tr r="S1278" s="1"/>
      </tp>
      <tp t="s">
        <v>#N/A Field Not Applicable</v>
        <stp/>
        <stp>##V3_BDPV12</stp>
        <stp>912827XQ Govt</stp>
        <stp>IDX_RATIO</stp>
        <stp>[TREASURY.xlsx]Sheet1!R1096C20</stp>
        <tr r="T1096" s="1"/>
      </tp>
      <tp t="s">
        <v>#N/A Field Not Applicable</v>
        <stp/>
        <stp>##V3_BDPV12</stp>
        <stp>912827WQ Govt</stp>
        <stp>IDX_RATIO</stp>
        <stp>[TREASURY.xlsx]Sheet1!R1093C20</stp>
        <tr r="T1093" s="1"/>
      </tp>
      <tp t="s">
        <v>UNITED STATES</v>
        <stp/>
        <stp>##V3_BDPV12</stp>
        <stp>9128286Y Govt</stp>
        <stp>COUNTRY_FULL_NAME</stp>
        <stp>[TREASURY.xlsx]Sheet1!R241C8</stp>
        <tr r="H241" s="1"/>
      </tp>
      <tp t="s">
        <v>UNITED STATES</v>
        <stp/>
        <stp>##V3_BDPV12</stp>
        <stp>9128286R Govt</stp>
        <stp>COUNTRY_FULL_NAME</stp>
        <stp>[TREASURY.xlsx]Sheet1!R201C8</stp>
        <tr r="H201" s="1"/>
      </tp>
      <tp t="s">
        <v>#N/A Field Not Applicable</v>
        <stp/>
        <stp>##V3_BDPV12</stp>
        <stp>912828DQ Govt</stp>
        <stp>IDX_RATIO</stp>
        <stp>[TREASURY.xlsx]Sheet1!R1112C20</stp>
        <tr r="T1112" s="1"/>
      </tp>
      <tp t="s">
        <v>#N/A Field Not Applicable</v>
        <stp/>
        <stp>##V3_BDPV12</stp>
        <stp>912827SQ Govt</stp>
        <stp>IDX_RATIO</stp>
        <stp>[TREASURY.xlsx]Sheet1!R1187C20</stp>
        <tr r="T1187" s="1"/>
      </tp>
      <tp t="s">
        <v>#N/A Field Not Applicable</v>
        <stp/>
        <stp>##V3_BDPV12</stp>
        <stp>912827QQ Govt</stp>
        <stp>IDX_RATIO</stp>
        <stp>[TREASURY.xlsx]Sheet1!R1180C20</stp>
        <tr r="T1180" s="1"/>
      </tp>
      <tp t="s">
        <v>USD</v>
        <stp/>
        <stp>##V3_BDPV12</stp>
        <stp>912827VJ Govt</stp>
        <stp>CRNCY</stp>
        <stp>[TREASURY.xlsx]Sheet1!R1203C7</stp>
        <tr r="G1203" s="1"/>
      </tp>
      <tp t="s">
        <v>USD</v>
        <stp/>
        <stp>##V3_BDPV12</stp>
        <stp>912827UK Govt</stp>
        <stp>CRNCY</stp>
        <stp>[TREASURY.xlsx]Sheet1!R1200C7</stp>
        <tr r="G1200" s="1"/>
      </tp>
      <tp t="s">
        <v>11/16/1987</v>
        <stp/>
        <stp>##V3_BDPV12</stp>
        <stp>912827VM Govt</stp>
        <stp>ISSUE_DT</stp>
        <stp>[TREASURY.xlsx]Sheet1!R1088C15</stp>
        <tr r="O1088" s="1"/>
      </tp>
      <tp t="s">
        <v>11/2/1987</v>
        <stp/>
        <stp>##V3_BDPV12</stp>
        <stp>912827VL Govt</stp>
        <stp>ISSUE_DT</stp>
        <stp>[TREASURY.xlsx]Sheet1!R1087C15</stp>
        <tr r="O1087" s="1"/>
      </tp>
      <tp t="s">
        <v>912828FR6</v>
        <stp/>
        <stp>##V3_BDPV12</stp>
        <stp>912828FR Govt</stp>
        <stp>ID_CUSIP</stp>
        <stp>[TREASURY.xlsx]Sheet1!R1277C19</stp>
        <tr r="S1277" s="1"/>
      </tp>
      <tp t="s">
        <v>USD</v>
        <stp/>
        <stp>##V3_BDPV12</stp>
        <stp>912827WN Govt</stp>
        <stp>CRNCY</stp>
        <stp>[TREASURY.xlsx]Sheet1!R1092C7</stp>
        <tr r="G1092" s="1"/>
      </tp>
      <tp t="s">
        <v>USD</v>
        <stp/>
        <stp>##V3_BDPV12</stp>
        <stp>912827SN Govt</stp>
        <stp>CRNCY</stp>
        <stp>[TREASURY.xlsx]Sheet1!R1066C7</stp>
        <tr r="G1066" s="1"/>
      </tp>
      <tp t="s">
        <v>7/1/2013</v>
        <stp/>
        <stp>##V3_BDPV12</stp>
        <stp>912828VK Govt</stp>
        <stp>ISSUE_DT</stp>
        <stp>[TREASURY.xlsx]Sheet1!R1148C15</stp>
        <tr r="O1148" s="1"/>
      </tp>
      <tp t="s">
        <v>912828FP0</v>
        <stp/>
        <stp>##V3_BDPV12</stp>
        <stp>912828FP Govt</stp>
        <stp>ID_CUSIP</stp>
        <stp>[TREASURY.xlsx]Sheet1!R1276C19</stp>
        <tr r="S1276" s="1"/>
      </tp>
      <tp t="s">
        <v>USD</v>
        <stp/>
        <stp>##V3_BDPV12</stp>
        <stp>912828UL Govt</stp>
        <stp>CRNCY</stp>
        <stp>[TREASURY.xlsx]Sheet1!R1000C7</stp>
        <tr r="G1000" s="1"/>
      </tp>
      <tp t="s">
        <v>10/15/1987</v>
        <stp/>
        <stp>##V3_BDPV12</stp>
        <stp>912827VJ Govt</stp>
        <stp>ISSUE_DT</stp>
        <stp>[TREASURY.xlsx]Sheet1!R1203C15</stp>
        <tr r="O1203" s="1"/>
      </tp>
      <tp t="s">
        <v>7/31/1996</v>
        <stp/>
        <stp>##V3_BDPV12</stp>
        <stp>912827Y6 Govt</stp>
        <stp>ISSUE_DT</stp>
        <stp>[TREASURY.xlsx]Sheet1!R1099C15</stp>
        <tr r="O1099" s="1"/>
      </tp>
      <tp t="s">
        <v>7/1/1996</v>
        <stp/>
        <stp>##V3_BDPV12</stp>
        <stp>912827Y3 Govt</stp>
        <stp>ISSUE_DT</stp>
        <stp>[TREASURY.xlsx]Sheet1!R1601C15</stp>
        <tr r="O1601" s="1"/>
      </tp>
      <tp t="s">
        <v>7/31/1996</v>
        <stp/>
        <stp>##V3_BDPV12</stp>
        <stp>912827Y7 Govt</stp>
        <stp>ISSUE_DT</stp>
        <stp>[TREASURY.xlsx]Sheet1!R1219C15</stp>
        <tr r="O1219" s="1"/>
      </tp>
      <tp t="s">
        <v>UNITED STATES</v>
        <stp/>
        <stp>##V3_BDPV12</stp>
        <stp>912810CC Govt</stp>
        <stp>COUNTRY_FULL_NAME</stp>
        <stp>[TREASURY.xlsx]Sheet1!R526C8</stp>
        <tr r="H526" s="1"/>
      </tp>
      <tp t="s">
        <v>UNITED STATES</v>
        <stp/>
        <stp>##V3_BDPV12</stp>
        <stp>912827D7 Govt</stp>
        <stp>COUNTRY_FULL_NAME</stp>
        <stp>[TREASURY.xlsx]Sheet1!R701C8</stp>
        <tr r="H701" s="1"/>
      </tp>
      <tp t="s">
        <v>USD</v>
        <stp/>
        <stp>##V3_BDPV12</stp>
        <stp>912827X6 Govt</stp>
        <stp>CRNCY</stp>
        <stp>[TREASURY.xlsx]Sheet1!R1212C7</stp>
        <tr r="G1212" s="1"/>
      </tp>
      <tp t="s">
        <v>7/1/1996</v>
        <stp/>
        <stp>##V3_BDPV12</stp>
        <stp>912827Y4 Govt</stp>
        <stp>ISSUE_DT</stp>
        <stp>[TREASURY.xlsx]Sheet1!R1602C15</stp>
        <tr r="O1602" s="1"/>
      </tp>
      <tp t="s">
        <v>5/31/1996</v>
        <stp/>
        <stp>##V3_BDPV12</stp>
        <stp>912827Y2 Govt</stp>
        <stp>ISSUE_DT</stp>
        <stp>[TREASURY.xlsx]Sheet1!R1098C15</stp>
        <tr r="O1098" s="1"/>
      </tp>
      <tp t="s">
        <v>UNITED STATES</v>
        <stp/>
        <stp>##V3_BDPV12</stp>
        <stp>912810EV Govt</stp>
        <stp>COUNTRY_FULL_NAME</stp>
        <stp>[TREASURY.xlsx]Sheet1!R326C8</stp>
        <tr r="H326" s="1"/>
      </tp>
      <tp t="s">
        <v>UNITED STATES</v>
        <stp/>
        <stp>##V3_BDPV12</stp>
        <stp>912810EF Govt</stp>
        <stp>COUNTRY_FULL_NAME</stp>
        <stp>[TREASURY.xlsx]Sheet1!R606C8</stp>
        <tr r="H606" s="1"/>
      </tp>
      <tp t="s">
        <v>USD</v>
        <stp/>
        <stp>##V3_BDPV12</stp>
        <stp>912827R9 Govt</stp>
        <stp>CRNCY</stp>
        <stp>[TREASURY.xlsx]Sheet1!R1578C7</stp>
        <tr r="G1578" s="1"/>
      </tp>
      <tp t="s">
        <v>UNITED STATES</v>
        <stp/>
        <stp>##V3_BDPV12</stp>
        <stp>912827KV Govt</stp>
        <stp>COUNTRY_FULL_NAME</stp>
        <stp>[TREASURY.xlsx]Sheet1!R711C8</stp>
        <tr r="H711" s="1"/>
      </tp>
      <tp t="s">
        <v>UNITED STATES</v>
        <stp/>
        <stp>##V3_BDPV12</stp>
        <stp>912827LL Govt</stp>
        <stp>COUNTRY_FULL_NAME</stp>
        <stp>[TREASURY.xlsx]Sheet1!R891C8</stp>
        <tr r="H891" s="1"/>
      </tp>
      <tp t="s">
        <v>UNITED STATES</v>
        <stp/>
        <stp>##V3_BDPV12</stp>
        <stp>912827MB Govt</stp>
        <stp>COUNTRY_FULL_NAME</stp>
        <stp>[TREASURY.xlsx]Sheet1!R721C8</stp>
        <tr r="H721" s="1"/>
      </tp>
      <tp t="s">
        <v>UNITED STATES</v>
        <stp/>
        <stp>##V3_BDPV12</stp>
        <stp>912827ND Govt</stp>
        <stp>COUNTRY_FULL_NAME</stp>
        <stp>[TREASURY.xlsx]Sheet1!R731C8</stp>
        <tr r="H731" s="1"/>
      </tp>
      <tp t="s">
        <v>UNITED STATES</v>
        <stp/>
        <stp>##V3_BDPV12</stp>
        <stp>912827NK Govt</stp>
        <stp>COUNTRY_FULL_NAME</stp>
        <stp>[TREASURY.xlsx]Sheet1!R901C8</stp>
        <tr r="H901" s="1"/>
      </tp>
      <tp t="s">
        <v>UNITED STATES</v>
        <stp/>
        <stp>##V3_BDPV12</stp>
        <stp>912810PT Govt</stp>
        <stp>COUNTRY_FULL_NAME</stp>
        <stp>[TREASURY.xlsx]Sheet1!R226C8</stp>
        <tr r="H226" s="1"/>
      </tp>
      <tp t="s">
        <v>UNITED STATES</v>
        <stp/>
        <stp>##V3_BDPV12</stp>
        <stp>912810QW Govt</stp>
        <stp>COUNTRY_FULL_NAME</stp>
        <stp>[TREASURY.xlsx]Sheet1!R286C8</stp>
        <tr r="H286" s="1"/>
      </tp>
      <tp t="s">
        <v>UNITED STATES</v>
        <stp/>
        <stp>##V3_BDPV12</stp>
        <stp>912810QH Govt</stp>
        <stp>COUNTRY_FULL_NAME</stp>
        <stp>[TREASURY.xlsx]Sheet1!R316C8</stp>
        <tr r="H316" s="1"/>
      </tp>
      <tp t="s">
        <v>UNITED STATES</v>
        <stp/>
        <stp>##V3_BDPV12</stp>
        <stp>912827QL Govt</stp>
        <stp>COUNTRY_FULL_NAME</stp>
        <stp>[TREASURY.xlsx]Sheet1!R741C8</stp>
        <tr r="H741" s="1"/>
      </tp>
      <tp t="s">
        <v>UNITED STATES</v>
        <stp/>
        <stp>##V3_BDPV12</stp>
        <stp>912810RM Govt</stp>
        <stp>COUNTRY_FULL_NAME</stp>
        <stp>[TREASURY.xlsx]Sheet1!R176C8</stp>
        <tr r="H176" s="1"/>
      </tp>
      <tp t="s">
        <v>UNITED STATES</v>
        <stp/>
        <stp>##V3_BDPV12</stp>
        <stp>912827RK Govt</stp>
        <stp>COUNTRY_FULL_NAME</stp>
        <stp>[TREASURY.xlsx]Sheet1!R911C8</stp>
        <tr r="H911" s="1"/>
      </tp>
      <tp t="s">
        <v>UNITED STATES</v>
        <stp/>
        <stp>##V3_BDPV12</stp>
        <stp>912827S5 Govt</stp>
        <stp>COUNTRY_FULL_NAME</stp>
        <stp>[TREASURY.xlsx]Sheet1!R831C8</stp>
        <tr r="H831" s="1"/>
      </tp>
      <tp t="s">
        <v>UNITED STATES</v>
        <stp/>
        <stp>##V3_BDPV12</stp>
        <stp>912810SH Govt</stp>
        <stp>COUNTRY_FULL_NAME</stp>
        <stp>[TREASURY.xlsx]Sheet1!R156C8</stp>
        <tr r="H156" s="1"/>
      </tp>
      <tp t="s">
        <v>UNITED STATES</v>
        <stp/>
        <stp>##V3_BDPV12</stp>
        <stp>912810SA Govt</stp>
        <stp>COUNTRY_FULL_NAME</stp>
        <stp>[TREASURY.xlsx]Sheet1!R146C8</stp>
        <tr r="H146" s="1"/>
      </tp>
      <tp t="s">
        <v>UNITED STATES</v>
        <stp/>
        <stp>##V3_BDPV12</stp>
        <stp>912827U3 Govt</stp>
        <stp>COUNTRY_FULL_NAME</stp>
        <stp>[TREASURY.xlsx]Sheet1!R921C8</stp>
        <tr r="H921" s="1"/>
      </tp>
      <tp t="s">
        <v>UNITED STATES</v>
        <stp/>
        <stp>##V3_BDPV12</stp>
        <stp>912827U6 Govt</stp>
        <stp>COUNTRY_FULL_NAME</stp>
        <stp>[TREASURY.xlsx]Sheet1!R751C8</stp>
        <tr r="H751" s="1"/>
      </tp>
      <tp t="s">
        <v>UNITED STATES</v>
        <stp/>
        <stp>##V3_BDPV12</stp>
        <stp>912827VG Govt</stp>
        <stp>COUNTRY_FULL_NAME</stp>
        <stp>[TREASURY.xlsx]Sheet1!R761C8</stp>
        <tr r="H761" s="1"/>
      </tp>
      <tp t="s">
        <v>UNITED STATES</v>
        <stp/>
        <stp>##V3_BDPV12</stp>
        <stp>912827WB Govt</stp>
        <stp>COUNTRY_FULL_NAME</stp>
        <stp>[TREASURY.xlsx]Sheet1!R931C8</stp>
        <tr r="H931" s="1"/>
      </tp>
      <tp t="s">
        <v>UNITED STATES</v>
        <stp/>
        <stp>##V3_BDPV12</stp>
        <stp>912827WE Govt</stp>
        <stp>COUNTRY_FULL_NAME</stp>
        <stp>[TREASURY.xlsx]Sheet1!R601C8</stp>
        <tr r="H601" s="1"/>
      </tp>
      <tp t="s">
        <v>UNITED STATES</v>
        <stp/>
        <stp>##V3_BDPV12</stp>
        <stp>912827XC Govt</stp>
        <stp>COUNTRY_FULL_NAME</stp>
        <stp>[TREASURY.xlsx]Sheet1!R771C8</stp>
        <tr r="H771" s="1"/>
      </tp>
      <tp t="s">
        <v>UNITED STATES</v>
        <stp/>
        <stp>##V3_BDPV12</stp>
        <stp>912827Y8 Govt</stp>
        <stp>COUNTRY_FULL_NAME</stp>
        <stp>[TREASURY.xlsx]Sheet1!R941C8</stp>
        <tr r="H941" s="1"/>
      </tp>
      <tp t="s">
        <v>UNITED STATES</v>
        <stp/>
        <stp>##V3_BDPV12</stp>
        <stp>912827Z2 Govt</stp>
        <stp>COUNTRY_FULL_NAME</stp>
        <stp>[TREASURY.xlsx]Sheet1!R951C8</stp>
        <tr r="H951" s="1"/>
      </tp>
      <tp t="s">
        <v>UNITED STATES</v>
        <stp/>
        <stp>##V3_BDPV12</stp>
        <stp>912827ZJ Govt</stp>
        <stp>COUNTRY_FULL_NAME</stp>
        <stp>[TREASURY.xlsx]Sheet1!R781C8</stp>
        <tr r="H781" s="1"/>
      </tp>
      <tp t="s">
        <v>6/30/1996</v>
        <stp/>
        <stp>##V3_BDPV12</stp>
        <stp>912827Q3 Govt</stp>
        <stp>MATURITY</stp>
        <stp>[TREASURY.xlsx]Sheet1!R1494C5</stp>
        <tr r="E1494" s="1"/>
      </tp>
      <tp t="s">
        <v>8/15/1989</v>
        <stp/>
        <stp>##V3_BDPV12</stp>
        <stp>912827QW Govt</stp>
        <stp>MATURITY</stp>
        <stp>[TREASURY.xlsx]Sheet1!R1394C5</stp>
        <tr r="E1394" s="1"/>
      </tp>
      <tp t="s">
        <v>10/31/1985</v>
        <stp/>
        <stp>##V3_BDPV12</stp>
        <stp>912827QB Govt</stp>
        <stp>MATURITY</stp>
        <stp>[TREASURY.xlsx]Sheet1!R1574C5</stp>
        <tr r="E1574" s="1"/>
      </tp>
      <tp t="s">
        <v>2/28/1985</v>
        <stp/>
        <stp>##V3_BDPV12</stp>
        <stp>912827PE Govt</stp>
        <stp>MATURITY</stp>
        <stp>[TREASURY.xlsx]Sheet1!R1054C5</stp>
        <tr r="E1054" s="1"/>
      </tp>
      <tp t="s">
        <v>5/15/1993</v>
        <stp/>
        <stp>##V3_BDPV12</stp>
        <stp>912827PM Govt</stp>
        <stp>MATURITY</stp>
        <stp>[TREASURY.xlsx]Sheet1!R1174C5</stp>
        <tr r="E1174" s="1"/>
      </tp>
      <tp t="s">
        <v>2/15/1998</v>
        <stp/>
        <stp>##V3_BDPV12</stp>
        <stp>912827S7 Govt</stp>
        <stp>MATURITY</stp>
        <stp>[TREASURY.xlsx]Sheet1!R1504C5</stp>
        <tr r="E1504" s="1"/>
      </tp>
      <tp t="s">
        <v>5/15/1995</v>
        <stp/>
        <stp>##V3_BDPV12</stp>
        <stp>912827SE Govt</stp>
        <stp>MATURITY</stp>
        <stp>[TREASURY.xlsx]Sheet1!R1184C5</stp>
        <tr r="E1184" s="1"/>
      </tp>
      <tp t="s">
        <v>91282CCV1</v>
        <stp/>
        <stp>##V3_BDPV12</stp>
        <stp>91282CCV Govt</stp>
        <stp>ID_CUSIP</stp>
        <stp>[TREASURY.xlsx]Sheet1!R9C19</stp>
        <tr r="S9" s="1"/>
      </tp>
      <tp t="s">
        <v>3/31/1987</v>
        <stp/>
        <stp>##V3_BDPV12</stp>
        <stp>912827RZ Govt</stp>
        <stp>MATURITY</stp>
        <stp>[TREASURY.xlsx]Sheet1!R1584C5</stp>
        <tr r="E1584" s="1"/>
      </tp>
      <tp t="s">
        <v>11/30/1986</v>
        <stp/>
        <stp>##V3_BDPV12</stp>
        <stp>912827RN Govt</stp>
        <stp>MATURITY</stp>
        <stp>[TREASURY.xlsx]Sheet1!R1064C5</stp>
        <tr r="E1064" s="1"/>
      </tp>
      <tp t="s">
        <v>11/15/1996</v>
        <stp/>
        <stp>##V3_BDPV12</stp>
        <stp>912827UF Govt</stp>
        <stp>MATURITY</stp>
        <stp>[TREASURY.xlsx]Sheet1!R1404C5</stp>
        <tr r="E1404" s="1"/>
      </tp>
      <tp t="s">
        <v>5/31/1988</v>
        <stp/>
        <stp>##V3_BDPV12</stp>
        <stp>912827TR Govt</stp>
        <stp>MATURITY</stp>
        <stp>[TREASURY.xlsx]Sheet1!R1194C5</stp>
        <tr r="E1194" s="1"/>
      </tp>
      <tp t="s">
        <v>4/30/1988</v>
        <stp/>
        <stp>##V3_BDPV12</stp>
        <stp>912827TN Govt</stp>
        <stp>MATURITY</stp>
        <stp>[TREASURY.xlsx]Sheet1!R1074C5</stp>
        <tr r="E1074" s="1"/>
      </tp>
      <tp t="s">
        <v>1/31/1998</v>
        <stp/>
        <stp>##V3_BDPV12</stp>
        <stp>912827W5 Govt</stp>
        <stp>MATURITY</stp>
        <stp>[TREASURY.xlsx]Sheet1!R1414C5</stp>
        <tr r="E1414" s="1"/>
      </tp>
      <tp t="s">
        <v>T</v>
        <stp/>
        <stp>##V3_BDPV12</stp>
        <stp>912828Y8 Govt</stp>
        <stp>TICKER</stp>
        <stp>[TREASURY.xlsx]Sheet1!R208C2</stp>
        <tr r="B208" s="1"/>
      </tp>
      <tp t="s">
        <v>T</v>
        <stp/>
        <stp>##V3_BDPV12</stp>
        <stp>912828V8 Govt</stp>
        <stp>TICKER</stp>
        <stp>[TREASURY.xlsx]Sheet1!R307C2</stp>
        <tr r="B307" s="1"/>
      </tp>
      <tp t="s">
        <v>10/31/2000</v>
        <stp/>
        <stp>##V3_BDPV12</stp>
        <stp>912827V6 Govt</stp>
        <stp>MATURITY</stp>
        <stp>[TREASURY.xlsx]Sheet1!R1084C5</stp>
        <tr r="E1084" s="1"/>
      </tp>
      <tp t="s">
        <v>T</v>
        <stp/>
        <stp>##V3_BDPV12</stp>
        <stp>912828V9 Govt</stp>
        <stp>TICKER</stp>
        <stp>[TREASURY.xlsx]Sheet1!R127C2</stp>
        <tr r="B127" s="1"/>
      </tp>
      <tp t="s">
        <v>T</v>
        <stp/>
        <stp>##V3_BDPV12</stp>
        <stp>912828T9 Govt</stp>
        <stp>TICKER</stp>
        <stp>[TREASURY.xlsx]Sheet1!R215C2</stp>
        <tr r="B215" s="1"/>
      </tp>
      <tp t="s">
        <v>T</v>
        <stp/>
        <stp>##V3_BDPV12</stp>
        <stp>912828P9 Govt</stp>
        <stp>TICKER</stp>
        <stp>[TREASURY.xlsx]Sheet1!R431C2</stp>
        <tr r="B431" s="1"/>
      </tp>
      <tp t="s">
        <v>11/30/1989</v>
        <stp/>
        <stp>##V3_BDPV12</stp>
        <stp>912827VP Govt</stp>
        <stp>MATURITY</stp>
        <stp>[TREASURY.xlsx]Sheet1!R1204C5</stp>
        <tr r="E1204" s="1"/>
      </tp>
      <tp t="s">
        <v>T</v>
        <stp/>
        <stp>##V3_BDPV12</stp>
        <stp>912828T6 Govt</stp>
        <stp>TICKER</stp>
        <stp>[TREASURY.xlsx]Sheet1!R105C2</stp>
        <tr r="B105" s="1"/>
      </tp>
      <tp t="s">
        <v>T</v>
        <stp/>
        <stp>##V3_BDPV12</stp>
        <stp>912828S6 Govt</stp>
        <stp>TICKER</stp>
        <stp>[TREASURY.xlsx]Sheet1!R692C2</stp>
        <tr r="B692" s="1"/>
      </tp>
      <tp t="s">
        <v>4/30/1992</v>
        <stp/>
        <stp>##V3_BDPV12</stp>
        <stp>912827YU Govt</stp>
        <stp>MATURITY</stp>
        <stp>[TREASURY.xlsx]Sheet1!R1224C5</stp>
        <tr r="E1224" s="1"/>
      </tp>
      <tp t="s">
        <v>11/30/1991</v>
        <stp/>
        <stp>##V3_BDPV12</stp>
        <stp>912827YF Govt</stp>
        <stp>MATURITY</stp>
        <stp>[TREASURY.xlsx]Sheet1!R1604C5</stp>
        <tr r="E1604" s="1"/>
      </tp>
      <tp t="s">
        <v>3/31/1998</v>
        <stp/>
        <stp>##V3_BDPV12</stp>
        <stp>912827X3 Govt</stp>
        <stp>MATURITY</stp>
        <stp>[TREASURY.xlsx]Sheet1!R1094C5</stp>
        <tr r="E1094" s="1"/>
      </tp>
      <tp t="s">
        <v>T</v>
        <stp/>
        <stp>##V3_BDPV12</stp>
        <stp>912828R7 Govt</stp>
        <stp>TICKER</stp>
        <stp>[TREASURY.xlsx]Sheet1!R383C2</stp>
        <tr r="B383" s="1"/>
      </tp>
      <tp t="s">
        <v>T</v>
        <stp/>
        <stp>##V3_BDPV12</stp>
        <stp>912828U7 Govt</stp>
        <stp>TICKER</stp>
        <stp>[TREASURY.xlsx]Sheet1!R484C2</stp>
        <tr r="B484" s="1"/>
      </tp>
      <tp t="s">
        <v>12/31/1992</v>
        <stp/>
        <stp>##V3_BDPV12</stp>
        <stp>912827XA Govt</stp>
        <stp>MATURITY</stp>
        <stp>[TREASURY.xlsx]Sheet1!R1594C5</stp>
        <tr r="E1594" s="1"/>
      </tp>
      <tp t="s">
        <v>4/30/1991</v>
        <stp/>
        <stp>##V3_BDPV12</stp>
        <stp>912827XL Govt</stp>
        <stp>MATURITY</stp>
        <stp>[TREASURY.xlsx]Sheet1!R1214C5</stp>
        <tr r="E1214" s="1"/>
      </tp>
      <tp t="s">
        <v>T</v>
        <stp/>
        <stp>##V3_BDPV12</stp>
        <stp>912828W4 Govt</stp>
        <stp>TICKER</stp>
        <stp>[TREASURY.xlsx]Sheet1!R296C2</stp>
        <tr r="B296" s="1"/>
      </tp>
      <tp t="s">
        <v>T</v>
        <stp/>
        <stp>##V3_BDPV12</stp>
        <stp>912827V4 Govt</stp>
        <stp>TICKER</stp>
        <stp>[TREASURY.xlsx]Sheet1!R757C2</stp>
        <tr r="B757" s="1"/>
      </tp>
      <tp t="s">
        <v>T</v>
        <stp/>
        <stp>##V3_BDPV12</stp>
        <stp>912827X4 Govt</stp>
        <stp>TICKER</stp>
        <stp>[TREASURY.xlsx]Sheet1!R769C2</stp>
        <tr r="B769" s="1"/>
      </tp>
      <tp t="s">
        <v>FIXED</v>
        <stp/>
        <stp>##V3_BDPV12</stp>
        <stp>912828P4 Govt</stp>
        <stp>CPN_TYP</stp>
        <stp>[TREASURY.xlsx]Sheet1!R91C11</stp>
        <tr r="K91" s="1"/>
      </tp>
      <tp t="s">
        <v>2/15/1994</v>
        <stp/>
        <stp>##V3_BDPV12</stp>
        <stp>912827ZW Govt</stp>
        <stp>MATURITY</stp>
        <stp>[TREASURY.xlsx]Sheet1!R1104C5</stp>
        <tr r="E1104" s="1"/>
      </tp>
      <tp t="s">
        <v>2/29/1996</v>
        <stp/>
        <stp>##V3_BDPV12</stp>
        <stp>912827ZZ Govt</stp>
        <stp>MATURITY</stp>
        <stp>[TREASURY.xlsx]Sheet1!R1614C5</stp>
        <tr r="E1614" s="1"/>
      </tp>
      <tp t="s">
        <v>T</v>
        <stp/>
        <stp>##V3_BDPV12</stp>
        <stp>912827R2 Govt</stp>
        <stp>TICKER</stp>
        <stp>[TREASURY.xlsx]Sheet1!R743C2</stp>
        <tr r="B743" s="1"/>
      </tp>
      <tp t="s">
        <v>T</v>
        <stp/>
        <stp>##V3_BDPV12</stp>
        <stp>912828P2 Govt</stp>
        <stp>TICKER</stp>
        <stp>[TREASURY.xlsx]Sheet1!R981C2</stp>
        <tr r="B981" s="1"/>
      </tp>
      <tp t="s">
        <v>T</v>
        <stp/>
        <stp>##V3_BDPV12</stp>
        <stp>912828V3 Govt</stp>
        <stp>TICKER</stp>
        <stp>[TREASURY.xlsx]Sheet1!R877C2</stp>
        <tr r="B877" s="1"/>
      </tp>
      <tp t="s">
        <v>4/30/1996</v>
        <stp/>
        <stp>##V3_BDPV12</stp>
        <stp>912827A6 Govt</stp>
        <stp>MATURITY</stp>
        <stp>[TREASURY.xlsx]Sheet1!R1474C5</stp>
        <tr r="E1474" s="1"/>
      </tp>
      <tp t="s">
        <v>10/15/1998</v>
        <stp/>
        <stp>##V3_BDPV12</stp>
        <stp>912827C6 Govt</stp>
        <stp>MATURITY</stp>
        <stp>[TREASURY.xlsx]Sheet1!R1554C5</stp>
        <tr r="E1554" s="1"/>
      </tp>
      <tp t="s">
        <v>5/15/1995</v>
        <stp/>
        <stp>##V3_BDPV12</stp>
        <stp>912810CQ Govt</stp>
        <stp>MATURITY</stp>
        <stp>[TREASURY.xlsx]Sheet1!R1623C5</stp>
        <tr r="E1623" s="1"/>
      </tp>
      <tp t="s">
        <v>11/15/1998</v>
        <stp/>
        <stp>##V3_BDPV12</stp>
        <stp>912810BG Govt</stp>
        <stp>MATURITY</stp>
        <stp>[TREASURY.xlsx]Sheet1!R1513C5</stp>
        <tr r="E1513" s="1"/>
      </tp>
      <tp t="s">
        <v>12/31/1993</v>
        <stp/>
        <stp>##V3_BDPV12</stp>
        <stp>912827D5 Govt</stp>
        <stp>MATURITY</stp>
        <stp>[TREASURY.xlsx]Sheet1!R1484C5</stp>
        <tr r="E1484" s="1"/>
      </tp>
      <tp t="s">
        <v>2/15/2003</v>
        <stp/>
        <stp>##V3_BDPV12</stp>
        <stp>912810DC Govt</stp>
        <stp>MATURITY</stp>
        <stp>[TREASURY.xlsx]Sheet1!R1443C5</stp>
        <tr r="E1443" s="1"/>
      </tp>
      <tp t="s">
        <v>7/31/1994</v>
        <stp/>
        <stp>##V3_BDPV12</stp>
        <stp>912827G2 Govt</stp>
        <stp>MATURITY</stp>
        <stp>[TREASURY.xlsx]Sheet1!R1034C5</stp>
        <tr r="E1034" s="1"/>
      </tp>
      <tp t="s">
        <v>9/30/1994</v>
        <stp/>
        <stp>##V3_BDPV12</stp>
        <stp>912827G8 Govt</stp>
        <stp>MATURITY</stp>
        <stp>[TREASURY.xlsx]Sheet1!R1374C5</stp>
        <tr r="E1374" s="1"/>
      </tp>
      <tp t="s">
        <v>5/15/1995</v>
        <stp/>
        <stp>##V3_BDPV12</stp>
        <stp>912827F3 Govt</stp>
        <stp>MATURITY</stp>
        <stp>[TREASURY.xlsx]Sheet1!R1314C5</stp>
        <tr r="E1314" s="1"/>
      </tp>
      <tp t="s">
        <v>6/30/1997</v>
        <stp/>
        <stp>##V3_BDPV12</stp>
        <stp>912827F8 Govt</stp>
        <stp>MATURITY</stp>
        <stp>[TREASURY.xlsx]Sheet1!R1154C5</stp>
        <tr r="E1154" s="1"/>
      </tp>
      <tp t="s">
        <v>11/15/1996</v>
        <stp/>
        <stp>##V3_BDPV12</stp>
        <stp>912827M7 Govt</stp>
        <stp>MATURITY</stp>
        <stp>[TREASURY.xlsx]Sheet1!R1044C5</stp>
        <tr r="E1044" s="1"/>
      </tp>
      <tp t="s">
        <v>8/31/1998</v>
        <stp/>
        <stp>##V3_BDPV12</stp>
        <stp>912827M2 Govt</stp>
        <stp>MATURITY</stp>
        <stp>[TREASURY.xlsx]Sheet1!R1164C5</stp>
        <tr r="E1164" s="1"/>
      </tp>
      <tp t="s">
        <v>7/31/1983</v>
        <stp/>
        <stp>##V3_BDPV12</stp>
        <stp>912827MC Govt</stp>
        <stp>MATURITY</stp>
        <stp>[TREASURY.xlsx]Sheet1!R1324C5</stp>
        <tr r="E1324" s="1"/>
      </tp>
      <tp t="s">
        <v>6/30/1995</v>
        <stp/>
        <stp>##V3_BDPV12</stp>
        <stp>912827L3 Govt</stp>
        <stp>MATURITY</stp>
        <stp>[TREASURY.xlsx]Sheet1!R1564C5</stp>
        <tr r="E1564" s="1"/>
      </tp>
      <tp t="s">
        <v>10/31/1984</v>
        <stp/>
        <stp>##V3_BDPV12</stp>
        <stp>912827NT Govt</stp>
        <stp>MATURITY</stp>
        <stp>[TREASURY.xlsx]Sheet1!R1384C5</stp>
        <tr r="E1384" s="1"/>
      </tp>
      <tp t="s">
        <v>10/15/1989</v>
        <stp/>
        <stp>##V3_BDPV12</stp>
        <stp>912827NS Govt</stp>
        <stp>MATURITY</stp>
        <stp>[TREASURY.xlsx]Sheet1!R1334C5</stp>
        <tr r="E1334" s="1"/>
      </tp>
      <tp t="s">
        <v>8/15/2000</v>
        <stp/>
        <stp>##V3_BDPV12</stp>
        <stp>9128273D Govt</stp>
        <stp>MATURITY</stp>
        <stp>[TREASURY.xlsx]Sheet1!R1354C5</stp>
        <tr r="E1354" s="1"/>
      </tp>
      <tp t="s">
        <v>5/15/2007</v>
        <stp/>
        <stp>##V3_BDPV12</stp>
        <stp>9128272U Govt</stp>
        <stp>MATURITY</stp>
        <stp>[TREASURY.xlsx]Sheet1!R1454C5</stp>
        <tr r="E1454" s="1"/>
      </tp>
      <tp t="s">
        <v>6/30/1999</v>
        <stp/>
        <stp>##V3_BDPV12</stp>
        <stp>9128272X Govt</stp>
        <stp>MATURITY</stp>
        <stp>[TREASURY.xlsx]Sheet1!R1524C5</stp>
        <tr r="E1524" s="1"/>
      </tp>
      <tp t="s">
        <v>T</v>
        <stp/>
        <stp>##V3_BDPV12</stp>
        <stp>912810QZ Govt</stp>
        <stp>TICKER</stp>
        <stp>[TREASURY.xlsx]Sheet1!R310C2</stp>
        <tr r="B310" s="1"/>
      </tp>
      <tp t="s">
        <v>T</v>
        <stp/>
        <stp>##V3_BDPV12</stp>
        <stp>912810RZ Govt</stp>
        <stp>TICKER</stp>
        <stp>[TREASURY.xlsx]Sheet1!R273C2</stp>
        <tr r="B273" s="1"/>
      </tp>
      <tp t="s">
        <v>T</v>
        <stp/>
        <stp>##V3_BDPV12</stp>
        <stp>912828XZ Govt</stp>
        <stp>TICKER</stp>
        <stp>[TREASURY.xlsx]Sheet1!R279C2</stp>
        <tr r="B279" s="1"/>
      </tp>
      <tp t="s">
        <v>T</v>
        <stp/>
        <stp>##V3_BDPV12</stp>
        <stp>912828TZ Govt</stp>
        <stp>TICKER</stp>
        <stp>[TREASURY.xlsx]Sheet1!R875C2</stp>
        <tr r="B875" s="1"/>
      </tp>
      <tp t="s">
        <v>6/30/2001</v>
        <stp/>
        <stp>##V3_BDPV12</stp>
        <stp>9128275J Govt</stp>
        <stp>MATURITY</stp>
        <stp>[TREASURY.xlsx]Sheet1!R1014C5</stp>
        <tr r="E1014" s="1"/>
      </tp>
      <tp t="s">
        <v>7/31/2001</v>
        <stp/>
        <stp>##V3_BDPV12</stp>
        <stp>9128275L Govt</stp>
        <stp>MATURITY</stp>
        <stp>[TREASURY.xlsx]Sheet1!R1464C5</stp>
        <tr r="E1464" s="1"/>
      </tp>
      <tp t="s">
        <v>1/31/2001</v>
        <stp/>
        <stp>##V3_BDPV12</stp>
        <stp>9128274Z Govt</stp>
        <stp>MATURITY</stp>
        <stp>[TREASURY.xlsx]Sheet1!R1534C5</stp>
        <tr r="E1534" s="1"/>
      </tp>
      <tp t="s">
        <v>5/31/2000</v>
        <stp/>
        <stp>##V3_BDPV12</stp>
        <stp>9128274G Govt</stp>
        <stp>MATURITY</stp>
        <stp>[TREASURY.xlsx]Sheet1!R1364C5</stp>
        <tr r="E1364" s="1"/>
      </tp>
      <tp t="s">
        <v>T</v>
        <stp/>
        <stp>##V3_BDPV12</stp>
        <stp>912828XX Govt</stp>
        <stp>TICKER</stp>
        <stp>[TREASURY.xlsx]Sheet1!R249C2</stp>
        <tr r="B249" s="1"/>
      </tp>
      <tp t="s">
        <v>T</v>
        <stp/>
        <stp>##V3_BDPV12</stp>
        <stp>912827XX Govt</stp>
        <stp>TICKER</stp>
        <stp>[TREASURY.xlsx]Sheet1!R939C2</stp>
        <tr r="B939" s="1"/>
      </tp>
      <tp t="s">
        <v>T</v>
        <stp/>
        <stp>##V3_BDPV12</stp>
        <stp>912827VX Govt</stp>
        <stp>TICKER</stp>
        <stp>[TREASURY.xlsx]Sheet1!R927C2</stp>
        <tr r="B927" s="1"/>
      </tp>
      <tp t="s">
        <v>T</v>
        <stp/>
        <stp>##V3_BDPV12</stp>
        <stp>912827YX Govt</stp>
        <stp>TICKER</stp>
        <stp>[TREASURY.xlsx]Sheet1!R948C2</stp>
        <tr r="B948" s="1"/>
      </tp>
      <tp t="s">
        <v>8/31/2003</v>
        <stp/>
        <stp>##V3_BDPV12</stp>
        <stp>9128277C Govt</stp>
        <stp>MATURITY</stp>
        <stp>[TREASURY.xlsx]Sheet1!R1544C5</stp>
        <tr r="E1544" s="1"/>
      </tp>
      <tp t="s">
        <v>T</v>
        <stp/>
        <stp>##V3_BDPV12</stp>
        <stp>912828YY Govt</stp>
        <stp>TICKER</stp>
        <stp>[TREASURY.xlsx]Sheet1!R158C2</stp>
        <tr r="B158" s="1"/>
      </tp>
      <tp t="s">
        <v>T</v>
        <stp/>
        <stp>##V3_BDPV12</stp>
        <stp>912810QY Govt</stp>
        <stp>TICKER</stp>
        <stp>[TREASURY.xlsx]Sheet1!R270C2</stp>
        <tr r="B270" s="1"/>
      </tp>
      <tp t="s">
        <v>11/15/2005</v>
        <stp/>
        <stp>##V3_BDPV12</stp>
        <stp>9128276N Govt</stp>
        <stp>MATURITY</stp>
        <stp>[TREASURY.xlsx]Sheet1!R1024C5</stp>
        <tr r="E1024" s="1"/>
      </tp>
      <tp t="s">
        <v>T</v>
        <stp/>
        <stp>##V3_BDPV12</stp>
        <stp>912828YT Govt</stp>
        <stp>TICKER</stp>
        <stp>[TREASURY.xlsx]Sheet1!R198C2</stp>
        <tr r="B198" s="1"/>
      </tp>
      <tp t="s">
        <v>T</v>
        <stp/>
        <stp>##V3_BDPV12</stp>
        <stp>912828XU Govt</stp>
        <stp>TICKER</stp>
        <stp>[TREASURY.xlsx]Sheet1!R639C2</stp>
        <tr r="B639" s="1"/>
      </tp>
      <tp t="s">
        <v>T</v>
        <stp/>
        <stp>##V3_BDPV12</stp>
        <stp>912827SU Govt</stp>
        <stp>TICKER</stp>
        <stp>[TREASURY.xlsx]Sheet1!R832C2</stp>
        <tr r="B832" s="1"/>
      </tp>
      <tp t="s">
        <v>NORMAL</v>
        <stp/>
        <stp>##V3_BDPV12</stp>
        <stp>912810RG Govt</stp>
        <stp>MTY_TYP</stp>
        <stp>[TREASURY.xlsx]Sheet1!R284C6</stp>
        <tr r="F284" s="1"/>
      </tp>
      <tp t="s">
        <v>NORMAL</v>
        <stp/>
        <stp>##V3_BDPV12</stp>
        <stp>912810QK Govt</stp>
        <stp>MTY_TYP</stp>
        <stp>[TREASURY.xlsx]Sheet1!R238C6</stp>
        <tr r="F238" s="1"/>
      </tp>
      <tp t="s">
        <v>CALLABLE</v>
        <stp/>
        <stp>##V3_BDPV12</stp>
        <stp>912810DJ Govt</stp>
        <stp>MTY_TYP</stp>
        <stp>[TREASURY.xlsx]Sheet1!R399C6</stp>
        <tr r="F399" s="1"/>
      </tp>
      <tp t="s">
        <v>T</v>
        <stp/>
        <stp>##V3_BDPV12</stp>
        <stp>912810RS Govt</stp>
        <stp>TICKER</stp>
        <stp>[TREASURY.xlsx]Sheet1!R163C2</stp>
        <tr r="B163" s="1"/>
      </tp>
      <tp t="s">
        <v>T</v>
        <stp/>
        <stp>##V3_BDPV12</stp>
        <stp>912827RS Govt</stp>
        <stp>TICKER</stp>
        <stp>[TREASURY.xlsx]Sheet1!R913C2</stp>
        <tr r="B913" s="1"/>
      </tp>
      <tp t="s">
        <v>NORMAL</v>
        <stp/>
        <stp>##V3_BDPV12</stp>
        <stp>912827VC Govt</stp>
        <stp>MTY_TYP</stp>
        <stp>[TREASURY.xlsx]Sheet1!R760C6</stp>
        <tr r="F760" s="1"/>
      </tp>
      <tp t="s">
        <v>NORMAL</v>
        <stp/>
        <stp>##V3_BDPV12</stp>
        <stp>912827NC Govt</stp>
        <stp>MTY_TYP</stp>
        <stp>[TREASURY.xlsx]Sheet1!R730C6</stp>
        <tr r="F730" s="1"/>
      </tp>
      <tp t="s">
        <v>NORMAL</v>
        <stp/>
        <stp>##V3_BDPV12</stp>
        <stp>912827MB Govt</stp>
        <stp>MTY_TYP</stp>
        <stp>[TREASURY.xlsx]Sheet1!R721C6</stp>
        <tr r="F721" s="1"/>
      </tp>
      <tp t="s">
        <v>NORMAL</v>
        <stp/>
        <stp>##V3_BDPV12</stp>
        <stp>912827KK Govt</stp>
        <stp>MTY_TYP</stp>
        <stp>[TREASURY.xlsx]Sheet1!R708C6</stp>
        <tr r="F708" s="1"/>
      </tp>
      <tp t="s">
        <v>NORMAL</v>
        <stp/>
        <stp>##V3_BDPV12</stp>
        <stp>912828UJ Govt</stp>
        <stp>MTY_TYP</stp>
        <stp>[TREASURY.xlsx]Sheet1!R999C6</stp>
        <tr r="F999" s="1"/>
      </tp>
      <tp t="s">
        <v>NORMAL</v>
        <stp/>
        <stp>##V3_BDPV12</stp>
        <stp>912827VE Govt</stp>
        <stp>MTY_TYP</stp>
        <stp>[TREASURY.xlsx]Sheet1!R626C6</stp>
        <tr r="F626" s="1"/>
      </tp>
      <tp t="s">
        <v>NORMAL</v>
        <stp/>
        <stp>##V3_BDPV12</stp>
        <stp>912828NK Govt</stp>
        <stp>MTY_TYP</stp>
        <stp>[TREASURY.xlsx]Sheet1!R978C6</stp>
        <tr r="F978" s="1"/>
      </tp>
      <tp t="s">
        <v>NORMAL</v>
        <stp/>
        <stp>##V3_BDPV12</stp>
        <stp>9128277K Govt</stp>
        <stp>MTY_TYP</stp>
        <stp>[TREASURY.xlsx]Sheet1!R528C6</stp>
        <tr r="F528" s="1"/>
      </tp>
      <tp t="s">
        <v>NORMAL</v>
        <stp/>
        <stp>##V3_BDPV12</stp>
        <stp>912828SJ Govt</stp>
        <stp>MTY_TYP</stp>
        <stp>[TREASURY.xlsx]Sheet1!R489C6</stp>
        <tr r="F489" s="1"/>
      </tp>
      <tp t="s">
        <v>NORMAL</v>
        <stp/>
        <stp>##V3_BDPV12</stp>
        <stp>912828UE Govt</stp>
        <stp>MTY_TYP</stp>
        <stp>[TREASURY.xlsx]Sheet1!R446C6</stp>
        <tr r="F446" s="1"/>
      </tp>
      <tp t="s">
        <v>NORMAL</v>
        <stp/>
        <stp>##V3_BDPV12</stp>
        <stp>912828CF Govt</stp>
        <stp>MTY_TYP</stp>
        <stp>[TREASURY.xlsx]Sheet1!R465C6</stp>
        <tr r="F465" s="1"/>
      </tp>
      <tp t="s">
        <v>NORMAL</v>
        <stp/>
        <stp>##V3_BDPV12</stp>
        <stp>912828FF Govt</stp>
        <stp>MTY_TYP</stp>
        <stp>[TREASURY.xlsx]Sheet1!R475C6</stp>
        <tr r="F475" s="1"/>
      </tp>
      <tp t="s">
        <v>NORMAL</v>
        <stp/>
        <stp>##V3_BDPV12</stp>
        <stp>912828DB Govt</stp>
        <stp>MTY_TYP</stp>
        <stp>[TREASURY.xlsx]Sheet1!R591C6</stp>
        <tr r="F591" s="1"/>
      </tp>
      <tp t="s">
        <v>NORMAL</v>
        <stp/>
        <stp>##V3_BDPV12</stp>
        <stp>912828MK Govt</stp>
        <stp>MTY_TYP</stp>
        <stp>[TREASURY.xlsx]Sheet1!R538C6</stp>
        <tr r="F538" s="1"/>
      </tp>
      <tp t="s">
        <v>NORMAL</v>
        <stp/>
        <stp>##V3_BDPV12</stp>
        <stp>912827YA Govt</stp>
        <stp>MTY_TYP</stp>
        <stp>[TREASURY.xlsx]Sheet1!R942C6</stp>
        <tr r="F942" s="1"/>
      </tp>
      <tp t="s">
        <v>NORMAL</v>
        <stp/>
        <stp>##V3_BDPV12</stp>
        <stp>912827YG Govt</stp>
        <stp>MTY_TYP</stp>
        <stp>[TREASURY.xlsx]Sheet1!R944C6</stp>
        <tr r="F944" s="1"/>
      </tp>
      <tp t="s">
        <v>NORMAL</v>
        <stp/>
        <stp>##V3_BDPV12</stp>
        <stp>912827WB Govt</stp>
        <stp>MTY_TYP</stp>
        <stp>[TREASURY.xlsx]Sheet1!R931C6</stp>
        <tr r="F931" s="1"/>
      </tp>
      <tp t="s">
        <v>NORMAL</v>
        <stp/>
        <stp>##V3_BDPV12</stp>
        <stp>912828TG Govt</stp>
        <stp>MTY_TYP</stp>
        <stp>[TREASURY.xlsx]Sheet1!R654C6</stp>
        <tr r="F654" s="1"/>
      </tp>
      <tp t="s">
        <v>NORMAL</v>
        <stp/>
        <stp>##V3_BDPV12</stp>
        <stp>912828FJ Govt</stp>
        <stp>MTY_TYP</stp>
        <stp>[TREASURY.xlsx]Sheet1!R799C6</stp>
        <tr r="F799" s="1"/>
      </tp>
      <tp t="s">
        <v>NORMAL</v>
        <stp/>
        <stp>##V3_BDPV12</stp>
        <stp>912827MK Govt</stp>
        <stp>MTY_TYP</stp>
        <stp>[TREASURY.xlsx]Sheet1!R898C6</stp>
        <tr r="F898" s="1"/>
      </tp>
      <tp t="s">
        <v>NORMAL</v>
        <stp/>
        <stp>##V3_BDPV12</stp>
        <stp>9128284F Govt</stp>
        <stp>MTY_TYP</stp>
        <stp>[TREASURY.xlsx]Sheet1!R285C6</stp>
        <tr r="F285" s="1"/>
      </tp>
      <tp t="s">
        <v>NORMAL</v>
        <stp/>
        <stp>##V3_BDPV12</stp>
        <stp>9128286F Govt</stp>
        <stp>MTY_TYP</stp>
        <stp>[TREASURY.xlsx]Sheet1!R225C6</stp>
        <tr r="F225" s="1"/>
      </tp>
      <tp t="s">
        <v>NORMAL</v>
        <stp/>
        <stp>##V3_BDPV12</stp>
        <stp>9128282F Govt</stp>
        <stp>MTY_TYP</stp>
        <stp>[TREASURY.xlsx]Sheet1!R345C6</stp>
        <tr r="F345" s="1"/>
      </tp>
      <tp t="s">
        <v>NORMAL</v>
        <stp/>
        <stp>##V3_BDPV12</stp>
        <stp>912828CB Govt</stp>
        <stp>MTY_TYP</stp>
        <stp>[TREASURY.xlsx]Sheet1!R331C6</stp>
        <tr r="F331" s="1"/>
      </tp>
      <tp t="s">
        <v>T</v>
        <stp/>
        <stp>##V3_BDPV12</stp>
        <stp>912828QP Govt</stp>
        <stp>TICKER</stp>
        <stp>[TREASURY.xlsx]Sheet1!R550C2</stp>
        <tr r="B550" s="1"/>
      </tp>
      <tp t="s">
        <v>NORMAL</v>
        <stp/>
        <stp>##V3_BDPV12</stp>
        <stp>91282CAF Govt</stp>
        <stp>MTY_TYP</stp>
        <stp>[TREASURY.xlsx]Sheet1!R195C6</stp>
        <tr r="F195" s="1"/>
      </tp>
      <tp t="s">
        <v>NORMAL</v>
        <stp/>
        <stp>##V3_BDPV12</stp>
        <stp>91282CAC Govt</stp>
        <stp>MTY_TYP</stp>
        <stp>[TREASURY.xlsx]Sheet1!R120C6</stp>
        <tr r="F120" s="1"/>
      </tp>
      <tp t="s">
        <v>T</v>
        <stp/>
        <stp>##V3_BDPV12</stp>
        <stp>912810RN Govt</stp>
        <stp>TICKER</stp>
        <stp>[TREASURY.xlsx]Sheet1!R293C2</stp>
        <tr r="B293" s="1"/>
      </tp>
      <tp t="s">
        <v>T</v>
        <stp/>
        <stp>##V3_BDPV12</stp>
        <stp>912828RM Govt</stp>
        <stp>TICKER</stp>
        <stp>[TREASURY.xlsx]Sheet1!R563C2</stp>
        <tr r="B563" s="1"/>
      </tp>
      <tp t="s">
        <v>T</v>
        <stp/>
        <stp>##V3_BDPV12</stp>
        <stp>912828VJ Govt</stp>
        <stp>TICKER</stp>
        <stp>[TREASURY.xlsx]Sheet1!R447C2</stp>
        <tr r="B447" s="1"/>
      </tp>
      <tp t="s">
        <v>T</v>
        <stp/>
        <stp>##V3_BDPV12</stp>
        <stp>912828RJ Govt</stp>
        <stp>TICKER</stp>
        <stp>[TREASURY.xlsx]Sheet1!R993C2</stp>
        <tr r="B993" s="1"/>
      </tp>
      <tp t="s">
        <v>T</v>
        <stp/>
        <stp>##V3_BDPV12</stp>
        <stp>912810RK Govt</stp>
        <stp>TICKER</stp>
        <stp>[TREASURY.xlsx]Sheet1!R103C2</stp>
        <tr r="B103" s="1"/>
      </tp>
      <tp t="s">
        <v>T</v>
        <stp/>
        <stp>##V3_BDPV12</stp>
        <stp>912828TK Govt</stp>
        <stp>TICKER</stp>
        <stp>[TREASURY.xlsx]Sheet1!R565C2</stp>
        <tr r="B565" s="1"/>
      </tp>
      <tp t="s">
        <v>T</v>
        <stp/>
        <stp>##V3_BDPV12</stp>
        <stp>912828TH Govt</stp>
        <stp>TICKER</stp>
        <stp>[TREASURY.xlsx]Sheet1!R585C2</stp>
        <tr r="B585" s="1"/>
      </tp>
      <tp t="s">
        <v>T</v>
        <stp/>
        <stp>##V3_BDPV12</stp>
        <stp>912828VG Govt</stp>
        <stp>TICKER</stp>
        <stp>[TREASURY.xlsx]Sheet1!R587C2</stp>
        <tr r="B587" s="1"/>
      </tp>
      <tp t="s">
        <v>T</v>
        <stp/>
        <stp>##V3_BDPV12</stp>
        <stp>912828QG Govt</stp>
        <stp>TICKER</stp>
        <stp>[TREASURY.xlsx]Sheet1!R990C2</stp>
        <tr r="B990" s="1"/>
      </tp>
      <tp t="s">
        <v>T</v>
        <stp/>
        <stp>##V3_BDPV12</stp>
        <stp>912828YD Govt</stp>
        <stp>TICKER</stp>
        <stp>[TREASURY.xlsx]Sheet1!R178C2</stp>
        <tr r="B178" s="1"/>
      </tp>
      <tp t="s">
        <v>T</v>
        <stp/>
        <stp>##V3_BDPV12</stp>
        <stp>912828XD Govt</stp>
        <stp>TICKER</stp>
        <stp>[TREASURY.xlsx]Sheet1!R189C2</stp>
        <tr r="B189" s="1"/>
      </tp>
      <tp t="s">
        <v>T</v>
        <stp/>
        <stp>##V3_BDPV12</stp>
        <stp>912810SE Govt</stp>
        <stp>TICKER</stp>
        <stp>[TREASURY.xlsx]Sheet1!R152C2</stp>
        <tr r="B152" s="1"/>
      </tp>
      <tp t="s">
        <v>T</v>
        <stp/>
        <stp>##V3_BDPV12</stp>
        <stp>912827QE Govt</stp>
        <stp>TICKER</stp>
        <stp>[TREASURY.xlsx]Sheet1!R740C2</stp>
        <tr r="B740" s="1"/>
      </tp>
      <tp t="s">
        <v>T</v>
        <stp/>
        <stp>##V3_BDPV12</stp>
        <stp>912810RC Govt</stp>
        <stp>TICKER</stp>
        <stp>[TREASURY.xlsx]Sheet1!R263C2</stp>
        <tr r="B263" s="1"/>
      </tp>
      <tp t="s">
        <v>T</v>
        <stp/>
        <stp>##V3_BDPV12</stp>
        <stp>912828RC Govt</stp>
        <stp>TICKER</stp>
        <stp>[TREASURY.xlsx]Sheet1!R333C2</stp>
        <tr r="B333" s="1"/>
      </tp>
      <tp t="s">
        <v>T</v>
        <stp/>
        <stp>##V3_BDPV12</stp>
        <stp>912828TC Govt</stp>
        <stp>TICKER</stp>
        <stp>[TREASURY.xlsx]Sheet1!R385C2</stp>
        <tr r="B385" s="1"/>
      </tp>
      <tp t="s">
        <v>T</v>
        <stp/>
        <stp>##V3_BDPV12</stp>
        <stp>912828VC Govt</stp>
        <stp>TICKER</stp>
        <stp>[TREASURY.xlsx]Sheet1!R577C2</stp>
        <tr r="B577" s="1"/>
      </tp>
      <tp t="s">
        <v>T</v>
        <stp/>
        <stp>##V3_BDPV12</stp>
        <stp>912827UC Govt</stp>
        <stp>TICKER</stp>
        <stp>[TREASURY.xlsx]Sheet1!R754C2</stp>
        <tr r="B754" s="1"/>
      </tp>
      <tp t="s">
        <v>T</v>
        <stp/>
        <stp>##V3_BDPV12</stp>
        <stp>912810QA Govt</stp>
        <stp>TICKER</stp>
        <stp>[TREASURY.xlsx]Sheet1!R280C2</stp>
        <tr r="B280" s="1"/>
      </tp>
      <tp t="s">
        <v>4/30/1990</v>
        <stp/>
        <stp>##V3_BDPV12</stp>
        <stp>912827YU Govt</stp>
        <stp>ISSUE_DT</stp>
        <stp>[TREASURY.xlsx]Sheet1!R1224C15</stp>
        <tr r="O1224" s="1"/>
      </tp>
      <tp t="s">
        <v>2/28/1990</v>
        <stp/>
        <stp>##V3_BDPV12</stp>
        <stp>912827YP Govt</stp>
        <stp>ISSUE_DT</stp>
        <stp>[TREASURY.xlsx]Sheet1!R1606C15</stp>
        <tr r="O1606" s="1"/>
      </tp>
      <tp t="s">
        <v>T</v>
        <stp/>
        <stp>##V3_BDPV12</stp>
        <stp>912828UW Govt</stp>
        <stp>TICKER</stp>
        <stp>[TREASURY.xlsx]Sheet1!R1002C2</stp>
        <tr r="B1002" s="1"/>
      </tp>
      <tp t="s">
        <v>T</v>
        <stp/>
        <stp>##V3_BDPV12</stp>
        <stp>912828KP Govt</stp>
        <stp>TICKER</stp>
        <stp>[TREASURY.xlsx]Sheet1!R1125C2</stp>
        <tr r="B1125" s="1"/>
      </tp>
      <tp t="s">
        <v>T</v>
        <stp/>
        <stp>##V3_BDPV12</stp>
        <stp>912828ES Govt</stp>
        <stp>TICKER</stp>
        <stp>[TREASURY.xlsx]Sheet1!R1116C2</stp>
        <tr r="B1116" s="1"/>
      </tp>
      <tp t="s">
        <v>T</v>
        <stp/>
        <stp>##V3_BDPV12</stp>
        <stp>912828UP Govt</stp>
        <stp>TICKER</stp>
        <stp>[TREASURY.xlsx]Sheet1!R1145C2</stp>
        <tr r="B1145" s="1"/>
      </tp>
      <tp t="s">
        <v>T</v>
        <stp/>
        <stp>##V3_BDPV12</stp>
        <stp>912828NR Govt</stp>
        <stp>TICKER</stp>
        <stp>[TREASURY.xlsx]Sheet1!R1257C2</stp>
        <tr r="B1257" s="1"/>
      </tp>
      <tp t="s">
        <v>T</v>
        <stp/>
        <stp>##V3_BDPV12</stp>
        <stp>912828HQ Govt</stp>
        <stp>TICKER</stp>
        <stp>[TREASURY.xlsx]Sheet1!R1244C2</stp>
        <tr r="B1244" s="1"/>
      </tp>
      <tp t="s">
        <v>T</v>
        <stp/>
        <stp>##V3_BDPV12</stp>
        <stp>912828FR Govt</stp>
        <stp>TICKER</stp>
        <stp>[TREASURY.xlsx]Sheet1!R1277C2</stp>
        <tr r="B1277" s="1"/>
      </tp>
      <tp t="s">
        <v>T</v>
        <stp/>
        <stp>##V3_BDPV12</stp>
        <stp>912827MR Govt</stp>
        <stp>TICKER</stp>
        <stp>[TREASURY.xlsx]Sheet1!R1327C2</stp>
        <tr r="B1327" s="1"/>
      </tp>
      <tp t="s">
        <v>T</v>
        <stp/>
        <stp>##V3_BDPV12</stp>
        <stp>912827YT Govt</stp>
        <stp>TICKER</stp>
        <stp>[TREASURY.xlsx]Sheet1!R1101C2</stp>
        <tr r="B1101" s="1"/>
      </tp>
      <tp t="s">
        <v>T</v>
        <stp/>
        <stp>##V3_BDPV12</stp>
        <stp>912827MS Govt</stp>
        <stp>TICKER</stp>
        <stp>[TREASURY.xlsx]Sheet1!R1046C2</stp>
        <tr r="B1046" s="1"/>
      </tp>
      <tp t="s">
        <v>T</v>
        <stp/>
        <stp>##V3_BDPV12</stp>
        <stp>912827RT Govt</stp>
        <stp>TICKER</stp>
        <stp>[TREASURY.xlsx]Sheet1!R1581C2</stp>
        <tr r="B1581" s="1"/>
      </tp>
      <tp t="s">
        <v>T</v>
        <stp/>
        <stp>##V3_BDPV12</stp>
        <stp>912827WW Govt</stp>
        <stp>TICKER</stp>
        <stp>[TREASURY.xlsx]Sheet1!R1592C2</stp>
        <tr r="B1592" s="1"/>
      </tp>
      <tp t="s">
        <v>T</v>
        <stp/>
        <stp>##V3_BDPV12</stp>
        <stp>9128272T Govt</stp>
        <stp>TICKER</stp>
        <stp>[TREASURY.xlsx]Sheet1!R1521C2</stp>
        <tr r="B1521" s="1"/>
      </tp>
      <tp t="s">
        <v>T</v>
        <stp/>
        <stp>##V3_BDPV12</stp>
        <stp>9128274V Govt</stp>
        <stp>TICKER</stp>
        <stp>[TREASURY.xlsx]Sheet1!R1533C2</stp>
        <tr r="B1533" s="1"/>
      </tp>
      <tp t="s">
        <v>T</v>
        <stp/>
        <stp>##V3_BDPV12</stp>
        <stp>912827WT Govt</stp>
        <stp>TICKER</stp>
        <stp>[TREASURY.xlsx]Sheet1!R1421C2</stp>
        <tr r="B1421" s="1"/>
      </tp>
      <tp t="s">
        <v>T</v>
        <stp/>
        <stp>##V3_BDPV12</stp>
        <stp>912827TW Govt</stp>
        <stp>TICKER</stp>
        <stp>[TREASURY.xlsx]Sheet1!R1402C2</stp>
        <tr r="B1402" s="1"/>
      </tp>
      <tp t="s">
        <v>4/16/1990</v>
        <stp/>
        <stp>##V3_BDPV12</stp>
        <stp>912827YT Govt</stp>
        <stp>ISSUE_DT</stp>
        <stp>[TREASURY.xlsx]Sheet1!R1101C15</stp>
        <tr r="O1101" s="1"/>
      </tp>
      <tp t="s">
        <v>T</v>
        <stp/>
        <stp>##V3_BDPV12</stp>
        <stp>912810DR Govt</stp>
        <stp>TICKER</stp>
        <stp>[TREASURY.xlsx]Sheet1!R1447C2</stp>
        <tr r="B1447" s="1"/>
      </tp>
      <tp t="s">
        <v>USD</v>
        <stp/>
        <stp>##V3_BDPV12</stp>
        <stp>912827YQ Govt</stp>
        <stp>CRNCY</stp>
        <stp>[TREASURY.xlsx]Sheet1!R1223C7</stp>
        <tr r="G1223" s="1"/>
      </tp>
      <tp t="s">
        <v>3/1/1990</v>
        <stp/>
        <stp>##V3_BDPV12</stp>
        <stp>912827YQ Govt</stp>
        <stp>ISSUE_DT</stp>
        <stp>[TREASURY.xlsx]Sheet1!R1223C15</stp>
        <tr r="O1223" s="1"/>
      </tp>
      <tp t="s">
        <v>USD</v>
        <stp/>
        <stp>##V3_BDPV12</stp>
        <stp>912827SW Govt</stp>
        <stp>CRNCY</stp>
        <stp>[TREASURY.xlsx]Sheet1!R1189C7</stp>
        <tr r="G1189" s="1"/>
      </tp>
      <tp t="s">
        <v>5/15/1990</v>
        <stp/>
        <stp>##V3_BDPV12</stp>
        <stp>912827YW Govt</stp>
        <stp>ISSUE_DT</stp>
        <stp>[TREASURY.xlsx]Sheet1!R1607C15</stp>
        <tr r="O1607" s="1"/>
      </tp>
      <tp t="s">
        <v>USD</v>
        <stp/>
        <stp>##V3_BDPV12</stp>
        <stp>912828RZ Govt</stp>
        <stp>CRNCY</stp>
        <stp>[TREASURY.xlsx]Sheet1!R1268C7</stp>
        <tr r="G1268" s="1"/>
      </tp>
      <tp t="s">
        <v>NORMAL</v>
        <stp/>
        <stp>##V3_BDPV12</stp>
        <stp>912810DG Govt</stp>
        <stp>MTY_TYP</stp>
        <stp>[TREASURY.xlsx]Sheet1!R1516C6</stp>
        <tr r="F1516" s="1"/>
      </tp>
      <tp t="s">
        <v>NORMAL</v>
        <stp/>
        <stp>##V3_BDPV12</stp>
        <stp>912810CZ Govt</stp>
        <stp>MTY_TYP</stp>
        <stp>[TREASURY.xlsx]Sheet1!R1446C6</stp>
        <tr r="F1446" s="1"/>
      </tp>
      <tp t="s">
        <v>CALLABLE</v>
        <stp/>
        <stp>##V3_BDPV12</stp>
        <stp>912810DB Govt</stp>
        <stp>MTY_TYP</stp>
        <stp>[TREASURY.xlsx]Sheet1!R1346C6</stp>
        <tr r="F1346" s="1"/>
      </tp>
      <tp t="s">
        <v>10/16/1989</v>
        <stp/>
        <stp>##V3_BDPV12</stp>
        <stp>912827YB Govt</stp>
        <stp>ISSUE_DT</stp>
        <stp>[TREASURY.xlsx]Sheet1!R1100C15</stp>
        <tr r="O1100" s="1"/>
      </tp>
      <tp t="s">
        <v>11/15/1989</v>
        <stp/>
        <stp>##V3_BDPV12</stp>
        <stp>912827YD Govt</stp>
        <stp>ISSUE_DT</stp>
        <stp>[TREASURY.xlsx]Sheet1!R1603C15</stp>
        <tr r="O1603" s="1"/>
      </tp>
      <tp t="s">
        <v>10/31/1989</v>
        <stp/>
        <stp>##V3_BDPV12</stp>
        <stp>912827YC Govt</stp>
        <stp>ISSUE_DT</stp>
        <stp>[TREASURY.xlsx]Sheet1!R1220C15</stp>
        <tr r="O1220" s="1"/>
      </tp>
      <tp t="s">
        <v>NORMAL</v>
        <stp/>
        <stp>##V3_BDPV12</stp>
        <stp>9128276D Govt</stp>
        <stp>MTY_TYP</stp>
        <stp>[TREASURY.xlsx]Sheet1!R1465C6</stp>
        <tr r="F1465" s="1"/>
      </tp>
      <tp t="s">
        <v>NORMAL</v>
        <stp/>
        <stp>##V3_BDPV12</stp>
        <stp>9128277E Govt</stp>
        <stp>MTY_TYP</stp>
        <stp>[TREASURY.xlsx]Sheet1!R1545C6</stp>
        <tr r="F1545" s="1"/>
      </tp>
      <tp t="s">
        <v>NORMAL</v>
        <stp/>
        <stp>##V3_BDPV12</stp>
        <stp>9128273F Govt</stp>
        <stp>MTY_TYP</stp>
        <stp>[TREASURY.xlsx]Sheet1!R1355C6</stp>
        <tr r="F1355" s="1"/>
      </tp>
      <tp t="s">
        <v>NORMAL</v>
        <stp/>
        <stp>##V3_BDPV12</stp>
        <stp>9128275C Govt</stp>
        <stp>MTY_TYP</stp>
        <stp>[TREASURY.xlsx]Sheet1!R1535C6</stp>
        <tr r="F1535" s="1"/>
      </tp>
      <tp t="s">
        <v>NORMAL</v>
        <stp/>
        <stp>##V3_BDPV12</stp>
        <stp>9128272Y Govt</stp>
        <stp>MTY_TYP</stp>
        <stp>[TREASURY.xlsx]Sheet1!R1525C6</stp>
        <tr r="F1525" s="1"/>
      </tp>
      <tp t="s">
        <v>NORMAL</v>
        <stp/>
        <stp>##V3_BDPV12</stp>
        <stp>9128273U Govt</stp>
        <stp>MTY_TYP</stp>
        <stp>[TREASURY.xlsx]Sheet1!R1455C6</stp>
        <tr r="F1455" s="1"/>
      </tp>
      <tp t="s">
        <v>NORMAL</v>
        <stp/>
        <stp>##V3_BDPV12</stp>
        <stp>9128274J Govt</stp>
        <stp>MTY_TYP</stp>
        <stp>[TREASURY.xlsx]Sheet1!R1365C6</stp>
        <tr r="F1365" s="1"/>
      </tp>
      <tp t="s">
        <v>NORMAL</v>
        <stp/>
        <stp>##V3_BDPV12</stp>
        <stp>9128276T Govt</stp>
        <stp>MTY_TYP</stp>
        <stp>[TREASURY.xlsx]Sheet1!R1025C6</stp>
        <tr r="F1025" s="1"/>
      </tp>
      <tp t="s">
        <v>NORMAL</v>
        <stp/>
        <stp>##V3_BDPV12</stp>
        <stp>9128275M Govt</stp>
        <stp>MTY_TYP</stp>
        <stp>[TREASURY.xlsx]Sheet1!R1015C6</stp>
        <tr r="F1015" s="1"/>
      </tp>
      <tp t="s">
        <v>USD</v>
        <stp/>
        <stp>##V3_BDPV12</stp>
        <stp>912827YD Govt</stp>
        <stp>CRNCY</stp>
        <stp>[TREASURY.xlsx]Sheet1!R1603C7</stp>
        <tr r="G1603" s="1"/>
      </tp>
      <tp t="s">
        <v>USD</v>
        <stp/>
        <stp>##V3_BDPV12</stp>
        <stp>912827ZD Govt</stp>
        <stp>CRNCY</stp>
        <stp>[TREASURY.xlsx]Sheet1!R1610C7</stp>
        <tr r="G1610" s="1"/>
      </tp>
      <tp t="s">
        <v>UNITED STATES</v>
        <stp/>
        <stp>##V3_BDPV12</stp>
        <stp>9128276P Govt</stp>
        <stp>COUNTRY_FULL_NAME</stp>
        <stp>[TREASURY.xlsx]Sheet1!R441C8</stp>
        <tr r="H441" s="1"/>
      </tp>
      <tp t="s">
        <v>NORMAL</v>
        <stp/>
        <stp>##V3_BDPV12</stp>
        <stp>912827H9 Govt</stp>
        <stp>MTY_TYP</stp>
        <stp>[TREASURY.xlsx]Sheet1!R1375C6</stp>
        <tr r="F1375" s="1"/>
      </tp>
      <tp t="s">
        <v>NORMAL</v>
        <stp/>
        <stp>##V3_BDPV12</stp>
        <stp>912827L7 Govt</stp>
        <stp>MTY_TYP</stp>
        <stp>[TREASURY.xlsx]Sheet1!R1565C6</stp>
        <tr r="F1565" s="1"/>
      </tp>
      <tp t="s">
        <v>NORMAL</v>
        <stp/>
        <stp>##V3_BDPV12</stp>
        <stp>912827ML Govt</stp>
        <stp>MTY_TYP</stp>
        <stp>[TREASURY.xlsx]Sheet1!R1325C6</stp>
        <tr r="F1325" s="1"/>
      </tp>
      <tp t="s">
        <v>NORMAL</v>
        <stp/>
        <stp>##V3_BDPV12</stp>
        <stp>912827NX Govt</stp>
        <stp>MTY_TYP</stp>
        <stp>[TREASURY.xlsx]Sheet1!R1385C6</stp>
        <tr r="F1385" s="1"/>
      </tp>
      <tp t="s">
        <v>NORMAL</v>
        <stp/>
        <stp>##V3_BDPV12</stp>
        <stp>912827NU Govt</stp>
        <stp>MTY_TYP</stp>
        <stp>[TREASURY.xlsx]Sheet1!R1335C6</stp>
        <tr r="F1335" s="1"/>
      </tp>
      <tp t="s">
        <v>NORMAL</v>
        <stp/>
        <stp>##V3_BDPV12</stp>
        <stp>912827MM Govt</stp>
        <stp>MTY_TYP</stp>
        <stp>[TREASURY.xlsx]Sheet1!R1045C6</stp>
        <tr r="F1045" s="1"/>
      </tp>
      <tp t="s">
        <v>NORMAL</v>
        <stp/>
        <stp>##V3_BDPV12</stp>
        <stp>912827M4 Govt</stp>
        <stp>MTY_TYP</stp>
        <stp>[TREASURY.xlsx]Sheet1!R1165C6</stp>
        <tr r="F1165" s="1"/>
      </tp>
      <tp t="s">
        <v>NORMAL</v>
        <stp/>
        <stp>##V3_BDPV12</stp>
        <stp>912827D8 Govt</stp>
        <stp>MTY_TYP</stp>
        <stp>[TREASURY.xlsx]Sheet1!R1485C6</stp>
        <tr r="F1485" s="1"/>
      </tp>
      <tp t="s">
        <v>NORMAL</v>
        <stp/>
        <stp>##V3_BDPV12</stp>
        <stp>912827F9 Govt</stp>
        <stp>MTY_TYP</stp>
        <stp>[TREASURY.xlsx]Sheet1!R1155C6</stp>
        <tr r="F1155" s="1"/>
      </tp>
      <tp t="s">
        <v>NORMAL</v>
        <stp/>
        <stp>##V3_BDPV12</stp>
        <stp>912827G4 Govt</stp>
        <stp>MTY_TYP</stp>
        <stp>[TREASURY.xlsx]Sheet1!R1035C6</stp>
        <tr r="F1035" s="1"/>
      </tp>
      <tp t="s">
        <v>NORMAL</v>
        <stp/>
        <stp>##V3_BDPV12</stp>
        <stp>912827C7 Govt</stp>
        <stp>MTY_TYP</stp>
        <stp>[TREASURY.xlsx]Sheet1!R1555C6</stp>
        <tr r="F1555" s="1"/>
      </tp>
      <tp t="s">
        <v>NORMAL</v>
        <stp/>
        <stp>##V3_BDPV12</stp>
        <stp>912827B2 Govt</stp>
        <stp>MTY_TYP</stp>
        <stp>[TREASURY.xlsx]Sheet1!R1475C6</stp>
        <tr r="F1475" s="1"/>
      </tp>
      <tp t="s">
        <v>NORMAL</v>
        <stp/>
        <stp>##V3_BDPV12</stp>
        <stp>912827F7 Govt</stp>
        <stp>MTY_TYP</stp>
        <stp>[TREASURY.xlsx]Sheet1!R1315C6</stp>
        <tr r="F1315" s="1"/>
      </tp>
      <tp t="s">
        <v>NORMAL</v>
        <stp/>
        <stp>##V3_BDPV12</stp>
        <stp>912827XM Govt</stp>
        <stp>MTY_TYP</stp>
        <stp>[TREASURY.xlsx]Sheet1!R1215C6</stp>
        <tr r="F1215" s="1"/>
      </tp>
      <tp t="s">
        <v>NORMAL</v>
        <stp/>
        <stp>##V3_BDPV12</stp>
        <stp>912827X7 Govt</stp>
        <stp>MTY_TYP</stp>
        <stp>[TREASURY.xlsx]Sheet1!R1095C6</stp>
        <tr r="F1095" s="1"/>
      </tp>
      <tp t="s">
        <v>NORMAL</v>
        <stp/>
        <stp>##V3_BDPV12</stp>
        <stp>912827Z4 Govt</stp>
        <stp>MTY_TYP</stp>
        <stp>[TREASURY.xlsx]Sheet1!R1225C6</stp>
        <tr r="F1225" s="1"/>
      </tp>
      <tp t="s">
        <v>NORMAL</v>
        <stp/>
        <stp>##V3_BDPV12</stp>
        <stp>912827YL Govt</stp>
        <stp>MTY_TYP</stp>
        <stp>[TREASURY.xlsx]Sheet1!R1605C6</stp>
        <tr r="F1605" s="1"/>
      </tp>
      <tp t="s">
        <v>NORMAL</v>
        <stp/>
        <stp>##V3_BDPV12</stp>
        <stp>912827XB Govt</stp>
        <stp>MTY_TYP</stp>
        <stp>[TREASURY.xlsx]Sheet1!R1595C6</stp>
        <tr r="F1595" s="1"/>
      </tp>
      <tp t="s">
        <v>NORMAL</v>
        <stp/>
        <stp>##V3_BDPV12</stp>
        <stp>912827SF Govt</stp>
        <stp>MTY_TYP</stp>
        <stp>[TREASURY.xlsx]Sheet1!R1065C6</stp>
        <tr r="F1065" s="1"/>
      </tp>
      <tp t="s">
        <v>NORMAL</v>
        <stp/>
        <stp>##V3_BDPV12</stp>
        <stp>912827W6 Govt</stp>
        <stp>MTY_TYP</stp>
        <stp>[TREASURY.xlsx]Sheet1!R1415C6</stp>
        <tr r="F1415" s="1"/>
      </tp>
      <tp t="s">
        <v>NORMAL</v>
        <stp/>
        <stp>##V3_BDPV12</stp>
        <stp>912827QY Govt</stp>
        <stp>MTY_TYP</stp>
        <stp>[TREASURY.xlsx]Sheet1!R1395C6</stp>
        <tr r="F1395" s="1"/>
      </tp>
      <tp t="s">
        <v>NORMAL</v>
        <stp/>
        <stp>##V3_BDPV12</stp>
        <stp>912827SJ Govt</stp>
        <stp>MTY_TYP</stp>
        <stp>[TREASURY.xlsx]Sheet1!R1185C6</stp>
        <tr r="F1185" s="1"/>
      </tp>
      <tp t="s">
        <v>NORMAL</v>
        <stp/>
        <stp>##V3_BDPV12</stp>
        <stp>912827PU Govt</stp>
        <stp>MTY_TYP</stp>
        <stp>[TREASURY.xlsx]Sheet1!R1175C6</stp>
        <tr r="F1175" s="1"/>
      </tp>
      <tp t="s">
        <v>NORMAL</v>
        <stp/>
        <stp>##V3_BDPV12</stp>
        <stp>912827UM Govt</stp>
        <stp>MTY_TYP</stp>
        <stp>[TREASURY.xlsx]Sheet1!R1405C6</stp>
        <tr r="F1405" s="1"/>
      </tp>
      <tp t="s">
        <v>NORMAL</v>
        <stp/>
        <stp>##V3_BDPV12</stp>
        <stp>912827QC Govt</stp>
        <stp>MTY_TYP</stp>
        <stp>[TREASURY.xlsx]Sheet1!R1055C6</stp>
        <tr r="F1055" s="1"/>
      </tp>
      <tp t="s">
        <v>NORMAL</v>
        <stp/>
        <stp>##V3_BDPV12</stp>
        <stp>912827T9 Govt</stp>
        <stp>MTY_TYP</stp>
        <stp>[TREASURY.xlsx]Sheet1!R1505C6</stp>
        <tr r="F1505" s="1"/>
      </tp>
      <tp t="s">
        <v>NORMAL</v>
        <stp/>
        <stp>##V3_BDPV12</stp>
        <stp>912827VD Govt</stp>
        <stp>MTY_TYP</stp>
        <stp>[TREASURY.xlsx]Sheet1!R1085C6</stp>
        <tr r="F1085" s="1"/>
      </tp>
      <tp t="s">
        <v>NORMAL</v>
        <stp/>
        <stp>##V3_BDPV12</stp>
        <stp>912827S3 Govt</stp>
        <stp>MTY_TYP</stp>
        <stp>[TREASURY.xlsx]Sheet1!R1585C6</stp>
        <tr r="F1585" s="1"/>
      </tp>
      <tp t="s">
        <v>NORMAL</v>
        <stp/>
        <stp>##V3_BDPV12</stp>
        <stp>912827TT Govt</stp>
        <stp>MTY_TYP</stp>
        <stp>[TREASURY.xlsx]Sheet1!R1195C6</stp>
        <tr r="F1195" s="1"/>
      </tp>
      <tp t="s">
        <v>NORMAL</v>
        <stp/>
        <stp>##V3_BDPV12</stp>
        <stp>912827QF Govt</stp>
        <stp>MTY_TYP</stp>
        <stp>[TREASURY.xlsx]Sheet1!R1495C6</stp>
        <tr r="F1495" s="1"/>
      </tp>
      <tp t="s">
        <v>NORMAL</v>
        <stp/>
        <stp>##V3_BDPV12</stp>
        <stp>912827QX Govt</stp>
        <stp>MTY_TYP</stp>
        <stp>[TREASURY.xlsx]Sheet1!R1575C6</stp>
        <tr r="F1575" s="1"/>
      </tp>
      <tp t="s">
        <v>NORMAL</v>
        <stp/>
        <stp>##V3_BDPV12</stp>
        <stp>912827VS Govt</stp>
        <stp>MTY_TYP</stp>
        <stp>[TREASURY.xlsx]Sheet1!R1205C6</stp>
        <tr r="F1205" s="1"/>
      </tp>
      <tp t="s">
        <v>NORMAL</v>
        <stp/>
        <stp>##V3_BDPV12</stp>
        <stp>912827TQ Govt</stp>
        <stp>MTY_TYP</stp>
        <stp>[TREASURY.xlsx]Sheet1!R1075C6</stp>
        <tr r="F1075" s="1"/>
      </tp>
      <tp t="s">
        <v>11/30/1989</v>
        <stp/>
        <stp>##V3_BDPV12</stp>
        <stp>912827YF Govt</stp>
        <stp>ISSUE_DT</stp>
        <stp>[TREASURY.xlsx]Sheet1!R1604C15</stp>
        <tr r="O1604" s="1"/>
      </tp>
      <tp t="s">
        <v>USD</v>
        <stp/>
        <stp>##V3_BDPV12</stp>
        <stp>912828XJ Govt</stp>
        <stp>CRNCY</stp>
        <stp>[TREASURY.xlsx]Sheet1!R1152C7</stp>
        <tr r="G1152" s="1"/>
      </tp>
      <tp t="s">
        <v>NORMAL</v>
        <stp/>
        <stp>##V3_BDPV12</stp>
        <stp>9128282G Govt</stp>
        <stp>MTY_TYP</stp>
        <stp>[TREASURY.xlsx]Sheet1!R1105C6</stp>
        <tr r="F1105" s="1"/>
      </tp>
      <tp t="s">
        <v>NORMAL</v>
        <stp/>
        <stp>##V3_BDPV12</stp>
        <stp>9128282Z Govt</stp>
        <stp>MTY_TYP</stp>
        <stp>[TREASURY.xlsx]Sheet1!R1615C6</stp>
        <tr r="F1615" s="1"/>
      </tp>
      <tp t="s">
        <v>USD</v>
        <stp/>
        <stp>##V3_BDPV12</stp>
        <stp>912827SK Govt</stp>
        <stp>CRNCY</stp>
        <stp>[TREASURY.xlsx]Sheet1!R1589C7</stp>
        <tr r="G1589" s="1"/>
      </tp>
      <tp t="s">
        <v>NORMAL</v>
        <stp/>
        <stp>##V3_BDPV12</stp>
        <stp>912828KP Govt</stp>
        <stp>MTY_TYP</stp>
        <stp>[TREASURY.xlsx]Sheet1!R1125C6</stp>
        <tr r="F1125" s="1"/>
      </tp>
      <tp t="s">
        <v>NORMAL</v>
        <stp/>
        <stp>##V3_BDPV12</stp>
        <stp>912828HS Govt</stp>
        <stp>MTY_TYP</stp>
        <stp>[TREASURY.xlsx]Sheet1!R1245C6</stp>
        <tr r="F1245" s="1"/>
      </tp>
      <tp t="s">
        <v>NORMAL</v>
        <stp/>
        <stp>##V3_BDPV12</stp>
        <stp>912828JA Govt</stp>
        <stp>MTY_TYP</stp>
        <stp>[TREASURY.xlsx]Sheet1!R1285C6</stp>
        <tr r="F1285" s="1"/>
      </tp>
      <tp t="s">
        <v>NORMAL</v>
        <stp/>
        <stp>##V3_BDPV12</stp>
        <stp>912828MZ Govt</stp>
        <stp>MTY_TYP</stp>
        <stp>[TREASURY.xlsx]Sheet1!R1255C6</stp>
        <tr r="F1255" s="1"/>
      </tp>
      <tp t="s">
        <v>NORMAL</v>
        <stp/>
        <stp>##V3_BDPV12</stp>
        <stp>912828NZ Govt</stp>
        <stp>MTY_TYP</stp>
        <stp>[TREASURY.xlsx]Sheet1!R1295C6</stp>
        <tr r="F1295" s="1"/>
      </tp>
      <tp t="s">
        <v>NORMAL</v>
        <stp/>
        <stp>##V3_BDPV12</stp>
        <stp>912828GH Govt</stp>
        <stp>MTY_TYP</stp>
        <stp>[TREASURY.xlsx]Sheet1!R1435C6</stp>
        <tr r="F1435" s="1"/>
      </tp>
      <tp t="s">
        <v>NORMAL</v>
        <stp/>
        <stp>##V3_BDPV12</stp>
        <stp>912828BF Govt</stp>
        <stp>MTY_TYP</stp>
        <stp>[TREASURY.xlsx]Sheet1!R1235C6</stp>
        <tr r="F1235" s="1"/>
      </tp>
      <tp t="s">
        <v>NORMAL</v>
        <stp/>
        <stp>##V3_BDPV12</stp>
        <stp>912828BE Govt</stp>
        <stp>MTY_TYP</stp>
        <stp>[TREASURY.xlsx]Sheet1!R1425C6</stp>
        <tr r="F1425" s="1"/>
      </tp>
      <tp t="s">
        <v>NORMAL</v>
        <stp/>
        <stp>##V3_BDPV12</stp>
        <stp>912828FN Govt</stp>
        <stp>MTY_TYP</stp>
        <stp>[TREASURY.xlsx]Sheet1!R1275C6</stp>
        <tr r="F1275" s="1"/>
      </tp>
      <tp t="s">
        <v>NORMAL</v>
        <stp/>
        <stp>##V3_BDPV12</stp>
        <stp>912828EM Govt</stp>
        <stp>MTY_TYP</stp>
        <stp>[TREASURY.xlsx]Sheet1!R1115C6</stp>
        <tr r="F1115" s="1"/>
      </tp>
      <tp t="s">
        <v>NORMAL</v>
        <stp/>
        <stp>##V3_BDPV12</stp>
        <stp>912828RD Govt</stp>
        <stp>MTY_TYP</stp>
        <stp>[TREASURY.xlsx]Sheet1!R1265C6</stp>
        <tr r="F1265" s="1"/>
      </tp>
      <tp t="s">
        <v>NORMAL</v>
        <stp/>
        <stp>##V3_BDPV12</stp>
        <stp>912828WA Govt</stp>
        <stp>MTY_TYP</stp>
        <stp>[TREASURY.xlsx]Sheet1!R1005C6</stp>
        <tr r="F1005" s="1"/>
      </tp>
      <tp t="s">
        <v>NORMAL</v>
        <stp/>
        <stp>##V3_BDPV12</stp>
        <stp>912828VV Govt</stp>
        <stp>MTY_TYP</stp>
        <stp>[TREASURY.xlsx]Sheet1!R1305C6</stp>
        <tr r="F1305" s="1"/>
      </tp>
      <tp t="s">
        <v>NORMAL</v>
        <stp/>
        <stp>##V3_BDPV12</stp>
        <stp>912828UP Govt</stp>
        <stp>MTY_TYP</stp>
        <stp>[TREASURY.xlsx]Sheet1!R1145C6</stp>
        <tr r="F1145" s="1"/>
      </tp>
      <tp t="s">
        <v>NORMAL</v>
        <stp/>
        <stp>##V3_BDPV12</stp>
        <stp>912828UG Govt</stp>
        <stp>MTY_TYP</stp>
        <stp>[TREASURY.xlsx]Sheet1!R1135C6</stp>
        <tr r="F1135" s="1"/>
      </tp>
      <tp t="s">
        <v>1/2/1990</v>
        <stp/>
        <stp>##V3_BDPV12</stp>
        <stp>912827YH Govt</stp>
        <stp>ISSUE_DT</stp>
        <stp>[TREASURY.xlsx]Sheet1!R1221C15</stp>
        <tr r="O1221" s="1"/>
      </tp>
      <tp t="s">
        <v>1/31/1990</v>
        <stp/>
        <stp>##V3_BDPV12</stp>
        <stp>912827YL Govt</stp>
        <stp>ISSUE_DT</stp>
        <stp>[TREASURY.xlsx]Sheet1!R1605C15</stp>
        <tr r="O1605" s="1"/>
      </tp>
      <tp t="s">
        <v>1/16/1990</v>
        <stp/>
        <stp>##V3_BDPV12</stp>
        <stp>912827YK Govt</stp>
        <stp>ISSUE_DT</stp>
        <stp>[TREASURY.xlsx]Sheet1!R1222C15</stp>
        <tr r="O1222" s="1"/>
      </tp>
      <tp t="s">
        <v>USD</v>
        <stp/>
        <stp>##V3_BDPV12</stp>
        <stp>912827ZM Govt</stp>
        <stp>CRNCY</stp>
        <stp>[TREASURY.xlsx]Sheet1!R1230C7</stp>
        <tr r="G1230" s="1"/>
      </tp>
      <tp t="s">
        <v>5/15/1996</v>
        <stp/>
        <stp>##V3_BDPV12</stp>
        <stp>912827X7 Govt</stp>
        <stp>ISSUE_DT</stp>
        <stp>[TREASURY.xlsx]Sheet1!R1095C15</stp>
        <tr r="O1095" s="1"/>
      </tp>
      <tp t="s">
        <v>4/30/1996</v>
        <stp/>
        <stp>##V3_BDPV12</stp>
        <stp>912827X6 Govt</stp>
        <stp>ISSUE_DT</stp>
        <stp>[TREASURY.xlsx]Sheet1!R1212C15</stp>
        <tr r="O1212" s="1"/>
      </tp>
      <tp t="s">
        <v>4/10/1996</v>
        <stp/>
        <stp>##V3_BDPV12</stp>
        <stp>912827X3 Govt</stp>
        <stp>ISSUE_DT</stp>
        <stp>[TREASURY.xlsx]Sheet1!R1094C15</stp>
        <tr r="O1094" s="1"/>
      </tp>
      <tp t="s">
        <v>UNITED STATES</v>
        <stp/>
        <stp>##V3_BDPV12</stp>
        <stp>912827D6 Govt</stp>
        <stp>COUNTRY_FULL_NAME</stp>
        <stp>[TREASURY.xlsx]Sheet1!R700C8</stp>
        <tr r="H700" s="1"/>
      </tp>
      <tp t="s">
        <v>UNITED STATES</v>
        <stp/>
        <stp>##V3_BDPV12</stp>
        <stp>912810DV Govt</stp>
        <stp>COUNTRY_FULL_NAME</stp>
        <stp>[TREASURY.xlsx]Sheet1!R527C8</stp>
        <tr r="H527" s="1"/>
      </tp>
      <tp t="s">
        <v>UNITED STATES</v>
        <stp/>
        <stp>##V3_BDPV12</stp>
        <stp>912810DM Govt</stp>
        <stp>COUNTRY_FULL_NAME</stp>
        <stp>[TREASURY.xlsx]Sheet1!R697C8</stp>
        <tr r="H697" s="1"/>
      </tp>
      <tp t="s">
        <v>UNITED STATES</v>
        <stp/>
        <stp>##V3_BDPV12</stp>
        <stp>912827E7 Govt</stp>
        <stp>COUNTRY_FULL_NAME</stp>
        <stp>[TREASURY.xlsx]Sheet1!R590C8</stp>
        <tr r="H590" s="1"/>
      </tp>
      <tp t="s">
        <v>UNITED STATES</v>
        <stp/>
        <stp>##V3_BDPV12</stp>
        <stp>912810EW Govt</stp>
        <stp>COUNTRY_FULL_NAME</stp>
        <stp>[TREASURY.xlsx]Sheet1!R277C8</stp>
        <tr r="H277" s="1"/>
      </tp>
      <tp t="s">
        <v>UNITED STATES</v>
        <stp/>
        <stp>##V3_BDPV12</stp>
        <stp>912810EP Govt</stp>
        <stp>COUNTRY_FULL_NAME</stp>
        <stp>[TREASURY.xlsx]Sheet1!R317C8</stp>
        <tr r="H317" s="1"/>
      </tp>
      <tp t="s">
        <v>UNITED STATES</v>
        <stp/>
        <stp>##V3_BDPV12</stp>
        <stp>912810EK Govt</stp>
        <stp>COUNTRY_FULL_NAME</stp>
        <stp>[TREASURY.xlsx]Sheet1!R357C8</stp>
        <tr r="H357" s="1"/>
      </tp>
      <tp t="s">
        <v>USD</v>
        <stp/>
        <stp>##V3_BDPV12</stp>
        <stp>912827R4 Govt</stp>
        <stp>CRNCY</stp>
        <stp>[TREASURY.xlsx]Sheet1!R1499C7</stp>
        <tr r="G1499" s="1"/>
      </tp>
      <tp t="s">
        <v>USD</v>
        <stp/>
        <stp>##V3_BDPV12</stp>
        <stp>912827Y4 Govt</stp>
        <stp>CRNCY</stp>
        <stp>[TREASURY.xlsx]Sheet1!R1602C7</stp>
        <tr r="G1602" s="1"/>
      </tp>
      <tp t="s">
        <v>UNITED STATES</v>
        <stp/>
        <stp>##V3_BDPV12</stp>
        <stp>912810FJ Govt</stp>
        <stp>COUNTRY_FULL_NAME</stp>
        <stp>[TREASURY.xlsx]Sheet1!R267C8</stp>
        <tr r="H267" s="1"/>
      </tp>
      <tp t="s">
        <v>2/29/1996</v>
        <stp/>
        <stp>##V3_BDPV12</stp>
        <stp>912827X2 Govt</stp>
        <stp>ISSUE_DT</stp>
        <stp>[TREASURY.xlsx]Sheet1!R1211C15</stp>
        <tr r="O1211" s="1"/>
      </tp>
      <tp t="s">
        <v>USD</v>
        <stp/>
        <stp>##V3_BDPV12</stp>
        <stp>912827X8 Govt</stp>
        <stp>CRNCY</stp>
        <stp>[TREASURY.xlsx]Sheet1!R1213C7</stp>
        <tr r="G1213" s="1"/>
      </tp>
      <tp t="s">
        <v>UNITED STATES</v>
        <stp/>
        <stp>##V3_BDPV12</stp>
        <stp>912827KQ Govt</stp>
        <stp>COUNTRY_FULL_NAME</stp>
        <stp>[TREASURY.xlsx]Sheet1!R710C8</stp>
        <tr r="H710" s="1"/>
      </tp>
      <tp t="s">
        <v>UNITED STATES</v>
        <stp/>
        <stp>##V3_BDPV12</stp>
        <stp>912827LJ Govt</stp>
        <stp>COUNTRY_FULL_NAME</stp>
        <stp>[TREASURY.xlsx]Sheet1!R890C8</stp>
        <tr r="H890" s="1"/>
      </tp>
      <tp t="s">
        <v>5/15/1996</v>
        <stp/>
        <stp>##V3_BDPV12</stp>
        <stp>912827X8 Govt</stp>
        <stp>ISSUE_DT</stp>
        <stp>[TREASURY.xlsx]Sheet1!R1213C15</stp>
        <tr r="O1213" s="1"/>
      </tp>
      <tp t="s">
        <v>UNITED STATES</v>
        <stp/>
        <stp>##V3_BDPV12</stp>
        <stp>912827MA Govt</stp>
        <stp>COUNTRY_FULL_NAME</stp>
        <stp>[TREASURY.xlsx]Sheet1!R720C8</stp>
        <tr r="H720" s="1"/>
      </tp>
      <tp t="s">
        <v>UNITED STATES</v>
        <stp/>
        <stp>##V3_BDPV12</stp>
        <stp>912827N7 Govt</stp>
        <stp>COUNTRY_FULL_NAME</stp>
        <stp>[TREASURY.xlsx]Sheet1!R900C8</stp>
        <tr r="H900" s="1"/>
      </tp>
      <tp t="s">
        <v>UNITED STATES</v>
        <stp/>
        <stp>##V3_BDPV12</stp>
        <stp>912827NC Govt</stp>
        <stp>COUNTRY_FULL_NAME</stp>
        <stp>[TREASURY.xlsx]Sheet1!R730C8</stp>
        <tr r="H730" s="1"/>
      </tp>
      <tp t="s">
        <v>912827H88</v>
        <stp/>
        <stp>##V3_BDPV12</stp>
        <stp>912827H8 Govt</stp>
        <stp>ID_CUSIP</stp>
        <stp>[TREASURY.xlsx]Sheet1!R1487C19</stp>
        <tr r="S1487" s="1"/>
      </tp>
      <tp t="s">
        <v>UNITED STATES</v>
        <stp/>
        <stp>##V3_BDPV12</stp>
        <stp>912810QU Govt</stp>
        <stp>COUNTRY_FULL_NAME</stp>
        <stp>[TREASURY.xlsx]Sheet1!R287C8</stp>
        <tr r="H287" s="1"/>
      </tp>
      <tp t="s">
        <v>UNITED STATES</v>
        <stp/>
        <stp>##V3_BDPV12</stp>
        <stp>912810QT Govt</stp>
        <stp>COUNTRY_FULL_NAME</stp>
        <stp>[TREASURY.xlsx]Sheet1!R237C8</stp>
        <tr r="H237" s="1"/>
      </tp>
      <tp t="s">
        <v>UNITED STATES</v>
        <stp/>
        <stp>##V3_BDPV12</stp>
        <stp>912827QE Govt</stp>
        <stp>COUNTRY_FULL_NAME</stp>
        <stp>[TREASURY.xlsx]Sheet1!R740C8</stp>
        <tr r="H740" s="1"/>
      </tp>
      <tp t="s">
        <v>UNITED STATES</v>
        <stp/>
        <stp>##V3_BDPV12</stp>
        <stp>912827RW Govt</stp>
        <stp>COUNTRY_FULL_NAME</stp>
        <stp>[TREASURY.xlsx]Sheet1!R830C8</stp>
        <tr r="H830" s="1"/>
      </tp>
      <tp t="s">
        <v>UNITED STATES</v>
        <stp/>
        <stp>##V3_BDPV12</stp>
        <stp>912810RX Govt</stp>
        <stp>COUNTRY_FULL_NAME</stp>
        <stp>[TREASURY.xlsx]Sheet1!R197C8</stp>
        <tr r="H197" s="1"/>
      </tp>
      <tp t="s">
        <v>UNITED STATES</v>
        <stp/>
        <stp>##V3_BDPV12</stp>
        <stp>912827RD Govt</stp>
        <stp>COUNTRY_FULL_NAME</stp>
        <stp>[TREASURY.xlsx]Sheet1!R910C8</stp>
        <tr r="H910" s="1"/>
      </tp>
      <tp t="s">
        <v>UNITED STATES</v>
        <stp/>
        <stp>##V3_BDPV12</stp>
        <stp>912810SF Govt</stp>
        <stp>COUNTRY_FULL_NAME</stp>
        <stp>[TREASURY.xlsx]Sheet1!R177C8</stp>
        <tr r="H177" s="1"/>
      </tp>
      <tp t="s">
        <v>UNITED STATES</v>
        <stp/>
        <stp>##V3_BDPV12</stp>
        <stp>912827TS Govt</stp>
        <stp>COUNTRY_FULL_NAME</stp>
        <stp>[TREASURY.xlsx]Sheet1!R750C8</stp>
        <tr r="H750" s="1"/>
      </tp>
      <tp t="s">
        <v>UNITED STATES</v>
        <stp/>
        <stp>##V3_BDPV12</stp>
        <stp>912827TZ Govt</stp>
        <stp>COUNTRY_FULL_NAME</stp>
        <stp>[TREASURY.xlsx]Sheet1!R920C8</stp>
        <tr r="H920" s="1"/>
      </tp>
      <tp t="s">
        <v>UNITED STATES</v>
        <stp/>
        <stp>##V3_BDPV12</stp>
        <stp>912827UW Govt</stp>
        <stp>COUNTRY_FULL_NAME</stp>
        <stp>[TREASURY.xlsx]Sheet1!R460C8</stp>
        <tr r="H460" s="1"/>
      </tp>
      <tp t="s">
        <v>912827H96</v>
        <stp/>
        <stp>##V3_BDPV12</stp>
        <stp>912827H9 Govt</stp>
        <stp>ID_CUSIP</stp>
        <stp>[TREASURY.xlsx]Sheet1!R1375C19</stp>
        <tr r="S1375" s="1"/>
      </tp>
      <tp t="s">
        <v>UNITED STATES</v>
        <stp/>
        <stp>##V3_BDPV12</stp>
        <stp>912827VC Govt</stp>
        <stp>COUNTRY_FULL_NAME</stp>
        <stp>[TREASURY.xlsx]Sheet1!R760C8</stp>
        <tr r="H760" s="1"/>
      </tp>
      <tp t="s">
        <v>912828H94</v>
        <stp/>
        <stp>##V3_BDPV12</stp>
        <stp>912828H9 Govt</stp>
        <stp>ID_CUSIP</stp>
        <stp>[TREASURY.xlsx]Sheet1!R1243C19</stp>
        <tr r="S1243" s="1"/>
      </tp>
      <tp t="s">
        <v>UNITED STATES</v>
        <stp/>
        <stp>##V3_BDPV12</stp>
        <stp>912827W8 Govt</stp>
        <stp>COUNTRY_FULL_NAME</stp>
        <stp>[TREASURY.xlsx]Sheet1!R930C8</stp>
        <tr r="H930" s="1"/>
      </tp>
      <tp t="s">
        <v>UNITED STATES</v>
        <stp/>
        <stp>##V3_BDPV12</stp>
        <stp>912827X9 Govt</stp>
        <stp>COUNTRY_FULL_NAME</stp>
        <stp>[TREASURY.xlsx]Sheet1!R770C8</stp>
        <tr r="H770" s="1"/>
      </tp>
      <tp t="s">
        <v>UNITED STATES</v>
        <stp/>
        <stp>##V3_BDPV12</stp>
        <stp>912827XE Govt</stp>
        <stp>COUNTRY_FULL_NAME</stp>
        <stp>[TREASURY.xlsx]Sheet1!R570C8</stp>
        <tr r="H570" s="1"/>
      </tp>
      <tp t="s">
        <v>912827H47</v>
        <stp/>
        <stp>##V3_BDPV12</stp>
        <stp>912827H4 Govt</stp>
        <stp>ID_CUSIP</stp>
        <stp>[TREASURY.xlsx]Sheet1!R1157C19</stp>
        <tr r="S1157" s="1"/>
      </tp>
      <tp t="s">
        <v>UNITED STATES</v>
        <stp/>
        <stp>##V3_BDPV12</stp>
        <stp>912827Y5 Govt</stp>
        <stp>COUNTRY_FULL_NAME</stp>
        <stp>[TREASURY.xlsx]Sheet1!R940C8</stp>
        <tr r="H940" s="1"/>
      </tp>
      <tp t="s">
        <v>UNITED STATES</v>
        <stp/>
        <stp>##V3_BDPV12</stp>
        <stp>912827YZ Govt</stp>
        <stp>COUNTRY_FULL_NAME</stp>
        <stp>[TREASURY.xlsx]Sheet1!R950C8</stp>
        <tr r="H950" s="1"/>
      </tp>
      <tp t="s">
        <v>912827H70</v>
        <stp/>
        <stp>##V3_BDPV12</stp>
        <stp>912827H7 Govt</stp>
        <stp>ID_CUSIP</stp>
        <stp>[TREASURY.xlsx]Sheet1!R1158C19</stp>
        <tr r="S1158" s="1"/>
      </tp>
      <tp t="s">
        <v>UNITED STATES</v>
        <stp/>
        <stp>##V3_BDPV12</stp>
        <stp>912827ZE Govt</stp>
        <stp>COUNTRY_FULL_NAME</stp>
        <stp>[TREASURY.xlsx]Sheet1!R780C8</stp>
        <tr r="H780" s="1"/>
      </tp>
      <tp t="s">
        <v>912827H39</v>
        <stp/>
        <stp>##V3_BDPV12</stp>
        <stp>912827H3 Govt</stp>
        <stp>ID_CUSIP</stp>
        <stp>[TREASURY.xlsx]Sheet1!R1316C19</stp>
        <tr r="S1316" s="1"/>
      </tp>
      <tp t="s">
        <v>6/30/1986</v>
        <stp/>
        <stp>##V3_BDPV12</stp>
        <stp>912827QX Govt</stp>
        <stp>MATURITY</stp>
        <stp>[TREASURY.xlsx]Sheet1!R1575C5</stp>
        <tr r="E1575" s="1"/>
      </tp>
      <tp t="s">
        <v>6/30/1988</v>
        <stp/>
        <stp>##V3_BDPV12</stp>
        <stp>912827QY Govt</stp>
        <stp>MATURITY</stp>
        <stp>[TREASURY.xlsx]Sheet1!R1395C5</stp>
        <tr r="E1395" s="1"/>
      </tp>
      <tp t="s">
        <v>11/15/1986</v>
        <stp/>
        <stp>##V3_BDPV12</stp>
        <stp>912827QC Govt</stp>
        <stp>MATURITY</stp>
        <stp>[TREASURY.xlsx]Sheet1!R1055C5</stp>
        <tr r="E1055" s="1"/>
      </tp>
      <tp t="s">
        <v>2/15/1989</v>
        <stp/>
        <stp>##V3_BDPV12</stp>
        <stp>912827QF Govt</stp>
        <stp>MATURITY</stp>
        <stp>[TREASURY.xlsx]Sheet1!R1495C5</stp>
        <tr r="E1495" s="1"/>
      </tp>
      <tp t="s">
        <v>8/15/1986</v>
        <stp/>
        <stp>##V3_BDPV12</stp>
        <stp>912827PU Govt</stp>
        <stp>MATURITY</stp>
        <stp>[TREASURY.xlsx]Sheet1!R1175C5</stp>
        <tr r="E1175" s="1"/>
      </tp>
      <tp t="s">
        <v>12/31/1996</v>
        <stp/>
        <stp>##V3_BDPV12</stp>
        <stp>912827S3 Govt</stp>
        <stp>MATURITY</stp>
        <stp>[TREASURY.xlsx]Sheet1!R1585C5</stp>
        <tr r="E1585" s="1"/>
      </tp>
      <tp t="s">
        <v>5/31/1987</v>
        <stp/>
        <stp>##V3_BDPV12</stp>
        <stp>912827SF Govt</stp>
        <stp>MATURITY</stp>
        <stp>[TREASURY.xlsx]Sheet1!R1065C5</stp>
        <tr r="E1065" s="1"/>
      </tp>
      <tp t="s">
        <v>6/30/1987</v>
        <stp/>
        <stp>##V3_BDPV12</stp>
        <stp>912827SJ Govt</stp>
        <stp>MATURITY</stp>
        <stp>[TREASURY.xlsx]Sheet1!R1185C5</stp>
        <tr r="E1185" s="1"/>
      </tp>
      <tp t="s">
        <v>91282CCW9</v>
        <stp/>
        <stp>##V3_BDPV12</stp>
        <stp>91282CCW Govt</stp>
        <stp>ID_CUSIP</stp>
        <stp>[TREASURY.xlsx]Sheet1!R4C19</stp>
        <tr r="S4" s="1"/>
      </tp>
      <tp t="s">
        <v>1/31/1989</v>
        <stp/>
        <stp>##V3_BDPV12</stp>
        <stp>912827UM Govt</stp>
        <stp>MATURITY</stp>
        <stp>[TREASURY.xlsx]Sheet1!R1405C5</stp>
        <tr r="E1405" s="1"/>
      </tp>
      <tp t="s">
        <v>5/31/1997</v>
        <stp/>
        <stp>##V3_BDPV12</stp>
        <stp>912827T9 Govt</stp>
        <stp>MATURITY</stp>
        <stp>[TREASURY.xlsx]Sheet1!R1505C5</stp>
        <tr r="E1505" s="1"/>
      </tp>
      <tp t="s">
        <v>6/30/1988</v>
        <stp/>
        <stp>##V3_BDPV12</stp>
        <stp>912827TT Govt</stp>
        <stp>MATURITY</stp>
        <stp>[TREASURY.xlsx]Sheet1!R1195C5</stp>
        <tr r="E1195" s="1"/>
      </tp>
      <tp t="s">
        <v>5/15/1996</v>
        <stp/>
        <stp>##V3_BDPV12</stp>
        <stp>912827TQ Govt</stp>
        <stp>MATURITY</stp>
        <stp>[TREASURY.xlsx]Sheet1!R1075C5</stp>
        <tr r="E1075" s="1"/>
      </tp>
      <tp t="s">
        <v>1/31/2001</v>
        <stp/>
        <stp>##V3_BDPV12</stp>
        <stp>912827W6 Govt</stp>
        <stp>MATURITY</stp>
        <stp>[TREASURY.xlsx]Sheet1!R1415C5</stp>
        <tr r="E1415" s="1"/>
      </tp>
      <tp t="s">
        <v>12/31/1991</v>
        <stp/>
        <stp>##V3_BDPV12</stp>
        <stp>912827VS Govt</stp>
        <stp>MATURITY</stp>
        <stp>[TREASURY.xlsx]Sheet1!R1205C5</stp>
        <tr r="E1205" s="1"/>
      </tp>
      <tp t="s">
        <v>8/15/1990</v>
        <stp/>
        <stp>##V3_BDPV12</stp>
        <stp>912827VD Govt</stp>
        <stp>MATURITY</stp>
        <stp>[TREASURY.xlsx]Sheet1!R1085C5</stp>
        <tr r="E1085" s="1"/>
      </tp>
      <tp t="s">
        <v>1/31/1992</v>
        <stp/>
        <stp>##V3_BDPV12</stp>
        <stp>912827YL Govt</stp>
        <stp>MATURITY</stp>
        <stp>[TREASURY.xlsx]Sheet1!R1605C5</stp>
        <tr r="E1605" s="1"/>
      </tp>
      <tp t="s">
        <v>5/15/1999</v>
        <stp/>
        <stp>##V3_BDPV12</stp>
        <stp>912827X7 Govt</stp>
        <stp>MATURITY</stp>
        <stp>[TREASURY.xlsx]Sheet1!R1095C5</stp>
        <tr r="E1095" s="1"/>
      </tp>
      <tp t="s">
        <v>1/15/1996</v>
        <stp/>
        <stp>##V3_BDPV12</stp>
        <stp>912827XB Govt</stp>
        <stp>MATURITY</stp>
        <stp>[TREASURY.xlsx]Sheet1!R1595C5</stp>
        <tr r="E1595" s="1"/>
      </tp>
      <tp t="s">
        <v>5/15/1992</v>
        <stp/>
        <stp>##V3_BDPV12</stp>
        <stp>912827XM Govt</stp>
        <stp>MATURITY</stp>
        <stp>[TREASURY.xlsx]Sheet1!R1215C5</stp>
        <tr r="E1215" s="1"/>
      </tp>
      <tp t="s">
        <v>T</v>
        <stp/>
        <stp>##V3_BDPV12</stp>
        <stp>912828Y4 Govt</stp>
        <stp>TICKER</stp>
        <stp>[TREASURY.xlsx]Sheet1!R589C2</stp>
        <tr r="B589" s="1"/>
      </tp>
      <tp t="s">
        <v>9/30/1998</v>
        <stp/>
        <stp>##V3_BDPV12</stp>
        <stp>912827Z4 Govt</stp>
        <stp>MATURITY</stp>
        <stp>[TREASURY.xlsx]Sheet1!R1225C5</stp>
        <tr r="E1225" s="1"/>
      </tp>
      <tp t="s">
        <v>FIXED</v>
        <stp/>
        <stp>##V3_BDPV12</stp>
        <stp>912828Z5 Govt</stp>
        <stp>CPN_TYP</stp>
        <stp>[TREASURY.xlsx]Sheet1!R83C11</stp>
        <tr r="K83" s="1"/>
      </tp>
      <tp t="s">
        <v>FIXED</v>
        <stp/>
        <stp>##V3_BDPV12</stp>
        <stp>912828D5 Govt</stp>
        <stp>CPN_TYP</stp>
        <stp>[TREASURY.xlsx]Sheet1!R70C11</stp>
        <tr r="K70" s="1"/>
      </tp>
      <tp t="s">
        <v>T</v>
        <stp/>
        <stp>##V3_BDPV12</stp>
        <stp>912827W2 Govt</stp>
        <stp>TICKER</stp>
        <stp>[TREASURY.xlsx]Sheet1!R767C2</stp>
        <tr r="B767" s="1"/>
      </tp>
      <tp t="s">
        <v>T</v>
        <stp/>
        <stp>##V3_BDPV12</stp>
        <stp>912827U2 Govt</stp>
        <stp>TICKER</stp>
        <stp>[TREASURY.xlsx]Sheet1!R835C2</stp>
        <tr r="B835" s="1"/>
      </tp>
      <tp t="s">
        <v>T</v>
        <stp/>
        <stp>##V3_BDPV12</stp>
        <stp>912828T3 Govt</stp>
        <stp>TICKER</stp>
        <stp>[TREASURY.xlsx]Sheet1!R124C2</stp>
        <tr r="B124" s="1"/>
      </tp>
      <tp t="s">
        <v>10/31/1993</v>
        <stp/>
        <stp>##V3_BDPV12</stp>
        <stp>912827C7 Govt</stp>
        <stp>MATURITY</stp>
        <stp>[TREASURY.xlsx]Sheet1!R1555C5</stp>
        <tr r="E1555" s="1"/>
      </tp>
      <tp t="s">
        <v>5/15/1995</v>
        <stp/>
        <stp>##V3_BDPV12</stp>
        <stp>912810CN Govt</stp>
        <stp>MATURITY</stp>
        <stp>[TREASURY.xlsx]Sheet1!R1442C5</stp>
        <tr r="E1442" s="1"/>
      </tp>
      <tp t="s">
        <v>5/31/1996</v>
        <stp/>
        <stp>##V3_BDPV12</stp>
        <stp>912827B2 Govt</stp>
        <stp>MATURITY</stp>
        <stp>[TREASURY.xlsx]Sheet1!R1475C5</stp>
        <tr r="E1475" s="1"/>
      </tp>
      <tp t="s">
        <v>1/31/1994</v>
        <stp/>
        <stp>##V3_BDPV12</stp>
        <stp>912827D8 Govt</stp>
        <stp>MATURITY</stp>
        <stp>[TREASURY.xlsx]Sheet1!R1485C5</stp>
        <tr r="E1485" s="1"/>
      </tp>
      <tp t="s">
        <v>11/15/2015</v>
        <stp/>
        <stp>##V3_BDPV12</stp>
        <stp>912810DT Govt</stp>
        <stp>MATURITY</stp>
        <stp>[TREASURY.xlsx]Sheet1!R1622C5</stp>
        <tr r="E1622" s="1"/>
      </tp>
      <tp t="s">
        <v>8/15/2013</v>
        <stp/>
        <stp>##V3_BDPV12</stp>
        <stp>912810DF Govt</stp>
        <stp>MATURITY</stp>
        <stp>[TREASURY.xlsx]Sheet1!R1312C5</stp>
        <tr r="E1312" s="1"/>
      </tp>
      <tp t="s">
        <v>8/15/1995</v>
        <stp/>
        <stp>##V3_BDPV12</stp>
        <stp>912827G4 Govt</stp>
        <stp>MATURITY</stp>
        <stp>[TREASURY.xlsx]Sheet1!R1035C5</stp>
        <tr r="E1035" s="1"/>
      </tp>
      <tp t="s">
        <v>6/30/1994</v>
        <stp/>
        <stp>##V3_BDPV12</stp>
        <stp>912827F7 Govt</stp>
        <stp>MATURITY</stp>
        <stp>[TREASURY.xlsx]Sheet1!R1315C5</stp>
        <tr r="E1315" s="1"/>
      </tp>
      <tp t="s">
        <v>7/15/1999</v>
        <stp/>
        <stp>##V3_BDPV12</stp>
        <stp>912827F9 Govt</stp>
        <stp>MATURITY</stp>
        <stp>[TREASURY.xlsx]Sheet1!R1155C5</stp>
        <tr r="E1155" s="1"/>
      </tp>
      <tp t="s">
        <v>12/31/1994</v>
        <stp/>
        <stp>##V3_BDPV12</stp>
        <stp>912827H9 Govt</stp>
        <stp>MATURITY</stp>
        <stp>[TREASURY.xlsx]Sheet1!R1375C5</stp>
        <tr r="E1375" s="1"/>
      </tp>
      <tp t="s">
        <v>9/30/1998</v>
        <stp/>
        <stp>##V3_BDPV12</stp>
        <stp>912827M4 Govt</stp>
        <stp>MATURITY</stp>
        <stp>[TREASURY.xlsx]Sheet1!R1165C5</stp>
        <tr r="E1165" s="1"/>
      </tp>
      <tp t="s">
        <v>10/31/1983</v>
        <stp/>
        <stp>##V3_BDPV12</stp>
        <stp>912827ML Govt</stp>
        <stp>MATURITY</stp>
        <stp>[TREASURY.xlsx]Sheet1!R1325C5</stp>
        <tr r="E1325" s="1"/>
      </tp>
      <tp t="s">
        <v>11/15/1984</v>
        <stp/>
        <stp>##V3_BDPV12</stp>
        <stp>912827MM Govt</stp>
        <stp>MATURITY</stp>
        <stp>[TREASURY.xlsx]Sheet1!R1045C5</stp>
        <tr r="E1045" s="1"/>
      </tp>
      <tp t="s">
        <v>8/15/1996</v>
        <stp/>
        <stp>##V3_BDPV12</stp>
        <stp>912827L7 Govt</stp>
        <stp>MATURITY</stp>
        <stp>[TREASURY.xlsx]Sheet1!R1565C5</stp>
        <tr r="E1565" s="1"/>
      </tp>
      <tp t="s">
        <v>11/15/1985</v>
        <stp/>
        <stp>##V3_BDPV12</stp>
        <stp>912827NU Govt</stp>
        <stp>MATURITY</stp>
        <stp>[TREASURY.xlsx]Sheet1!R1335C5</stp>
        <tr r="E1335" s="1"/>
      </tp>
      <tp t="s">
        <v>2/15/1988</v>
        <stp/>
        <stp>##V3_BDPV12</stp>
        <stp>912827NX Govt</stp>
        <stp>MATURITY</stp>
        <stp>[TREASURY.xlsx]Sheet1!R1385C5</stp>
        <tr r="E1385" s="1"/>
      </tp>
      <tp t="s">
        <v>1/31/2000</v>
        <stp/>
        <stp>##V3_BDPV12</stp>
        <stp>9128273U Govt</stp>
        <stp>MATURITY</stp>
        <stp>[TREASURY.xlsx]Sheet1!R1455C5</stp>
        <tr r="E1455" s="1"/>
      </tp>
      <tp t="s">
        <v>8/31/1999</v>
        <stp/>
        <stp>##V3_BDPV12</stp>
        <stp>9128273F Govt</stp>
        <stp>MATURITY</stp>
        <stp>[TREASURY.xlsx]Sheet1!R1355C5</stp>
        <tr r="E1355" s="1"/>
      </tp>
      <tp t="s">
        <v>6/30/2002</v>
        <stp/>
        <stp>##V3_BDPV12</stp>
        <stp>9128272Y Govt</stp>
        <stp>MATURITY</stp>
        <stp>[TREASURY.xlsx]Sheet1!R1525C5</stp>
        <tr r="E1525" s="1"/>
      </tp>
      <tp t="s">
        <v>T</v>
        <stp/>
        <stp>##V3_BDPV12</stp>
        <stp>912828UZ Govt</stp>
        <stp>TICKER</stp>
        <stp>[TREASURY.xlsx]Sheet1!R445C2</stp>
        <tr r="B445" s="1"/>
      </tp>
      <tp t="s">
        <v>2/28/2001</v>
        <stp/>
        <stp>##V3_BDPV12</stp>
        <stp>9128275C Govt</stp>
        <stp>MATURITY</stp>
        <stp>[TREASURY.xlsx]Sheet1!R1535C5</stp>
        <tr r="E1535" s="1"/>
      </tp>
      <tp t="s">
        <v>8/15/2004</v>
        <stp/>
        <stp>##V3_BDPV12</stp>
        <stp>9128275M Govt</stp>
        <stp>MATURITY</stp>
        <stp>[TREASURY.xlsx]Sheet1!R1015C5</stp>
        <tr r="E1015" s="1"/>
      </tp>
      <tp t="s">
        <v>6/30/2000</v>
        <stp/>
        <stp>##V3_BDPV12</stp>
        <stp>9128274J Govt</stp>
        <stp>MATURITY</stp>
        <stp>[TREASURY.xlsx]Sheet1!R1365C5</stp>
        <tr r="E1365" s="1"/>
      </tp>
      <tp t="s">
        <v>10/31/2003</v>
        <stp/>
        <stp>##V3_BDPV12</stp>
        <stp>9128277E Govt</stp>
        <stp>MATURITY</stp>
        <stp>[TREASURY.xlsx]Sheet1!R1545C5</stp>
        <tr r="E1545" s="1"/>
      </tp>
      <tp t="s">
        <v>T</v>
        <stp/>
        <stp>##V3_BDPV12</stp>
        <stp>912827VY Govt</stp>
        <stp>TICKER</stp>
        <stp>[TREASURY.xlsx]Sheet1!R766C2</stp>
        <tr r="B766" s="1"/>
      </tp>
      <tp t="s">
        <v>T</v>
        <stp/>
        <stp>##V3_BDPV12</stp>
        <stp>912827YY Govt</stp>
        <stp>TICKER</stp>
        <stp>[TREASURY.xlsx]Sheet1!R949C2</stp>
        <tr r="B949" s="1"/>
      </tp>
      <tp t="s">
        <v>2/15/2011</v>
        <stp/>
        <stp>##V3_BDPV12</stp>
        <stp>9128276T Govt</stp>
        <stp>MATURITY</stp>
        <stp>[TREASURY.xlsx]Sheet1!R1025C5</stp>
        <tr r="E1025" s="1"/>
      </tp>
      <tp t="s">
        <v>5/15/2005</v>
        <stp/>
        <stp>##V3_BDPV12</stp>
        <stp>9128276D Govt</stp>
        <stp>MATURITY</stp>
        <stp>[TREASURY.xlsx]Sheet1!R1465C5</stp>
        <tr r="E1465" s="1"/>
      </tp>
      <tp t="s">
        <v>T</v>
        <stp/>
        <stp>##V3_BDPV12</stp>
        <stp>912828YV Govt</stp>
        <stp>TICKER</stp>
        <stp>[TREASURY.xlsx]Sheet1!R139C2</stp>
        <tr r="B139" s="1"/>
      </tp>
      <tp t="s">
        <v>T</v>
        <stp/>
        <stp>##V3_BDPV12</stp>
        <stp>912827VV Govt</stp>
        <stp>TICKER</stp>
        <stp>[TREASURY.xlsx]Sheet1!R926C2</stp>
        <tr r="B926" s="1"/>
      </tp>
      <tp t="s">
        <v>T</v>
        <stp/>
        <stp>##V3_BDPV12</stp>
        <stp>912828SW Govt</stp>
        <stp>TICKER</stp>
        <stp>[TREASURY.xlsx]Sheet1!R653C2</stp>
        <tr r="B653" s="1"/>
      </tp>
      <tp t="s">
        <v>T</v>
        <stp/>
        <stp>##V3_BDPV12</stp>
        <stp>912828VR Govt</stp>
        <stp>TICKER</stp>
        <stp>[TREASURY.xlsx]Sheet1!R566C2</stp>
        <tr r="B566" s="1"/>
      </tp>
      <tp t="s">
        <v>NORMAL</v>
        <stp/>
        <stp>##V3_BDPV12</stp>
        <stp>912810FB Govt</stp>
        <stp>MTY_TYP</stp>
        <stp>[TREASURY.xlsx]Sheet1!R320C6</stp>
        <tr r="F320" s="1"/>
      </tp>
      <tp t="s">
        <v>T</v>
        <stp/>
        <stp>##V3_BDPV12</stp>
        <stp>912827XS Govt</stp>
        <stp>TICKER</stp>
        <stp>[TREASURY.xlsx]Sheet1!R938C2</stp>
        <tr r="B938" s="1"/>
      </tp>
      <tp t="s">
        <v>NORMAL</v>
        <stp/>
        <stp>##V3_BDPV12</stp>
        <stp>912827XC Govt</stp>
        <stp>MTY_TYP</stp>
        <stp>[TREASURY.xlsx]Sheet1!R771C6</stp>
        <tr r="F771" s="1"/>
      </tp>
      <tp t="s">
        <v>NORMAL</v>
        <stp/>
        <stp>##V3_BDPV12</stp>
        <stp>912828LG Govt</stp>
        <stp>MTY_TYP</stp>
        <stp>[TREASURY.xlsx]Sheet1!R815C6</stp>
        <tr r="F815" s="1"/>
      </tp>
      <tp t="s">
        <v>NORMAL</v>
        <stp/>
        <stp>##V3_BDPV12</stp>
        <stp>912828NE Govt</stp>
        <stp>MTY_TYP</stp>
        <stp>[TREASURY.xlsx]Sheet1!R977C6</stp>
        <tr r="F977" s="1"/>
      </tp>
      <tp t="s">
        <v>NORMAL</v>
        <stp/>
        <stp>##V3_BDPV12</stp>
        <stp>912828AK Govt</stp>
        <stp>MTY_TYP</stp>
        <stp>[TREASURY.xlsx]Sheet1!R959C6</stp>
        <tr r="F959" s="1"/>
      </tp>
      <tp t="s">
        <v>NORMAL</v>
        <stp/>
        <stp>##V3_BDPV12</stp>
        <stp>9128276J Govt</stp>
        <stp>MTY_TYP</stp>
        <stp>[TREASURY.xlsx]Sheet1!R438C6</stp>
        <tr r="F438" s="1"/>
      </tp>
      <tp t="s">
        <v>NORMAL</v>
        <stp/>
        <stp>##V3_BDPV12</stp>
        <stp>912828UD Govt</stp>
        <stp>MTY_TYP</stp>
        <stp>[TREASURY.xlsx]Sheet1!R586C6</stp>
        <tr r="F586" s="1"/>
      </tp>
      <tp t="s">
        <v>NORMAL</v>
        <stp/>
        <stp>##V3_BDPV12</stp>
        <stp>912828UB Govt</stp>
        <stp>MTY_TYP</stp>
        <stp>[TREASURY.xlsx]Sheet1!R540C6</stp>
        <tr r="F540" s="1"/>
      </tp>
      <tp t="s">
        <v>NORMAL</v>
        <stp/>
        <stp>##V3_BDPV12</stp>
        <stp>912828LF Govt</stp>
        <stp>MTY_TYP</stp>
        <stp>[TREASURY.xlsx]Sheet1!R584C6</stp>
        <tr r="F584" s="1"/>
      </tp>
      <tp t="s">
        <v>NORMAL</v>
        <stp/>
        <stp>##V3_BDPV12</stp>
        <stp>912828VF Govt</stp>
        <stp>MTY_TYP</stp>
        <stp>[TREASURY.xlsx]Sheet1!R694C6</stp>
        <tr r="F694" s="1"/>
      </tp>
      <tp t="s">
        <v>NORMAL</v>
        <stp/>
        <stp>##V3_BDPV12</stp>
        <stp>912827SD Govt</stp>
        <stp>MTY_TYP</stp>
        <stp>[TREASURY.xlsx]Sheet1!R916C6</stp>
        <tr r="F916" s="1"/>
      </tp>
      <tp t="s">
        <v>NORMAL</v>
        <stp/>
        <stp>##V3_BDPV12</stp>
        <stp>912828BC Govt</stp>
        <stp>MTY_TYP</stp>
        <stp>[TREASURY.xlsx]Sheet1!R641C6</stp>
        <tr r="F641" s="1"/>
      </tp>
      <tp t="s">
        <v>NORMAL</v>
        <stp/>
        <stp>##V3_BDPV12</stp>
        <stp>912828YA Govt</stp>
        <stp>MTY_TYP</stp>
        <stp>[TREASURY.xlsx]Sheet1!R183C6</stp>
        <tr r="F183" s="1"/>
      </tp>
      <tp t="s">
        <v>NORMAL</v>
        <stp/>
        <stp>##V3_BDPV12</stp>
        <stp>9128285A Govt</stp>
        <stp>MTY_TYP</stp>
        <stp>[TREASURY.xlsx]Sheet1!R283C6</stp>
        <tr r="F283" s="1"/>
      </tp>
      <tp t="s">
        <v>NORMAL</v>
        <stp/>
        <stp>##V3_BDPV12</stp>
        <stp>9128285K Govt</stp>
        <stp>MTY_TYP</stp>
        <stp>[TREASURY.xlsx]Sheet1!R229C6</stp>
        <tr r="F229" s="1"/>
      </tp>
      <tp t="s">
        <v>NORMAL</v>
        <stp/>
        <stp>##V3_BDPV12</stp>
        <stp>9128285J Govt</stp>
        <stp>MTY_TYP</stp>
        <stp>[TREASURY.xlsx]Sheet1!R248C6</stp>
        <tr r="F248" s="1"/>
      </tp>
      <tp t="s">
        <v>T</v>
        <stp/>
        <stp>##V3_BDPV12</stp>
        <stp>912828YP Govt</stp>
        <stp>TICKER</stp>
        <stp>[TREASURY.xlsx]Sheet1!R149C2</stp>
        <tr r="B149" s="1"/>
      </tp>
      <tp t="s">
        <v>T</v>
        <stp/>
        <stp>##V3_BDPV12</stp>
        <stp>912828XP Govt</stp>
        <stp>TICKER</stp>
        <stp>[TREASURY.xlsx]Sheet1!R588C2</stp>
        <tr r="B588" s="1"/>
      </tp>
      <tp t="s">
        <v>T</v>
        <stp/>
        <stp>##V3_BDPV12</stp>
        <stp>912827RP Govt</stp>
        <stp>TICKER</stp>
        <stp>[TREASURY.xlsx]Sheet1!R912C2</stp>
        <tr r="B912" s="1"/>
      </tp>
      <tp t="s">
        <v>T</v>
        <stp/>
        <stp>##V3_BDPV12</stp>
        <stp>912810RQ Govt</stp>
        <stp>TICKER</stp>
        <stp>[TREASURY.xlsx]Sheet1!R172C2</stp>
        <tr r="B172" s="1"/>
      </tp>
      <tp t="s">
        <v>T</v>
        <stp/>
        <stp>##V3_BDPV12</stp>
        <stp>912828TQ Govt</stp>
        <stp>TICKER</stp>
        <stp>[TREASURY.xlsx]Sheet1!R874C2</stp>
        <tr r="B874" s="1"/>
      </tp>
      <tp t="s">
        <v>T</v>
        <stp/>
        <stp>##V3_BDPV12</stp>
        <stp>912828QQ Govt</stp>
        <stp>TICKER</stp>
        <stp>[TREASURY.xlsx]Sheet1!R991C2</stp>
        <tr r="B991" s="1"/>
      </tp>
      <tp t="s">
        <v>T</v>
        <stp/>
        <stp>##V3_BDPV12</stp>
        <stp>912810QN Govt</stp>
        <stp>TICKER</stp>
        <stp>[TREASURY.xlsx]Sheet1!R291C2</stp>
        <tr r="B291" s="1"/>
      </tp>
      <tp t="s">
        <v>T</v>
        <stp/>
        <stp>##V3_BDPV12</stp>
        <stp>912810QL Govt</stp>
        <stp>TICKER</stp>
        <stp>[TREASURY.xlsx]Sheet1!R321C2</stp>
        <tr r="B321" s="1"/>
      </tp>
      <tp t="s">
        <v>T</v>
        <stp/>
        <stp>##V3_BDPV12</stp>
        <stp>912828QL Govt</stp>
        <stp>TICKER</stp>
        <stp>[TREASURY.xlsx]Sheet1!R401C2</stp>
        <tr r="B401" s="1"/>
      </tp>
      <tp t="s">
        <v>T</v>
        <stp/>
        <stp>##V3_BDPV12</stp>
        <stp>912827QL Govt</stp>
        <stp>TICKER</stp>
        <stp>[TREASURY.xlsx]Sheet1!R741C2</stp>
        <tr r="B741" s="1"/>
      </tp>
      <tp t="s">
        <v>T</v>
        <stp/>
        <stp>##V3_BDPV12</stp>
        <stp>912828WM Govt</stp>
        <stp>TICKER</stp>
        <stp>[TREASURY.xlsx]Sheet1!R567C2</stp>
        <tr r="B567" s="1"/>
      </tp>
      <tp t="s">
        <v>T</v>
        <stp/>
        <stp>##V3_BDPV12</stp>
        <stp>912828TJ Govt</stp>
        <stp>TICKER</stp>
        <stp>[TREASURY.xlsx]Sheet1!R194C2</stp>
        <tr r="B194" s="1"/>
      </tp>
      <tp t="s">
        <v>T</v>
        <stp/>
        <stp>##V3_BDPV12</stp>
        <stp>912828PJ Govt</stp>
        <stp>TICKER</stp>
        <stp>[TREASURY.xlsx]Sheet1!R630C2</stp>
        <tr r="B630" s="1"/>
      </tp>
      <tp t="s">
        <v>T</v>
        <stp/>
        <stp>##V3_BDPV12</stp>
        <stp>912827UJ Govt</stp>
        <stp>TICKER</stp>
        <stp>[TREASURY.xlsx]Sheet1!R755C2</stp>
        <tr r="B755" s="1"/>
      </tp>
      <tp t="s">
        <v>T</v>
        <stp/>
        <stp>##V3_BDPV12</stp>
        <stp>912828XH Govt</stp>
        <stp>TICKER</stp>
        <stp>[TREASURY.xlsx]Sheet1!R468C2</stp>
        <tr r="B468" s="1"/>
      </tp>
      <tp t="s">
        <v>T</v>
        <stp/>
        <stp>##V3_BDPV12</stp>
        <stp>912828TG Govt</stp>
        <stp>TICKER</stp>
        <stp>[TREASURY.xlsx]Sheet1!R654C2</stp>
        <tr r="B654" s="1"/>
      </tp>
      <tp t="s">
        <v>T</v>
        <stp/>
        <stp>##V3_BDPV12</stp>
        <stp>912810QD Govt</stp>
        <stp>TICKER</stp>
        <stp>[TREASURY.xlsx]Sheet1!R311C2</stp>
        <tr r="B311" s="1"/>
      </tp>
      <tp t="s">
        <v>T</v>
        <stp/>
        <stp>##V3_BDPV12</stp>
        <stp>912828SD Govt</stp>
        <stp>TICKER</stp>
        <stp>[TREASURY.xlsx]Sheet1!R623C2</stp>
        <tr r="B623" s="1"/>
      </tp>
      <tp t="s">
        <v>T</v>
        <stp/>
        <stp>##V3_BDPV12</stp>
        <stp>912828XE Govt</stp>
        <stp>TICKER</stp>
        <stp>[TREASURY.xlsx]Sheet1!R448C2</stp>
        <tr r="B448" s="1"/>
      </tp>
      <tp t="s">
        <v>T</v>
        <stp/>
        <stp>##V3_BDPV12</stp>
        <stp>912827VE Govt</stp>
        <stp>TICKER</stp>
        <stp>[TREASURY.xlsx]Sheet1!R626C2</stp>
        <tr r="B626" s="1"/>
      </tp>
      <tp t="s">
        <v>T</v>
        <stp/>
        <stp>##V3_BDPV12</stp>
        <stp>912828WB Govt</stp>
        <stp>TICKER</stp>
        <stp>[TREASURY.xlsx]Sheet1!R457C2</stp>
        <tr r="B457" s="1"/>
      </tp>
      <tp t="s">
        <v>T</v>
        <stp/>
        <stp>##V3_BDPV12</stp>
        <stp>912810SC Govt</stp>
        <stp>TICKER</stp>
        <stp>[TREASURY.xlsx]Sheet1!R243C2</stp>
        <tr r="B243" s="1"/>
      </tp>
      <tp t="s">
        <v>T</v>
        <stp/>
        <stp>##V3_BDPV12</stp>
        <stp>912827TA Govt</stp>
        <stp>TICKER</stp>
        <stp>[TREASURY.xlsx]Sheet1!R834C2</stp>
        <tr r="B834" s="1"/>
      </tp>
      <tp t="s">
        <v>7/31/1989</v>
        <stp/>
        <stp>##V3_BDPV12</stp>
        <stp>912827XU Govt</stp>
        <stp>ISSUE_DT</stp>
        <stp>[TREASURY.xlsx]Sheet1!R1217C15</stp>
        <tr r="O1217" s="1"/>
      </tp>
      <tp t="s">
        <v>T</v>
        <stp/>
        <stp>##V3_BDPV12</stp>
        <stp>912828AP Govt</stp>
        <stp>TICKER</stp>
        <stp>[TREASURY.xlsx]Sheet1!R1424C2</stp>
        <tr r="B1424" s="1"/>
      </tp>
      <tp t="s">
        <v>USD</v>
        <stp/>
        <stp>##V3_BDPV12</stp>
        <stp>912827SS Govt</stp>
        <stp>CRNCY</stp>
        <stp>[TREASURY.xlsx]Sheet1!R1188C7</stp>
        <tr r="G1188" s="1"/>
      </tp>
      <tp t="s">
        <v>T</v>
        <stp/>
        <stp>##V3_BDPV12</stp>
        <stp>912828UU Govt</stp>
        <stp>TICKER</stp>
        <stp>[TREASURY.xlsx]Sheet1!R1001C2</stp>
        <tr r="B1001" s="1"/>
      </tp>
      <tp t="s">
        <v>T</v>
        <stp/>
        <stp>##V3_BDPV12</stp>
        <stp>912828UR Govt</stp>
        <stp>TICKER</stp>
        <stp>[TREASURY.xlsx]Sheet1!R1146C2</stp>
        <tr r="B1146" s="1"/>
      </tp>
      <tp t="s">
        <v>T</v>
        <stp/>
        <stp>##V3_BDPV12</stp>
        <stp>912828US Govt</stp>
        <stp>TICKER</stp>
        <stp>[TREASURY.xlsx]Sheet1!R1137C2</stp>
        <tr r="B1137" s="1"/>
      </tp>
      <tp t="s">
        <v>T</v>
        <stp/>
        <stp>##V3_BDPV12</stp>
        <stp>912828JS Govt</stp>
        <stp>TICKER</stp>
        <stp>[TREASURY.xlsx]Sheet1!R1247C2</stp>
        <tr r="B1247" s="1"/>
      </tp>
      <tp t="s">
        <v>T</v>
        <stp/>
        <stp>##V3_BDPV12</stp>
        <stp>912828PU Govt</stp>
        <stp>TICKER</stp>
        <stp>[TREASURY.xlsx]Sheet1!R1261C2</stp>
        <tr r="B1261" s="1"/>
      </tp>
      <tp t="s">
        <v>T</v>
        <stp/>
        <stp>##V3_BDPV12</stp>
        <stp>912828XS Govt</stp>
        <stp>TICKER</stp>
        <stp>[TREASURY.xlsx]Sheet1!R1307C2</stp>
        <tr r="B1307" s="1"/>
      </tp>
      <tp t="s">
        <v>T</v>
        <stp/>
        <stp>##V3_BDPV12</stp>
        <stp>912828PT Govt</stp>
        <stp>TICKER</stp>
        <stp>[TREASURY.xlsx]Sheet1!R1300C2</stp>
        <tr r="B1300" s="1"/>
      </tp>
      <tp t="s">
        <v>T</v>
        <stp/>
        <stp>##V3_BDPV12</stp>
        <stp>912828RW Govt</stp>
        <stp>TICKER</stp>
        <stp>[TREASURY.xlsx]Sheet1!R1303C2</stp>
        <tr r="B1303" s="1"/>
      </tp>
      <tp t="s">
        <v>T</v>
        <stp/>
        <stp>##V3_BDPV12</stp>
        <stp>912827SR Govt</stp>
        <stp>TICKER</stp>
        <stp>[TREASURY.xlsx]Sheet1!R1396C2</stp>
        <tr r="B1396" s="1"/>
      </tp>
      <tp t="s">
        <v>T</v>
        <stp/>
        <stp>##V3_BDPV12</stp>
        <stp>912827XR Govt</stp>
        <stp>TICKER</stp>
        <stp>[TREASURY.xlsx]Sheet1!R1216C2</stp>
        <tr r="B1216" s="1"/>
      </tp>
      <tp t="s">
        <v>T</v>
        <stp/>
        <stp>##V3_BDPV12</stp>
        <stp>912827VP Govt</stp>
        <stp>TICKER</stp>
        <stp>[TREASURY.xlsx]Sheet1!R1204C2</stp>
        <tr r="B1204" s="1"/>
      </tp>
      <tp t="s">
        <v>T</v>
        <stp/>
        <stp>##V3_BDPV12</stp>
        <stp>912827NW Govt</stp>
        <stp>TICKER</stp>
        <stp>[TREASURY.xlsx]Sheet1!R1053C2</stp>
        <tr r="B1053" s="1"/>
      </tp>
      <tp t="s">
        <v>T</v>
        <stp/>
        <stp>##V3_BDPV12</stp>
        <stp>912827TQ Govt</stp>
        <stp>TICKER</stp>
        <stp>[TREASURY.xlsx]Sheet1!R1075C2</stp>
        <tr r="B1075" s="1"/>
      </tp>
      <tp t="s">
        <v>T</v>
        <stp/>
        <stp>##V3_BDPV12</stp>
        <stp>912827RV Govt</stp>
        <stp>TICKER</stp>
        <stp>[TREASURY.xlsx]Sheet1!R1582C2</stp>
        <tr r="B1582" s="1"/>
      </tp>
      <tp t="s">
        <v>T</v>
        <stp/>
        <stp>##V3_BDPV12</stp>
        <stp>9128272V Govt</stp>
        <stp>TICKER</stp>
        <stp>[TREASURY.xlsx]Sheet1!R1522C2</stp>
        <tr r="B1522" s="1"/>
      </tp>
      <tp t="s">
        <v>T</v>
        <stp/>
        <stp>##V3_BDPV12</stp>
        <stp>9128272W Govt</stp>
        <stp>TICKER</stp>
        <stp>[TREASURY.xlsx]Sheet1!R1523C2</stp>
        <tr r="B1523" s="1"/>
      </tp>
      <tp t="s">
        <v>T</v>
        <stp/>
        <stp>##V3_BDPV12</stp>
        <stp>912827US Govt</stp>
        <stp>TICKER</stp>
        <stp>[TREASURY.xlsx]Sheet1!R1407C2</stp>
        <tr r="B1407" s="1"/>
      </tp>
      <tp t="s">
        <v>T</v>
        <stp/>
        <stp>##V3_BDPV12</stp>
        <stp>912827TU Govt</stp>
        <stp>TICKER</stp>
        <stp>[TREASURY.xlsx]Sheet1!R1401C2</stp>
        <tr r="B1401" s="1"/>
      </tp>
      <tp t="s">
        <v>T</v>
        <stp/>
        <stp>##V3_BDPV12</stp>
        <stp>912827VW Govt</stp>
        <stp>TICKER</stp>
        <stp>[TREASURY.xlsx]Sheet1!R1413C2</stp>
        <tr r="B1413" s="1"/>
      </tp>
      <tp t="s">
        <v>8/15/1989</v>
        <stp/>
        <stp>##V3_BDPV12</stp>
        <stp>912827XW Govt</stp>
        <stp>ISSUE_DT</stp>
        <stp>[TREASURY.xlsx]Sheet1!R1218C15</stp>
        <tr r="O1218" s="1"/>
      </tp>
      <tp t="s">
        <v>USD</v>
        <stp/>
        <stp>##V3_BDPV12</stp>
        <stp>912827ZQ Govt</stp>
        <stp>CRNCY</stp>
        <stp>[TREASURY.xlsx]Sheet1!R1611C7</stp>
        <tr r="G1611" s="1"/>
      </tp>
      <tp t="s">
        <v>8/15/1989</v>
        <stp/>
        <stp>##V3_BDPV12</stp>
        <stp>912827XV Govt</stp>
        <stp>ISSUE_DT</stp>
        <stp>[TREASURY.xlsx]Sheet1!R1599C15</stp>
        <tr r="O1599" s="1"/>
      </tp>
      <tp t="s">
        <v>USD</v>
        <stp/>
        <stp>##V3_BDPV12</stp>
        <stp>912827ZV Govt</stp>
        <stp>CRNCY</stp>
        <stp>[TREASURY.xlsx]Sheet1!R1231C7</stp>
        <tr r="G1231" s="1"/>
      </tp>
      <tp t="s">
        <v>6/2/1989</v>
        <stp/>
        <stp>##V3_BDPV12</stp>
        <stp>912827XQ Govt</stp>
        <stp>ISSUE_DT</stp>
        <stp>[TREASURY.xlsx]Sheet1!R1096C15</stp>
        <tr r="O1096" s="1"/>
      </tp>
      <tp t="s">
        <v>5/31/2017</v>
        <stp/>
        <stp>##V3_BDPV12</stp>
        <stp>912828XS Govt</stp>
        <stp>ISSUE_DT</stp>
        <stp>[TREASURY.xlsx]Sheet1!R1307C15</stp>
        <tr r="O1307" s="1"/>
      </tp>
      <tp t="s">
        <v>6/30/1989</v>
        <stp/>
        <stp>##V3_BDPV12</stp>
        <stp>912827XR Govt</stp>
        <stp>ISSUE_DT</stp>
        <stp>[TREASURY.xlsx]Sheet1!R1216C15</stp>
        <tr r="O1216" s="1"/>
      </tp>
      <tp t="s">
        <v>9/1/1989</v>
        <stp/>
        <stp>##V3_BDPV12</stp>
        <stp>912827XY Govt</stp>
        <stp>ISSUE_DT</stp>
        <stp>[TREASURY.xlsx]Sheet1!R1600C15</stp>
        <tr r="O1600" s="1"/>
      </tp>
      <tp t="s">
        <v>USD</v>
        <stp/>
        <stp>##V3_BDPV12</stp>
        <stp>912827SZ Govt</stp>
        <stp>CRNCY</stp>
        <stp>[TREASURY.xlsx]Sheet1!R1068C7</stp>
        <tr r="G1068" s="1"/>
      </tp>
      <tp t="s">
        <v>912828HA1</v>
        <stp/>
        <stp>##V3_BDPV12</stp>
        <stp>912828HA Govt</stp>
        <stp>ID_CUSIP</stp>
        <stp>[TREASURY.xlsx]Sheet1!R1437C19</stp>
        <tr r="S1437" s="1"/>
      </tp>
      <tp t="s">
        <v>912828HC7</v>
        <stp/>
        <stp>##V3_BDPV12</stp>
        <stp>912828HC Govt</stp>
        <stp>ID_CUSIP</stp>
        <stp>[TREASURY.xlsx]Sheet1!R1283C19</stp>
        <tr r="S1283" s="1"/>
      </tp>
      <tp t="s">
        <v>10/2/1989</v>
        <stp/>
        <stp>##V3_BDPV12</stp>
        <stp>912827XZ Govt</stp>
        <stp>ISSUE_DT</stp>
        <stp>[TREASURY.xlsx]Sheet1!R1097C15</stp>
        <tr r="O1097" s="1"/>
      </tp>
      <tp t="s">
        <v>6/15/2015</v>
        <stp/>
        <stp>##V3_BDPV12</stp>
        <stp>912828XF Govt</stp>
        <stp>ISSUE_DT</stp>
        <stp>[TREASURY.xlsx]Sheet1!R1151C15</stp>
        <tr r="O1151" s="1"/>
      </tp>
      <tp t="s">
        <v>1/17/1989</v>
        <stp/>
        <stp>##V3_BDPV12</stp>
        <stp>912827XB Govt</stp>
        <stp>ISSUE_DT</stp>
        <stp>[TREASURY.xlsx]Sheet1!R1595C15</stp>
        <tr r="O1595" s="1"/>
      </tp>
      <tp t="s">
        <v>NORMAL</v>
        <stp/>
        <stp>##V3_BDPV12</stp>
        <stp>912810DR Govt</stp>
        <stp>MTY_TYP</stp>
        <stp>[TREASURY.xlsx]Sheet1!R1447C6</stp>
        <tr r="F1447" s="1"/>
      </tp>
      <tp t="s">
        <v>NORMAL</v>
        <stp/>
        <stp>##V3_BDPV12</stp>
        <stp>912810DK Govt</stp>
        <stp>MTY_TYP</stp>
        <stp>[TREASURY.xlsx]Sheet1!R1347C6</stp>
        <tr r="F1347" s="1"/>
      </tp>
      <tp t="s">
        <v>NORMAL</v>
        <stp/>
        <stp>##V3_BDPV12</stp>
        <stp>912810CL Govt</stp>
        <stp>MTY_TYP</stp>
        <stp>[TREASURY.xlsx]Sheet1!R1617C6</stp>
        <tr r="F1617" s="1"/>
      </tp>
      <tp t="s">
        <v>1/3/1989</v>
        <stp/>
        <stp>##V3_BDPV12</stp>
        <stp>912827XA Govt</stp>
        <stp>ISSUE_DT</stp>
        <stp>[TREASURY.xlsx]Sheet1!R1594C15</stp>
        <tr r="O1594" s="1"/>
      </tp>
      <tp t="s">
        <v>UNITED STATES</v>
        <stp/>
        <stp>##V3_BDPV12</stp>
        <stp>9128273X Govt</stp>
        <stp>COUNTRY_FULL_NAME</stp>
        <stp>[TREASURY.xlsx]Sheet1!R500C8</stp>
        <tr r="H500" s="1"/>
      </tp>
      <tp t="s">
        <v>2/28/1989</v>
        <stp/>
        <stp>##V3_BDPV12</stp>
        <stp>912827XF Govt</stp>
        <stp>ISSUE_DT</stp>
        <stp>[TREASURY.xlsx]Sheet1!R1596C15</stp>
        <tr r="O1596" s="1"/>
      </tp>
      <tp t="s">
        <v>USD</v>
        <stp/>
        <stp>##V3_BDPV12</stp>
        <stp>912827RF Govt</stp>
        <stp>CRNCY</stp>
        <stp>[TREASURY.xlsx]Sheet1!R1579C7</stp>
        <tr r="G1579" s="1"/>
      </tp>
      <tp t="s">
        <v>UNITED STATES</v>
        <stp/>
        <stp>##V3_BDPV12</stp>
        <stp>9128274T Govt</stp>
        <stp>COUNTRY_FULL_NAME</stp>
        <stp>[TREASURY.xlsx]Sheet1!R610C8</stp>
        <tr r="H610" s="1"/>
      </tp>
      <tp t="s">
        <v>3/3/1989</v>
        <stp/>
        <stp>##V3_BDPV12</stp>
        <stp>912827XG Govt</stp>
        <stp>ISSUE_DT</stp>
        <stp>[TREASURY.xlsx]Sheet1!R1597C15</stp>
        <tr r="O1597" s="1"/>
      </tp>
      <tp t="s">
        <v>USD</v>
        <stp/>
        <stp>##V3_BDPV12</stp>
        <stp>912827SG Govt</stp>
        <stp>CRNCY</stp>
        <stp>[TREASURY.xlsx]Sheet1!R1588C7</stp>
        <tr r="G1588" s="1"/>
      </tp>
      <tp t="s">
        <v>NORMAL</v>
        <stp/>
        <stp>##V3_BDPV12</stp>
        <stp>9128277C Govt</stp>
        <stp>MTY_TYP</stp>
        <stp>[TREASURY.xlsx]Sheet1!R1544C6</stp>
        <tr r="F1544" s="1"/>
      </tp>
      <tp t="s">
        <v>NORMAL</v>
        <stp/>
        <stp>##V3_BDPV12</stp>
        <stp>9128274Z Govt</stp>
        <stp>MTY_TYP</stp>
        <stp>[TREASURY.xlsx]Sheet1!R1534C6</stp>
        <tr r="F1534" s="1"/>
      </tp>
      <tp t="s">
        <v>NORMAL</v>
        <stp/>
        <stp>##V3_BDPV12</stp>
        <stp>9128275L Govt</stp>
        <stp>MTY_TYP</stp>
        <stp>[TREASURY.xlsx]Sheet1!R1464C6</stp>
        <tr r="F1464" s="1"/>
      </tp>
      <tp t="s">
        <v>NORMAL</v>
        <stp/>
        <stp>##V3_BDPV12</stp>
        <stp>9128273D Govt</stp>
        <stp>MTY_TYP</stp>
        <stp>[TREASURY.xlsx]Sheet1!R1354C6</stp>
        <tr r="F1354" s="1"/>
      </tp>
      <tp t="s">
        <v>NORMAL</v>
        <stp/>
        <stp>##V3_BDPV12</stp>
        <stp>9128272X Govt</stp>
        <stp>MTY_TYP</stp>
        <stp>[TREASURY.xlsx]Sheet1!R1524C6</stp>
        <tr r="F1524" s="1"/>
      </tp>
      <tp t="s">
        <v>NORMAL</v>
        <stp/>
        <stp>##V3_BDPV12</stp>
        <stp>9128274G Govt</stp>
        <stp>MTY_TYP</stp>
        <stp>[TREASURY.xlsx]Sheet1!R1364C6</stp>
        <tr r="F1364" s="1"/>
      </tp>
      <tp t="s">
        <v>NORMAL</v>
        <stp/>
        <stp>##V3_BDPV12</stp>
        <stp>9128272U Govt</stp>
        <stp>MTY_TYP</stp>
        <stp>[TREASURY.xlsx]Sheet1!R1454C6</stp>
        <tr r="F1454" s="1"/>
      </tp>
      <tp t="s">
        <v>NORMAL</v>
        <stp/>
        <stp>##V3_BDPV12</stp>
        <stp>9128276N Govt</stp>
        <stp>MTY_TYP</stp>
        <stp>[TREASURY.xlsx]Sheet1!R1024C6</stp>
        <tr r="F1024" s="1"/>
      </tp>
      <tp t="s">
        <v>NORMAL</v>
        <stp/>
        <stp>##V3_BDPV12</stp>
        <stp>9128275J Govt</stp>
        <stp>MTY_TYP</stp>
        <stp>[TREASURY.xlsx]Sheet1!R1014C6</stp>
        <tr r="F1014" s="1"/>
      </tp>
      <tp t="s">
        <v>NORMAL</v>
        <stp/>
        <stp>##V3_BDPV12</stp>
        <stp>912827L3 Govt</stp>
        <stp>MTY_TYP</stp>
        <stp>[TREASURY.xlsx]Sheet1!R1564C6</stp>
        <tr r="F1564" s="1"/>
      </tp>
      <tp t="s">
        <v>NORMAL</v>
        <stp/>
        <stp>##V3_BDPV12</stp>
        <stp>912827MC Govt</stp>
        <stp>MTY_TYP</stp>
        <stp>[TREASURY.xlsx]Sheet1!R1324C6</stp>
        <tr r="F1324" s="1"/>
      </tp>
      <tp t="s">
        <v>NORMAL</v>
        <stp/>
        <stp>##V3_BDPV12</stp>
        <stp>912827NT Govt</stp>
        <stp>MTY_TYP</stp>
        <stp>[TREASURY.xlsx]Sheet1!R1384C6</stp>
        <tr r="F1384" s="1"/>
      </tp>
      <tp t="s">
        <v>NORMAL</v>
        <stp/>
        <stp>##V3_BDPV12</stp>
        <stp>912827NS Govt</stp>
        <stp>MTY_TYP</stp>
        <stp>[TREASURY.xlsx]Sheet1!R1334C6</stp>
        <tr r="F1334" s="1"/>
      </tp>
      <tp t="s">
        <v>NORMAL</v>
        <stp/>
        <stp>##V3_BDPV12</stp>
        <stp>912827M7 Govt</stp>
        <stp>MTY_TYP</stp>
        <stp>[TREASURY.xlsx]Sheet1!R1044C6</stp>
        <tr r="F1044" s="1"/>
      </tp>
      <tp t="s">
        <v>NORMAL</v>
        <stp/>
        <stp>##V3_BDPV12</stp>
        <stp>912827M2 Govt</stp>
        <stp>MTY_TYP</stp>
        <stp>[TREASURY.xlsx]Sheet1!R1164C6</stp>
        <tr r="F1164" s="1"/>
      </tp>
      <tp t="s">
        <v>NORMAL</v>
        <stp/>
        <stp>##V3_BDPV12</stp>
        <stp>912827D5 Govt</stp>
        <stp>MTY_TYP</stp>
        <stp>[TREASURY.xlsx]Sheet1!R1484C6</stp>
        <tr r="F1484" s="1"/>
      </tp>
      <tp t="s">
        <v>NORMAL</v>
        <stp/>
        <stp>##V3_BDPV12</stp>
        <stp>912827F8 Govt</stp>
        <stp>MTY_TYP</stp>
        <stp>[TREASURY.xlsx]Sheet1!R1154C6</stp>
        <tr r="F1154" s="1"/>
      </tp>
      <tp t="s">
        <v>NORMAL</v>
        <stp/>
        <stp>##V3_BDPV12</stp>
        <stp>912827G2 Govt</stp>
        <stp>MTY_TYP</stp>
        <stp>[TREASURY.xlsx]Sheet1!R1034C6</stp>
        <tr r="F1034" s="1"/>
      </tp>
      <tp t="s">
        <v>NORMAL</v>
        <stp/>
        <stp>##V3_BDPV12</stp>
        <stp>912827C6 Govt</stp>
        <stp>MTY_TYP</stp>
        <stp>[TREASURY.xlsx]Sheet1!R1554C6</stp>
        <tr r="F1554" s="1"/>
      </tp>
      <tp t="s">
        <v>NORMAL</v>
        <stp/>
        <stp>##V3_BDPV12</stp>
        <stp>912827F3 Govt</stp>
        <stp>MTY_TYP</stp>
        <stp>[TREASURY.xlsx]Sheet1!R1314C6</stp>
        <tr r="F1314" s="1"/>
      </tp>
      <tp t="s">
        <v>NORMAL</v>
        <stp/>
        <stp>##V3_BDPV12</stp>
        <stp>912827A6 Govt</stp>
        <stp>MTY_TYP</stp>
        <stp>[TREASURY.xlsx]Sheet1!R1474C6</stp>
        <tr r="F1474" s="1"/>
      </tp>
      <tp t="s">
        <v>NORMAL</v>
        <stp/>
        <stp>##V3_BDPV12</stp>
        <stp>912827G8 Govt</stp>
        <stp>MTY_TYP</stp>
        <stp>[TREASURY.xlsx]Sheet1!R1374C6</stp>
        <tr r="F1374" s="1"/>
      </tp>
      <tp t="s">
        <v>NORMAL</v>
        <stp/>
        <stp>##V3_BDPV12</stp>
        <stp>912827YU Govt</stp>
        <stp>MTY_TYP</stp>
        <stp>[TREASURY.xlsx]Sheet1!R1224C6</stp>
        <tr r="F1224" s="1"/>
      </tp>
      <tp t="s">
        <v>NORMAL</v>
        <stp/>
        <stp>##V3_BDPV12</stp>
        <stp>912827ZW Govt</stp>
        <stp>MTY_TYP</stp>
        <stp>[TREASURY.xlsx]Sheet1!R1104C6</stp>
        <tr r="F1104" s="1"/>
      </tp>
      <tp t="s">
        <v>NORMAL</v>
        <stp/>
        <stp>##V3_BDPV12</stp>
        <stp>912827XL Govt</stp>
        <stp>MTY_TYP</stp>
        <stp>[TREASURY.xlsx]Sheet1!R1214C6</stp>
        <tr r="F1214" s="1"/>
      </tp>
      <tp t="s">
        <v>NORMAL</v>
        <stp/>
        <stp>##V3_BDPV12</stp>
        <stp>912827X3 Govt</stp>
        <stp>MTY_TYP</stp>
        <stp>[TREASURY.xlsx]Sheet1!R1094C6</stp>
        <tr r="F1094" s="1"/>
      </tp>
      <tp t="s">
        <v>NORMAL</v>
        <stp/>
        <stp>##V3_BDPV12</stp>
        <stp>912827YF Govt</stp>
        <stp>MTY_TYP</stp>
        <stp>[TREASURY.xlsx]Sheet1!R1604C6</stp>
        <tr r="F1604" s="1"/>
      </tp>
      <tp t="s">
        <v>NORMAL</v>
        <stp/>
        <stp>##V3_BDPV12</stp>
        <stp>912827XA Govt</stp>
        <stp>MTY_TYP</stp>
        <stp>[TREASURY.xlsx]Sheet1!R1594C6</stp>
        <tr r="F1594" s="1"/>
      </tp>
      <tp t="s">
        <v>NORMAL</v>
        <stp/>
        <stp>##V3_BDPV12</stp>
        <stp>912827ZZ Govt</stp>
        <stp>MTY_TYP</stp>
        <stp>[TREASURY.xlsx]Sheet1!R1614C6</stp>
        <tr r="F1614" s="1"/>
      </tp>
      <tp t="s">
        <v>NORMAL</v>
        <stp/>
        <stp>##V3_BDPV12</stp>
        <stp>912827W5 Govt</stp>
        <stp>MTY_TYP</stp>
        <stp>[TREASURY.xlsx]Sheet1!R1414C6</stp>
        <tr r="F1414" s="1"/>
      </tp>
      <tp t="s">
        <v>NORMAL</v>
        <stp/>
        <stp>##V3_BDPV12</stp>
        <stp>912827QW Govt</stp>
        <stp>MTY_TYP</stp>
        <stp>[TREASURY.xlsx]Sheet1!R1394C6</stp>
        <tr r="F1394" s="1"/>
      </tp>
      <tp t="s">
        <v>NORMAL</v>
        <stp/>
        <stp>##V3_BDPV12</stp>
        <stp>912827RN Govt</stp>
        <stp>MTY_TYP</stp>
        <stp>[TREASURY.xlsx]Sheet1!R1064C6</stp>
        <tr r="F1064" s="1"/>
      </tp>
      <tp t="s">
        <v>NORMAL</v>
        <stp/>
        <stp>##V3_BDPV12</stp>
        <stp>912827SE Govt</stp>
        <stp>MTY_TYP</stp>
        <stp>[TREASURY.xlsx]Sheet1!R1184C6</stp>
        <tr r="F1184" s="1"/>
      </tp>
      <tp t="s">
        <v>NORMAL</v>
        <stp/>
        <stp>##V3_BDPV12</stp>
        <stp>912827PM Govt</stp>
        <stp>MTY_TYP</stp>
        <stp>[TREASURY.xlsx]Sheet1!R1174C6</stp>
        <tr r="F1174" s="1"/>
      </tp>
      <tp t="s">
        <v>NORMAL</v>
        <stp/>
        <stp>##V3_BDPV12</stp>
        <stp>912827UF Govt</stp>
        <stp>MTY_TYP</stp>
        <stp>[TREASURY.xlsx]Sheet1!R1404C6</stp>
        <tr r="F1404" s="1"/>
      </tp>
      <tp t="s">
        <v>NORMAL</v>
        <stp/>
        <stp>##V3_BDPV12</stp>
        <stp>912827PE Govt</stp>
        <stp>MTY_TYP</stp>
        <stp>[TREASURY.xlsx]Sheet1!R1054C6</stp>
        <tr r="F1054" s="1"/>
      </tp>
      <tp t="s">
        <v>NORMAL</v>
        <stp/>
        <stp>##V3_BDPV12</stp>
        <stp>912827RZ Govt</stp>
        <stp>MTY_TYP</stp>
        <stp>[TREASURY.xlsx]Sheet1!R1584C6</stp>
        <tr r="F1584" s="1"/>
      </tp>
      <tp t="s">
        <v>NORMAL</v>
        <stp/>
        <stp>##V3_BDPV12</stp>
        <stp>912827V6 Govt</stp>
        <stp>MTY_TYP</stp>
        <stp>[TREASURY.xlsx]Sheet1!R1084C6</stp>
        <tr r="F1084" s="1"/>
      </tp>
      <tp t="s">
        <v>NORMAL</v>
        <stp/>
        <stp>##V3_BDPV12</stp>
        <stp>912827S7 Govt</stp>
        <stp>MTY_TYP</stp>
        <stp>[TREASURY.xlsx]Sheet1!R1504C6</stp>
        <tr r="F1504" s="1"/>
      </tp>
      <tp t="s">
        <v>NORMAL</v>
        <stp/>
        <stp>##V3_BDPV12</stp>
        <stp>912827TR Govt</stp>
        <stp>MTY_TYP</stp>
        <stp>[TREASURY.xlsx]Sheet1!R1194C6</stp>
        <tr r="F1194" s="1"/>
      </tp>
      <tp t="s">
        <v>NORMAL</v>
        <stp/>
        <stp>##V3_BDPV12</stp>
        <stp>912827Q3 Govt</stp>
        <stp>MTY_TYP</stp>
        <stp>[TREASURY.xlsx]Sheet1!R1494C6</stp>
        <tr r="F1494" s="1"/>
      </tp>
      <tp t="s">
        <v>NORMAL</v>
        <stp/>
        <stp>##V3_BDPV12</stp>
        <stp>912827VP Govt</stp>
        <stp>MTY_TYP</stp>
        <stp>[TREASURY.xlsx]Sheet1!R1204C6</stp>
        <tr r="F1204" s="1"/>
      </tp>
      <tp t="s">
        <v>NORMAL</v>
        <stp/>
        <stp>##V3_BDPV12</stp>
        <stp>912827TN Govt</stp>
        <stp>MTY_TYP</stp>
        <stp>[TREASURY.xlsx]Sheet1!R1074C6</stp>
        <tr r="F1074" s="1"/>
      </tp>
      <tp t="s">
        <v>NORMAL</v>
        <stp/>
        <stp>##V3_BDPV12</stp>
        <stp>912827QB Govt</stp>
        <stp>MTY_TYP</stp>
        <stp>[TREASURY.xlsx]Sheet1!R1574C6</stp>
        <tr r="F1574" s="1"/>
      </tp>
      <tp t="s">
        <v>5/15/1989</v>
        <stp/>
        <stp>##V3_BDPV12</stp>
        <stp>912827XM Govt</stp>
        <stp>ISSUE_DT</stp>
        <stp>[TREASURY.xlsx]Sheet1!R1215C15</stp>
        <tr r="O1215" s="1"/>
      </tp>
      <tp t="s">
        <v>912828HP8</v>
        <stp/>
        <stp>##V3_BDPV12</stp>
        <stp>912828HP Govt</stp>
        <stp>ID_CUSIP</stp>
        <stp>[TREASURY.xlsx]Sheet1!R1438C19</stp>
        <tr r="S1438" s="1"/>
      </tp>
      <tp t="s">
        <v>5/1/1989</v>
        <stp/>
        <stp>##V3_BDPV12</stp>
        <stp>912827XL Govt</stp>
        <stp>ISSUE_DT</stp>
        <stp>[TREASURY.xlsx]Sheet1!R1214C15</stp>
        <tr r="O1214" s="1"/>
      </tp>
      <tp t="s">
        <v>USD</v>
        <stp/>
        <stp>##V3_BDPV12</stp>
        <stp>912827YK Govt</stp>
        <stp>CRNCY</stp>
        <stp>[TREASURY.xlsx]Sheet1!R1222C7</stp>
        <tr r="G1222" s="1"/>
      </tp>
      <tp t="s">
        <v>NORMAL</v>
        <stp/>
        <stp>##V3_BDPV12</stp>
        <stp>912828HQ Govt</stp>
        <stp>MTY_TYP</stp>
        <stp>[TREASURY.xlsx]Sheet1!R1244C6</stp>
        <tr r="F1244" s="1"/>
      </tp>
      <tp t="s">
        <v>NORMAL</v>
        <stp/>
        <stp>##V3_BDPV12</stp>
        <stp>912828KK Govt</stp>
        <stp>MTY_TYP</stp>
        <stp>[TREASURY.xlsx]Sheet1!R1124C6</stp>
        <tr r="F1124" s="1"/>
      </tp>
      <tp t="s">
        <v>NORMAL</v>
        <stp/>
        <stp>##V3_BDPV12</stp>
        <stp>912828MT Govt</stp>
        <stp>MTY_TYP</stp>
        <stp>[TREASURY.xlsx]Sheet1!R1254C6</stp>
        <tr r="F1254" s="1"/>
      </tp>
      <tp t="s">
        <v>NORMAL</v>
        <stp/>
        <stp>##V3_BDPV12</stp>
        <stp>912828NW Govt</stp>
        <stp>MTY_TYP</stp>
        <stp>[TREASURY.xlsx]Sheet1!R1294C6</stp>
        <tr r="F1294" s="1"/>
      </tp>
      <tp t="s">
        <v>NORMAL</v>
        <stp/>
        <stp>##V3_BDPV12</stp>
        <stp>912828AC Govt</stp>
        <stp>MTY_TYP</stp>
        <stp>[TREASURY.xlsx]Sheet1!R1234C6</stp>
        <tr r="F1234" s="1"/>
      </tp>
      <tp t="s">
        <v>NORMAL</v>
        <stp/>
        <stp>##V3_BDPV12</stp>
        <stp>912828GF Govt</stp>
        <stp>MTY_TYP</stp>
        <stp>[TREASURY.xlsx]Sheet1!R1434C6</stp>
        <tr r="F1434" s="1"/>
      </tp>
      <tp t="s">
        <v>NORMAL</v>
        <stp/>
        <stp>##V3_BDPV12</stp>
        <stp>912828AP Govt</stp>
        <stp>MTY_TYP</stp>
        <stp>[TREASURY.xlsx]Sheet1!R1424C6</stp>
        <tr r="F1424" s="1"/>
      </tp>
      <tp t="s">
        <v>NORMAL</v>
        <stp/>
        <stp>##V3_BDPV12</stp>
        <stp>912828EH Govt</stp>
        <stp>MTY_TYP</stp>
        <stp>[TREASURY.xlsx]Sheet1!R1114C6</stp>
        <tr r="F1114" s="1"/>
      </tp>
      <tp t="s">
        <v>NORMAL</v>
        <stp/>
        <stp>##V3_BDPV12</stp>
        <stp>912828FE Govt</stp>
        <stp>MTY_TYP</stp>
        <stp>[TREASURY.xlsx]Sheet1!R1274C6</stp>
        <tr r="F1274" s="1"/>
      </tp>
      <tp t="s">
        <v>NORMAL</v>
        <stp/>
        <stp>##V3_BDPV12</stp>
        <stp>912828R5 Govt</stp>
        <stp>MTY_TYP</stp>
        <stp>[TREASURY.xlsx]Sheet1!R1284C6</stp>
        <tr r="F1284" s="1"/>
      </tp>
      <tp t="s">
        <v>NORMAL</v>
        <stp/>
        <stp>##V3_BDPV12</stp>
        <stp>912828R4 Govt</stp>
        <stp>MTY_TYP</stp>
        <stp>[TREASURY.xlsx]Sheet1!R1264C6</stp>
        <tr r="F1264" s="1"/>
      </tp>
      <tp t="s">
        <v>NORMAL</v>
        <stp/>
        <stp>##V3_BDPV12</stp>
        <stp>912828T8 Govt</stp>
        <stp>MTY_TYP</stp>
        <stp>[TREASURY.xlsx]Sheet1!R1304C6</stp>
        <tr r="F1304" s="1"/>
      </tp>
      <tp t="s">
        <v>NORMAL</v>
        <stp/>
        <stp>##V3_BDPV12</stp>
        <stp>912828VY Govt</stp>
        <stp>MTY_TYP</stp>
        <stp>[TREASURY.xlsx]Sheet1!R1004C6</stp>
        <tr r="F1004" s="1"/>
      </tp>
      <tp t="s">
        <v>NORMAL</v>
        <stp/>
        <stp>##V3_BDPV12</stp>
        <stp>912828TT Govt</stp>
        <stp>MTY_TYP</stp>
        <stp>[TREASURY.xlsx]Sheet1!R1134C6</stp>
        <tr r="F1134" s="1"/>
      </tp>
      <tp t="s">
        <v>NORMAL</v>
        <stp/>
        <stp>##V3_BDPV12</stp>
        <stp>912828UC Govt</stp>
        <stp>MTY_TYP</stp>
        <stp>[TREASURY.xlsx]Sheet1!R1144C6</stp>
        <tr r="F1144" s="1"/>
      </tp>
      <tp t="s">
        <v>6/30/2015</v>
        <stp/>
        <stp>##V3_BDPV12</stp>
        <stp>912828XJ Govt</stp>
        <stp>ISSUE_DT</stp>
        <stp>[TREASURY.xlsx]Sheet1!R1152C15</stp>
        <tr r="O1152" s="1"/>
      </tp>
      <tp t="s">
        <v>5/15/1989</v>
        <stp/>
        <stp>##V3_BDPV12</stp>
        <stp>912827XN Govt</stp>
        <stp>ISSUE_DT</stp>
        <stp>[TREASURY.xlsx]Sheet1!R1598C15</stp>
        <tr r="O1598" s="1"/>
      </tp>
      <tp t="s">
        <v>912828HS2</v>
        <stp/>
        <stp>##V3_BDPV12</stp>
        <stp>912828HS Govt</stp>
        <stp>ID_CUSIP</stp>
        <stp>[TREASURY.xlsx]Sheet1!R1245C19</stp>
        <tr r="S1245" s="1"/>
      </tp>
      <tp t="s">
        <v>912828HQ6</v>
        <stp/>
        <stp>##V3_BDPV12</stp>
        <stp>912828HQ Govt</stp>
        <stp>ID_CUSIP</stp>
        <stp>[TREASURY.xlsx]Sheet1!R1244C19</stp>
        <tr r="S1244" s="1"/>
      </tp>
      <tp t="s">
        <v>USD</v>
        <stp/>
        <stp>##V3_BDPV12</stp>
        <stp>912827Y3 Govt</stp>
        <stp>CRNCY</stp>
        <stp>[TREASURY.xlsx]Sheet1!R1601C7</stp>
        <tr r="G1601" s="1"/>
      </tp>
      <tp t="s">
        <v>UNITED STATES</v>
        <stp/>
        <stp>##V3_BDPV12</stp>
        <stp>912810CY Govt</stp>
        <stp>COUNTRY_FULL_NAME</stp>
        <stp>[TREASURY.xlsx]Sheet1!R414C8</stp>
        <tr r="H414" s="1"/>
      </tp>
      <tp t="s">
        <v>UNITED STATES</v>
        <stp/>
        <stp>##V3_BDPV12</stp>
        <stp>912810DS Govt</stp>
        <stp>COUNTRY_FULL_NAME</stp>
        <stp>[TREASURY.xlsx]Sheet1!R454C8</stp>
        <tr r="H454" s="1"/>
      </tp>
      <tp t="s">
        <v>USD</v>
        <stp/>
        <stp>##V3_BDPV12</stp>
        <stp>912827P7 Govt</stp>
        <stp>CRNCY</stp>
        <stp>[TREASURY.xlsx]Sheet1!R1338C7</stp>
        <tr r="G1338" s="1"/>
      </tp>
      <tp t="s">
        <v>UNITED STATES</v>
        <stp/>
        <stp>##V3_BDPV12</stp>
        <stp>912810EX Govt</stp>
        <stp>COUNTRY_FULL_NAME</stp>
        <stp>[TREASURY.xlsx]Sheet1!R324C8</stp>
        <tr r="H324" s="1"/>
      </tp>
      <tp t="s">
        <v>UNITED STATES</v>
        <stp/>
        <stp>##V3_BDPV12</stp>
        <stp>912810EM Govt</stp>
        <stp>COUNTRY_FULL_NAME</stp>
        <stp>[TREASURY.xlsx]Sheet1!R304C8</stp>
        <tr r="H304" s="1"/>
      </tp>
      <tp t="s">
        <v>UNITED STATES</v>
        <stp/>
        <stp>##V3_BDPV12</stp>
        <stp>912810ED Govt</stp>
        <stp>COUNTRY_FULL_NAME</stp>
        <stp>[TREASURY.xlsx]Sheet1!R664C8</stp>
        <tr r="H664" s="1"/>
      </tp>
      <tp t="s">
        <v>UNITED STATES</v>
        <stp/>
        <stp>##V3_BDPV12</stp>
        <stp>912827F2 Govt</stp>
        <stp>COUNTRY_FULL_NAME</stp>
        <stp>[TREASURY.xlsx]Sheet1!R663C8</stp>
        <tr r="H663" s="1"/>
      </tp>
      <tp t="s">
        <v>UNITED STATES</v>
        <stp/>
        <stp>##V3_BDPV12</stp>
        <stp>912810FA Govt</stp>
        <stp>COUNTRY_FULL_NAME</stp>
        <stp>[TREASURY.xlsx]Sheet1!R314C8</stp>
        <tr r="H314" s="1"/>
      </tp>
      <tp t="s">
        <v>UNITED STATES</v>
        <stp/>
        <stp>##V3_BDPV12</stp>
        <stp>912827G3 Govt</stp>
        <stp>COUNTRY_FULL_NAME</stp>
        <stp>[TREASURY.xlsx]Sheet1!R703C8</stp>
        <tr r="H703" s="1"/>
      </tp>
      <tp t="s">
        <v>USD</v>
        <stp/>
        <stp>##V3_BDPV12</stp>
        <stp>912827Z8 Govt</stp>
        <stp>CRNCY</stp>
        <stp>[TREASURY.xlsx]Sheet1!R1102C7</stp>
        <tr r="G1102" s="1"/>
      </tp>
      <tp t="s">
        <v>UNITED STATES</v>
        <stp/>
        <stp>##V3_BDPV12</stp>
        <stp>912827KZ Govt</stp>
        <stp>COUNTRY_FULL_NAME</stp>
        <stp>[TREASURY.xlsx]Sheet1!R713C8</stp>
        <tr r="H713" s="1"/>
      </tp>
      <tp t="s">
        <v>UNITED STATES</v>
        <stp/>
        <stp>##V3_BDPV12</stp>
        <stp>912827KU Govt</stp>
        <stp>COUNTRY_FULL_NAME</stp>
        <stp>[TREASURY.xlsx]Sheet1!R683C8</stp>
        <tr r="H683" s="1"/>
      </tp>
      <tp t="s">
        <v>UNITED STATES</v>
        <stp/>
        <stp>##V3_BDPV12</stp>
        <stp>912827LX Govt</stp>
        <stp>COUNTRY_FULL_NAME</stp>
        <stp>[TREASURY.xlsx]Sheet1!R893C8</stp>
        <tr r="H893" s="1"/>
      </tp>
      <tp t="s">
        <v>UNITED STATES</v>
        <stp/>
        <stp>##V3_BDPV12</stp>
        <stp>912827MQ Govt</stp>
        <stp>COUNTRY_FULL_NAME</stp>
        <stp>[TREASURY.xlsx]Sheet1!R723C8</stp>
        <tr r="H723" s="1"/>
      </tp>
      <tp t="s">
        <v>UNITED STATES</v>
        <stp/>
        <stp>##V3_BDPV12</stp>
        <stp>912827NP Govt</stp>
        <stp>COUNTRY_FULL_NAME</stp>
        <stp>[TREASURY.xlsx]Sheet1!R733C8</stp>
        <tr r="H733" s="1"/>
      </tp>
      <tp t="s">
        <v>UNITED STATES</v>
        <stp/>
        <stp>##V3_BDPV12</stp>
        <stp>912827PN Govt</stp>
        <stp>COUNTRY_FULL_NAME</stp>
        <stp>[TREASURY.xlsx]Sheet1!R903C8</stp>
        <tr r="H903" s="1"/>
      </tp>
      <tp t="s">
        <v>UNITED STATES</v>
        <stp/>
        <stp>##V3_BDPV12</stp>
        <stp>912810QB Govt</stp>
        <stp>COUNTRY_FULL_NAME</stp>
        <stp>[TREASURY.xlsx]Sheet1!R274C8</stp>
        <tr r="H274" s="1"/>
      </tp>
      <tp t="s">
        <v>UNITED STATES</v>
        <stp/>
        <stp>##V3_BDPV12</stp>
        <stp>912827R2 Govt</stp>
        <stp>COUNTRY_FULL_NAME</stp>
        <stp>[TREASURY.xlsx]Sheet1!R743C8</stp>
        <tr r="H743" s="1"/>
      </tp>
      <tp t="s">
        <v>UNITED STATES</v>
        <stp/>
        <stp>##V3_BDPV12</stp>
        <stp>912827RS Govt</stp>
        <stp>COUNTRY_FULL_NAME</stp>
        <stp>[TREASURY.xlsx]Sheet1!R913C8</stp>
        <tr r="H913" s="1"/>
      </tp>
      <tp t="s">
        <v>UNITED STATES</v>
        <stp/>
        <stp>##V3_BDPV12</stp>
        <stp>912810RU Govt</stp>
        <stp>COUNTRY_FULL_NAME</stp>
        <stp>[TREASURY.xlsx]Sheet1!R154C8</stp>
        <tr r="H154" s="1"/>
      </tp>
      <tp t="s">
        <v>UNITED STATES</v>
        <stp/>
        <stp>##V3_BDPV12</stp>
        <stp>912810RG Govt</stp>
        <stp>COUNTRY_FULL_NAME</stp>
        <stp>[TREASURY.xlsx]Sheet1!R284C8</stp>
        <tr r="H284" s="1"/>
      </tp>
      <tp t="s">
        <v>912827K92</v>
        <stp/>
        <stp>##V3_BDPV12</stp>
        <stp>912827K9 Govt</stp>
        <stp>ID_CUSIP</stp>
        <stp>[TREASURY.xlsx]Sheet1!R1160C19</stp>
        <tr r="S1160" s="1"/>
      </tp>
      <tp t="s">
        <v>UNITED STATES</v>
        <stp/>
        <stp>##V3_BDPV12</stp>
        <stp>912827T2 Govt</stp>
        <stp>COUNTRY_FULL_NAME</stp>
        <stp>[TREASURY.xlsx]Sheet1!R833C8</stp>
        <tr r="H833" s="1"/>
      </tp>
      <tp t="s">
        <v>UNITED STATES</v>
        <stp/>
        <stp>##V3_BDPV12</stp>
        <stp>912827UB Govt</stp>
        <stp>COUNTRY_FULL_NAME</stp>
        <stp>[TREASURY.xlsx]Sheet1!R753C8</stp>
        <tr r="H753" s="1"/>
      </tp>
      <tp t="s">
        <v>UNITED STATES</v>
        <stp/>
        <stp>##V3_BDPV12</stp>
        <stp>912827V9 Govt</stp>
        <stp>COUNTRY_FULL_NAME</stp>
        <stp>[TREASURY.xlsx]Sheet1!R923C8</stp>
        <tr r="H923" s="1"/>
      </tp>
      <tp t="s">
        <v>UNITED STATES</v>
        <stp/>
        <stp>##V3_BDPV12</stp>
        <stp>912827VQ Govt</stp>
        <stp>COUNTRY_FULL_NAME</stp>
        <stp>[TREASURY.xlsx]Sheet1!R763C8</stp>
        <tr r="H763" s="1"/>
      </tp>
      <tp t="s">
        <v>UNITED STATES</v>
        <stp/>
        <stp>##V3_BDPV12</stp>
        <stp>912827WR Govt</stp>
        <stp>COUNTRY_FULL_NAME</stp>
        <stp>[TREASURY.xlsx]Sheet1!R933C8</stp>
        <tr r="H933" s="1"/>
      </tp>
      <tp t="s">
        <v>912827K50</v>
        <stp/>
        <stp>##V3_BDPV12</stp>
        <stp>912827K5 Govt</stp>
        <stp>ID_CUSIP</stp>
        <stp>[TREASURY.xlsx]Sheet1!R1159C19</stp>
        <tr r="S1159" s="1"/>
      </tp>
      <tp t="s">
        <v>912828K66</v>
        <stp/>
        <stp>##V3_BDPV12</stp>
        <stp>912828K6 Govt</stp>
        <stp>ID_CUSIP</stp>
        <stp>[TREASURY.xlsx]Sheet1!R1248C19</stp>
        <tr r="S1248" s="1"/>
      </tp>
      <tp t="s">
        <v>UNITED STATES</v>
        <stp/>
        <stp>##V3_BDPV12</stp>
        <stp>912827XK Govt</stp>
        <stp>COUNTRY_FULL_NAME</stp>
        <stp>[TREASURY.xlsx]Sheet1!R773C8</stp>
        <tr r="H773" s="1"/>
      </tp>
      <tp t="s">
        <v>UNITED STATES</v>
        <stp/>
        <stp>##V3_BDPV12</stp>
        <stp>912827YE Govt</stp>
        <stp>COUNTRY_FULL_NAME</stp>
        <stp>[TREASURY.xlsx]Sheet1!R943C8</stp>
        <tr r="H943" s="1"/>
      </tp>
      <tp t="s">
        <v>912827K27</v>
        <stp/>
        <stp>##V3_BDPV12</stp>
        <stp>912827K2 Govt</stp>
        <stp>ID_CUSIP</stp>
        <stp>[TREASURY.xlsx]Sheet1!R1489C19</stp>
        <tr r="S1489" s="1"/>
      </tp>
      <tp t="s">
        <v>UNITED STATES</v>
        <stp/>
        <stp>##V3_BDPV12</stp>
        <stp>912827ZP Govt</stp>
        <stp>COUNTRY_FULL_NAME</stp>
        <stp>[TREASURY.xlsx]Sheet1!R953C8</stp>
        <tr r="H953" s="1"/>
      </tp>
      <tp t="s">
        <v>UNITED STATES</v>
        <stp/>
        <stp>##V3_BDPV12</stp>
        <stp>912827ZR Govt</stp>
        <stp>COUNTRY_FULL_NAME</stp>
        <stp>[TREASURY.xlsx]Sheet1!R783C8</stp>
        <tr r="H783" s="1"/>
      </tp>
      <tp t="s">
        <v>912828K25</v>
        <stp/>
        <stp>##V3_BDPV12</stp>
        <stp>912828K2 Govt</stp>
        <stp>ID_CUSIP</stp>
        <stp>[TREASURY.xlsx]Sheet1!R1287C19</stp>
        <tr r="S1287" s="1"/>
      </tp>
      <tp t="s">
        <v>912827K68</v>
        <stp/>
        <stp>##V3_BDPV12</stp>
        <stp>912827K6 Govt</stp>
        <stp>ID_CUSIP</stp>
        <stp>[TREASURY.xlsx]Sheet1!R1490C19</stp>
        <tr r="S1490" s="1"/>
      </tp>
      <tp t="s">
        <v>912827K76</v>
        <stp/>
        <stp>##V3_BDPV12</stp>
        <stp>912827K7 Govt</stp>
        <stp>ID_CUSIP</stp>
        <stp>[TREASURY.xlsx]Sheet1!R1563C19</stp>
        <tr r="S1563" s="1"/>
      </tp>
      <tp t="s">
        <v>912827K35</v>
        <stp/>
        <stp>##V3_BDPV12</stp>
        <stp>912827K3 Govt</stp>
        <stp>ID_CUSIP</stp>
        <stp>[TREASURY.xlsx]Sheet1!R1039C19</stp>
        <tr r="S1039" s="1"/>
      </tp>
      <tp t="s">
        <v>5/31/1999</v>
        <stp/>
        <stp>##V3_BDPV12</stp>
        <stp>912827Q2 Govt</stp>
        <stp>MATURITY</stp>
        <stp>[TREASURY.xlsx]Sheet1!R1176C5</stp>
        <tr r="E1176" s="1"/>
      </tp>
      <tp t="s">
        <v>7/15/1991</v>
        <stp/>
        <stp>##V3_BDPV12</stp>
        <stp>912827QZ Govt</stp>
        <stp>MATURITY</stp>
        <stp>[TREASURY.xlsx]Sheet1!R1576C5</stp>
        <tr r="E1576" s="1"/>
      </tp>
      <tp t="s">
        <v>11/15/1993</v>
        <stp/>
        <stp>##V3_BDPV12</stp>
        <stp>912827QD Govt</stp>
        <stp>MATURITY</stp>
        <stp>[TREASURY.xlsx]Sheet1!R1056C5</stp>
        <tr r="E1056" s="1"/>
      </tp>
      <tp t="s">
        <v>1/31/1986</v>
        <stp/>
        <stp>##V3_BDPV12</stp>
        <stp>912827QK Govt</stp>
        <stp>MATURITY</stp>
        <stp>[TREASURY.xlsx]Sheet1!R1496C5</stp>
        <tr r="E1496" s="1"/>
      </tp>
      <tp t="s">
        <v>2/15/2019</v>
        <stp/>
        <stp>##V3_BDPV12</stp>
        <stp>912828P5 Govt</stp>
        <stp>MATURITY</stp>
        <stp>[TREASURY.xlsx]Sheet1!R1259C5</stp>
        <tr r="E1259" s="1"/>
      </tp>
      <tp t="s">
        <v>3/31/1996</v>
        <stp/>
        <stp>##V3_BDPV12</stp>
        <stp>912827P3 Govt</stp>
        <stp>MATURITY</stp>
        <stp>[TREASURY.xlsx]Sheet1!R1386C5</stp>
        <tr r="E1386" s="1"/>
      </tp>
      <tp t="s">
        <v>10/31/2017</v>
        <stp/>
        <stp>##V3_BDPV12</stp>
        <stp>912828PF Govt</stp>
        <stp>MATURITY</stp>
        <stp>[TREASURY.xlsx]Sheet1!R1299C5</stp>
        <tr r="E1299" s="1"/>
      </tp>
      <tp t="s">
        <v>2/15/2005</v>
        <stp/>
        <stp>##V3_BDPV12</stp>
        <stp>912827S8 Govt</stp>
        <stp>MATURITY</stp>
        <stp>[TREASURY.xlsx]Sheet1!R1586C5</stp>
        <tr r="E1586" s="1"/>
      </tp>
      <tp t="s">
        <v>8/15/1995</v>
        <stp/>
        <stp>##V3_BDPV12</stp>
        <stp>912827SP Govt</stp>
        <stp>MATURITY</stp>
        <stp>[TREASURY.xlsx]Sheet1!R1186C5</stp>
        <tr r="E1186" s="1"/>
      </tp>
      <tp t="s">
        <v>11/15/1990</v>
        <stp/>
        <stp>##V3_BDPV12</stp>
        <stp>912827SR Govt</stp>
        <stp>MATURITY</stp>
        <stp>[TREASURY.xlsx]Sheet1!R1396C5</stp>
        <tr r="E1396" s="1"/>
      </tp>
      <tp t="s">
        <v>8/15/1988</v>
        <stp/>
        <stp>##V3_BDPV12</stp>
        <stp>912827SN Govt</stp>
        <stp>MATURITY</stp>
        <stp>[TREASURY.xlsx]Sheet1!R1066C5</stp>
        <tr r="E1066" s="1"/>
      </tp>
      <tp t="s">
        <v>US912828U246</v>
        <stp/>
        <stp>##V3_BDPV12</stp>
        <stp>912828U2 Govt</stp>
        <stp>ID_ISIN</stp>
        <stp>[TREASURY.xlsx]Sheet1!R84C12</stp>
        <tr r="L84" s="1"/>
      </tp>
      <tp t="s">
        <v>US912828J272</v>
        <stp/>
        <stp>##V3_BDPV12</stp>
        <stp>912828J2 Govt</stp>
        <stp>ID_ISIN</stp>
        <stp>[TREASURY.xlsx]Sheet1!R94C12</stp>
        <tr r="L94" s="1"/>
      </tp>
      <tp t="s">
        <v>2/15/1990</v>
        <stp/>
        <stp>##V3_BDPV12</stp>
        <stp>912827UN Govt</stp>
        <stp>MATURITY</stp>
        <stp>[TREASURY.xlsx]Sheet1!R1406C5</stp>
        <tr r="E1406" s="1"/>
      </tp>
      <tp t="s">
        <v>8/31/1988</v>
        <stp/>
        <stp>##V3_BDPV12</stp>
        <stp>912827TY Govt</stp>
        <stp>MATURITY</stp>
        <stp>[TREASURY.xlsx]Sheet1!R1076C5</stp>
        <tr r="E1076" s="1"/>
      </tp>
      <tp t="s">
        <v>8/15/1989</v>
        <stp/>
        <stp>##V3_BDPV12</stp>
        <stp>912827TX Govt</stp>
        <stp>MATURITY</stp>
        <stp>[TREASURY.xlsx]Sheet1!R1196C5</stp>
        <tr r="E1196" s="1"/>
      </tp>
      <tp t="s">
        <v>1/15/1993</v>
        <stp/>
        <stp>##V3_BDPV12</stp>
        <stp>912827TC Govt</stp>
        <stp>MATURITY</stp>
        <stp>[TREASURY.xlsx]Sheet1!R1506C5</stp>
        <tr r="E1506" s="1"/>
      </tp>
      <tp t="s">
        <v>2/15/1999</v>
        <stp/>
        <stp>##V3_BDPV12</stp>
        <stp>912827W7 Govt</stp>
        <stp>MATURITY</stp>
        <stp>[TREASURY.xlsx]Sheet1!R1416C5</stp>
        <tr r="E1416" s="1"/>
      </tp>
      <tp t="s">
        <v>3/31/1992</v>
        <stp/>
        <stp>##V3_BDPV12</stp>
        <stp>912827WA Govt</stp>
        <stp>MATURITY</stp>
        <stp>[TREASURY.xlsx]Sheet1!R1206C5</stp>
        <tr r="E1206" s="1"/>
      </tp>
      <tp t="s">
        <v>10/31/2020</v>
        <stp/>
        <stp>##V3_BDPV12</stp>
        <stp>912828WC Govt</stp>
        <stp>MATURITY</stp>
        <stp>[TREASURY.xlsx]Sheet1!R1139C5</stp>
        <tr r="E1139" s="1"/>
      </tp>
      <tp t="s">
        <v>9/15/2016</v>
        <stp/>
        <stp>##V3_BDPV12</stp>
        <stp>912828VW Govt</stp>
        <stp>MATURITY</stp>
        <stp>[TREASURY.xlsx]Sheet1!R1149C5</stp>
        <tr r="E1149" s="1"/>
      </tp>
      <tp t="s">
        <v>8/31/1989</v>
        <stp/>
        <stp>##V3_BDPV12</stp>
        <stp>912827VF Govt</stp>
        <stp>MATURITY</stp>
        <stp>[TREASURY.xlsx]Sheet1!R1086C5</stp>
        <tr r="E1086" s="1"/>
      </tp>
      <tp t="s">
        <v>2/29/1992</v>
        <stp/>
        <stp>##V3_BDPV12</stp>
        <stp>912827YP Govt</stp>
        <stp>MATURITY</stp>
        <stp>[TREASURY.xlsx]Sheet1!R1606C5</stp>
        <tr r="E1606" s="1"/>
      </tp>
      <tp t="s">
        <v>T</v>
        <stp/>
        <stp>##V3_BDPV12</stp>
        <stp>912828Z7 Govt</stp>
        <stp>TICKER</stp>
        <stp>[TREASURY.xlsx]Sheet1!R169C2</stp>
        <tr r="B169" s="1"/>
      </tp>
      <tp t="s">
        <v>8/15/1994</v>
        <stp/>
        <stp>##V3_BDPV12</stp>
        <stp>912827XQ Govt</stp>
        <stp>MATURITY</stp>
        <stp>[TREASURY.xlsx]Sheet1!R1096C5</stp>
        <tr r="E1096" s="1"/>
      </tp>
      <tp t="s">
        <v>6/30/1991</v>
        <stp/>
        <stp>##V3_BDPV12</stp>
        <stp>912827XR Govt</stp>
        <stp>MATURITY</stp>
        <stp>[TREASURY.xlsx]Sheet1!R1216C5</stp>
        <tr r="E1216" s="1"/>
      </tp>
      <tp t="s">
        <v>2/28/1991</v>
        <stp/>
        <stp>##V3_BDPV12</stp>
        <stp>912827XF Govt</stp>
        <stp>MATURITY</stp>
        <stp>[TREASURY.xlsx]Sheet1!R1596C5</stp>
        <tr r="E1596" s="1"/>
      </tp>
      <tp t="s">
        <v>T</v>
        <stp/>
        <stp>##V3_BDPV12</stp>
        <stp>912828U4 Govt</stp>
        <stp>TICKER</stp>
        <stp>[TREASURY.xlsx]Sheet1!R876C2</stp>
        <tr r="B876" s="1"/>
      </tp>
      <tp t="s">
        <v>10/15/2006</v>
        <stp/>
        <stp>##V3_BDPV12</stp>
        <stp>912827Z6 Govt</stp>
        <stp>MATURITY</stp>
        <stp>[TREASURY.xlsx]Sheet1!R1226C5</stp>
        <tr r="E1226" s="1"/>
      </tp>
      <tp t="s">
        <v>T</v>
        <stp/>
        <stp>##V3_BDPV12</stp>
        <stp>912828U5 Govt</stp>
        <stp>TICKER</stp>
        <stp>[TREASURY.xlsx]Sheet1!R246C2</stp>
        <tr r="B246" s="1"/>
      </tp>
      <tp t="s">
        <v>T</v>
        <stp/>
        <stp>##V3_BDPV12</stp>
        <stp>912828V5 Govt</stp>
        <stp>TICKER</stp>
        <stp>[TREASURY.xlsx]Sheet1!R655C2</stp>
        <tr r="B655" s="1"/>
      </tp>
      <tp t="s">
        <v>11/15/1994</v>
        <stp/>
        <stp>##V3_BDPV12</stp>
        <stp>912827C9 Govt</stp>
        <stp>MATURITY</stp>
        <stp>[TREASURY.xlsx]Sheet1!R1556C5</stp>
        <tr r="E1556" s="1"/>
      </tp>
      <tp t="s">
        <v>11/15/2008</v>
        <stp/>
        <stp>##V3_BDPV12</stp>
        <stp>912810CE Govt</stp>
        <stp>MATURITY</stp>
        <stp>[TREASURY.xlsx]Sheet1!R1441C5</stp>
        <tr r="E1441" s="1"/>
      </tp>
      <tp t="s">
        <v>6/30/1996</v>
        <stp/>
        <stp>##V3_BDPV12</stp>
        <stp>912827B4 Govt</stp>
        <stp>MATURITY</stp>
        <stp>[TREASURY.xlsx]Sheet1!R1476C5</stp>
        <tr r="E1476" s="1"/>
      </tp>
      <tp t="s">
        <v>2/29/2008</v>
        <stp/>
        <stp>##V3_BDPV12</stp>
        <stp>912828EY Govt</stp>
        <stp>MATURITY</stp>
        <stp>[TREASURY.xlsx]Sheet1!R1239C5</stp>
        <tr r="E1239" s="1"/>
      </tp>
      <tp t="s">
        <v>5/15/2005</v>
        <stp/>
        <stp>##V3_BDPV12</stp>
        <stp>912810DQ Govt</stp>
        <stp>MATURITY</stp>
        <stp>[TREASURY.xlsx]Sheet1!R1621C5</stp>
        <tr r="E1621" s="1"/>
      </tp>
      <tp t="s">
        <v>6/15/2010</v>
        <stp/>
        <stp>##V3_BDPV12</stp>
        <stp>912828DX Govt</stp>
        <stp>MATURITY</stp>
        <stp>[TREASURY.xlsx]Sheet1!R1429C5</stp>
        <tr r="E1429" s="1"/>
      </tp>
      <tp t="s">
        <v>8/15/2003</v>
        <stp/>
        <stp>##V3_BDPV12</stp>
        <stp>912810DE Govt</stp>
        <stp>MATURITY</stp>
        <stp>[TREASURY.xlsx]Sheet1!R1311C5</stp>
        <tr r="E1311" s="1"/>
      </tp>
      <tp t="s">
        <v>12/15/2009</v>
        <stp/>
        <stp>##V3_BDPV12</stp>
        <stp>912828DE Govt</stp>
        <stp>MATURITY</stp>
        <stp>[TREASURY.xlsx]Sheet1!R1109C5</stp>
        <tr r="E1109" s="1"/>
      </tp>
      <tp t="s">
        <v>8/31/1994</v>
        <stp/>
        <stp>##V3_BDPV12</stp>
        <stp>912827G6 Govt</stp>
        <stp>MATURITY</stp>
        <stp>[TREASURY.xlsx]Sheet1!R1036C5</stp>
        <tr r="E1036" s="1"/>
      </tp>
      <tp t="s">
        <v>8/15/2002</v>
        <stp/>
        <stp>##V3_BDPV12</stp>
        <stp>912827G5 Govt</stp>
        <stp>MATURITY</stp>
        <stp>[TREASURY.xlsx]Sheet1!R1156C5</stp>
        <tr r="E1156" s="1"/>
      </tp>
      <tp t="s">
        <v>9/30/1997</v>
        <stp/>
        <stp>##V3_BDPV12</stp>
        <stp>912827G9 Govt</stp>
        <stp>MATURITY</stp>
        <stp>[TREASURY.xlsx]Sheet1!R1486C5</stp>
        <tr r="E1486" s="1"/>
      </tp>
      <tp t="s">
        <v>2/29/2012</v>
        <stp/>
        <stp>##V3_BDPV12</stp>
        <stp>912828GK Govt</stp>
        <stp>MATURITY</stp>
        <stp>[TREASURY.xlsx]Sheet1!R1119C5</stp>
        <tr r="E1119" s="1"/>
      </tp>
      <tp t="s">
        <v>11/30/2008</v>
        <stp/>
        <stp>##V3_BDPV12</stp>
        <stp>912828FZ Govt</stp>
        <stp>MATURITY</stp>
        <stp>[TREASURY.xlsx]Sheet1!R1279C5</stp>
        <tr r="E1279" s="1"/>
      </tp>
      <tp t="s">
        <v>10/31/1994</v>
        <stp/>
        <stp>##V3_BDPV12</stp>
        <stp>912827H3 Govt</stp>
        <stp>MATURITY</stp>
        <stp>[TREASURY.xlsx]Sheet1!R1316C5</stp>
        <tr r="E1316" s="1"/>
      </tp>
      <tp t="s">
        <v>2/15/2012</v>
        <stp/>
        <stp>##V3_BDPV12</stp>
        <stp>912828KC Govt</stp>
        <stp>MATURITY</stp>
        <stp>[TREASURY.xlsx]Sheet1!R1249C5</stp>
        <tr r="E1249" s="1"/>
      </tp>
      <tp t="s">
        <v>2/28/1998</v>
        <stp/>
        <stp>##V3_BDPV12</stp>
        <stp>912827J9 Govt</stp>
        <stp>MATURITY</stp>
        <stp>[TREASURY.xlsx]Sheet1!R1376C5</stp>
        <tr r="E1376" s="1"/>
      </tp>
      <tp t="s">
        <v>11/30/1995</v>
        <stp/>
        <stp>##V3_BDPV12</stp>
        <stp>912827M9 Govt</stp>
        <stp>MATURITY</stp>
        <stp>[TREASURY.xlsx]Sheet1!R1166C5</stp>
        <tr r="E1166" s="1"/>
      </tp>
      <tp t="s">
        <v>12/31/1985</v>
        <stp/>
        <stp>##V3_BDPV12</stp>
        <stp>912827MS Govt</stp>
        <stp>MATURITY</stp>
        <stp>[TREASURY.xlsx]Sheet1!R1046C5</stp>
        <tr r="E1046" s="1"/>
      </tp>
      <tp t="s">
        <v>11/15/1991</v>
        <stp/>
        <stp>##V3_BDPV12</stp>
        <stp>912827MN Govt</stp>
        <stp>MATURITY</stp>
        <stp>[TREASURY.xlsx]Sheet1!R1326C5</stp>
        <tr r="E1326" s="1"/>
      </tp>
      <tp t="s">
        <v>7/31/2014</v>
        <stp/>
        <stp>##V3_BDPV12</stp>
        <stp>912828LC Govt</stp>
        <stp>MATURITY</stp>
        <stp>[TREASURY.xlsx]Sheet1!R1289C5</stp>
        <tr r="E1289" s="1"/>
      </tp>
      <tp t="s">
        <v>2/15/1986</v>
        <stp/>
        <stp>##V3_BDPV12</stp>
        <stp>912827LH Govt</stp>
        <stp>MATURITY</stp>
        <stp>[TREASURY.xlsx]Sheet1!R1566C5</stp>
        <tr r="E1566" s="1"/>
      </tp>
      <tp t="s">
        <v>9/15/2012</v>
        <stp/>
        <stp>##V3_BDPV12</stp>
        <stp>912828LM Govt</stp>
        <stp>MATURITY</stp>
        <stp>[TREASURY.xlsx]Sheet1!R1129C5</stp>
        <tr r="E1129" s="1"/>
      </tp>
      <tp t="s">
        <v>12/31/1986</v>
        <stp/>
        <stp>##V3_BDPV12</stp>
        <stp>912827NZ Govt</stp>
        <stp>MATURITY</stp>
        <stp>[TREASURY.xlsx]Sheet1!R1336C5</stp>
        <tr r="E1336" s="1"/>
      </tp>
      <tp t="s">
        <v>2/15/2001</v>
        <stp/>
        <stp>##V3_BDPV12</stp>
        <stp>9128273W Govt</stp>
        <stp>MATURITY</stp>
        <stp>[TREASURY.xlsx]Sheet1!R1456C5</stp>
        <tr r="E1456" s="1"/>
      </tp>
      <tp t="s">
        <v>2/15/2021</v>
        <stp/>
        <stp>##V3_BDPV12</stp>
        <stp>9128283X Govt</stp>
        <stp>MATURITY</stp>
        <stp>[TREASURY.xlsx]Sheet1!R1269C5</stp>
        <tr r="E1269" s="1"/>
      </tp>
      <tp t="s">
        <v>8/15/2007</v>
        <stp/>
        <stp>##V3_BDPV12</stp>
        <stp>9128273E Govt</stp>
        <stp>MATURITY</stp>
        <stp>[TREASURY.xlsx]Sheet1!R1526C5</stp>
        <tr r="E1526" s="1"/>
      </tp>
      <tp t="s">
        <v>10/31/1999</v>
        <stp/>
        <stp>##V3_BDPV12</stp>
        <stp>9128273K Govt</stp>
        <stp>MATURITY</stp>
        <stp>[TREASURY.xlsx]Sheet1!R1356C5</stp>
        <tr r="E1356" s="1"/>
      </tp>
      <tp t="s">
        <v>T</v>
        <stp/>
        <stp>##V3_BDPV12</stp>
        <stp>912828WZ Govt</stp>
        <stp>TICKER</stp>
        <stp>[TREASURY.xlsx]Sheet1!R244C2</stp>
        <tr r="B244" s="1"/>
      </tp>
      <tp t="s">
        <v>T</v>
        <stp/>
        <stp>##V3_BDPV12</stp>
        <stp>912828VZ Govt</stp>
        <stp>TICKER</stp>
        <stp>[TREASURY.xlsx]Sheet1!R695C2</stp>
        <tr r="B695" s="1"/>
      </tp>
      <tp t="s">
        <v>8/31/2001</v>
        <stp/>
        <stp>##V3_BDPV12</stp>
        <stp>9128275P Govt</stp>
        <stp>MATURITY</stp>
        <stp>[TREASURY.xlsx]Sheet1!R1016C5</stp>
        <tr r="E1016" s="1"/>
      </tp>
      <tp t="s">
        <v>6/30/2003</v>
        <stp/>
        <stp>##V3_BDPV12</stp>
        <stp>9128274K Govt</stp>
        <stp>MATURITY</stp>
        <stp>[TREASURY.xlsx]Sheet1!R1366C5</stp>
        <tr r="E1366" s="1"/>
      </tp>
      <tp t="s">
        <v>T</v>
        <stp/>
        <stp>##V3_BDPV12</stp>
        <stp>912828TX Govt</stp>
        <stp>TICKER</stp>
        <stp>[TREASURY.xlsx]Sheet1!R467C2</stp>
        <tr r="B467" s="1"/>
      </tp>
      <tp t="s">
        <v>T</v>
        <stp/>
        <stp>##V3_BDPV12</stp>
        <stp>912828SX Govt</stp>
        <stp>TICKER</stp>
        <stp>[TREASURY.xlsx]Sheet1!R870C2</stp>
        <tr r="B870" s="1"/>
      </tp>
      <tp t="s">
        <v>2/15/2012</v>
        <stp/>
        <stp>##V3_BDPV12</stp>
        <stp>9128277L Govt</stp>
        <stp>MATURITY</stp>
        <stp>[TREASURY.xlsx]Sheet1!R1546C5</stp>
        <tr r="E1546" s="1"/>
      </tp>
      <tp t="s">
        <v>T</v>
        <stp/>
        <stp>##V3_BDPV12</stp>
        <stp>912810RY Govt</stp>
        <stp>TICKER</stp>
        <stp>[TREASURY.xlsx]Sheet1!R191C2</stp>
        <tr r="B191" s="1"/>
      </tp>
      <tp t="s">
        <v>6/30/2003</v>
        <stp/>
        <stp>##V3_BDPV12</stp>
        <stp>9128276Z Govt</stp>
        <stp>MATURITY</stp>
        <stp>[TREASURY.xlsx]Sheet1!R1026C5</stp>
        <tr r="E1026" s="1"/>
      </tp>
      <tp t="s">
        <v>6/30/2002</v>
        <stp/>
        <stp>##V3_BDPV12</stp>
        <stp>9128276F Govt</stp>
        <stp>MATURITY</stp>
        <stp>[TREASURY.xlsx]Sheet1!R1466C5</stp>
        <tr r="E1466" s="1"/>
      </tp>
      <tp t="s">
        <v>5/31/2002</v>
        <stp/>
        <stp>##V3_BDPV12</stp>
        <stp>9128276E Govt</stp>
        <stp>MATURITY</stp>
        <stp>[TREASURY.xlsx]Sheet1!R1536C5</stp>
        <tr r="E1536" s="1"/>
      </tp>
      <tp t="s">
        <v>T</v>
        <stp/>
        <stp>##V3_BDPV12</stp>
        <stp>912828ZV Govt</stp>
        <stp>TICKER</stp>
        <stp>[TREASURY.xlsx]Sheet1!R159C2</stp>
        <tr r="B159" s="1"/>
      </tp>
      <tp t="s">
        <v>T</v>
        <stp/>
        <stp>##V3_BDPV12</stp>
        <stp>912827UT Govt</stp>
        <stp>TICKER</stp>
        <stp>[TREASURY.xlsx]Sheet1!R756C2</stp>
        <tr r="B756" s="1"/>
      </tp>
      <tp t="s">
        <v>T</v>
        <stp/>
        <stp>##V3_BDPV12</stp>
        <stp>912827VT Govt</stp>
        <stp>TICKER</stp>
        <stp>[TREASURY.xlsx]Sheet1!R765C2</stp>
        <tr r="B765" s="1"/>
      </tp>
      <tp t="s">
        <v>T</v>
        <stp/>
        <stp>##V3_BDPV12</stp>
        <stp>912810SR Govt</stp>
        <stp>TICKER</stp>
        <stp>[TREASURY.xlsx]Sheet1!R100C2</stp>
        <tr r="B100" s="1"/>
      </tp>
      <tp t="s">
        <v>NORMAL</v>
        <stp/>
        <stp>##V3_BDPV12</stp>
        <stp>912810EC Govt</stp>
        <stp>MTY_TYP</stp>
        <stp>[TREASURY.xlsx]Sheet1!R612C6</stp>
        <tr r="F612" s="1"/>
      </tp>
      <tp t="s">
        <v>NORMAL</v>
        <stp/>
        <stp>##V3_BDPV12</stp>
        <stp>912810SF Govt</stp>
        <stp>MTY_TYP</stp>
        <stp>[TREASURY.xlsx]Sheet1!R177C6</stp>
        <tr r="F177" s="1"/>
      </tp>
      <tp t="s">
        <v>NORMAL</v>
        <stp/>
        <stp>##V3_BDPV12</stp>
        <stp>912810QA Govt</stp>
        <stp>MTY_TYP</stp>
        <stp>[TREASURY.xlsx]Sheet1!R280C6</stp>
        <tr r="F280" s="1"/>
      </tp>
      <tp t="s">
        <v>NORMAL</v>
        <stp/>
        <stp>##V3_BDPV12</stp>
        <stp>912810RH Govt</stp>
        <stp>MTY_TYP</stp>
        <stp>[TREASURY.xlsx]Sheet1!R259C6</stp>
        <tr r="F259" s="1"/>
      </tp>
      <tp t="s">
        <v>NORMAL</v>
        <stp/>
        <stp>##V3_BDPV12</stp>
        <stp>912810RD Govt</stp>
        <stp>MTY_TYP</stp>
        <stp>[TREASURY.xlsx]Sheet1!R235C6</stp>
        <tr r="F235" s="1"/>
      </tp>
      <tp t="s">
        <v>T</v>
        <stp/>
        <stp>##V3_BDPV12</stp>
        <stp>912828QS Govt</stp>
        <stp>TICKER</stp>
        <stp>[TREASURY.xlsx]Sheet1!R992C2</stp>
        <tr r="B992" s="1"/>
      </tp>
      <tp t="s">
        <v>NORMAL</v>
        <stp/>
        <stp>##V3_BDPV12</stp>
        <stp>912827UB Govt</stp>
        <stp>MTY_TYP</stp>
        <stp>[TREASURY.xlsx]Sheet1!R753C6</stp>
        <tr r="F753" s="1"/>
      </tp>
      <tp t="s">
        <v>NORMAL</v>
        <stp/>
        <stp>##V3_BDPV12</stp>
        <stp>912827PF Govt</stp>
        <stp>MTY_TYP</stp>
        <stp>[TREASURY.xlsx]Sheet1!R737C6</stp>
        <tr r="F737" s="1"/>
      </tp>
      <tp t="s">
        <v>NORMAL</v>
        <stp/>
        <stp>##V3_BDPV12</stp>
        <stp>912827MA Govt</stp>
        <stp>MTY_TYP</stp>
        <stp>[TREASURY.xlsx]Sheet1!R720C6</stp>
        <tr r="F720" s="1"/>
      </tp>
      <tp t="s">
        <v>NORMAL</v>
        <stp/>
        <stp>##V3_BDPV12</stp>
        <stp>912828HG Govt</stp>
        <stp>MTY_TYP</stp>
        <stp>[TREASURY.xlsx]Sheet1!R806C6</stp>
        <tr r="F806" s="1"/>
      </tp>
      <tp t="s">
        <v>NORMAL</v>
        <stp/>
        <stp>##V3_BDPV12</stp>
        <stp>912828NC Govt</stp>
        <stp>MTY_TYP</stp>
        <stp>[TREASURY.xlsx]Sheet1!R862C6</stp>
        <tr r="F862" s="1"/>
      </tp>
      <tp t="s">
        <v>NORMAL</v>
        <stp/>
        <stp>##V3_BDPV12</stp>
        <stp>912828TF Govt</stp>
        <stp>MTY_TYP</stp>
        <stp>[TREASURY.xlsx]Sheet1!R997C6</stp>
        <tr r="F997" s="1"/>
      </tp>
      <tp t="s">
        <v>NORMAL</v>
        <stp/>
        <stp>##V3_BDPV12</stp>
        <stp>912827PH Govt</stp>
        <stp>MTY_TYP</stp>
        <stp>[TREASURY.xlsx]Sheet1!R499C6</stp>
        <tr r="F499" s="1"/>
      </tp>
      <tp t="s">
        <v>NORMAL</v>
        <stp/>
        <stp>##V3_BDPV12</stp>
        <stp>912828SG Govt</stp>
        <stp>MTY_TYP</stp>
        <stp>[TREASURY.xlsx]Sheet1!R496C6</stp>
        <tr r="F496" s="1"/>
      </tp>
      <tp t="s">
        <v>NORMAL</v>
        <stp/>
        <stp>##V3_BDPV12</stp>
        <stp>912828TA Govt</stp>
        <stp>MTY_TYP</stp>
        <stp>[TREASURY.xlsx]Sheet1!R520C6</stp>
        <tr r="F520" s="1"/>
      </tp>
      <tp t="s">
        <v>NORMAL</v>
        <stp/>
        <stp>##V3_BDPV12</stp>
        <stp>912828EG Govt</stp>
        <stp>MTY_TYP</stp>
        <stp>[TREASURY.xlsx]Sheet1!R596C6</stp>
        <tr r="F596" s="1"/>
      </tp>
      <tp t="s">
        <v>NORMAL</v>
        <stp/>
        <stp>##V3_BDPV12</stp>
        <stp>912828JF Govt</stp>
        <stp>MTY_TYP</stp>
        <stp>[TREASURY.xlsx]Sheet1!R537C6</stp>
        <tr r="F537" s="1"/>
      </tp>
      <tp t="s">
        <v>NORMAL</v>
        <stp/>
        <stp>##V3_BDPV12</stp>
        <stp>912828ME Govt</stp>
        <stp>MTY_TYP</stp>
        <stp>[TREASURY.xlsx]Sheet1!R574C6</stp>
        <tr r="F574" s="1"/>
      </tp>
      <tp t="s">
        <v>NORMAL</v>
        <stp/>
        <stp>##V3_BDPV12</stp>
        <stp>912828CH Govt</stp>
        <stp>MTY_TYP</stp>
        <stp>[TREASURY.xlsx]Sheet1!R559C6</stp>
        <tr r="F559" s="1"/>
      </tp>
      <tp t="s">
        <v>NORMAL</v>
        <stp/>
        <stp>##V3_BDPV12</stp>
        <stp>912827XD Govt</stp>
        <stp>MTY_TYP</stp>
        <stp>[TREASURY.xlsx]Sheet1!R935C6</stp>
        <tr r="F935" s="1"/>
      </tp>
      <tp t="s">
        <v>NORMAL</v>
        <stp/>
        <stp>##V3_BDPV12</stp>
        <stp>912827QG Govt</stp>
        <stp>MTY_TYP</stp>
        <stp>[TREASURY.xlsx]Sheet1!R906C6</stp>
        <tr r="F906" s="1"/>
      </tp>
      <tp t="s">
        <v>NORMAL</v>
        <stp/>
        <stp>##V3_BDPV12</stp>
        <stp>912828ND Govt</stp>
        <stp>MTY_TYP</stp>
        <stp>[TREASURY.xlsx]Sheet1!R645C6</stp>
        <tr r="F645" s="1"/>
      </tp>
      <tp t="s">
        <v>NORMAL</v>
        <stp/>
        <stp>##V3_BDPV12</stp>
        <stp>912827MG Govt</stp>
        <stp>MTY_TYP</stp>
        <stp>[TREASURY.xlsx]Sheet1!R896C6</stp>
        <tr r="F896" s="1"/>
      </tp>
      <tp t="s">
        <v>NORMAL</v>
        <stp/>
        <stp>##V3_BDPV12</stp>
        <stp>912828XG Govt</stp>
        <stp>MTY_TYP</stp>
        <stp>[TREASURY.xlsx]Sheet1!R196C6</stp>
        <tr r="F196" s="1"/>
      </tp>
      <tp t="s">
        <v>NORMAL</v>
        <stp/>
        <stp>##V3_BDPV12</stp>
        <stp>912828ZA Govt</stp>
        <stp>MTY_TYP</stp>
        <stp>[TREASURY.xlsx]Sheet1!R190C6</stp>
        <tr r="F190" s="1"/>
      </tp>
      <tp t="s">
        <v>NORMAL</v>
        <stp/>
        <stp>##V3_BDPV12</stp>
        <stp>9128286C Govt</stp>
        <stp>MTY_TYP</stp>
        <stp>[TREASURY.xlsx]Sheet1!R272C6</stp>
        <tr r="F272" s="1"/>
      </tp>
      <tp t="s">
        <v>NORMAL</v>
        <stp/>
        <stp>##V3_BDPV12</stp>
        <stp>9128282B Govt</stp>
        <stp>MTY_TYP</stp>
        <stp>[TREASURY.xlsx]Sheet1!R373C6</stp>
        <tr r="F373" s="1"/>
      </tp>
      <tp t="s">
        <v>NORMAL</v>
        <stp/>
        <stp>##V3_BDPV12</stp>
        <stp>912828DC Govt</stp>
        <stp>MTY_TYP</stp>
        <stp>[TREASURY.xlsx]Sheet1!R352C6</stp>
        <tr r="F352" s="1"/>
      </tp>
      <tp t="s">
        <v>T</v>
        <stp/>
        <stp>##V3_BDPV12</stp>
        <stp>912827QP Govt</stp>
        <stp>TICKER</stp>
        <stp>[TREASURY.xlsx]Sheet1!R742C2</stp>
        <tr r="B742" s="1"/>
      </tp>
      <tp t="s">
        <v>T</v>
        <stp/>
        <stp>##V3_BDPV12</stp>
        <stp>912828SN Govt</stp>
        <stp>TICKER</stp>
        <stp>[TREASURY.xlsx]Sheet1!R670C2</stp>
        <tr r="B670" s="1"/>
      </tp>
      <tp t="s">
        <v>T</v>
        <stp/>
        <stp>##V3_BDPV12</stp>
        <stp>912827PN Govt</stp>
        <stp>TICKER</stp>
        <stp>[TREASURY.xlsx]Sheet1!R903C2</stp>
        <tr r="B903" s="1"/>
      </tp>
      <tp t="s">
        <v>T</v>
        <stp/>
        <stp>##V3_BDPV12</stp>
        <stp>912827VN Govt</stp>
        <stp>TICKER</stp>
        <stp>[TREASURY.xlsx]Sheet1!R925C2</stp>
        <tr r="B925" s="1"/>
      </tp>
      <tp t="s">
        <v>T</v>
        <stp/>
        <stp>##V3_BDPV12</stp>
        <stp>912828PL Govt</stp>
        <stp>TICKER</stp>
        <stp>[TREASURY.xlsx]Sheet1!R983C2</stp>
        <tr r="B983" s="1"/>
      </tp>
      <tp t="s">
        <v>T</v>
        <stp/>
        <stp>##V3_BDPV12</stp>
        <stp>912828PM Govt</stp>
        <stp>TICKER</stp>
        <stp>[TREASURY.xlsx]Sheet1!R593C2</stp>
        <tr r="B593" s="1"/>
      </tp>
      <tp t="s">
        <v>T</v>
        <stp/>
        <stp>##V3_BDPV12</stp>
        <stp>912827RK Govt</stp>
        <stp>TICKER</stp>
        <stp>[TREASURY.xlsx]Sheet1!R911C2</stp>
        <tr r="B911" s="1"/>
      </tp>
      <tp t="s">
        <v>T</v>
        <stp/>
        <stp>##V3_BDPV12</stp>
        <stp>912828SH Govt</stp>
        <stp>TICKER</stp>
        <stp>[TREASURY.xlsx]Sheet1!R360C2</stp>
        <tr r="B360" s="1"/>
      </tp>
      <tp t="s">
        <v>T</v>
        <stp/>
        <stp>##V3_BDPV12</stp>
        <stp>912828TF Govt</stp>
        <stp>TICKER</stp>
        <stp>[TREASURY.xlsx]Sheet1!R997C2</stp>
        <tr r="B997" s="1"/>
      </tp>
      <tp t="s">
        <v>T</v>
        <stp/>
        <stp>##V3_BDPV12</stp>
        <stp>912828UD Govt</stp>
        <stp>TICKER</stp>
        <stp>[TREASURY.xlsx]Sheet1!R586C2</stp>
        <tr r="B586" s="1"/>
      </tp>
      <tp t="s">
        <v>T</v>
        <stp/>
        <stp>##V3_BDPV12</stp>
        <stp>912810QE Govt</stp>
        <stp>TICKER</stp>
        <stp>[TREASURY.xlsx]Sheet1!R302C2</stp>
        <tr r="B302" s="1"/>
      </tp>
      <tp t="s">
        <v>T</v>
        <stp/>
        <stp>##V3_BDPV12</stp>
        <stp>912828UE Govt</stp>
        <stp>TICKER</stp>
        <stp>[TREASURY.xlsx]Sheet1!R446C2</stp>
        <tr r="B446" s="1"/>
      </tp>
      <tp t="s">
        <v>T</v>
        <stp/>
        <stp>##V3_BDPV12</stp>
        <stp>912828TB Govt</stp>
        <stp>TICKER</stp>
        <stp>[TREASURY.xlsx]Sheet1!R637C2</stp>
        <tr r="B637" s="1"/>
      </tp>
      <tp t="s">
        <v>T</v>
        <stp/>
        <stp>##V3_BDPV12</stp>
        <stp>912827ZC Govt</stp>
        <stp>TICKER</stp>
        <stp>[TREASURY.xlsx]Sheet1!R779C2</stp>
        <tr r="B779" s="1"/>
      </tp>
      <tp t="s">
        <v>T</v>
        <stp/>
        <stp>##V3_BDPV12</stp>
        <stp>912827UA Govt</stp>
        <stp>TICKER</stp>
        <stp>[TREASURY.xlsx]Sheet1!R836C2</stp>
        <tr r="B836" s="1"/>
      </tp>
      <tp t="s">
        <v>912828KN9</v>
        <stp/>
        <stp>##V3_BDPV12</stp>
        <stp>912828KN Govt</stp>
        <stp>ID_CUSIP</stp>
        <stp>[TREASURY.xlsx]Sheet1!R1250C19</stp>
        <tr r="S1250" s="1"/>
      </tp>
      <tp t="s">
        <v>T</v>
        <stp/>
        <stp>##V3_BDPV12</stp>
        <stp>912828WQ Govt</stp>
        <stp>TICKER</stp>
        <stp>[TREASURY.xlsx]Sheet1!R1006C2</stp>
        <tr r="B1006" s="1"/>
      </tp>
      <tp t="s">
        <v>T</v>
        <stp/>
        <stp>##V3_BDPV12</stp>
        <stp>912828CQ Govt</stp>
        <stp>TICKER</stp>
        <stp>[TREASURY.xlsx]Sheet1!R1236C2</stp>
        <tr r="B1236" s="1"/>
      </tp>
      <tp t="s">
        <v>T</v>
        <stp/>
        <stp>##V3_BDPV12</stp>
        <stp>912828LV Govt</stp>
        <stp>TICKER</stp>
        <stp>[TREASURY.xlsx]Sheet1!R1291C2</stp>
        <tr r="B1291" s="1"/>
      </tp>
      <tp t="s">
        <v>T</v>
        <stp/>
        <stp>##V3_BDPV12</stp>
        <stp>912828RU Govt</stp>
        <stp>TICKER</stp>
        <stp>[TREASURY.xlsx]Sheet1!R1302C2</stp>
        <tr r="B1302" s="1"/>
      </tp>
      <tp t="s">
        <v>T</v>
        <stp/>
        <stp>##V3_BDPV12</stp>
        <stp>912827NS Govt</stp>
        <stp>TICKER</stp>
        <stp>[TREASURY.xlsx]Sheet1!R1334C2</stp>
        <tr r="B1334" s="1"/>
      </tp>
      <tp t="s">
        <v>T</v>
        <stp/>
        <stp>##V3_BDPV12</stp>
        <stp>912827MV Govt</stp>
        <stp>TICKER</stp>
        <stp>[TREASURY.xlsx]Sheet1!R1381C2</stp>
        <tr r="B1381" s="1"/>
      </tp>
      <tp t="s">
        <v>T</v>
        <stp/>
        <stp>##V3_BDPV12</stp>
        <stp>912827LW Govt</stp>
        <stp>TICKER</stp>
        <stp>[TREASURY.xlsx]Sheet1!R1380C2</stp>
        <tr r="B1380" s="1"/>
      </tp>
      <tp t="s">
        <v>T</v>
        <stp/>
        <stp>##V3_BDPV12</stp>
        <stp>912827PV Govt</stp>
        <stp>TICKER</stp>
        <stp>[TREASURY.xlsx]Sheet1!R1391C2</stp>
        <tr r="B1391" s="1"/>
      </tp>
      <tp t="s">
        <v>T</v>
        <stp/>
        <stp>##V3_BDPV12</stp>
        <stp>912827ZV Govt</stp>
        <stp>TICKER</stp>
        <stp>[TREASURY.xlsx]Sheet1!R1231C2</stp>
        <tr r="B1231" s="1"/>
      </tp>
      <tp t="s">
        <v>T</v>
        <stp/>
        <stp>##V3_BDPV12</stp>
        <stp>912827XQ Govt</stp>
        <stp>TICKER</stp>
        <stp>[TREASURY.xlsx]Sheet1!R1096C2</stp>
        <tr r="B1096" s="1"/>
      </tp>
      <tp t="s">
        <v>T</v>
        <stp/>
        <stp>##V3_BDPV12</stp>
        <stp>9128274U Govt</stp>
        <stp>TICKER</stp>
        <stp>[TREASURY.xlsx]Sheet1!R1012C2</stp>
        <tr r="B1012" s="1"/>
      </tp>
      <tp t="s">
        <v>T</v>
        <stp/>
        <stp>##V3_BDPV12</stp>
        <stp>912827WU Govt</stp>
        <stp>TICKER</stp>
        <stp>[TREASURY.xlsx]Sheet1!R1422C2</stp>
        <tr r="B1422" s="1"/>
      </tp>
      <tp t="s">
        <v>T</v>
        <stp/>
        <stp>##V3_BDPV12</stp>
        <stp>912827VU Govt</stp>
        <stp>TICKER</stp>
        <stp>[TREASURY.xlsx]Sheet1!R1412C2</stp>
        <tr r="B1412" s="1"/>
      </tp>
      <tp t="s">
        <v>912827KL5</v>
        <stp/>
        <stp>##V3_BDPV12</stp>
        <stp>912827KL Govt</stp>
        <stp>ID_CUSIP</stp>
        <stp>[TREASURY.xlsx]Sheet1!R1377C19</stp>
        <tr r="S1377" s="1"/>
      </tp>
      <tp t="s">
        <v>912828KH2</v>
        <stp/>
        <stp>##V3_BDPV12</stp>
        <stp>912828KH Govt</stp>
        <stp>ID_CUSIP</stp>
        <stp>[TREASURY.xlsx]Sheet1!R1123C19</stp>
        <tr r="S1123" s="1"/>
      </tp>
      <tp t="s">
        <v>912828KK5</v>
        <stp/>
        <stp>##V3_BDPV12</stp>
        <stp>912828KK Govt</stp>
        <stp>ID_CUSIP</stp>
        <stp>[TREASURY.xlsx]Sheet1!R1124C19</stp>
        <tr r="S1124" s="1"/>
      </tp>
      <tp t="s">
        <v>USD</v>
        <stp/>
        <stp>##V3_BDPV12</stp>
        <stp>912827YT Govt</stp>
        <stp>CRNCY</stp>
        <stp>[TREASURY.xlsx]Sheet1!R1101C7</stp>
        <tr r="G1101" s="1"/>
      </tp>
      <tp t="s">
        <v>USD</v>
        <stp/>
        <stp>##V3_BDPV12</stp>
        <stp>912827QT Govt</stp>
        <stp>CRNCY</stp>
        <stp>[TREASURY.xlsx]Sheet1!R1059C7</stp>
        <tr r="G1059" s="1"/>
      </tp>
      <tp t="s">
        <v>USD</v>
        <stp/>
        <stp>##V3_BDPV12</stp>
        <stp>912827ZT Govt</stp>
        <stp>CRNCY</stp>
        <stp>[TREASURY.xlsx]Sheet1!R1612C7</stp>
        <tr r="G1612" s="1"/>
      </tp>
      <tp t="s">
        <v>912828KG4</v>
        <stp/>
        <stp>##V3_BDPV12</stp>
        <stp>912828KG Govt</stp>
        <stp>ID_CUSIP</stp>
        <stp>[TREASURY.xlsx]Sheet1!R1288C19</stp>
        <tr r="S1288" s="1"/>
      </tp>
      <tp t="s">
        <v>USD</v>
        <stp/>
        <stp>##V3_BDPV12</stp>
        <stp>912827XY Govt</stp>
        <stp>CRNCY</stp>
        <stp>[TREASURY.xlsx]Sheet1!R1600C7</stp>
        <tr r="G1600" s="1"/>
      </tp>
      <tp t="s">
        <v>912828KC3</v>
        <stp/>
        <stp>##V3_BDPV12</stp>
        <stp>912828KC Govt</stp>
        <stp>ID_CUSIP</stp>
        <stp>[TREASURY.xlsx]Sheet1!R1249C19</stp>
        <tr r="S1249" s="1"/>
      </tp>
      <tp t="s">
        <v>USD</v>
        <stp/>
        <stp>##V3_BDPV12</stp>
        <stp>912827PB Govt</stp>
        <stp>CRNCY</stp>
        <stp>[TREASURY.xlsx]Sheet1!R1388C7</stp>
        <tr r="G1388" s="1"/>
      </tp>
      <tp t="s">
        <v>NORMAL</v>
        <stp/>
        <stp>##V3_BDPV12</stp>
        <stp>912810EB Govt</stp>
        <stp>MTY_TYP</stp>
        <stp>[TREASURY.xlsx]Sheet1!R1624C6</stp>
        <tr r="F1624" s="1"/>
      </tp>
      <tp t="s">
        <v>NORMAL</v>
        <stp/>
        <stp>##V3_BDPV12</stp>
        <stp>912810CR Govt</stp>
        <stp>MTY_TYP</stp>
        <stp>[TREASURY.xlsx]Sheet1!R1344C6</stp>
        <tr r="F1344" s="1"/>
      </tp>
      <tp t="s">
        <v>NORMAL</v>
        <stp/>
        <stp>##V3_BDPV12</stp>
        <stp>912810DD Govt</stp>
        <stp>MTY_TYP</stp>
        <stp>[TREASURY.xlsx]Sheet1!R1444C6</stp>
        <tr r="F1444" s="1"/>
      </tp>
      <tp t="s">
        <v>CALLABLE</v>
        <stp/>
        <stp>##V3_BDPV12</stp>
        <stp>912810BZ Govt</stp>
        <stp>MTY_TYP</stp>
        <stp>[TREASURY.xlsx]Sheet1!R1514C6</stp>
        <tr r="F1514" s="1"/>
      </tp>
      <tp t="s">
        <v>912828KX7</v>
        <stp/>
        <stp>##V3_BDPV12</stp>
        <stp>912828KX Govt</stp>
        <stp>ID_CUSIP</stp>
        <stp>[TREASURY.xlsx]Sheet1!R1126C19</stp>
        <tr r="S1126" s="1"/>
      </tp>
      <tp t="s">
        <v>912827KX9</v>
        <stp/>
        <stp>##V3_BDPV12</stp>
        <stp>912827KX Govt</stp>
        <stp>ID_CUSIP</stp>
        <stp>[TREASURY.xlsx]Sheet1!R1162C19</stp>
        <tr r="S1162" s="1"/>
      </tp>
      <tp t="s">
        <v>UNITED STATES</v>
        <stp/>
        <stp>##V3_BDPV12</stp>
        <stp>9128275X Govt</stp>
        <stp>COUNTRY_FULL_NAME</stp>
        <stp>[TREASURY.xlsx]Sheet1!R633C8</stp>
        <tr r="H633" s="1"/>
      </tp>
      <tp t="s">
        <v>UNITED STATES</v>
        <stp/>
        <stp>##V3_BDPV12</stp>
        <stp>9128275E Govt</stp>
        <stp>COUNTRY_FULL_NAME</stp>
        <stp>[TREASURY.xlsx]Sheet1!R553C8</stp>
        <tr r="H553" s="1"/>
      </tp>
      <tp t="s">
        <v>NORMAL</v>
        <stp/>
        <stp>##V3_BDPV12</stp>
        <stp>9128276H Govt</stp>
        <stp>MTY_TYP</stp>
        <stp>[TREASURY.xlsx]Sheet1!R1537C6</stp>
        <tr r="F1537" s="1"/>
      </tp>
      <tp t="s">
        <v>NORMAL</v>
        <stp/>
        <stp>##V3_BDPV12</stp>
        <stp>9128276U Govt</stp>
        <stp>MTY_TYP</stp>
        <stp>[TREASURY.xlsx]Sheet1!R1467C6</stp>
        <tr r="F1467" s="1"/>
      </tp>
      <tp t="s">
        <v>NORMAL</v>
        <stp/>
        <stp>##V3_BDPV12</stp>
        <stp>9128273M Govt</stp>
        <stp>MTY_TYP</stp>
        <stp>[TREASURY.xlsx]Sheet1!R1357C6</stp>
        <tr r="F1357" s="1"/>
      </tp>
      <tp t="s">
        <v>NORMAL</v>
        <stp/>
        <stp>##V3_BDPV12</stp>
        <stp>9128274A Govt</stp>
        <stp>MTY_TYP</stp>
        <stp>[TREASURY.xlsx]Sheet1!R1457C6</stp>
        <tr r="F1457" s="1"/>
      </tp>
      <tp t="s">
        <v>NORMAL</v>
        <stp/>
        <stp>##V3_BDPV12</stp>
        <stp>9128274Q Govt</stp>
        <stp>MTY_TYP</stp>
        <stp>[TREASURY.xlsx]Sheet1!R1367C6</stp>
        <tr r="F1367" s="1"/>
      </tp>
      <tp t="s">
        <v>NORMAL</v>
        <stp/>
        <stp>##V3_BDPV12</stp>
        <stp>9128272G Govt</stp>
        <stp>MTY_TYP</stp>
        <stp>[TREASURY.xlsx]Sheet1!R1517C6</stp>
        <tr r="F1517" s="1"/>
      </tp>
      <tp t="s">
        <v>NORMAL</v>
        <stp/>
        <stp>##V3_BDPV12</stp>
        <stp>9128277F Govt</stp>
        <stp>MTY_TYP</stp>
        <stp>[TREASURY.xlsx]Sheet1!R1027C6</stp>
        <tr r="F1027" s="1"/>
      </tp>
      <tp t="s">
        <v>NORMAL</v>
        <stp/>
        <stp>##V3_BDPV12</stp>
        <stp>9128273H Govt</stp>
        <stp>MTY_TYP</stp>
        <stp>[TREASURY.xlsx]Sheet1!R1527C6</stp>
        <tr r="F1527" s="1"/>
      </tp>
      <tp t="s">
        <v>NORMAL</v>
        <stp/>
        <stp>##V3_BDPV12</stp>
        <stp>9128275Q Govt</stp>
        <stp>MTY_TYP</stp>
        <stp>[TREASURY.xlsx]Sheet1!R1017C6</stp>
        <tr r="F1017" s="1"/>
      </tp>
      <tp t="s">
        <v>USD</v>
        <stp/>
        <stp>##V3_BDPV12</stp>
        <stp>912828PD Govt</stp>
        <stp>CRNCY</stp>
        <stp>[TREASURY.xlsx]Sheet1!R1298C7</stp>
        <tr r="G1298" s="1"/>
      </tp>
      <tp t="s">
        <v>NORMAL</v>
        <stp/>
        <stp>##V3_BDPV12</stp>
        <stp>912827LZ Govt</stp>
        <stp>MTY_TYP</stp>
        <stp>[TREASURY.xlsx]Sheet1!R1567C6</stp>
        <tr r="F1567" s="1"/>
      </tp>
      <tp t="s">
        <v>NORMAL</v>
        <stp/>
        <stp>##V3_BDPV12</stp>
        <stp>912827H4 Govt</stp>
        <stp>MTY_TYP</stp>
        <stp>[TREASURY.xlsx]Sheet1!R1157C6</stp>
        <tr r="F1157" s="1"/>
      </tp>
      <tp t="s">
        <v>NORMAL</v>
        <stp/>
        <stp>##V3_BDPV12</stp>
        <stp>912827J6 Govt</stp>
        <stp>MTY_TYP</stp>
        <stp>[TREASURY.xlsx]Sheet1!R1317C6</stp>
        <tr r="F1317" s="1"/>
      </tp>
      <tp t="s">
        <v>NORMAL</v>
        <stp/>
        <stp>##V3_BDPV12</stp>
        <stp>912827KL Govt</stp>
        <stp>MTY_TYP</stp>
        <stp>[TREASURY.xlsx]Sheet1!R1377C6</stp>
        <tr r="F1377" s="1"/>
      </tp>
      <tp t="s">
        <v>NORMAL</v>
        <stp/>
        <stp>##V3_BDPV12</stp>
        <stp>912827MR Govt</stp>
        <stp>MTY_TYP</stp>
        <stp>[TREASURY.xlsx]Sheet1!R1327C6</stp>
        <tr r="F1327" s="1"/>
      </tp>
      <tp t="s">
        <v>NORMAL</v>
        <stp/>
        <stp>##V3_BDPV12</stp>
        <stp>912827MW Govt</stp>
        <stp>MTY_TYP</stp>
        <stp>[TREASURY.xlsx]Sheet1!R1047C6</stp>
        <tr r="F1047" s="1"/>
      </tp>
      <tp t="s">
        <v>NORMAL</v>
        <stp/>
        <stp>##V3_BDPV12</stp>
        <stp>912827MD Govt</stp>
        <stp>MTY_TYP</stp>
        <stp>[TREASURY.xlsx]Sheet1!R1167C6</stp>
        <tr r="F1167" s="1"/>
      </tp>
      <tp t="s">
        <v>NORMAL</v>
        <stp/>
        <stp>##V3_BDPV12</stp>
        <stp>912827H8 Govt</stp>
        <stp>MTY_TYP</stp>
        <stp>[TREASURY.xlsx]Sheet1!R1487C6</stp>
        <tr r="F1487" s="1"/>
      </tp>
      <tp t="s">
        <v>NORMAL</v>
        <stp/>
        <stp>##V3_BDPV12</stp>
        <stp>912827D4 Govt</stp>
        <stp>MTY_TYP</stp>
        <stp>[TREASURY.xlsx]Sheet1!R1557C6</stp>
        <tr r="F1557" s="1"/>
      </tp>
      <tp t="s">
        <v>NORMAL</v>
        <stp/>
        <stp>##V3_BDPV12</stp>
        <stp>912827G7 Govt</stp>
        <stp>MTY_TYP</stp>
        <stp>[TREASURY.xlsx]Sheet1!R1037C6</stp>
        <tr r="F1037" s="1"/>
      </tp>
      <tp t="s">
        <v>NORMAL</v>
        <stp/>
        <stp>##V3_BDPV12</stp>
        <stp>912827B5 Govt</stp>
        <stp>MTY_TYP</stp>
        <stp>[TREASURY.xlsx]Sheet1!R1477C6</stp>
        <tr r="F1477" s="1"/>
      </tp>
      <tp t="s">
        <v>NORMAL</v>
        <stp/>
        <stp>##V3_BDPV12</stp>
        <stp>912827A4 Govt</stp>
        <stp>MTY_TYP</stp>
        <stp>[TREASURY.xlsx]Sheet1!R1547C6</stp>
        <tr r="F1547" s="1"/>
      </tp>
      <tp t="s">
        <v>NORMAL</v>
        <stp/>
        <stp>##V3_BDPV12</stp>
        <stp>912827XU Govt</stp>
        <stp>MTY_TYP</stp>
        <stp>[TREASURY.xlsx]Sheet1!R1217C6</stp>
        <tr r="F1217" s="1"/>
      </tp>
      <tp t="s">
        <v>NORMAL</v>
        <stp/>
        <stp>##V3_BDPV12</stp>
        <stp>912827XZ Govt</stp>
        <stp>MTY_TYP</stp>
        <stp>[TREASURY.xlsx]Sheet1!R1097C6</stp>
        <tr r="F1097" s="1"/>
      </tp>
      <tp t="s">
        <v>NORMAL</v>
        <stp/>
        <stp>##V3_BDPV12</stp>
        <stp>912827ZA Govt</stp>
        <stp>MTY_TYP</stp>
        <stp>[TREASURY.xlsx]Sheet1!R1227C6</stp>
        <tr r="F1227" s="1"/>
      </tp>
      <tp t="s">
        <v>NORMAL</v>
        <stp/>
        <stp>##V3_BDPV12</stp>
        <stp>912827YW Govt</stp>
        <stp>MTY_TYP</stp>
        <stp>[TREASURY.xlsx]Sheet1!R1607C6</stp>
        <tr r="F1607" s="1"/>
      </tp>
      <tp t="s">
        <v>NORMAL</v>
        <stp/>
        <stp>##V3_BDPV12</stp>
        <stp>912827XG Govt</stp>
        <stp>MTY_TYP</stp>
        <stp>[TREASURY.xlsx]Sheet1!R1597C6</stp>
        <tr r="F1597" s="1"/>
      </tp>
      <tp t="s">
        <v>NORMAL</v>
        <stp/>
        <stp>##V3_BDPV12</stp>
        <stp>912827ST Govt</stp>
        <stp>MTY_TYP</stp>
        <stp>[TREASURY.xlsx]Sheet1!R1067C6</stp>
        <tr r="F1067" s="1"/>
      </tp>
      <tp t="s">
        <v>NORMAL</v>
        <stp/>
        <stp>##V3_BDPV12</stp>
        <stp>912827WH Govt</stp>
        <stp>MTY_TYP</stp>
        <stp>[TREASURY.xlsx]Sheet1!R1417C6</stp>
        <tr r="F1417" s="1"/>
      </tp>
      <tp t="s">
        <v>NORMAL</v>
        <stp/>
        <stp>##V3_BDPV12</stp>
        <stp>912827P6 Govt</stp>
        <stp>MTY_TYP</stp>
        <stp>[TREASURY.xlsx]Sheet1!R1387C6</stp>
        <tr r="F1387" s="1"/>
      </tp>
      <tp t="s">
        <v>NORMAL</v>
        <stp/>
        <stp>##V3_BDPV12</stp>
        <stp>912827P5 Govt</stp>
        <stp>MTY_TYP</stp>
        <stp>[TREASURY.xlsx]Sheet1!R1337C6</stp>
        <tr r="F1337" s="1"/>
      </tp>
      <tp t="s">
        <v>NORMAL</v>
        <stp/>
        <stp>##V3_BDPV12</stp>
        <stp>912827SQ Govt</stp>
        <stp>MTY_TYP</stp>
        <stp>[TREASURY.xlsx]Sheet1!R1187C6</stp>
        <tr r="F1187" s="1"/>
      </tp>
      <tp t="s">
        <v>NORMAL</v>
        <stp/>
        <stp>##V3_BDPV12</stp>
        <stp>912827US Govt</stp>
        <stp>MTY_TYP</stp>
        <stp>[TREASURY.xlsx]Sheet1!R1407C6</stp>
        <tr r="F1407" s="1"/>
      </tp>
      <tp t="s">
        <v>NORMAL</v>
        <stp/>
        <stp>##V3_BDPV12</stp>
        <stp>912827QH Govt</stp>
        <stp>MTY_TYP</stp>
        <stp>[TREASURY.xlsx]Sheet1!R1057C6</stp>
        <tr r="F1057" s="1"/>
      </tp>
      <tp t="s">
        <v>NORMAL</v>
        <stp/>
        <stp>##V3_BDPV12</stp>
        <stp>912827TE Govt</stp>
        <stp>MTY_TYP</stp>
        <stp>[TREASURY.xlsx]Sheet1!R1507C6</stp>
        <tr r="F1507" s="1"/>
      </tp>
      <tp t="s">
        <v>NORMAL</v>
        <stp/>
        <stp>##V3_BDPV12</stp>
        <stp>912827Q4 Govt</stp>
        <stp>MTY_TYP</stp>
        <stp>[TREASURY.xlsx]Sheet1!R1177C6</stp>
        <tr r="F1177" s="1"/>
      </tp>
      <tp t="s">
        <v>NORMAL</v>
        <stp/>
        <stp>##V3_BDPV12</stp>
        <stp>912827T4 Govt</stp>
        <stp>MTY_TYP</stp>
        <stp>[TREASURY.xlsx]Sheet1!R1397C6</stp>
        <tr r="F1397" s="1"/>
      </tp>
      <tp t="s">
        <v>NORMAL</v>
        <stp/>
        <stp>##V3_BDPV12</stp>
        <stp>912827R7 Govt</stp>
        <stp>MTY_TYP</stp>
        <stp>[TREASURY.xlsx]Sheet1!R1577C6</stp>
        <tr r="F1577" s="1"/>
      </tp>
      <tp t="s">
        <v>NORMAL</v>
        <stp/>
        <stp>##V3_BDPV12</stp>
        <stp>912827SA Govt</stp>
        <stp>MTY_TYP</stp>
        <stp>[TREASURY.xlsx]Sheet1!R1587C6</stp>
        <tr r="F1587" s="1"/>
      </tp>
      <tp t="s">
        <v>NORMAL</v>
        <stp/>
        <stp>##V3_BDPV12</stp>
        <stp>912827VL Govt</stp>
        <stp>MTY_TYP</stp>
        <stp>[TREASURY.xlsx]Sheet1!R1087C6</stp>
        <tr r="F1087" s="1"/>
      </tp>
      <tp t="s">
        <v>NORMAL</v>
        <stp/>
        <stp>##V3_BDPV12</stp>
        <stp>912827QU Govt</stp>
        <stp>MTY_TYP</stp>
        <stp>[TREASURY.xlsx]Sheet1!R1497C6</stp>
        <tr r="F1497" s="1"/>
      </tp>
      <tp t="s">
        <v>NORMAL</v>
        <stp/>
        <stp>##V3_BDPV12</stp>
        <stp>912827WJ Govt</stp>
        <stp>MTY_TYP</stp>
        <stp>[TREASURY.xlsx]Sheet1!R1207C6</stp>
        <tr r="F1207" s="1"/>
      </tp>
      <tp t="s">
        <v>NORMAL</v>
        <stp/>
        <stp>##V3_BDPV12</stp>
        <stp>912827UE Govt</stp>
        <stp>MTY_TYP</stp>
        <stp>[TREASURY.xlsx]Sheet1!R1077C6</stp>
        <tr r="F1077" s="1"/>
      </tp>
      <tp t="s">
        <v>NORMAL</v>
        <stp/>
        <stp>##V3_BDPV12</stp>
        <stp>912827U5 Govt</stp>
        <stp>MTY_TYP</stp>
        <stp>[TREASURY.xlsx]Sheet1!R1197C6</stp>
        <tr r="F1197" s="1"/>
      </tp>
      <tp t="s">
        <v>NORMAL</v>
        <stp/>
        <stp>##V3_BDPV12</stp>
        <stp>912828K2 Govt</stp>
        <stp>MTY_TYP</stp>
        <stp>[TREASURY.xlsx]Sheet1!R1287C6</stp>
        <tr r="F1287" s="1"/>
      </tp>
      <tp t="s">
        <v>NORMAL</v>
        <stp/>
        <stp>##V3_BDPV12</stp>
        <stp>912828JS Govt</stp>
        <stp>MTY_TYP</stp>
        <stp>[TREASURY.xlsx]Sheet1!R1247C6</stp>
        <tr r="F1247" s="1"/>
      </tp>
      <tp t="s">
        <v>NORMAL</v>
        <stp/>
        <stp>##V3_BDPV12</stp>
        <stp>912828L8 Govt</stp>
        <stp>MTY_TYP</stp>
        <stp>[TREASURY.xlsx]Sheet1!R1127C6</stp>
        <tr r="F1127" s="1"/>
      </tp>
      <tp t="s">
        <v>NORMAL</v>
        <stp/>
        <stp>##V3_BDPV12</stp>
        <stp>912828NR Govt</stp>
        <stp>MTY_TYP</stp>
        <stp>[TREASURY.xlsx]Sheet1!R1257C6</stp>
        <tr r="F1257" s="1"/>
      </tp>
      <tp t="s">
        <v>NORMAL</v>
        <stp/>
        <stp>##V3_BDPV12</stp>
        <stp>912828HA Govt</stp>
        <stp>MTY_TYP</stp>
        <stp>[TREASURY.xlsx]Sheet1!R1437C6</stp>
        <tr r="F1437" s="1"/>
      </tp>
      <tp t="s">
        <v>NORMAL</v>
        <stp/>
        <stp>##V3_BDPV12</stp>
        <stp>912828AH Govt</stp>
        <stp>MTY_TYP</stp>
        <stp>[TREASURY.xlsx]Sheet1!R1107C6</stp>
        <tr r="F1107" s="1"/>
      </tp>
      <tp t="s">
        <v>NORMAL</v>
        <stp/>
        <stp>##V3_BDPV12</stp>
        <stp>912828DM Govt</stp>
        <stp>MTY_TYP</stp>
        <stp>[TREASURY.xlsx]Sheet1!R1427C6</stp>
        <tr r="F1427" s="1"/>
      </tp>
      <tp t="s">
        <v>NORMAL</v>
        <stp/>
        <stp>##V3_BDPV12</stp>
        <stp>912828F4 Govt</stp>
        <stp>MTY_TYP</stp>
        <stp>[TREASURY.xlsx]Sheet1!R1117C6</stp>
        <tr r="F1117" s="1"/>
      </tp>
      <tp t="s">
        <v>NORMAL</v>
        <stp/>
        <stp>##V3_BDPV12</stp>
        <stp>912828DU Govt</stp>
        <stp>MTY_TYP</stp>
        <stp>[TREASURY.xlsx]Sheet1!R1237C6</stp>
        <tr r="F1237" s="1"/>
      </tp>
      <tp t="s">
        <v>NORMAL</v>
        <stp/>
        <stp>##V3_BDPV12</stp>
        <stp>912828FR Govt</stp>
        <stp>MTY_TYP</stp>
        <stp>[TREASURY.xlsx]Sheet1!R1277C6</stp>
        <tr r="F1277" s="1"/>
      </tp>
      <tp t="s">
        <v>NORMAL</v>
        <stp/>
        <stp>##V3_BDPV12</stp>
        <stp>912828XS Govt</stp>
        <stp>MTY_TYP</stp>
        <stp>[TREASURY.xlsx]Sheet1!R1307C6</stp>
        <tr r="F1307" s="1"/>
      </tp>
      <tp t="s">
        <v>NORMAL</v>
        <stp/>
        <stp>##V3_BDPV12</stp>
        <stp>912828PB Govt</stp>
        <stp>MTY_TYP</stp>
        <stp>[TREASURY.xlsx]Sheet1!R1297C6</stp>
        <tr r="F1297" s="1"/>
      </tp>
      <tp t="s">
        <v>NORMAL</v>
        <stp/>
        <stp>##V3_BDPV12</stp>
        <stp>912828RY Govt</stp>
        <stp>MTY_TYP</stp>
        <stp>[TREASURY.xlsx]Sheet1!R1267C6</stp>
        <tr r="F1267" s="1"/>
      </tp>
      <tp t="s">
        <v>NORMAL</v>
        <stp/>
        <stp>##V3_BDPV12</stp>
        <stp>912828WT Govt</stp>
        <stp>MTY_TYP</stp>
        <stp>[TREASURY.xlsx]Sheet1!R1007C6</stp>
        <tr r="F1007" s="1"/>
      </tp>
      <tp t="s">
        <v>NORMAL</v>
        <stp/>
        <stp>##V3_BDPV12</stp>
        <stp>912828VD Govt</stp>
        <stp>MTY_TYP</stp>
        <stp>[TREASURY.xlsx]Sheet1!R1147C6</stp>
        <tr r="F1147" s="1"/>
      </tp>
      <tp t="s">
        <v>NORMAL</v>
        <stp/>
        <stp>##V3_BDPV12</stp>
        <stp>912828US Govt</stp>
        <stp>MTY_TYP</stp>
        <stp>[TREASURY.xlsx]Sheet1!R1137C6</stp>
        <tr r="F1137" s="1"/>
      </tp>
      <tp t="s">
        <v>USD</v>
        <stp/>
        <stp>##V3_BDPV12</stp>
        <stp>912827YH Govt</stp>
        <stp>CRNCY</stp>
        <stp>[TREASURY.xlsx]Sheet1!R1221C7</stp>
        <tr r="G1221" s="1"/>
      </tp>
      <tp t="s">
        <v>912827KT8</v>
        <stp/>
        <stp>##V3_BDPV12</stp>
        <stp>912827KT Govt</stp>
        <stp>ID_CUSIP</stp>
        <stp>[TREASURY.xlsx]Sheet1!R1318C19</stp>
        <tr r="S1318" s="1"/>
      </tp>
      <tp t="s">
        <v>USD</v>
        <stp/>
        <stp>##V3_BDPV12</stp>
        <stp>912827QN Govt</stp>
        <stp>CRNCY</stp>
        <stp>[TREASURY.xlsx]Sheet1!R1179C7</stp>
        <tr r="G1179" s="1"/>
      </tp>
      <tp t="s">
        <v>912828KP4</v>
        <stp/>
        <stp>##V3_BDPV12</stp>
        <stp>912828KP Govt</stp>
        <stp>ID_CUSIP</stp>
        <stp>[TREASURY.xlsx]Sheet1!R1125C19</stp>
        <tr r="S1125" s="1"/>
      </tp>
      <tp t="s">
        <v>912827KR2</v>
        <stp/>
        <stp>##V3_BDPV12</stp>
        <stp>912827KR Govt</stp>
        <stp>ID_CUSIP</stp>
        <stp>[TREASURY.xlsx]Sheet1!R1161C19</stp>
        <tr r="S1161" s="1"/>
      </tp>
      <tp t="s">
        <v>USD</v>
        <stp/>
        <stp>##V3_BDPV12</stp>
        <stp>912827X2 Govt</stp>
        <stp>CRNCY</stp>
        <stp>[TREASURY.xlsx]Sheet1!R1211C7</stp>
        <tr r="G1211" s="1"/>
      </tp>
      <tp t="s">
        <v>9/30/1996</v>
        <stp/>
        <stp>##V3_BDPV12</stp>
        <stp>912827Z4 Govt</stp>
        <stp>ISSUE_DT</stp>
        <stp>[TREASURY.xlsx]Sheet1!R1225C15</stp>
        <tr r="O1225" s="1"/>
      </tp>
      <tp t="s">
        <v>9/3/1996</v>
        <stp/>
        <stp>##V3_BDPV12</stp>
        <stp>912827Z3 Govt</stp>
        <stp>ISSUE_DT</stp>
        <stp>[TREASURY.xlsx]Sheet1!R1608C15</stp>
        <tr r="O1608" s="1"/>
      </tp>
      <tp t="s">
        <v>10/15/1996</v>
        <stp/>
        <stp>##V3_BDPV12</stp>
        <stp>912827Z6 Govt</stp>
        <stp>ISSUE_DT</stp>
        <stp>[TREASURY.xlsx]Sheet1!R1226C15</stp>
        <tr r="O1226" s="1"/>
      </tp>
      <tp t="s">
        <v>UNITED STATES</v>
        <stp/>
        <stp>##V3_BDPV12</stp>
        <stp>912810CP Govt</stp>
        <stp>COUNTRY_FULL_NAME</stp>
        <stp>[TREASURY.xlsx]Sheet1!R405C8</stp>
        <tr r="H405" s="1"/>
      </tp>
      <tp t="s">
        <v>9/30/1996</v>
        <stp/>
        <stp>##V3_BDPV12</stp>
        <stp>912827Z5 Govt</stp>
        <stp>ISSUE_DT</stp>
        <stp>[TREASURY.xlsx]Sheet1!R1609C15</stp>
        <tr r="O1609" s="1"/>
      </tp>
      <tp t="s">
        <v>UNITED STATES</v>
        <stp/>
        <stp>##V3_BDPV12</stp>
        <stp>912827D9 Govt</stp>
        <stp>COUNTRY_FULL_NAME</stp>
        <stp>[TREASURY.xlsx]Sheet1!R702C8</stp>
        <tr r="H702" s="1"/>
      </tp>
      <tp t="s">
        <v>USD</v>
        <stp/>
        <stp>##V3_BDPV12</stp>
        <stp>912827Q7 Govt</stp>
        <stp>CRNCY</stp>
        <stp>[TREASURY.xlsx]Sheet1!R1178C7</stp>
        <tr r="G1178" s="1"/>
      </tp>
      <tp t="s">
        <v>USD</v>
        <stp/>
        <stp>##V3_BDPV12</stp>
        <stp>912828P5 Govt</stp>
        <stp>CRNCY</stp>
        <stp>[TREASURY.xlsx]Sheet1!R1259C7</stp>
        <tr r="G1259" s="1"/>
      </tp>
      <tp t="s">
        <v>USD</v>
        <stp/>
        <stp>##V3_BDPV12</stp>
        <stp>912827P9 Govt</stp>
        <stp>CRNCY</stp>
        <stp>[TREASURY.xlsx]Sheet1!R1339C7</stp>
        <tr r="G1339" s="1"/>
      </tp>
      <tp t="s">
        <v>UNITED STATES</v>
        <stp/>
        <stp>##V3_BDPV12</stp>
        <stp>912827KY Govt</stp>
        <stp>COUNTRY_FULL_NAME</stp>
        <stp>[TREASURY.xlsx]Sheet1!R712C8</stp>
        <tr r="H712" s="1"/>
      </tp>
      <tp t="s">
        <v>UNITED STATES</v>
        <stp/>
        <stp>##V3_BDPV12</stp>
        <stp>912827KW Govt</stp>
        <stp>COUNTRY_FULL_NAME</stp>
        <stp>[TREASURY.xlsx]Sheet1!R392C8</stp>
        <tr r="H392" s="1"/>
      </tp>
      <tp t="s">
        <v>UNITED STATES</v>
        <stp/>
        <stp>##V3_BDPV12</stp>
        <stp>912827LU Govt</stp>
        <stp>COUNTRY_FULL_NAME</stp>
        <stp>[TREASURY.xlsx]Sheet1!R892C8</stp>
        <tr r="H892" s="1"/>
      </tp>
      <tp t="s">
        <v>UNITED STATES</v>
        <stp/>
        <stp>##V3_BDPV12</stp>
        <stp>912827MF Govt</stp>
        <stp>COUNTRY_FULL_NAME</stp>
        <stp>[TREASURY.xlsx]Sheet1!R722C8</stp>
        <tr r="H722" s="1"/>
      </tp>
      <tp t="s">
        <v>10/31/1996</v>
        <stp/>
        <stp>##V3_BDPV12</stp>
        <stp>912827Z8 Govt</stp>
        <stp>ISSUE_DT</stp>
        <stp>[TREASURY.xlsx]Sheet1!R1102C15</stp>
        <tr r="O1102" s="1"/>
      </tp>
      <tp t="s">
        <v>UNITED STATES</v>
        <stp/>
        <stp>##V3_BDPV12</stp>
        <stp>912827NM Govt</stp>
        <stp>COUNTRY_FULL_NAME</stp>
        <stp>[TREASURY.xlsx]Sheet1!R732C8</stp>
        <tr r="H732" s="1"/>
      </tp>
      <tp t="s">
        <v>UNITED STATES</v>
        <stp/>
        <stp>##V3_BDPV12</stp>
        <stp>912827NL Govt</stp>
        <stp>COUNTRY_FULL_NAME</stp>
        <stp>[TREASURY.xlsx]Sheet1!R902C8</stp>
        <tr r="H902" s="1"/>
      </tp>
      <tp t="s">
        <v>UNITED STATES</v>
        <stp/>
        <stp>##V3_BDPV12</stp>
        <stp>912810QX Govt</stp>
        <stp>COUNTRY_FULL_NAME</stp>
        <stp>[TREASURY.xlsx]Sheet1!R275C8</stp>
        <tr r="H275" s="1"/>
      </tp>
      <tp t="s">
        <v>UNITED STATES</v>
        <stp/>
        <stp>##V3_BDPV12</stp>
        <stp>912827QP Govt</stp>
        <stp>COUNTRY_FULL_NAME</stp>
        <stp>[TREASURY.xlsx]Sheet1!R742C8</stp>
        <tr r="H742" s="1"/>
      </tp>
      <tp t="s">
        <v>UNITED STATES</v>
        <stp/>
        <stp>##V3_BDPV12</stp>
        <stp>912810QQ Govt</stp>
        <stp>COUNTRY_FULL_NAME</stp>
        <stp>[TREASURY.xlsx]Sheet1!R315C8</stp>
        <tr r="H315" s="1"/>
      </tp>
      <tp t="s">
        <v>UNITED STATES</v>
        <stp/>
        <stp>##V3_BDPV12</stp>
        <stp>912827RP Govt</stp>
        <stp>COUNTRY_FULL_NAME</stp>
        <stp>[TREASURY.xlsx]Sheet1!R912C8</stp>
        <tr r="H912" s="1"/>
      </tp>
      <tp t="s">
        <v>UNITED STATES</v>
        <stp/>
        <stp>##V3_BDPV12</stp>
        <stp>912810RE Govt</stp>
        <stp>COUNTRY_FULL_NAME</stp>
        <stp>[TREASURY.xlsx]Sheet1!R295C8</stp>
        <tr r="H295" s="1"/>
      </tp>
      <tp t="s">
        <v>UNITED STATES</v>
        <stp/>
        <stp>##V3_BDPV12</stp>
        <stp>912810RD Govt</stp>
        <stp>COUNTRY_FULL_NAME</stp>
        <stp>[TREASURY.xlsx]Sheet1!R235C8</stp>
        <tr r="H235" s="1"/>
      </tp>
      <tp t="s">
        <v>UNITED STATES</v>
        <stp/>
        <stp>##V3_BDPV12</stp>
        <stp>912827SU Govt</stp>
        <stp>COUNTRY_FULL_NAME</stp>
        <stp>[TREASURY.xlsx]Sheet1!R832C8</stp>
        <tr r="H832" s="1"/>
      </tp>
      <tp t="s">
        <v>912827J86</v>
        <stp/>
        <stp>##V3_BDPV12</stp>
        <stp>912827J8 Govt</stp>
        <stp>ID_CUSIP</stp>
        <stp>[TREASURY.xlsx]Sheet1!R1038C19</stp>
        <tr r="S1038" s="1"/>
      </tp>
      <tp t="s">
        <v>UNITED STATES</v>
        <stp/>
        <stp>##V3_BDPV12</stp>
        <stp>912827U9 Govt</stp>
        <stp>COUNTRY_FULL_NAME</stp>
        <stp>[TREASURY.xlsx]Sheet1!R752C8</stp>
        <tr r="H752" s="1"/>
      </tp>
      <tp t="s">
        <v>UNITED STATES</v>
        <stp/>
        <stp>##V3_BDPV12</stp>
        <stp>912827UV Govt</stp>
        <stp>COUNTRY_FULL_NAME</stp>
        <stp>[TREASURY.xlsx]Sheet1!R922C8</stp>
        <tr r="H922" s="1"/>
      </tp>
      <tp t="s">
        <v>912827J94</v>
        <stp/>
        <stp>##V3_BDPV12</stp>
        <stp>912827J9 Govt</stp>
        <stp>ID_CUSIP</stp>
        <stp>[TREASURY.xlsx]Sheet1!R1376C19</stp>
        <tr r="S1376" s="1"/>
      </tp>
      <tp t="s">
        <v>UNITED STATES</v>
        <stp/>
        <stp>##V3_BDPV12</stp>
        <stp>912827VK Govt</stp>
        <stp>COUNTRY_FULL_NAME</stp>
        <stp>[TREASURY.xlsx]Sheet1!R762C8</stp>
        <tr r="H762" s="1"/>
      </tp>
      <tp t="s">
        <v>UNITED STATES</v>
        <stp/>
        <stp>##V3_BDPV12</stp>
        <stp>912827WK Govt</stp>
        <stp>COUNTRY_FULL_NAME</stp>
        <stp>[TREASURY.xlsx]Sheet1!R932C8</stp>
        <tr r="H932" s="1"/>
      </tp>
      <tp t="s">
        <v>UNITED STATES</v>
        <stp/>
        <stp>##V3_BDPV12</stp>
        <stp>912827XH Govt</stp>
        <stp>COUNTRY_FULL_NAME</stp>
        <stp>[TREASURY.xlsx]Sheet1!R772C8</stp>
        <tr r="H772" s="1"/>
      </tp>
      <tp t="s">
        <v>912827J60</v>
        <stp/>
        <stp>##V3_BDPV12</stp>
        <stp>912827J6 Govt</stp>
        <stp>ID_CUSIP</stp>
        <stp>[TREASURY.xlsx]Sheet1!R1317C19</stp>
        <tr r="S1317" s="1"/>
      </tp>
      <tp t="s">
        <v>UNITED STATES</v>
        <stp/>
        <stp>##V3_BDPV12</stp>
        <stp>912827YA Govt</stp>
        <stp>COUNTRY_FULL_NAME</stp>
        <stp>[TREASURY.xlsx]Sheet1!R942C8</stp>
        <tr r="H942" s="1"/>
      </tp>
      <tp t="s">
        <v>UNITED STATES</v>
        <stp/>
        <stp>##V3_BDPV12</stp>
        <stp>912827ZL Govt</stp>
        <stp>COUNTRY_FULL_NAME</stp>
        <stp>[TREASURY.xlsx]Sheet1!R782C8</stp>
        <tr r="H782" s="1"/>
      </tp>
      <tp t="s">
        <v>UNITED STATES</v>
        <stp/>
        <stp>##V3_BDPV12</stp>
        <stp>912827ZK Govt</stp>
        <stp>COUNTRY_FULL_NAME</stp>
        <stp>[TREASURY.xlsx]Sheet1!R952C8</stp>
        <tr r="H952" s="1"/>
      </tp>
      <tp t="s">
        <v>912827J52</v>
        <stp/>
        <stp>##V3_BDPV12</stp>
        <stp>912827J5 Govt</stp>
        <stp>ID_CUSIP</stp>
        <stp>[TREASURY.xlsx]Sheet1!R1488C19</stp>
        <tr r="S1488" s="1"/>
      </tp>
      <tp t="s">
        <v>912827J45</v>
        <stp/>
        <stp>##V3_BDPV12</stp>
        <stp>912827J4 Govt</stp>
        <stp>ID_CUSIP</stp>
        <stp>[TREASURY.xlsx]Sheet1!R1561C19</stp>
        <tr r="S1561" s="1"/>
      </tp>
      <tp t="s">
        <v>912828J35</v>
        <stp/>
        <stp>##V3_BDPV12</stp>
        <stp>912828J3 Govt</stp>
        <stp>ID_CUSIP</stp>
        <stp>[TREASURY.xlsx]Sheet1!R1246C19</stp>
        <tr r="S1246" s="1"/>
      </tp>
      <tp t="s">
        <v>912827J78</v>
        <stp/>
        <stp>##V3_BDPV12</stp>
        <stp>912827J7 Govt</stp>
        <stp>ID_CUSIP</stp>
        <stp>[TREASURY.xlsx]Sheet1!R1562C19</stp>
        <tr r="S1562" s="1"/>
      </tp>
      <tp t="s">
        <v>6/30/1999</v>
        <stp/>
        <stp>##V3_BDPV12</stp>
        <stp>912827Q4 Govt</stp>
        <stp>MATURITY</stp>
        <stp>[TREASURY.xlsx]Sheet1!R1177C5</stp>
        <tr r="E1177" s="1"/>
      </tp>
      <tp t="s">
        <v>5/15/1994</v>
        <stp/>
        <stp>##V3_BDPV12</stp>
        <stp>912827QU Govt</stp>
        <stp>MATURITY</stp>
        <stp>[TREASURY.xlsx]Sheet1!R1497C5</stp>
        <tr r="E1497" s="1"/>
      </tp>
      <tp t="s">
        <v>12/31/1987</v>
        <stp/>
        <stp>##V3_BDPV12</stp>
        <stp>912827QH Govt</stp>
        <stp>MATURITY</stp>
        <stp>[TREASURY.xlsx]Sheet1!R1057C5</stp>
        <tr r="E1057" s="1"/>
      </tp>
      <tp t="s">
        <v>4/30/1996</v>
        <stp/>
        <stp>##V3_BDPV12</stp>
        <stp>912827P5 Govt</stp>
        <stp>MATURITY</stp>
        <stp>[TREASURY.xlsx]Sheet1!R1337C5</stp>
        <tr r="E1337" s="1"/>
      </tp>
      <tp t="s">
        <v>4/30/1999</v>
        <stp/>
        <stp>##V3_BDPV12</stp>
        <stp>912827P6 Govt</stp>
        <stp>MATURITY</stp>
        <stp>[TREASURY.xlsx]Sheet1!R1387C5</stp>
        <tr r="E1387" s="1"/>
      </tp>
      <tp t="s">
        <v>10/31/2012</v>
        <stp/>
        <stp>##V3_BDPV12</stp>
        <stp>912828PD Govt</stp>
        <stp>MATURITY</stp>
        <stp>[TREASURY.xlsx]Sheet1!R1298C5</stp>
        <tr r="E1298" s="1"/>
      </tp>
      <tp t="s">
        <v>10/31/1987</v>
        <stp/>
        <stp>##V3_BDPV12</stp>
        <stp>912827ST Govt</stp>
        <stp>MATURITY</stp>
        <stp>[TREASURY.xlsx]Sheet1!R1067C5</stp>
        <tr r="E1067" s="1"/>
      </tp>
      <tp t="s">
        <v>8/31/1987</v>
        <stp/>
        <stp>##V3_BDPV12</stp>
        <stp>912827SQ Govt</stp>
        <stp>MATURITY</stp>
        <stp>[TREASURY.xlsx]Sheet1!R1187C5</stp>
        <tr r="E1187" s="1"/>
      </tp>
      <tp t="s">
        <v>3/31/1989</v>
        <stp/>
        <stp>##V3_BDPV12</stp>
        <stp>912827SA Govt</stp>
        <stp>MATURITY</stp>
        <stp>[TREASURY.xlsx]Sheet1!R1587C5</stp>
        <tr r="E1587" s="1"/>
      </tp>
      <tp t="s">
        <v>11/15/1997</v>
        <stp/>
        <stp>##V3_BDPV12</stp>
        <stp>912827R7 Govt</stp>
        <stp>MATURITY</stp>
        <stp>[TREASURY.xlsx]Sheet1!R1577C5</stp>
        <tr r="E1577" s="1"/>
      </tp>
      <tp t="s">
        <v>91282CCU3</v>
        <stp/>
        <stp>##V3_BDPV12</stp>
        <stp>91282CCU Govt</stp>
        <stp>ID_CUSIP</stp>
        <stp>[TREASURY.xlsx]Sheet1!R6C19</stp>
        <tr r="S6" s="1"/>
      </tp>
      <tp t="s">
        <v>1/15/2015</v>
        <stp/>
        <stp>##V3_BDPV12</stp>
        <stp>912828RZ Govt</stp>
        <stp>MATURITY</stp>
        <stp>[TREASURY.xlsx]Sheet1!R1268C5</stp>
        <tr r="E1268" s="1"/>
      </tp>
      <tp t="s">
        <v>7/31/1997</v>
        <stp/>
        <stp>##V3_BDPV12</stp>
        <stp>912827U5 Govt</stp>
        <stp>MATURITY</stp>
        <stp>[TREASURY.xlsx]Sheet1!R1197C5</stp>
        <tr r="E1197" s="1"/>
      </tp>
      <tp t="s">
        <v>3/31/1991</v>
        <stp/>
        <stp>##V3_BDPV12</stp>
        <stp>912827US Govt</stp>
        <stp>MATURITY</stp>
        <stp>[TREASURY.xlsx]Sheet1!R1407C5</stp>
        <tr r="E1407" s="1"/>
      </tp>
      <tp t="s">
        <v>4/30/2015</v>
        <stp/>
        <stp>##V3_BDPV12</stp>
        <stp>912828UY Govt</stp>
        <stp>MATURITY</stp>
        <stp>[TREASURY.xlsx]Sheet1!R1138C5</stp>
        <tr r="E1138" s="1"/>
      </tp>
      <tp t="s">
        <v>11/15/1989</v>
        <stp/>
        <stp>##V3_BDPV12</stp>
        <stp>912827UE Govt</stp>
        <stp>MATURITY</stp>
        <stp>[TREASURY.xlsx]Sheet1!R1077C5</stp>
        <tr r="E1077" s="1"/>
      </tp>
      <tp t="s">
        <v>3/31/2000</v>
        <stp/>
        <stp>##V3_BDPV12</stp>
        <stp>912827T4 Govt</stp>
        <stp>MATURITY</stp>
        <stp>[TREASURY.xlsx]Sheet1!R1397C5</stp>
        <tr r="E1397" s="1"/>
      </tp>
      <tp t="s">
        <v>2/15/1989</v>
        <stp/>
        <stp>##V3_BDPV12</stp>
        <stp>912827TE Govt</stp>
        <stp>MATURITY</stp>
        <stp>[TREASURY.xlsx]Sheet1!R1507C5</stp>
        <tr r="E1507" s="1"/>
      </tp>
      <tp t="s">
        <v>6/30/1990</v>
        <stp/>
        <stp>##V3_BDPV12</stp>
        <stp>912827WH Govt</stp>
        <stp>MATURITY</stp>
        <stp>[TREASURY.xlsx]Sheet1!R1417C5</stp>
        <tr r="E1417" s="1"/>
      </tp>
      <tp t="s">
        <v>6/30/1992</v>
        <stp/>
        <stp>##V3_BDPV12</stp>
        <stp>912827WJ Govt</stp>
        <stp>MATURITY</stp>
        <stp>[TREASURY.xlsx]Sheet1!R1207C5</stp>
        <tr r="E1207" s="1"/>
      </tp>
      <tp t="s">
        <v>T</v>
        <stp/>
        <stp>##V3_BDPV12</stp>
        <stp>912828S9 Govt</stp>
        <stp>TICKER</stp>
        <stp>[TREASURY.xlsx]Sheet1!R301C2</stp>
        <tr r="B301" s="1"/>
      </tp>
      <tp t="s">
        <v>T</v>
        <stp/>
        <stp>##V3_BDPV12</stp>
        <stp>912827Z9 Govt</stp>
        <stp>TICKER</stp>
        <stp>[TREASURY.xlsx]Sheet1!R778C2</stp>
        <tr r="B778" s="1"/>
      </tp>
      <tp t="s">
        <v>10/31/1989</v>
        <stp/>
        <stp>##V3_BDPV12</stp>
        <stp>912827VL Govt</stp>
        <stp>MATURITY</stp>
        <stp>[TREASURY.xlsx]Sheet1!R1087C5</stp>
        <tr r="E1087" s="1"/>
      </tp>
      <tp t="s">
        <v>6/30/2018</v>
        <stp/>
        <stp>##V3_BDPV12</stp>
        <stp>912828VK Govt</stp>
        <stp>MATURITY</stp>
        <stp>[TREASURY.xlsx]Sheet1!R1148C5</stp>
        <tr r="E1148" s="1"/>
      </tp>
      <tp t="s">
        <v>5/15/2000</v>
        <stp/>
        <stp>##V3_BDPV12</stp>
        <stp>912827YW Govt</stp>
        <stp>MATURITY</stp>
        <stp>[TREASURY.xlsx]Sheet1!R1607C5</stp>
        <tr r="E1607" s="1"/>
      </tp>
      <tp t="s">
        <v>T</v>
        <stp/>
        <stp>##V3_BDPV12</stp>
        <stp>912828W7 Govt</stp>
        <stp>TICKER</stp>
        <stp>[TREASURY.xlsx]Sheet1!R125C2</stp>
        <tr r="B125" s="1"/>
      </tp>
      <tp t="s">
        <v>7/31/1991</v>
        <stp/>
        <stp>##V3_BDPV12</stp>
        <stp>912827XU Govt</stp>
        <stp>MATURITY</stp>
        <stp>[TREASURY.xlsx]Sheet1!R1217C5</stp>
        <tr r="E1217" s="1"/>
      </tp>
      <tp t="s">
        <v>9/30/1991</v>
        <stp/>
        <stp>##V3_BDPV12</stp>
        <stp>912827XZ Govt</stp>
        <stp>MATURITY</stp>
        <stp>[TREASURY.xlsx]Sheet1!R1097C5</stp>
        <tr r="E1097" s="1"/>
      </tp>
      <tp t="s">
        <v>5/15/1994</v>
        <stp/>
        <stp>##V3_BDPV12</stp>
        <stp>912827XG Govt</stp>
        <stp>MATURITY</stp>
        <stp>[TREASURY.xlsx]Sheet1!R1597C5</stp>
        <tr r="E1597" s="1"/>
      </tp>
      <tp t="s">
        <v>T</v>
        <stp/>
        <stp>##V3_BDPV12</stp>
        <stp>912828Q4 Govt</stp>
        <stp>TICKER</stp>
        <stp>[TREASURY.xlsx]Sheet1!R423C2</stp>
        <tr r="B423" s="1"/>
      </tp>
      <tp t="s">
        <v>FIXED</v>
        <stp/>
        <stp>##V3_BDPV12</stp>
        <stp>912828K7 Govt</stp>
        <stp>CPN_TYP</stp>
        <stp>[TREASURY.xlsx]Sheet1!R81C11</stp>
        <tr r="K81" s="1"/>
      </tp>
      <tp t="s">
        <v>T</v>
        <stp/>
        <stp>##V3_BDPV12</stp>
        <stp>912827S5 Govt</stp>
        <stp>TICKER</stp>
        <stp>[TREASURY.xlsx]Sheet1!R831C2</stp>
        <tr r="B831" s="1"/>
      </tp>
      <tp t="s">
        <v>6/30/1994</v>
        <stp/>
        <stp>##V3_BDPV12</stp>
        <stp>912827ZA Govt</stp>
        <stp>MATURITY</stp>
        <stp>[TREASURY.xlsx]Sheet1!R1227C5</stp>
        <tr r="E1227" s="1"/>
      </tp>
      <tp t="s">
        <v>T</v>
        <stp/>
        <stp>##V3_BDPV12</stp>
        <stp>912828S2 Govt</stp>
        <stp>TICKER</stp>
        <stp>[TREASURY.xlsx]Sheet1!R391C2</stp>
        <tr r="B391" s="1"/>
      </tp>
      <tp t="s">
        <v>T</v>
        <stp/>
        <stp>##V3_BDPV12</stp>
        <stp>912828R3 Govt</stp>
        <stp>TICKER</stp>
        <stp>[TREASURY.xlsx]Sheet1!R130C2</stp>
        <tr r="B130" s="1"/>
      </tp>
      <tp t="s">
        <v>T</v>
        <stp/>
        <stp>##V3_BDPV12</stp>
        <stp>912828P3 Govt</stp>
        <stp>TICKER</stp>
        <stp>[TREASURY.xlsx]Sheet1!R222C2</stp>
        <tr r="B222" s="1"/>
      </tp>
      <tp t="s">
        <v>T</v>
        <stp/>
        <stp>##V3_BDPV12</stp>
        <stp>912828Q3 Govt</stp>
        <stp>TICKER</stp>
        <stp>[TREASURY.xlsx]Sheet1!R413C2</stp>
        <tr r="B413" s="1"/>
      </tp>
      <tp t="s">
        <v>4/15/1998</v>
        <stp/>
        <stp>##V3_BDPV12</stp>
        <stp>912827A4 Govt</stp>
        <stp>MATURITY</stp>
        <stp>[TREASURY.xlsx]Sheet1!R1547C5</stp>
        <tr r="E1547" s="1"/>
      </tp>
      <tp t="s">
        <v>5/15/2011</v>
        <stp/>
        <stp>##V3_BDPV12</stp>
        <stp>912810CV Govt</stp>
        <stp>MATURITY</stp>
        <stp>[TREASURY.xlsx]Sheet1!R1310C5</stp>
        <tr r="E1310" s="1"/>
      </tp>
      <tp t="s">
        <v>1/31/2019</v>
        <stp/>
        <stp>##V3_BDPV12</stp>
        <stp>912828B3 Govt</stp>
        <stp>MATURITY</stp>
        <stp>[TREASURY.xlsx]Sheet1!R1108C5</stp>
        <tr r="E1108" s="1"/>
      </tp>
      <tp t="s">
        <v>7/15/1998</v>
        <stp/>
        <stp>##V3_BDPV12</stp>
        <stp>912827B5 Govt</stp>
        <stp>MATURITY</stp>
        <stp>[TREASURY.xlsx]Sheet1!R1477C5</stp>
        <tr r="E1477" s="1"/>
      </tp>
      <tp t="s">
        <v>2/15/2007</v>
        <stp/>
        <stp>##V3_BDPV12</stp>
        <stp>912810BX Govt</stp>
        <stp>MATURITY</stp>
        <stp>[TREASURY.xlsx]Sheet1!R1440C5</stp>
        <tr r="E1440" s="1"/>
      </tp>
      <tp t="s">
        <v>10/15/2010</v>
        <stp/>
        <stp>##V3_BDPV12</stp>
        <stp>912828EJ Govt</stp>
        <stp>MATURITY</stp>
        <stp>[TREASURY.xlsx]Sheet1!R1238C5</stp>
        <tr r="E1238" s="1"/>
      </tp>
      <tp t="s">
        <v>11/30/1996</v>
        <stp/>
        <stp>##V3_BDPV12</stp>
        <stp>912827D4 Govt</stp>
        <stp>MATURITY</stp>
        <stp>[TREASURY.xlsx]Sheet1!R1557C5</stp>
        <tr r="E1557" s="1"/>
      </tp>
      <tp t="s">
        <v>4/30/2007</v>
        <stp/>
        <stp>##V3_BDPV12</stp>
        <stp>912828DS Govt</stp>
        <stp>MATURITY</stp>
        <stp>[TREASURY.xlsx]Sheet1!R1428C5</stp>
        <tr r="E1428" s="1"/>
      </tp>
      <tp t="s">
        <v>8/15/2014</v>
        <stp/>
        <stp>##V3_BDPV12</stp>
        <stp>912810DL Govt</stp>
        <stp>MATURITY</stp>
        <stp>[TREASURY.xlsx]Sheet1!R1620C5</stp>
        <tr r="E1620" s="1"/>
      </tp>
      <tp t="s">
        <v>8/31/1997</v>
        <stp/>
        <stp>##V3_BDPV12</stp>
        <stp>912827G7 Govt</stp>
        <stp>MATURITY</stp>
        <stp>[TREASURY.xlsx]Sheet1!R1037C5</stp>
        <tr r="E1037" s="1"/>
      </tp>
      <tp t="s">
        <v>10/31/2016</v>
        <stp/>
        <stp>##V3_BDPV12</stp>
        <stp>912828F8 Govt</stp>
        <stp>MATURITY</stp>
        <stp>[TREASURY.xlsx]Sheet1!R1118C5</stp>
        <tr r="E1118" s="1"/>
      </tp>
      <tp t="s">
        <v>11/15/2009</v>
        <stp/>
        <stp>##V3_BDPV12</stp>
        <stp>912828FX Govt</stp>
        <stp>MATURITY</stp>
        <stp>[TREASURY.xlsx]Sheet1!R1278C5</stp>
        <tr r="E1278" s="1"/>
      </tp>
      <tp t="s">
        <v>10/31/1997</v>
        <stp/>
        <stp>##V3_BDPV12</stp>
        <stp>912827H4 Govt</stp>
        <stp>MATURITY</stp>
        <stp>[TREASURY.xlsx]Sheet1!R1157C5</stp>
        <tr r="E1157" s="1"/>
      </tp>
      <tp t="s">
        <v>11/30/1997</v>
        <stp/>
        <stp>##V3_BDPV12</stp>
        <stp>912827H8 Govt</stp>
        <stp>MATURITY</stp>
        <stp>[TREASURY.xlsx]Sheet1!R1487C5</stp>
        <tr r="E1487" s="1"/>
      </tp>
      <tp t="s">
        <v>1/31/2010</v>
        <stp/>
        <stp>##V3_BDPV12</stp>
        <stp>912828HP Govt</stp>
        <stp>MATURITY</stp>
        <stp>[TREASURY.xlsx]Sheet1!R1438C5</stp>
        <tr r="E1438" s="1"/>
      </tp>
      <tp t="s">
        <v>4/30/2017</v>
        <stp/>
        <stp>##V3_BDPV12</stp>
        <stp>912828K6 Govt</stp>
        <stp>MATURITY</stp>
        <stp>[TREASURY.xlsx]Sheet1!R1248C5</stp>
        <tr r="E1248" s="1"/>
      </tp>
      <tp t="s">
        <v>3/15/2012</v>
        <stp/>
        <stp>##V3_BDPV12</stp>
        <stp>912828KG Govt</stp>
        <stp>MATURITY</stp>
        <stp>[TREASURY.xlsx]Sheet1!R1288C5</stp>
        <tr r="E1288" s="1"/>
      </tp>
      <tp t="s">
        <v>2/28/1982</v>
        <stp/>
        <stp>##V3_BDPV12</stp>
        <stp>912827KL Govt</stp>
        <stp>MATURITY</stp>
        <stp>[TREASURY.xlsx]Sheet1!R1377C5</stp>
        <tr r="E1377" s="1"/>
      </tp>
      <tp t="s">
        <v>2/15/1996</v>
        <stp/>
        <stp>##V3_BDPV12</stp>
        <stp>912827J6 Govt</stp>
        <stp>MATURITY</stp>
        <stp>[TREASURY.xlsx]Sheet1!R1317C5</stp>
        <tr r="E1317" s="1"/>
      </tp>
      <tp t="s">
        <v>2/15/1992</v>
        <stp/>
        <stp>##V3_BDPV12</stp>
        <stp>912827MW Govt</stp>
        <stp>MATURITY</stp>
        <stp>[TREASURY.xlsx]Sheet1!R1047C5</stp>
        <tr r="E1047" s="1"/>
      </tp>
      <tp t="s">
        <v>12/31/1983</v>
        <stp/>
        <stp>##V3_BDPV12</stp>
        <stp>912827MR Govt</stp>
        <stp>MATURITY</stp>
        <stp>[TREASURY.xlsx]Sheet1!R1327C5</stp>
        <tr r="E1327" s="1"/>
      </tp>
      <tp t="s">
        <v>11/15/1984</v>
        <stp/>
        <stp>##V3_BDPV12</stp>
        <stp>912827MD Govt</stp>
        <stp>MATURITY</stp>
        <stp>[TREASURY.xlsx]Sheet1!R1167C5</stp>
        <tr r="E1167" s="1"/>
      </tp>
      <tp t="s">
        <v>6/30/1983</v>
        <stp/>
        <stp>##V3_BDPV12</stp>
        <stp>912827LZ Govt</stp>
        <stp>MATURITY</stp>
        <stp>[TREASURY.xlsx]Sheet1!R1567C5</stp>
        <tr r="E1567" s="1"/>
      </tp>
      <tp t="s">
        <v>8/15/2012</v>
        <stp/>
        <stp>##V3_BDPV12</stp>
        <stp>912828LH Govt</stp>
        <stp>MATURITY</stp>
        <stp>[TREASURY.xlsx]Sheet1!R1128C5</stp>
        <tr r="E1128" s="1"/>
      </tp>
      <tp t="s">
        <v>9/15/2013</v>
        <stp/>
        <stp>##V3_BDPV12</stp>
        <stp>912828NY Govt</stp>
        <stp>MATURITY</stp>
        <stp>[TREASURY.xlsx]Sheet1!R1258C5</stp>
        <tr r="E1258" s="1"/>
      </tp>
      <tp t="s">
        <v>11/15/2000</v>
        <stp/>
        <stp>##V3_BDPV12</stp>
        <stp>9128273M Govt</stp>
        <stp>MATURITY</stp>
        <stp>[TREASURY.xlsx]Sheet1!R1357C5</stp>
        <tr r="E1357" s="1"/>
      </tp>
      <tp t="s">
        <v>9/30/1999</v>
        <stp/>
        <stp>##V3_BDPV12</stp>
        <stp>9128273H Govt</stp>
        <stp>MATURITY</stp>
        <stp>[TREASURY.xlsx]Sheet1!R1527C5</stp>
        <tr r="E1527" s="1"/>
      </tp>
      <tp t="s">
        <v>1/31/2002</v>
        <stp/>
        <stp>##V3_BDPV12</stp>
        <stp>9128272G Govt</stp>
        <stp>MATURITY</stp>
        <stp>[TREASURY.xlsx]Sheet1!R1517C5</stp>
        <tr r="E1517" s="1"/>
      </tp>
      <tp t="s">
        <v>T</v>
        <stp/>
        <stp>##V3_BDPV12</stp>
        <stp>912828SZ Govt</stp>
        <stp>TICKER</stp>
        <stp>[TREASURY.xlsx]Sheet1!R551C2</stp>
        <tr r="B551" s="1"/>
      </tp>
      <tp t="s">
        <v>9/30/2001</v>
        <stp/>
        <stp>##V3_BDPV12</stp>
        <stp>9128275Q Govt</stp>
        <stp>MATURITY</stp>
        <stp>[TREASURY.xlsx]Sheet1!R1017C5</stp>
        <tr r="E1017" s="1"/>
      </tp>
      <tp t="s">
        <v>8/31/2000</v>
        <stp/>
        <stp>##V3_BDPV12</stp>
        <stp>9128274Q Govt</stp>
        <stp>MATURITY</stp>
        <stp>[TREASURY.xlsx]Sheet1!R1367C5</stp>
        <tr r="E1367" s="1"/>
      </tp>
      <tp t="s">
        <v>3/31/2000</v>
        <stp/>
        <stp>##V3_BDPV12</stp>
        <stp>9128274A Govt</stp>
        <stp>MATURITY</stp>
        <stp>[TREASURY.xlsx]Sheet1!R1457C5</stp>
        <tr r="E1457" s="1"/>
      </tp>
      <tp t="s">
        <v>T</v>
        <stp/>
        <stp>##V3_BDPV12</stp>
        <stp>912810PX Govt</stp>
        <stp>TICKER</stp>
        <stp>[TREASURY.xlsx]Sheet1!R282C2</stp>
        <tr r="B282" s="1"/>
      </tp>
      <tp t="s">
        <v>11/15/2006</v>
        <stp/>
        <stp>##V3_BDPV12</stp>
        <stp>9128277F Govt</stp>
        <stp>MATURITY</stp>
        <stp>[TREASURY.xlsx]Sheet1!R1027C5</stp>
        <tr r="E1027" s="1"/>
      </tp>
      <tp t="s">
        <v>2/28/2003</v>
        <stp/>
        <stp>##V3_BDPV12</stp>
        <stp>9128276U Govt</stp>
        <stp>MATURITY</stp>
        <stp>[TREASURY.xlsx]Sheet1!R1467C5</stp>
        <tr r="E1467" s="1"/>
      </tp>
      <tp t="s">
        <v>7/31/2002</v>
        <stp/>
        <stp>##V3_BDPV12</stp>
        <stp>9128276H Govt</stp>
        <stp>MATURITY</stp>
        <stp>[TREASURY.xlsx]Sheet1!R1537C5</stp>
        <tr r="E1537" s="1"/>
      </tp>
      <tp t="s">
        <v>T</v>
        <stp/>
        <stp>##V3_BDPV12</stp>
        <stp>912828PV Govt</stp>
        <stp>TICKER</stp>
        <stp>[TREASURY.xlsx]Sheet1!R652C2</stp>
        <tr r="B652" s="1"/>
      </tp>
      <tp t="s">
        <v>T</v>
        <stp/>
        <stp>##V3_BDPV12</stp>
        <stp>912827RW Govt</stp>
        <stp>TICKER</stp>
        <stp>[TREASURY.xlsx]Sheet1!R830C2</stp>
        <tr r="B830" s="1"/>
      </tp>
      <tp t="s">
        <v>T</v>
        <stp/>
        <stp>##V3_BDPV12</stp>
        <stp>912828RT Govt</stp>
        <stp>TICKER</stp>
        <stp>[TREASURY.xlsx]Sheet1!R420C2</stp>
        <tr r="B420" s="1"/>
      </tp>
      <tp t="s">
        <v>T</v>
        <stp/>
        <stp>##V3_BDPV12</stp>
        <stp>912827VR Govt</stp>
        <stp>TICKER</stp>
        <stp>[TREASURY.xlsx]Sheet1!R764C2</stp>
        <tr r="B764" s="1"/>
      </tp>
      <tp t="s">
        <v>NORMAL</v>
        <stp/>
        <stp>##V3_BDPV12</stp>
        <stp>912810EF Govt</stp>
        <stp>MTY_TYP</stp>
        <stp>[TREASURY.xlsx]Sheet1!R606C6</stp>
        <tr r="F606" s="1"/>
      </tp>
      <tp t="s">
        <v>NORMAL</v>
        <stp/>
        <stp>##V3_BDPV12</stp>
        <stp>912810ED Govt</stp>
        <stp>MTY_TYP</stp>
        <stp>[TREASURY.xlsx]Sheet1!R664C6</stp>
        <tr r="F664" s="1"/>
      </tp>
      <tp t="s">
        <v>NORMAL</v>
        <stp/>
        <stp>##V3_BDPV12</stp>
        <stp>912810RE Govt</stp>
        <stp>MTY_TYP</stp>
        <stp>[TREASURY.xlsx]Sheet1!R295C6</stp>
        <tr r="F295" s="1"/>
      </tp>
      <tp t="s">
        <v>NORMAL</v>
        <stp/>
        <stp>##V3_BDPV12</stp>
        <stp>912810RC Govt</stp>
        <stp>MTY_TYP</stp>
        <stp>[TREASURY.xlsx]Sheet1!R263C6</stp>
        <tr r="F263" s="1"/>
      </tp>
      <tp t="s">
        <v>NORMAL</v>
        <stp/>
        <stp>##V3_BDPV12</stp>
        <stp>912810SC Govt</stp>
        <stp>MTY_TYP</stp>
        <stp>[TREASURY.xlsx]Sheet1!R243C6</stp>
        <tr r="F243" s="1"/>
      </tp>
      <tp t="s">
        <v>T</v>
        <stp/>
        <stp>##V3_BDPV12</stp>
        <stp>912810QS Govt</stp>
        <stp>TICKER</stp>
        <stp>[TREASURY.xlsx]Sheet1!R303C2</stp>
        <tr r="B303" s="1"/>
      </tp>
      <tp t="s">
        <v>T</v>
        <stp/>
        <stp>##V3_BDPV12</stp>
        <stp>912828VS Govt</stp>
        <stp>TICKER</stp>
        <stp>[TREASURY.xlsx]Sheet1!R134C2</stp>
        <tr r="B134" s="1"/>
      </tp>
      <tp t="s">
        <v>NORMAL</v>
        <stp/>
        <stp>##V3_BDPV12</stp>
        <stp>912828LD Govt</stp>
        <stp>MTY_TYP</stp>
        <stp>[TREASURY.xlsx]Sheet1!R814C6</stp>
        <tr r="F814" s="1"/>
      </tp>
      <tp t="s">
        <v>NORMAL</v>
        <stp/>
        <stp>##V3_BDPV12</stp>
        <stp>912828JC Govt</stp>
        <stp>MTY_TYP</stp>
        <stp>[TREASURY.xlsx]Sheet1!R853C6</stp>
        <tr r="F853" s="1"/>
      </tp>
      <tp t="s">
        <v>NORMAL</v>
        <stp/>
        <stp>##V3_BDPV12</stp>
        <stp>912828GA Govt</stp>
        <stp>MTY_TYP</stp>
        <stp>[TREASURY.xlsx]Sheet1!R801C6</stp>
        <tr r="F801" s="1"/>
      </tp>
      <tp t="s">
        <v>NORMAL</v>
        <stp/>
        <stp>##V3_BDPV12</stp>
        <stp>912828AG Govt</stp>
        <stp>MTY_TYP</stp>
        <stp>[TREASURY.xlsx]Sheet1!R837C6</stp>
        <tr r="F837" s="1"/>
      </tp>
      <tp t="s">
        <v>NORMAL</v>
        <stp/>
        <stp>##V3_BDPV12</stp>
        <stp>912827LF Govt</stp>
        <stp>MTY_TYP</stp>
        <stp>[TREASURY.xlsx]Sheet1!R656C6</stp>
        <tr r="F656" s="1"/>
      </tp>
      <tp t="s">
        <v>NORMAL</v>
        <stp/>
        <stp>##V3_BDPV12</stp>
        <stp>912828GG Govt</stp>
        <stp>MTY_TYP</stp>
        <stp>[TREASURY.xlsx]Sheet1!R967C6</stp>
        <tr r="F967" s="1"/>
      </tp>
      <tp t="s">
        <v>NORMAL</v>
        <stp/>
        <stp>##V3_BDPV12</stp>
        <stp>912828ED Govt</stp>
        <stp>MTY_TYP</stp>
        <stp>[TREASURY.xlsx]Sheet1!R964C6</stp>
        <tr r="F964" s="1"/>
      </tp>
      <tp t="s">
        <v>NORMAL</v>
        <stp/>
        <stp>##V3_BDPV12</stp>
        <stp>9128285B Govt</stp>
        <stp>MTY_TYP</stp>
        <stp>[TREASURY.xlsx]Sheet1!R442C6</stp>
        <tr r="F442" s="1"/>
      </tp>
      <tp t="s">
        <v>NORMAL</v>
        <stp/>
        <stp>##V3_BDPV12</stp>
        <stp>912828XH Govt</stp>
        <stp>MTY_TYP</stp>
        <stp>[TREASURY.xlsx]Sheet1!R468C6</stp>
        <tr r="F468" s="1"/>
      </tp>
      <tp t="s">
        <v>NORMAL</v>
        <stp/>
        <stp>##V3_BDPV12</stp>
        <stp>912828JG Govt</stp>
        <stp>MTY_TYP</stp>
        <stp>[TREASURY.xlsx]Sheet1!R417C6</stp>
        <tr r="F417" s="1"/>
      </tp>
      <tp t="s">
        <v>NORMAL</v>
        <stp/>
        <stp>##V3_BDPV12</stp>
        <stp>912828BB Govt</stp>
        <stp>MTY_TYP</stp>
        <stp>[TREASURY.xlsx]Sheet1!R482C6</stp>
        <tr r="F482" s="1"/>
      </tp>
      <tp t="s">
        <v>NORMAL</v>
        <stp/>
        <stp>##V3_BDPV12</stp>
        <stp>912828BG Govt</stp>
        <stp>MTY_TYP</stp>
        <stp>[TREASURY.xlsx]Sheet1!R427C6</stp>
        <tr r="F427" s="1"/>
      </tp>
      <tp t="s">
        <v>NORMAL</v>
        <stp/>
        <stp>##V3_BDPV12</stp>
        <stp>912828VG Govt</stp>
        <stp>MTY_TYP</stp>
        <stp>[TREASURY.xlsx]Sheet1!R587C6</stp>
        <tr r="F587" s="1"/>
      </tp>
      <tp t="s">
        <v>NORMAL</v>
        <stp/>
        <stp>##V3_BDPV12</stp>
        <stp>912828QF Govt</stp>
        <stp>MTY_TYP</stp>
        <stp>[TREASURY.xlsx]Sheet1!R576C6</stp>
        <tr r="F576" s="1"/>
      </tp>
      <tp t="s">
        <v>NORMAL</v>
        <stp/>
        <stp>##V3_BDPV12</stp>
        <stp>912828EE Govt</stp>
        <stp>MTY_TYP</stp>
        <stp>[TREASURY.xlsx]Sheet1!R795C6</stp>
        <tr r="F795" s="1"/>
      </tp>
      <tp t="s">
        <v>NORMAL</v>
        <stp/>
        <stp>##V3_BDPV12</stp>
        <stp>912827ME Govt</stp>
        <stp>MTY_TYP</stp>
        <stp>[TREASURY.xlsx]Sheet1!R895C6</stp>
        <tr r="F895" s="1"/>
      </tp>
      <tp t="s">
        <v>NORMAL</v>
        <stp/>
        <stp>##V3_BDPV12</stp>
        <stp>9128285F Govt</stp>
        <stp>MTY_TYP</stp>
        <stp>[TREASURY.xlsx]Sheet1!R106C6</stp>
        <tr r="F106" s="1"/>
      </tp>
      <tp t="s">
        <v>NORMAL</v>
        <stp/>
        <stp>##V3_BDPV12</stp>
        <stp>912828XB Govt</stp>
        <stp>MTY_TYP</stp>
        <stp>[TREASURY.xlsx]Sheet1!R122C6</stp>
        <tr r="F122" s="1"/>
      </tp>
      <tp t="s">
        <v>NORMAL</v>
        <stp/>
        <stp>##V3_BDPV12</stp>
        <stp>9128286H Govt</stp>
        <stp>MTY_TYP</stp>
        <stp>[TREASURY.xlsx]Sheet1!R228C6</stp>
        <tr r="F228" s="1"/>
      </tp>
      <tp t="s">
        <v>NORMAL</v>
        <stp/>
        <stp>##V3_BDPV12</stp>
        <stp>912828RC Govt</stp>
        <stp>MTY_TYP</stp>
        <stp>[TREASURY.xlsx]Sheet1!R333C6</stp>
        <tr r="F333" s="1"/>
      </tp>
      <tp t="s">
        <v>NORMAL</v>
        <stp/>
        <stp>##V3_BDPV12</stp>
        <stp>912828KD Govt</stp>
        <stp>MTY_TYP</stp>
        <stp>[TREASURY.xlsx]Sheet1!R364C6</stp>
        <tr r="F364" s="1"/>
      </tp>
      <tp t="s">
        <v>NORMAL</v>
        <stp/>
        <stp>##V3_BDPV12</stp>
        <stp>912828CD Govt</stp>
        <stp>MTY_TYP</stp>
        <stp>[TREASURY.xlsx]Sheet1!R384C6</stp>
        <tr r="F384" s="1"/>
      </tp>
      <tp t="s">
        <v>NORMAL</v>
        <stp/>
        <stp>##V3_BDPV12</stp>
        <stp>91282CBE Govt</stp>
        <stp>MTY_TYP</stp>
        <stp>[TREASURY.xlsx]Sheet1!R115C6</stp>
        <tr r="F115" s="1"/>
      </tp>
      <tp t="s">
        <v>T</v>
        <stp/>
        <stp>##V3_BDPV12</stp>
        <stp>912828UN Govt</stp>
        <stp>TICKER</stp>
        <stp>[TREASURY.xlsx]Sheet1!R147C2</stp>
        <tr r="B147" s="1"/>
      </tp>
      <tp t="s">
        <v>T</v>
        <stp/>
        <stp>##V3_BDPV12</stp>
        <stp>912828SL Govt</stp>
        <stp>TICKER</stp>
        <stp>[TREASURY.xlsx]Sheet1!R511C2</stp>
        <tr r="B511" s="1"/>
      </tp>
      <tp t="s">
        <v>T</v>
        <stp/>
        <stp>##V3_BDPV12</stp>
        <stp>912810RJ Govt</stp>
        <stp>TICKER</stp>
        <stp>[TREASURY.xlsx]Sheet1!R180C2</stp>
        <tr r="B180" s="1"/>
      </tp>
      <tp t="s">
        <v>T</v>
        <stp/>
        <stp>##V3_BDPV12</stp>
        <stp>912828PK Govt</stp>
        <stp>TICKER</stp>
        <stp>[TREASURY.xlsx]Sheet1!R982C2</stp>
        <tr r="B982" s="1"/>
      </tp>
      <tp t="s">
        <v>T</v>
        <stp/>
        <stp>##V3_BDPV12</stp>
        <stp>912827VH Govt</stp>
        <stp>TICKER</stp>
        <stp>[TREASURY.xlsx]Sheet1!R924C2</stp>
        <tr r="B924" s="1"/>
      </tp>
      <tp t="s">
        <v>T</v>
        <stp/>
        <stp>##V3_BDPV12</stp>
        <stp>912828VF Govt</stp>
        <stp>TICKER</stp>
        <stp>[TREASURY.xlsx]Sheet1!R694C2</stp>
        <tr r="B694" s="1"/>
      </tp>
      <tp t="s">
        <v>T</v>
        <stp/>
        <stp>##V3_BDPV12</stp>
        <stp>912810SD Govt</stp>
        <stp>TICKER</stp>
        <stp>[TREASURY.xlsx]Sheet1!R181C2</stp>
        <tr r="B181" s="1"/>
      </tp>
      <tp t="s">
        <v>T</v>
        <stp/>
        <stp>##V3_BDPV12</stp>
        <stp>912827RD Govt</stp>
        <stp>TICKER</stp>
        <stp>[TREASURY.xlsx]Sheet1!R910C2</stp>
        <tr r="B910" s="1"/>
      </tp>
      <tp t="s">
        <v>T</v>
        <stp/>
        <stp>##V3_BDPV12</stp>
        <stp>912828ZB Govt</stp>
        <stp>TICKER</stp>
        <stp>[TREASURY.xlsx]Sheet1!R148C2</stp>
        <tr r="B148" s="1"/>
      </tp>
      <tp t="s">
        <v>T</v>
        <stp/>
        <stp>##V3_BDPV12</stp>
        <stp>912828UA Govt</stp>
        <stp>TICKER</stp>
        <stp>[TREASURY.xlsx]Sheet1!R387C2</stp>
        <tr r="B387" s="1"/>
      </tp>
      <tp t="s">
        <v>12/3/1990</v>
        <stp/>
        <stp>##V3_BDPV12</stp>
        <stp>912827ZQ Govt</stp>
        <stp>ISSUE_DT</stp>
        <stp>[TREASURY.xlsx]Sheet1!R1611C15</stp>
        <tr r="O1611" s="1"/>
      </tp>
      <tp t="s">
        <v>2/15/1991</v>
        <stp/>
        <stp>##V3_BDPV12</stp>
        <stp>912827ZW Govt</stp>
        <stp>ISSUE_DT</stp>
        <stp>[TREASURY.xlsx]Sheet1!R1104C15</stp>
        <tr r="O1104" s="1"/>
      </tp>
      <tp t="s">
        <v>912828JL5</v>
        <stp/>
        <stp>##V3_BDPV12</stp>
        <stp>912828JL Govt</stp>
        <stp>ID_CUSIP</stp>
        <stp>[TREASURY.xlsx]Sheet1!R1122C19</stp>
        <tr r="S1122" s="1"/>
      </tp>
      <tp t="s">
        <v>T</v>
        <stp/>
        <stp>##V3_BDPV12</stp>
        <stp>912828VU Govt</stp>
        <stp>TICKER</stp>
        <stp>[TREASURY.xlsx]Sheet1!R1003C2</stp>
        <tr r="B1003" s="1"/>
      </tp>
      <tp t="s">
        <v>T</v>
        <stp/>
        <stp>##V3_BDPV12</stp>
        <stp>912828HS Govt</stp>
        <stp>TICKER</stp>
        <stp>[TREASURY.xlsx]Sheet1!R1245C2</stp>
        <tr r="B1245" s="1"/>
      </tp>
      <tp t="s">
        <v>T</v>
        <stp/>
        <stp>##V3_BDPV12</stp>
        <stp>912828FP Govt</stp>
        <stp>TICKER</stp>
        <stp>[TREASURY.xlsx]Sheet1!R1276C2</stp>
        <tr r="B1276" s="1"/>
      </tp>
      <tp t="s">
        <v>T</v>
        <stp/>
        <stp>##V3_BDPV12</stp>
        <stp>912828DT Govt</stp>
        <stp>TICKER</stp>
        <stp>[TREASURY.xlsx]Sheet1!R1272C2</stp>
        <tr r="B1272" s="1"/>
      </tp>
      <tp t="s">
        <v>T</v>
        <stp/>
        <stp>##V3_BDPV12</stp>
        <stp>912828JP Govt</stp>
        <stp>TICKER</stp>
        <stp>[TREASURY.xlsx]Sheet1!R1286C2</stp>
        <tr r="B1286" s="1"/>
      </tp>
      <tp t="s">
        <v>T</v>
        <stp/>
        <stp>##V3_BDPV12</stp>
        <stp>912827PT Govt</stp>
        <stp>TICKER</stp>
        <stp>[TREASURY.xlsx]Sheet1!R1342C2</stp>
        <tr r="B1342" s="1"/>
      </tp>
      <tp t="s">
        <v>T</v>
        <stp/>
        <stp>##V3_BDPV12</stp>
        <stp>9128274Q Govt</stp>
        <stp>TICKER</stp>
        <stp>[TREASURY.xlsx]Sheet1!R1367C2</stp>
        <tr r="B1367" s="1"/>
      </tp>
      <tp t="s">
        <v>T</v>
        <stp/>
        <stp>##V3_BDPV12</stp>
        <stp>9128273V Govt</stp>
        <stp>TICKER</stp>
        <stp>[TREASURY.xlsx]Sheet1!R1360C2</stp>
        <tr r="B1360" s="1"/>
      </tp>
      <tp t="s">
        <v>T</v>
        <stp/>
        <stp>##V3_BDPV12</stp>
        <stp>912827VS Govt</stp>
        <stp>TICKER</stp>
        <stp>[TREASURY.xlsx]Sheet1!R1205C2</stp>
        <tr r="B1205" s="1"/>
      </tp>
      <tp t="s">
        <v>T</v>
        <stp/>
        <stp>##V3_BDPV12</stp>
        <stp>912827SP Govt</stp>
        <stp>TICKER</stp>
        <stp>[TREASURY.xlsx]Sheet1!R1186C2</stp>
        <tr r="B1186" s="1"/>
      </tp>
      <tp t="s">
        <v>T</v>
        <stp/>
        <stp>##V3_BDPV12</stp>
        <stp>912827SQ Govt</stp>
        <stp>TICKER</stp>
        <stp>[TREASURY.xlsx]Sheet1!R1187C2</stp>
        <tr r="B1187" s="1"/>
      </tp>
      <tp t="s">
        <v>T</v>
        <stp/>
        <stp>##V3_BDPV12</stp>
        <stp>912827TR Govt</stp>
        <stp>TICKER</stp>
        <stp>[TREASURY.xlsx]Sheet1!R1194C2</stp>
        <tr r="B1194" s="1"/>
      </tp>
      <tp t="s">
        <v>T</v>
        <stp/>
        <stp>##V3_BDPV12</stp>
        <stp>9128275P Govt</stp>
        <stp>TICKER</stp>
        <stp>[TREASURY.xlsx]Sheet1!R1016C2</stp>
        <tr r="B1016" s="1"/>
      </tp>
      <tp t="s">
        <v>T</v>
        <stp/>
        <stp>##V3_BDPV12</stp>
        <stp>9128275Q Govt</stp>
        <stp>TICKER</stp>
        <stp>[TREASURY.xlsx]Sheet1!R1017C2</stp>
        <tr r="B1017" s="1"/>
      </tp>
      <tp t="s">
        <v>T</v>
        <stp/>
        <stp>##V3_BDPV12</stp>
        <stp>912827YP Govt</stp>
        <stp>TICKER</stp>
        <stp>[TREASURY.xlsx]Sheet1!R1606C2</stp>
        <tr r="B1606" s="1"/>
      </tp>
      <tp t="s">
        <v>T</v>
        <stp/>
        <stp>##V3_BDPV12</stp>
        <stp>912827ZT Govt</stp>
        <stp>TICKER</stp>
        <stp>[TREASURY.xlsx]Sheet1!R1612C2</stp>
        <tr r="B1612" s="1"/>
      </tp>
      <tp t="s">
        <v>T</v>
        <stp/>
        <stp>##V3_BDPV12</stp>
        <stp>912827TV Govt</stp>
        <stp>TICKER</stp>
        <stp>[TREASURY.xlsx]Sheet1!R1510C2</stp>
        <tr r="B1510" s="1"/>
      </tp>
      <tp t="s">
        <v>T</v>
        <stp/>
        <stp>##V3_BDPV12</stp>
        <stp>9128276W Govt</stp>
        <stp>TICKER</stp>
        <stp>[TREASURY.xlsx]Sheet1!R1541C2</stp>
        <tr r="B1541" s="1"/>
      </tp>
      <tp t="s">
        <v>T</v>
        <stp/>
        <stp>##V3_BDPV12</stp>
        <stp>912810DT Govt</stp>
        <stp>TICKER</stp>
        <stp>[TREASURY.xlsx]Sheet1!R1622C2</stp>
        <tr r="B1622" s="1"/>
      </tp>
      <tp t="s">
        <v>T</v>
        <stp/>
        <stp>##V3_BDPV12</stp>
        <stp>912810CV Govt</stp>
        <stp>TICKER</stp>
        <stp>[TREASURY.xlsx]Sheet1!R1310C2</stp>
        <tr r="B1310" s="1"/>
      </tp>
      <tp t="s">
        <v>T</v>
        <stp/>
        <stp>##V3_BDPV12</stp>
        <stp>912810CR Govt</stp>
        <stp>TICKER</stp>
        <stp>[TREASURY.xlsx]Sheet1!R1344C2</stp>
        <tr r="B1344" s="1"/>
      </tp>
      <tp t="s">
        <v>1/31/1991</v>
        <stp/>
        <stp>##V3_BDPV12</stp>
        <stp>912827ZV Govt</stp>
        <stp>ISSUE_DT</stp>
        <stp>[TREASURY.xlsx]Sheet1!R1231C15</stp>
        <tr r="O1231" s="1"/>
      </tp>
      <tp t="s">
        <v>USD</v>
        <stp/>
        <stp>##V3_BDPV12</stp>
        <stp>912827QV Govt</stp>
        <stp>CRNCY</stp>
        <stp>[TREASURY.xlsx]Sheet1!R1498C7</stp>
        <tr r="G1498" s="1"/>
      </tp>
      <tp t="s">
        <v>1/15/1991</v>
        <stp/>
        <stp>##V3_BDPV12</stp>
        <stp>912827ZT Govt</stp>
        <stp>ISSUE_DT</stp>
        <stp>[TREASURY.xlsx]Sheet1!R1612C15</stp>
        <tr r="O1612" s="1"/>
      </tp>
      <tp t="s">
        <v>2/28/1991</v>
        <stp/>
        <stp>##V3_BDPV12</stp>
        <stp>912827ZY Govt</stp>
        <stp>ISSUE_DT</stp>
        <stp>[TREASURY.xlsx]Sheet1!R1613C15</stp>
        <tr r="O1613" s="1"/>
      </tp>
      <tp t="s">
        <v>2/28/1991</v>
        <stp/>
        <stp>##V3_BDPV12</stp>
        <stp>912827ZZ Govt</stp>
        <stp>ISSUE_DT</stp>
        <stp>[TREASURY.xlsx]Sheet1!R1614C15</stp>
        <tr r="O1614" s="1"/>
      </tp>
      <tp t="s">
        <v>USD</v>
        <stp/>
        <stp>##V3_BDPV12</stp>
        <stp>912827ZY Govt</stp>
        <stp>CRNCY</stp>
        <stp>[TREASURY.xlsx]Sheet1!R1613C7</stp>
        <tr r="G1613" s="1"/>
      </tp>
      <tp t="s">
        <v>912828JA9</v>
        <stp/>
        <stp>##V3_BDPV12</stp>
        <stp>912828JA Govt</stp>
        <stp>ID_CUSIP</stp>
        <stp>[TREASURY.xlsx]Sheet1!R1285C19</stp>
        <tr r="S1285" s="1"/>
      </tp>
      <tp t="s">
        <v>USD</v>
        <stp/>
        <stp>##V3_BDPV12</stp>
        <stp>912827YB Govt</stp>
        <stp>CRNCY</stp>
        <stp>[TREASURY.xlsx]Sheet1!R1100C7</stp>
        <tr r="G1100" s="1"/>
      </tp>
      <tp t="s">
        <v>9/4/1990</v>
        <stp/>
        <stp>##V3_BDPV12</stp>
        <stp>912827ZG Govt</stp>
        <stp>ISSUE_DT</stp>
        <stp>[TREASURY.xlsx]Sheet1!R1103C15</stp>
        <tr r="O1103" s="1"/>
      </tp>
      <tp t="s">
        <v>USD</v>
        <stp/>
        <stp>##V3_BDPV12</stp>
        <stp>912827YC Govt</stp>
        <stp>CRNCY</stp>
        <stp>[TREASURY.xlsx]Sheet1!R1220C7</stp>
        <tr r="G1220" s="1"/>
      </tp>
      <tp t="s">
        <v>NORMAL</v>
        <stp/>
        <stp>##V3_BDPV12</stp>
        <stp>912810EA Govt</stp>
        <stp>MTY_TYP</stp>
        <stp>[TREASURY.xlsx]Sheet1!R1445C6</stp>
        <tr r="F1445" s="1"/>
      </tp>
      <tp t="s">
        <v>NORMAL</v>
        <stp/>
        <stp>##V3_BDPV12</stp>
        <stp>912810CU Govt</stp>
        <stp>MTY_TYP</stp>
        <stp>[TREASURY.xlsx]Sheet1!R1345C6</stp>
        <tr r="F1345" s="1"/>
      </tp>
      <tp t="s">
        <v>CALLABLE</v>
        <stp/>
        <stp>##V3_BDPV12</stp>
        <stp>912810CM Govt</stp>
        <stp>MTY_TYP</stp>
        <stp>[TREASURY.xlsx]Sheet1!R1515C6</stp>
        <tr r="F1515" s="1"/>
      </tp>
      <tp t="s">
        <v>8/31/1990</v>
        <stp/>
        <stp>##V3_BDPV12</stp>
        <stp>912827ZF Govt</stp>
        <stp>ISSUE_DT</stp>
        <stp>[TREASURY.xlsx]Sheet1!R1229C15</stp>
        <tr r="O1229" s="1"/>
      </tp>
      <tp t="s">
        <v>7/2/1990</v>
        <stp/>
        <stp>##V3_BDPV12</stp>
        <stp>912827ZA Govt</stp>
        <stp>ISSUE_DT</stp>
        <stp>[TREASURY.xlsx]Sheet1!R1227C15</stp>
        <tr r="O1227" s="1"/>
      </tp>
      <tp t="s">
        <v>USD</v>
        <stp/>
        <stp>##V3_BDPV12</stp>
        <stp>912828XF Govt</stp>
        <stp>CRNCY</stp>
        <stp>[TREASURY.xlsx]Sheet1!R1151C7</stp>
        <tr r="G1151" s="1"/>
      </tp>
      <tp t="s">
        <v>USD</v>
        <stp/>
        <stp>##V3_BDPV12</stp>
        <stp>912828PF Govt</stp>
        <stp>CRNCY</stp>
        <stp>[TREASURY.xlsx]Sheet1!R1299C7</stp>
        <tr r="G1299" s="1"/>
      </tp>
      <tp t="s">
        <v>UNITED STATES</v>
        <stp/>
        <stp>##V3_BDPV12</stp>
        <stp>9128274W Govt</stp>
        <stp>COUNTRY_FULL_NAME</stp>
        <stp>[TREASURY.xlsx]Sheet1!R522C8</stp>
        <tr r="H522" s="1"/>
      </tp>
      <tp t="s">
        <v>8/15/1990</v>
        <stp/>
        <stp>##V3_BDPV12</stp>
        <stp>912827ZD Govt</stp>
        <stp>ISSUE_DT</stp>
        <stp>[TREASURY.xlsx]Sheet1!R1610C15</stp>
        <tr r="O1610" s="1"/>
      </tp>
      <tp t="s">
        <v>USD</v>
        <stp/>
        <stp>##V3_BDPV12</stp>
        <stp>912827ZG Govt</stp>
        <stp>CRNCY</stp>
        <stp>[TREASURY.xlsx]Sheet1!R1103C7</stp>
        <tr r="G1103" s="1"/>
      </tp>
      <tp t="s">
        <v>UNITED STATES</v>
        <stp/>
        <stp>##V3_BDPV12</stp>
        <stp>9128275F Govt</stp>
        <stp>COUNTRY_FULL_NAME</stp>
        <stp>[TREASURY.xlsx]Sheet1!R662C8</stp>
        <tr r="H662" s="1"/>
      </tp>
      <tp t="s">
        <v>NORMAL</v>
        <stp/>
        <stp>##V3_BDPV12</stp>
        <stp>9128276E Govt</stp>
        <stp>MTY_TYP</stp>
        <stp>[TREASURY.xlsx]Sheet1!R1536C6</stp>
        <tr r="F1536" s="1"/>
      </tp>
      <tp t="s">
        <v>NORMAL</v>
        <stp/>
        <stp>##V3_BDPV12</stp>
        <stp>9128277L Govt</stp>
        <stp>MTY_TYP</stp>
        <stp>[TREASURY.xlsx]Sheet1!R1546C6</stp>
        <tr r="F1546" s="1"/>
      </tp>
      <tp t="s">
        <v>NORMAL</v>
        <stp/>
        <stp>##V3_BDPV12</stp>
        <stp>9128276F Govt</stp>
        <stp>MTY_TYP</stp>
        <stp>[TREASURY.xlsx]Sheet1!R1466C6</stp>
        <tr r="F1466" s="1"/>
      </tp>
      <tp t="s">
        <v>NORMAL</v>
        <stp/>
        <stp>##V3_BDPV12</stp>
        <stp>9128273K Govt</stp>
        <stp>MTY_TYP</stp>
        <stp>[TREASURY.xlsx]Sheet1!R1356C6</stp>
        <tr r="F1356" s="1"/>
      </tp>
      <tp t="s">
        <v>NORMAL</v>
        <stp/>
        <stp>##V3_BDPV12</stp>
        <stp>9128273W Govt</stp>
        <stp>MTY_TYP</stp>
        <stp>[TREASURY.xlsx]Sheet1!R1456C6</stp>
        <tr r="F1456" s="1"/>
      </tp>
      <tp t="s">
        <v>NORMAL</v>
        <stp/>
        <stp>##V3_BDPV12</stp>
        <stp>9128274K Govt</stp>
        <stp>MTY_TYP</stp>
        <stp>[TREASURY.xlsx]Sheet1!R1366C6</stp>
        <tr r="F1366" s="1"/>
      </tp>
      <tp t="s">
        <v>NORMAL</v>
        <stp/>
        <stp>##V3_BDPV12</stp>
        <stp>9128276Z Govt</stp>
        <stp>MTY_TYP</stp>
        <stp>[TREASURY.xlsx]Sheet1!R1026C6</stp>
        <tr r="F1026" s="1"/>
      </tp>
      <tp t="s">
        <v>NORMAL</v>
        <stp/>
        <stp>##V3_BDPV12</stp>
        <stp>9128273E Govt</stp>
        <stp>MTY_TYP</stp>
        <stp>[TREASURY.xlsx]Sheet1!R1526C6</stp>
        <tr r="F1526" s="1"/>
      </tp>
      <tp t="s">
        <v>NORMAL</v>
        <stp/>
        <stp>##V3_BDPV12</stp>
        <stp>9128275P Govt</stp>
        <stp>MTY_TYP</stp>
        <stp>[TREASURY.xlsx]Sheet1!R1016C6</stp>
        <tr r="F1016" s="1"/>
      </tp>
      <tp t="s">
        <v>USD</v>
        <stp/>
        <stp>##V3_BDPV12</stp>
        <stp>912827PD Govt</stp>
        <stp>CRNCY</stp>
        <stp>[TREASURY.xlsx]Sheet1!R1569C7</stp>
        <tr r="G1569" s="1"/>
      </tp>
      <tp t="s">
        <v>NORMAL</v>
        <stp/>
        <stp>##V3_BDPV12</stp>
        <stp>912827H3 Govt</stp>
        <stp>MTY_TYP</stp>
        <stp>[TREASURY.xlsx]Sheet1!R1316C6</stp>
        <tr r="F1316" s="1"/>
      </tp>
      <tp t="s">
        <v>NORMAL</v>
        <stp/>
        <stp>##V3_BDPV12</stp>
        <stp>912827LH Govt</stp>
        <stp>MTY_TYP</stp>
        <stp>[TREASURY.xlsx]Sheet1!R1566C6</stp>
        <tr r="F1566" s="1"/>
      </tp>
      <tp t="s">
        <v>NORMAL</v>
        <stp/>
        <stp>##V3_BDPV12</stp>
        <stp>912827J9 Govt</stp>
        <stp>MTY_TYP</stp>
        <stp>[TREASURY.xlsx]Sheet1!R1376C6</stp>
        <tr r="F1376" s="1"/>
      </tp>
      <tp t="s">
        <v>NORMAL</v>
        <stp/>
        <stp>##V3_BDPV12</stp>
        <stp>912827MN Govt</stp>
        <stp>MTY_TYP</stp>
        <stp>[TREASURY.xlsx]Sheet1!R1326C6</stp>
        <tr r="F1326" s="1"/>
      </tp>
      <tp t="s">
        <v>NORMAL</v>
        <stp/>
        <stp>##V3_BDPV12</stp>
        <stp>912827NZ Govt</stp>
        <stp>MTY_TYP</stp>
        <stp>[TREASURY.xlsx]Sheet1!R1336C6</stp>
        <tr r="F1336" s="1"/>
      </tp>
      <tp t="s">
        <v>NORMAL</v>
        <stp/>
        <stp>##V3_BDPV12</stp>
        <stp>912827MS Govt</stp>
        <stp>MTY_TYP</stp>
        <stp>[TREASURY.xlsx]Sheet1!R1046C6</stp>
        <tr r="F1046" s="1"/>
      </tp>
      <tp t="s">
        <v>NORMAL</v>
        <stp/>
        <stp>##V3_BDPV12</stp>
        <stp>912827M9 Govt</stp>
        <stp>MTY_TYP</stp>
        <stp>[TREASURY.xlsx]Sheet1!R1166C6</stp>
        <tr r="F1166" s="1"/>
      </tp>
      <tp t="s">
        <v>NORMAL</v>
        <stp/>
        <stp>##V3_BDPV12</stp>
        <stp>912827G9 Govt</stp>
        <stp>MTY_TYP</stp>
        <stp>[TREASURY.xlsx]Sheet1!R1486C6</stp>
        <tr r="F1486" s="1"/>
      </tp>
      <tp t="s">
        <v>NORMAL</v>
        <stp/>
        <stp>##V3_BDPV12</stp>
        <stp>912827G6 Govt</stp>
        <stp>MTY_TYP</stp>
        <stp>[TREASURY.xlsx]Sheet1!R1036C6</stp>
        <tr r="F1036" s="1"/>
      </tp>
      <tp t="s">
        <v>NORMAL</v>
        <stp/>
        <stp>##V3_BDPV12</stp>
        <stp>912827C9 Govt</stp>
        <stp>MTY_TYP</stp>
        <stp>[TREASURY.xlsx]Sheet1!R1556C6</stp>
        <tr r="F1556" s="1"/>
      </tp>
      <tp t="s">
        <v>NORMAL</v>
        <stp/>
        <stp>##V3_BDPV12</stp>
        <stp>912827B4 Govt</stp>
        <stp>MTY_TYP</stp>
        <stp>[TREASURY.xlsx]Sheet1!R1476C6</stp>
        <tr r="F1476" s="1"/>
      </tp>
      <tp t="s">
        <v>NORMAL</v>
        <stp/>
        <stp>##V3_BDPV12</stp>
        <stp>912827G5 Govt</stp>
        <stp>MTY_TYP</stp>
        <stp>[TREASURY.xlsx]Sheet1!R1156C6</stp>
        <tr r="F1156" s="1"/>
      </tp>
      <tp t="s">
        <v>NORMAL</v>
        <stp/>
        <stp>##V3_BDPV12</stp>
        <stp>912827XR Govt</stp>
        <stp>MTY_TYP</stp>
        <stp>[TREASURY.xlsx]Sheet1!R1216C6</stp>
        <tr r="F1216" s="1"/>
      </tp>
      <tp t="s">
        <v>NORMAL</v>
        <stp/>
        <stp>##V3_BDPV12</stp>
        <stp>912827XQ Govt</stp>
        <stp>MTY_TYP</stp>
        <stp>[TREASURY.xlsx]Sheet1!R1096C6</stp>
        <tr r="F1096" s="1"/>
      </tp>
      <tp t="s">
        <v>NORMAL</v>
        <stp/>
        <stp>##V3_BDPV12</stp>
        <stp>912827Z6 Govt</stp>
        <stp>MTY_TYP</stp>
        <stp>[TREASURY.xlsx]Sheet1!R1226C6</stp>
        <tr r="F1226" s="1"/>
      </tp>
      <tp t="s">
        <v>NORMAL</v>
        <stp/>
        <stp>##V3_BDPV12</stp>
        <stp>912827YP Govt</stp>
        <stp>MTY_TYP</stp>
        <stp>[TREASURY.xlsx]Sheet1!R1606C6</stp>
        <tr r="F1606" s="1"/>
      </tp>
      <tp t="s">
        <v>NORMAL</v>
        <stp/>
        <stp>##V3_BDPV12</stp>
        <stp>912827XF Govt</stp>
        <stp>MTY_TYP</stp>
        <stp>[TREASURY.xlsx]Sheet1!R1596C6</stp>
        <tr r="F1596" s="1"/>
      </tp>
      <tp t="s">
        <v>NORMAL</v>
        <stp/>
        <stp>##V3_BDPV12</stp>
        <stp>912827SN Govt</stp>
        <stp>MTY_TYP</stp>
        <stp>[TREASURY.xlsx]Sheet1!R1066C6</stp>
        <tr r="F1066" s="1"/>
      </tp>
      <tp t="s">
        <v>NORMAL</v>
        <stp/>
        <stp>##V3_BDPV12</stp>
        <stp>912827P3 Govt</stp>
        <stp>MTY_TYP</stp>
        <stp>[TREASURY.xlsx]Sheet1!R1386C6</stp>
        <tr r="F1386" s="1"/>
      </tp>
      <tp t="s">
        <v>NORMAL</v>
        <stp/>
        <stp>##V3_BDPV12</stp>
        <stp>912827W7 Govt</stp>
        <stp>MTY_TYP</stp>
        <stp>[TREASURY.xlsx]Sheet1!R1416C6</stp>
        <tr r="F1416" s="1"/>
      </tp>
      <tp t="s">
        <v>NORMAL</v>
        <stp/>
        <stp>##V3_BDPV12</stp>
        <stp>912827SP Govt</stp>
        <stp>MTY_TYP</stp>
        <stp>[TREASURY.xlsx]Sheet1!R1186C6</stp>
        <tr r="F1186" s="1"/>
      </tp>
      <tp t="s">
        <v>NORMAL</v>
        <stp/>
        <stp>##V3_BDPV12</stp>
        <stp>912827UN Govt</stp>
        <stp>MTY_TYP</stp>
        <stp>[TREASURY.xlsx]Sheet1!R1406C6</stp>
        <tr r="F1406" s="1"/>
      </tp>
      <tp t="s">
        <v>NORMAL</v>
        <stp/>
        <stp>##V3_BDPV12</stp>
        <stp>912827TC Govt</stp>
        <stp>MTY_TYP</stp>
        <stp>[TREASURY.xlsx]Sheet1!R1506C6</stp>
        <tr r="F1506" s="1"/>
      </tp>
      <tp t="s">
        <v>NORMAL</v>
        <stp/>
        <stp>##V3_BDPV12</stp>
        <stp>912827QD Govt</stp>
        <stp>MTY_TYP</stp>
        <stp>[TREASURY.xlsx]Sheet1!R1056C6</stp>
        <tr r="F1056" s="1"/>
      </tp>
      <tp t="s">
        <v>NORMAL</v>
        <stp/>
        <stp>##V3_BDPV12</stp>
        <stp>912827SR Govt</stp>
        <stp>MTY_TYP</stp>
        <stp>[TREASURY.xlsx]Sheet1!R1396C6</stp>
        <tr r="F1396" s="1"/>
      </tp>
      <tp t="s">
        <v>NORMAL</v>
        <stp/>
        <stp>##V3_BDPV12</stp>
        <stp>912827Q2 Govt</stp>
        <stp>MTY_TYP</stp>
        <stp>[TREASURY.xlsx]Sheet1!R1176C6</stp>
        <tr r="F1176" s="1"/>
      </tp>
      <tp t="s">
        <v>NORMAL</v>
        <stp/>
        <stp>##V3_BDPV12</stp>
        <stp>912827VF Govt</stp>
        <stp>MTY_TYP</stp>
        <stp>[TREASURY.xlsx]Sheet1!R1086C6</stp>
        <tr r="F1086" s="1"/>
      </tp>
      <tp t="s">
        <v>NORMAL</v>
        <stp/>
        <stp>##V3_BDPV12</stp>
        <stp>912827S8 Govt</stp>
        <stp>MTY_TYP</stp>
        <stp>[TREASURY.xlsx]Sheet1!R1586C6</stp>
        <tr r="F1586" s="1"/>
      </tp>
      <tp t="s">
        <v>NORMAL</v>
        <stp/>
        <stp>##V3_BDPV12</stp>
        <stp>912827TX Govt</stp>
        <stp>MTY_TYP</stp>
        <stp>[TREASURY.xlsx]Sheet1!R1196C6</stp>
        <tr r="F1196" s="1"/>
      </tp>
      <tp t="s">
        <v>NORMAL</v>
        <stp/>
        <stp>##V3_BDPV12</stp>
        <stp>912827QK Govt</stp>
        <stp>MTY_TYP</stp>
        <stp>[TREASURY.xlsx]Sheet1!R1496C6</stp>
        <tr r="F1496" s="1"/>
      </tp>
      <tp t="s">
        <v>NORMAL</v>
        <stp/>
        <stp>##V3_BDPV12</stp>
        <stp>912827WA Govt</stp>
        <stp>MTY_TYP</stp>
        <stp>[TREASURY.xlsx]Sheet1!R1206C6</stp>
        <tr r="F1206" s="1"/>
      </tp>
      <tp t="s">
        <v>NORMAL</v>
        <stp/>
        <stp>##V3_BDPV12</stp>
        <stp>912827TY Govt</stp>
        <stp>MTY_TYP</stp>
        <stp>[TREASURY.xlsx]Sheet1!R1076C6</stp>
        <tr r="F1076" s="1"/>
      </tp>
      <tp t="s">
        <v>NORMAL</v>
        <stp/>
        <stp>##V3_BDPV12</stp>
        <stp>912827QZ Govt</stp>
        <stp>MTY_TYP</stp>
        <stp>[TREASURY.xlsx]Sheet1!R1576C6</stp>
        <tr r="F1576" s="1"/>
      </tp>
      <tp t="s">
        <v>7/16/1990</v>
        <stp/>
        <stp>##V3_BDPV12</stp>
        <stp>912827ZB Govt</stp>
        <stp>ISSUE_DT</stp>
        <stp>[TREASURY.xlsx]Sheet1!R1228C15</stp>
        <tr r="O1228" s="1"/>
      </tp>
      <tp t="s">
        <v>11/15/1990</v>
        <stp/>
        <stp>##V3_BDPV12</stp>
        <stp>912827ZM Govt</stp>
        <stp>ISSUE_DT</stp>
        <stp>[TREASURY.xlsx]Sheet1!R1230C15</stp>
        <tr r="O1230" s="1"/>
      </tp>
      <tp t="s">
        <v>USD</v>
        <stp/>
        <stp>##V3_BDPV12</stp>
        <stp>912827PJ Govt</stp>
        <stp>CRNCY</stp>
        <stp>[TREASURY.xlsx]Sheet1!R1389C7</stp>
        <tr r="G1389" s="1"/>
      </tp>
      <tp t="s">
        <v>NORMAL</v>
        <stp/>
        <stp>##V3_BDPV12</stp>
        <stp>9128284B Govt</stp>
        <stp>MTY_TYP</stp>
        <stp>[TREASURY.xlsx]Sheet1!R1106C6</stp>
        <tr r="F1106" s="1"/>
      </tp>
      <tp t="s">
        <v>NORMAL</v>
        <stp/>
        <stp>##V3_BDPV12</stp>
        <stp>912828KX Govt</stp>
        <stp>MTY_TYP</stp>
        <stp>[TREASURY.xlsx]Sheet1!R1126C6</stp>
        <tr r="F1126" s="1"/>
      </tp>
      <tp t="s">
        <v>NORMAL</v>
        <stp/>
        <stp>##V3_BDPV12</stp>
        <stp>912828JP Govt</stp>
        <stp>MTY_TYP</stp>
        <stp>[TREASURY.xlsx]Sheet1!R1286C6</stp>
        <tr r="F1286" s="1"/>
      </tp>
      <tp t="s">
        <v>NORMAL</v>
        <stp/>
        <stp>##V3_BDPV12</stp>
        <stp>912828J3 Govt</stp>
        <stp>MTY_TYP</stp>
        <stp>[TREASURY.xlsx]Sheet1!R1246C6</stp>
        <tr r="F1246" s="1"/>
      </tp>
      <tp t="s">
        <v>NORMAL</v>
        <stp/>
        <stp>##V3_BDPV12</stp>
        <stp>912828NF Govt</stp>
        <stp>MTY_TYP</stp>
        <stp>[TREASURY.xlsx]Sheet1!R1256C6</stp>
        <tr r="F1256" s="1"/>
      </tp>
      <tp t="s">
        <v>NORMAL</v>
        <stp/>
        <stp>##V3_BDPV12</stp>
        <stp>912828GW Govt</stp>
        <stp>MTY_TYP</stp>
        <stp>[TREASURY.xlsx]Sheet1!R1436C6</stp>
        <tr r="F1436" s="1"/>
      </tp>
      <tp t="s">
        <v>NORMAL</v>
        <stp/>
        <stp>##V3_BDPV12</stp>
        <stp>912828CQ Govt</stp>
        <stp>MTY_TYP</stp>
        <stp>[TREASURY.xlsx]Sheet1!R1236C6</stp>
        <tr r="F1236" s="1"/>
      </tp>
      <tp t="s">
        <v>NORMAL</v>
        <stp/>
        <stp>##V3_BDPV12</stp>
        <stp>912828AM Govt</stp>
        <stp>MTY_TYP</stp>
        <stp>[TREASURY.xlsx]Sheet1!R1616C6</stp>
        <tr r="F1616" s="1"/>
      </tp>
      <tp t="s">
        <v>NORMAL</v>
        <stp/>
        <stp>##V3_BDPV12</stp>
        <stp>912828CE Govt</stp>
        <stp>MTY_TYP</stp>
        <stp>[TREASURY.xlsx]Sheet1!R1426C6</stp>
        <tr r="F1426" s="1"/>
      </tp>
      <tp t="s">
        <v>NORMAL</v>
        <stp/>
        <stp>##V3_BDPV12</stp>
        <stp>912828ES Govt</stp>
        <stp>MTY_TYP</stp>
        <stp>[TREASURY.xlsx]Sheet1!R1116C6</stp>
        <tr r="F1116" s="1"/>
      </tp>
      <tp t="s">
        <v>NORMAL</v>
        <stp/>
        <stp>##V3_BDPV12</stp>
        <stp>912828FP Govt</stp>
        <stp>MTY_TYP</stp>
        <stp>[TREASURY.xlsx]Sheet1!R1276C6</stp>
        <tr r="F1276" s="1"/>
      </tp>
      <tp t="s">
        <v>NORMAL</v>
        <stp/>
        <stp>##V3_BDPV12</stp>
        <stp>912828PA Govt</stp>
        <stp>MTY_TYP</stp>
        <stp>[TREASURY.xlsx]Sheet1!R1296C6</stp>
        <tr r="F1296" s="1"/>
      </tp>
      <tp t="s">
        <v>NORMAL</v>
        <stp/>
        <stp>##V3_BDPV12</stp>
        <stp>912828RK Govt</stp>
        <stp>MTY_TYP</stp>
        <stp>[TREASURY.xlsx]Sheet1!R1266C6</stp>
        <tr r="F1266" s="1"/>
      </tp>
      <tp t="s">
        <v>NORMAL</v>
        <stp/>
        <stp>##V3_BDPV12</stp>
        <stp>912828WQ Govt</stp>
        <stp>MTY_TYP</stp>
        <stp>[TREASURY.xlsx]Sheet1!R1006C6</stp>
        <tr r="F1006" s="1"/>
      </tp>
      <tp t="s">
        <v>NORMAL</v>
        <stp/>
        <stp>##V3_BDPV12</stp>
        <stp>912828UR Govt</stp>
        <stp>MTY_TYP</stp>
        <stp>[TREASURY.xlsx]Sheet1!R1146C6</stp>
        <tr r="F1146" s="1"/>
      </tp>
      <tp t="s">
        <v>NORMAL</v>
        <stp/>
        <stp>##V3_BDPV12</stp>
        <stp>912828UK Govt</stp>
        <stp>MTY_TYP</stp>
        <stp>[TREASURY.xlsx]Sheet1!R1136C6</stp>
        <tr r="F1136" s="1"/>
      </tp>
      <tp t="s">
        <v>NORMAL</v>
        <stp/>
        <stp>##V3_BDPV12</stp>
        <stp>912828WH Govt</stp>
        <stp>MTY_TYP</stp>
        <stp>[TREASURY.xlsx]Sheet1!R1306C6</stp>
        <tr r="F1306" s="1"/>
      </tp>
      <tp t="s">
        <v>912828JS0</v>
        <stp/>
        <stp>##V3_BDPV12</stp>
        <stp>912828JS Govt</stp>
        <stp>ID_CUSIP</stp>
        <stp>[TREASURY.xlsx]Sheet1!R1247C19</stp>
        <tr r="S1247" s="1"/>
      </tp>
      <tp t="s">
        <v>912828JP6</v>
        <stp/>
        <stp>##V3_BDPV12</stp>
        <stp>912828JP Govt</stp>
        <stp>ID_CUSIP</stp>
        <stp>[TREASURY.xlsx]Sheet1!R1286C19</stp>
        <tr r="S1286" s="1"/>
      </tp>
      <tp t="s">
        <v>USD</v>
        <stp/>
        <stp>##V3_BDPV12</stp>
        <stp>912827QM Govt</stp>
        <stp>CRNCY</stp>
        <stp>[TREASURY.xlsx]Sheet1!R1058C7</stp>
        <tr r="G1058" s="1"/>
      </tp>
      <tp t="s">
        <v>UNITED STATES</v>
        <stp/>
        <stp>##V3_BDPV12</stp>
        <stp>912810DU Govt</stp>
        <stp>COUNTRY_FULL_NAME</stp>
        <stp>[TREASURY.xlsx]Sheet1!R432C8</stp>
        <tr r="H432" s="1"/>
      </tp>
      <tp t="s">
        <v>UNITED STATES</v>
        <stp/>
        <stp>##V3_BDPV12</stp>
        <stp>912810ES Govt</stp>
        <stp>COUNTRY_FULL_NAME</stp>
        <stp>[TREASURY.xlsx]Sheet1!R312C8</stp>
        <tr r="H312" s="1"/>
      </tp>
      <tp t="s">
        <v>UNITED STATES</v>
        <stp/>
        <stp>##V3_BDPV12</stp>
        <stp>912810EC Govt</stp>
        <stp>COUNTRY_FULL_NAME</stp>
        <stp>[TREASURY.xlsx]Sheet1!R612C8</stp>
        <tr r="H612" s="1"/>
      </tp>
      <tp t="s">
        <v>UNITED STATES</v>
        <stp/>
        <stp>##V3_BDPV12</stp>
        <stp>912810FF Govt</stp>
        <stp>COUNTRY_FULL_NAME</stp>
        <stp>[TREASURY.xlsx]Sheet1!R292C8</stp>
        <tr r="H292" s="1"/>
      </tp>
      <tp t="s">
        <v>UNITED STATES</v>
        <stp/>
        <stp>##V3_BDPV12</stp>
        <stp>912827H5 Govt</stp>
        <stp>COUNTRY_FULL_NAME</stp>
        <stp>[TREASURY.xlsx]Sheet1!R705C8</stp>
        <tr r="H705" s="1"/>
      </tp>
      <tp t="s">
        <v>UNITED STATES</v>
        <stp/>
        <stp>##V3_BDPV12</stp>
        <stp>912827KP Govt</stp>
        <stp>COUNTRY_FULL_NAME</stp>
        <stp>[TREASURY.xlsx]Sheet1!R885C8</stp>
        <tr r="H885" s="1"/>
      </tp>
      <tp t="s">
        <v>UNITED STATES</v>
        <stp/>
        <stp>##V3_BDPV12</stp>
        <stp>912827KH Govt</stp>
        <stp>COUNTRY_FULL_NAME</stp>
        <stp>[TREASURY.xlsx]Sheet1!R455C8</stp>
        <tr r="H455" s="1"/>
      </tp>
      <tp t="s">
        <v>UNITED STATES</v>
        <stp/>
        <stp>##V3_BDPV12</stp>
        <stp>912827LM Govt</stp>
        <stp>COUNTRY_FULL_NAME</stp>
        <stp>[TREASURY.xlsx]Sheet1!R715C8</stp>
        <tr r="H715" s="1"/>
      </tp>
      <tp t="s">
        <v>UNITED STATES</v>
        <stp/>
        <stp>##V3_BDPV12</stp>
        <stp>912827MY Govt</stp>
        <stp>COUNTRY_FULL_NAME</stp>
        <stp>[TREASURY.xlsx]Sheet1!R725C8</stp>
        <tr r="H725" s="1"/>
      </tp>
      <tp t="s">
        <v>UNITED STATES</v>
        <stp/>
        <stp>##V3_BDPV12</stp>
        <stp>912827ME Govt</stp>
        <stp>COUNTRY_FULL_NAME</stp>
        <stp>[TREASURY.xlsx]Sheet1!R895C8</stp>
        <tr r="H895" s="1"/>
      </tp>
      <tp t="s">
        <v>UNITED STATES</v>
        <stp/>
        <stp>##V3_BDPV12</stp>
        <stp>912827P2 Govt</stp>
        <stp>COUNTRY_FULL_NAME</stp>
        <stp>[TREASURY.xlsx]Sheet1!R735C8</stp>
        <tr r="H735" s="1"/>
      </tp>
      <tp t="s">
        <v>UNITED STATES</v>
        <stp/>
        <stp>##V3_BDPV12</stp>
        <stp>912810PX Govt</stp>
        <stp>COUNTRY_FULL_NAME</stp>
        <stp>[TREASURY.xlsx]Sheet1!R282C8</stp>
        <tr r="H282" s="1"/>
      </tp>
      <tp t="s">
        <v>UNITED STATES</v>
        <stp/>
        <stp>##V3_BDPV12</stp>
        <stp>912827PQ Govt</stp>
        <stp>COUNTRY_FULL_NAME</stp>
        <stp>[TREASURY.xlsx]Sheet1!R665C8</stp>
        <tr r="H665" s="1"/>
      </tp>
      <tp t="s">
        <v>UNITED STATES</v>
        <stp/>
        <stp>##V3_BDPV12</stp>
        <stp>912827Q5 Govt</stp>
        <stp>COUNTRY_FULL_NAME</stp>
        <stp>[TREASURY.xlsx]Sheet1!R905C8</stp>
        <tr r="H905" s="1"/>
      </tp>
      <tp t="s">
        <v>UNITED STATES</v>
        <stp/>
        <stp>##V3_BDPV12</stp>
        <stp>912810QE Govt</stp>
        <stp>COUNTRY_FULL_NAME</stp>
        <stp>[TREASURY.xlsx]Sheet1!R302C8</stp>
        <tr r="H302" s="1"/>
      </tp>
      <tp t="s">
        <v>UNITED STATES</v>
        <stp/>
        <stp>##V3_BDPV12</stp>
        <stp>912827RX Govt</stp>
        <stp>COUNTRY_FULL_NAME</stp>
        <stp>[TREASURY.xlsx]Sheet1!R915C8</stp>
        <tr r="H915" s="1"/>
      </tp>
      <tp t="s">
        <v>UNITED STATES</v>
        <stp/>
        <stp>##V3_BDPV12</stp>
        <stp>912810RQ Govt</stp>
        <stp>COUNTRY_FULL_NAME</stp>
        <stp>[TREASURY.xlsx]Sheet1!R172C8</stp>
        <tr r="H172" s="1"/>
      </tp>
      <tp t="s">
        <v>UNITED STATES</v>
        <stp/>
        <stp>##V3_BDPV12</stp>
        <stp>912827S4 Govt</stp>
        <stp>COUNTRY_FULL_NAME</stp>
        <stp>[TREASURY.xlsx]Sheet1!R745C8</stp>
        <tr r="H745" s="1"/>
      </tp>
      <tp t="s">
        <v>UNITED STATES</v>
        <stp/>
        <stp>##V3_BDPV12</stp>
        <stp>912810SE Govt</stp>
        <stp>COUNTRY_FULL_NAME</stp>
        <stp>[TREASURY.xlsx]Sheet1!R152C8</stp>
        <tr r="H152" s="1"/>
      </tp>
      <tp t="s">
        <v>912827M90</v>
        <stp/>
        <stp>##V3_BDPV12</stp>
        <stp>912827M9 Govt</stp>
        <stp>ID_CUSIP</stp>
        <stp>[TREASURY.xlsx]Sheet1!R1166C19</stp>
        <tr r="S1166" s="1"/>
      </tp>
      <tp t="s">
        <v>UNITED STATES</v>
        <stp/>
        <stp>##V3_BDPV12</stp>
        <stp>912827U2 Govt</stp>
        <stp>COUNTRY_FULL_NAME</stp>
        <stp>[TREASURY.xlsx]Sheet1!R835C8</stp>
        <tr r="H835" s="1"/>
      </tp>
      <tp t="s">
        <v>UNITED STATES</v>
        <stp/>
        <stp>##V3_BDPV12</stp>
        <stp>912827UJ Govt</stp>
        <stp>COUNTRY_FULL_NAME</stp>
        <stp>[TREASURY.xlsx]Sheet1!R755C8</stp>
        <tr r="H755" s="1"/>
      </tp>
      <tp t="s">
        <v>UNITED STATES</v>
        <stp/>
        <stp>##V3_BDPV12</stp>
        <stp>912827VT Govt</stp>
        <stp>COUNTRY_FULL_NAME</stp>
        <stp>[TREASURY.xlsx]Sheet1!R765C8</stp>
        <tr r="H765" s="1"/>
      </tp>
      <tp t="s">
        <v>UNITED STATES</v>
        <stp/>
        <stp>##V3_BDPV12</stp>
        <stp>912827VN Govt</stp>
        <stp>COUNTRY_FULL_NAME</stp>
        <stp>[TREASURY.xlsx]Sheet1!R925C8</stp>
        <tr r="H925" s="1"/>
      </tp>
      <tp t="s">
        <v>912828M64</v>
        <stp/>
        <stp>##V3_BDPV12</stp>
        <stp>912828M6 Govt</stp>
        <stp>ID_CUSIP</stp>
        <stp>[TREASURY.xlsx]Sheet1!R1251C19</stp>
        <tr r="S1251" s="1"/>
      </tp>
      <tp t="s">
        <v>UNITED STATES</v>
        <stp/>
        <stp>##V3_BDPV12</stp>
        <stp>912827XD Govt</stp>
        <stp>COUNTRY_FULL_NAME</stp>
        <stp>[TREASURY.xlsx]Sheet1!R935C8</stp>
        <tr r="H935" s="1"/>
      </tp>
      <tp t="s">
        <v>912827M41</v>
        <stp/>
        <stp>##V3_BDPV12</stp>
        <stp>912827M4 Govt</stp>
        <stp>ID_CUSIP</stp>
        <stp>[TREASURY.xlsx]Sheet1!R1165C19</stp>
        <tr r="S1165" s="1"/>
      </tp>
      <tp t="s">
        <v>UNITED STATES</v>
        <stp/>
        <stp>##V3_BDPV12</stp>
        <stp>912827YJ Govt</stp>
        <stp>COUNTRY_FULL_NAME</stp>
        <stp>[TREASURY.xlsx]Sheet1!R775C8</stp>
        <tr r="H775" s="1"/>
      </tp>
      <tp t="s">
        <v>UNITED STATES</v>
        <stp/>
        <stp>##V3_BDPV12</stp>
        <stp>912827YM Govt</stp>
        <stp>COUNTRY_FULL_NAME</stp>
        <stp>[TREASURY.xlsx]Sheet1!R945C8</stp>
        <tr r="H945" s="1"/>
      </tp>
      <tp t="s">
        <v>912827M33</v>
        <stp/>
        <stp>##V3_BDPV12</stp>
        <stp>912827M3 Govt</stp>
        <stp>ID_CUSIP</stp>
        <stp>[TREASURY.xlsx]Sheet1!R1568C19</stp>
        <tr r="S1568" s="1"/>
      </tp>
      <tp t="s">
        <v>UNITED STATES</v>
        <stp/>
        <stp>##V3_BDPV12</stp>
        <stp>912827ZU Govt</stp>
        <stp>COUNTRY_FULL_NAME</stp>
        <stp>[TREASURY.xlsx]Sheet1!R955C8</stp>
        <tr r="H955" s="1"/>
      </tp>
      <tp t="s">
        <v>UNITED STATES</v>
        <stp/>
        <stp>##V3_BDPV12</stp>
        <stp>912827ZN Govt</stp>
        <stp>COUNTRY_FULL_NAME</stp>
        <stp>[TREASURY.xlsx]Sheet1!R685C8</stp>
        <tr r="H685" s="1"/>
      </tp>
      <tp t="s">
        <v>912827M74</v>
        <stp/>
        <stp>##V3_BDPV12</stp>
        <stp>912827M7 Govt</stp>
        <stp>ID_CUSIP</stp>
        <stp>[TREASURY.xlsx]Sheet1!R1044C19</stp>
        <tr r="S1044" s="1"/>
      </tp>
      <tp t="s">
        <v>912827M25</v>
        <stp/>
        <stp>##V3_BDPV12</stp>
        <stp>912827M2 Govt</stp>
        <stp>ID_CUSIP</stp>
        <stp>[TREASURY.xlsx]Sheet1!R1164C19</stp>
        <tr r="S1164" s="1"/>
      </tp>
      <tp t="s">
        <v>3/31/1988</v>
        <stp/>
        <stp>##V3_BDPV12</stp>
        <stp>912827QQ Govt</stp>
        <stp>MATURITY</stp>
        <stp>[TREASURY.xlsx]Sheet1!R1180C5</stp>
        <tr r="E1180" s="1"/>
      </tp>
      <tp t="s">
        <v>7/15/1990</v>
        <stp/>
        <stp>##V3_BDPV12</stp>
        <stp>912827PS Govt</stp>
        <stp>MATURITY</stp>
        <stp>[TREASURY.xlsx]Sheet1!R1390C5</stp>
        <tr r="E1390" s="1"/>
      </tp>
      <tp t="s">
        <v>11/15/1988</v>
        <stp/>
        <stp>##V3_BDPV12</stp>
        <stp>912827PX Govt</stp>
        <stp>MATURITY</stp>
        <stp>[TREASURY.xlsx]Sheet1!R1570C5</stp>
        <tr r="E1570" s="1"/>
      </tp>
      <tp t="s">
        <v>4/30/1985</v>
        <stp/>
        <stp>##V3_BDPV12</stp>
        <stp>912827PK Govt</stp>
        <stp>MATURITY</stp>
        <stp>[TREASURY.xlsx]Sheet1!R1340C5</stp>
        <tr r="E1340" s="1"/>
      </tp>
      <tp t="s">
        <v>11/15/1995</v>
        <stp/>
        <stp>##V3_BDPV12</stp>
        <stp>912827SY Govt</stp>
        <stp>MATURITY</stp>
        <stp>[TREASURY.xlsx]Sheet1!R1190C5</stp>
        <tr r="E1190" s="1"/>
      </tp>
      <tp t="s">
        <v>9/30/1996</v>
        <stp/>
        <stp>##V3_BDPV12</stp>
        <stp>912827R3 Govt</stp>
        <stp>MATURITY</stp>
        <stp>[TREASURY.xlsx]Sheet1!R1060C5</stp>
        <tr r="E1060" s="1"/>
      </tp>
      <tp t="s">
        <v>10/31/1999</v>
        <stp/>
        <stp>##V3_BDPV12</stp>
        <stp>912827R6 Govt</stp>
        <stp>MATURITY</stp>
        <stp>[TREASURY.xlsx]Sheet1!R1500C5</stp>
        <tr r="E1500" s="1"/>
      </tp>
      <tp t="s">
        <v>11/15/1994</v>
        <stp/>
        <stp>##V3_BDPV12</stp>
        <stp>912827RM Govt</stp>
        <stp>MATURITY</stp>
        <stp>[TREASURY.xlsx]Sheet1!R1580C5</stp>
        <tr r="E1580" s="1"/>
      </tp>
      <tp t="s">
        <v>US912828P469</v>
        <stp/>
        <stp>##V3_BDPV12</stp>
        <stp>912828P4 Govt</stp>
        <stp>ID_ISIN</stp>
        <stp>[TREASURY.xlsx]Sheet1!R91C12</stp>
        <tr r="L91" s="1"/>
      </tp>
      <tp t="s">
        <v>3/31/1989</v>
        <stp/>
        <stp>##V3_BDPV12</stp>
        <stp>912827UR Govt</stp>
        <stp>MATURITY</stp>
        <stp>[TREASURY.xlsx]Sheet1!R1080C5</stp>
        <tr r="E1080" s="1"/>
      </tp>
      <tp t="s">
        <v>8/15/1992</v>
        <stp/>
        <stp>##V3_BDPV12</stp>
        <stp>912827UY Govt</stp>
        <stp>MATURITY</stp>
        <stp>[TREASURY.xlsx]Sheet1!R1590C5</stp>
        <tr r="E1590" s="1"/>
      </tp>
      <tp t="s">
        <v>12/31/1990</v>
        <stp/>
        <stp>##V3_BDPV12</stp>
        <stp>912827UK Govt</stp>
        <stp>MATURITY</stp>
        <stp>[TREASURY.xlsx]Sheet1!R1200C5</stp>
        <tr r="E1200" s="1"/>
      </tp>
      <tp t="s">
        <v>5/15/1998</v>
        <stp/>
        <stp>##V3_BDPV12</stp>
        <stp>912827T7 Govt</stp>
        <stp>MATURITY</stp>
        <stp>[TREASURY.xlsx]Sheet1!R1070C5</stp>
        <tr r="E1070" s="1"/>
      </tp>
      <tp t="s">
        <v>7/15/1993</v>
        <stp/>
        <stp>##V3_BDPV12</stp>
        <stp>912827TV Govt</stp>
        <stp>MATURITY</stp>
        <stp>[TREASURY.xlsx]Sheet1!R1510C5</stp>
        <tr r="E1510" s="1"/>
      </tp>
      <tp t="s">
        <v>4/15/1993</v>
        <stp/>
        <stp>##V3_BDPV12</stp>
        <stp>912827TM Govt</stp>
        <stp>MATURITY</stp>
        <stp>[TREASURY.xlsx]Sheet1!R1400C5</stp>
        <tr r="E1400" s="1"/>
      </tp>
      <tp t="s">
        <v>9/30/1992</v>
        <stp/>
        <stp>##V3_BDPV12</stp>
        <stp>912827WS Govt</stp>
        <stp>MATURITY</stp>
        <stp>[TREASURY.xlsx]Sheet1!R1420C5</stp>
        <tr r="E1420" s="1"/>
      </tp>
      <tp t="s">
        <v>2/15/1994</v>
        <stp/>
        <stp>##V3_BDPV12</stp>
        <stp>912827WY Govt</stp>
        <stp>MATURITY</stp>
        <stp>[TREASURY.xlsx]Sheet1!R1210C5</stp>
        <tr r="E1210" s="1"/>
      </tp>
      <tp t="s">
        <v>5/31/1990</v>
        <stp/>
        <stp>##V3_BDPV12</stp>
        <stp>912827WF Govt</stp>
        <stp>MATURITY</stp>
        <stp>[TREASURY.xlsx]Sheet1!R1090C5</stp>
        <tr r="E1090" s="1"/>
      </tp>
      <tp t="s">
        <v>11/15/1998</v>
        <stp/>
        <stp>##V3_BDPV12</stp>
        <stp>912827V7 Govt</stp>
        <stp>MATURITY</stp>
        <stp>[TREASURY.xlsx]Sheet1!R1410C5</stp>
        <tr r="E1410" s="1"/>
      </tp>
      <tp t="s">
        <v>T</v>
        <stp/>
        <stp>##V3_BDPV12</stp>
        <stp>912828R9 Govt</stp>
        <stp>TICKER</stp>
        <stp>[TREASURY.xlsx]Sheet1!R437C2</stp>
        <tr r="B437" s="1"/>
      </tp>
      <tp t="s">
        <v>T</v>
        <stp/>
        <stp>##V3_BDPV12</stp>
        <stp>912827S9 Govt</stp>
        <stp>TICKER</stp>
        <stp>[TREASURY.xlsx]Sheet1!R746C2</stp>
        <tr r="B746" s="1"/>
      </tp>
      <tp t="s">
        <v>T</v>
        <stp/>
        <stp>##V3_BDPV12</stp>
        <stp>912827V9 Govt</stp>
        <stp>TICKER</stp>
        <stp>[TREASURY.xlsx]Sheet1!R923C2</stp>
        <tr r="B923" s="1"/>
      </tp>
      <tp t="s">
        <v>10/15/1996</v>
        <stp/>
        <stp>##V3_BDPV12</stp>
        <stp>912827YB Govt</stp>
        <stp>MATURITY</stp>
        <stp>[TREASURY.xlsx]Sheet1!R1100C5</stp>
        <tr r="E1100" s="1"/>
      </tp>
      <tp t="s">
        <v>10/31/1991</v>
        <stp/>
        <stp>##V3_BDPV12</stp>
        <stp>912827YC Govt</stp>
        <stp>MATURITY</stp>
        <stp>[TREASURY.xlsx]Sheet1!R1220C5</stp>
        <tr r="E1220" s="1"/>
      </tp>
      <tp t="s">
        <v>T</v>
        <stp/>
        <stp>##V3_BDPV12</stp>
        <stp>912828S7 Govt</stp>
        <stp>TICKER</stp>
        <stp>[TREASURY.xlsx]Sheet1!R346C2</stp>
        <tr r="B346" s="1"/>
      </tp>
      <tp t="s">
        <v>11/15/1994</v>
        <stp/>
        <stp>##V3_BDPV12</stp>
        <stp>912827XY Govt</stp>
        <stp>MATURITY</stp>
        <stp>[TREASURY.xlsx]Sheet1!R1600C5</stp>
        <tr r="E1600" s="1"/>
      </tp>
      <tp t="s">
        <v>T</v>
        <stp/>
        <stp>##V3_BDPV12</stp>
        <stp>912828T4 Govt</stp>
        <stp>TICKER</stp>
        <stp>[TREASURY.xlsx]Sheet1!R871C2</stp>
        <tr r="B871" s="1"/>
      </tp>
      <tp t="s">
        <v>T</v>
        <stp/>
        <stp>##V3_BDPV12</stp>
        <stp>912828T5 Govt</stp>
        <stp>TICKER</stp>
        <stp>[TREASURY.xlsx]Sheet1!R631C2</stp>
        <tr r="B631" s="1"/>
      </tp>
      <tp t="s">
        <v>8/15/1993</v>
        <stp/>
        <stp>##V3_BDPV12</stp>
        <stp>912827ZD Govt</stp>
        <stp>MATURITY</stp>
        <stp>[TREASURY.xlsx]Sheet1!R1610C5</stp>
        <tr r="E1610" s="1"/>
      </tp>
      <tp t="s">
        <v>11/15/1993</v>
        <stp/>
        <stp>##V3_BDPV12</stp>
        <stp>912827ZM Govt</stp>
        <stp>MATURITY</stp>
        <stp>[TREASURY.xlsx]Sheet1!R1230C5</stp>
        <tr r="E1230" s="1"/>
      </tp>
      <tp t="s">
        <v>T</v>
        <stp/>
        <stp>##V3_BDPV12</stp>
        <stp>912827P2 Govt</stp>
        <stp>TICKER</stp>
        <stp>[TREASURY.xlsx]Sheet1!R735C2</stp>
        <tr r="B735" s="1"/>
      </tp>
      <tp t="s">
        <v>3/31/1996</v>
        <stp/>
        <stp>##V3_BDPV12</stp>
        <stp>912827A3 Govt</stp>
        <stp>MATURITY</stp>
        <stp>[TREASURY.xlsx]Sheet1!R1030C5</stp>
        <tr r="E1030" s="1"/>
      </tp>
      <tp t="s">
        <v>8/31/1996</v>
        <stp/>
        <stp>##V3_BDPV12</stp>
        <stp>912827C3 Govt</stp>
        <stp>MATURITY</stp>
        <stp>[TREASURY.xlsx]Sheet1!R1480C5</stp>
        <tr r="E1480" s="1"/>
      </tp>
      <tp t="s">
        <v>2/15/1995</v>
        <stp/>
        <stp>##V3_BDPV12</stp>
        <stp>912810CL Govt</stp>
        <stp>MATURITY</stp>
        <stp>[TREASURY.xlsx]Sheet1!R1617C5</stp>
        <tr r="E1617" s="1"/>
      </tp>
      <tp t="s">
        <v>7/31/1993</v>
        <stp/>
        <stp>##V3_BDPV12</stp>
        <stp>912827B6 Govt</stp>
        <stp>MATURITY</stp>
        <stp>[TREASURY.xlsx]Sheet1!R1550C5</stp>
        <tr r="E1550" s="1"/>
      </tp>
      <tp t="s">
        <v>8/15/2005</v>
        <stp/>
        <stp>##V3_BDPV12</stp>
        <stp>912810DR Govt</stp>
        <stp>MATURITY</stp>
        <stp>[TREASURY.xlsx]Sheet1!R1447C5</stp>
        <tr r="E1447" s="1"/>
      </tp>
      <tp t="s">
        <v>8/15/2004</v>
        <stp/>
        <stp>##V3_BDPV12</stp>
        <stp>912810DK Govt</stp>
        <stp>MATURITY</stp>
        <stp>[TREASURY.xlsx]Sheet1!R1347C5</stp>
        <tr r="E1347" s="1"/>
      </tp>
      <tp t="s">
        <v>5/31/1994</v>
        <stp/>
        <stp>##V3_BDPV12</stp>
        <stp>912827F5 Govt</stp>
        <stp>MATURITY</stp>
        <stp>[TREASURY.xlsx]Sheet1!R1560C5</stp>
        <tr r="E1560" s="1"/>
      </tp>
      <tp t="s">
        <v>4/30/1998</v>
        <stp/>
        <stp>##V3_BDPV12</stp>
        <stp>912827K6 Govt</stp>
        <stp>MATURITY</stp>
        <stp>[TREASURY.xlsx]Sheet1!R1490C5</stp>
        <tr r="E1490" s="1"/>
      </tp>
      <tp t="s">
        <v>5/31/1995</v>
        <stp/>
        <stp>##V3_BDPV12</stp>
        <stp>912827K9 Govt</stp>
        <stp>MATURITY</stp>
        <stp>[TREASURY.xlsx]Sheet1!R1160C5</stp>
        <tr r="E1160" s="1"/>
      </tp>
      <tp t="s">
        <v>6/30/1998</v>
        <stp/>
        <stp>##V3_BDPV12</stp>
        <stp>912827L4 Govt</stp>
        <stp>MATURITY</stp>
        <stp>[TREASURY.xlsx]Sheet1!R1040C5</stp>
        <tr r="E1040" s="1"/>
      </tp>
      <tp t="s">
        <v>NORMAL</v>
        <stp/>
        <stp>##V3_BDPV12</stp>
        <stp>912810SX Govt</stp>
        <stp>MTY_TYP</stp>
        <stp>[TREASURY.xlsx]Sheet1!R8C6</stp>
        <tr r="F8" s="1"/>
      </tp>
      <tp t="s">
        <v>5/15/1991</v>
        <stp/>
        <stp>##V3_BDPV12</stp>
        <stp>912827LW Govt</stp>
        <stp>MATURITY</stp>
        <stp>[TREASURY.xlsx]Sheet1!R1380C5</stp>
        <tr r="E1380" s="1"/>
      </tp>
      <tp t="s">
        <v>9/30/1982</v>
        <stp/>
        <stp>##V3_BDPV12</stp>
        <stp>912827LB Govt</stp>
        <stp>MATURITY</stp>
        <stp>[TREASURY.xlsx]Sheet1!R1320C5</stp>
        <tr r="E1320" s="1"/>
      </tp>
      <tp t="s">
        <v>2/29/1996</v>
        <stp/>
        <stp>##V3_BDPV12</stp>
        <stp>912827N9 Govt</stp>
        <stp>MATURITY</stp>
        <stp>[TREASURY.xlsx]Sheet1!R1330C5</stp>
        <tr r="E1330" s="1"/>
      </tp>
      <tp t="s">
        <v>12/31/1984</v>
        <stp/>
        <stp>##V3_BDPV12</stp>
        <stp>912827NY Govt</stp>
        <stp>MATURITY</stp>
        <stp>[TREASURY.xlsx]Sheet1!R1170C5</stp>
        <tr r="E1170" s="1"/>
      </tp>
      <tp t="s">
        <v>6/30/1986</v>
        <stp/>
        <stp>##V3_BDPV12</stp>
        <stp>912827NJ Govt</stp>
        <stp>MATURITY</stp>
        <stp>[TREASURY.xlsx]Sheet1!R1050C5</stp>
        <tr r="E1050" s="1"/>
      </tp>
      <tp t="s">
        <v>10/31/2025</v>
        <stp/>
        <stp>##V3_BDPV12</stp>
        <stp>9128285J Govt</stp>
        <stp>MATURITY</stp>
        <stp>[TREASURY.xlsx]Sheet1!R248C5</stp>
        <tr r="E248" s="1"/>
      </tp>
      <tp t="s">
        <v>10/31/2020</v>
        <stp/>
        <stp>##V3_BDPV12</stp>
        <stp>9128285G Govt</stp>
        <stp>MATURITY</stp>
        <stp>[TREASURY.xlsx]Sheet1!R368C5</stp>
        <tr r="E368" s="1"/>
      </tp>
      <tp t="s">
        <v>2/28/2023</v>
        <stp/>
        <stp>##V3_BDPV12</stp>
        <stp>9128284A Govt</stp>
        <stp>MATURITY</stp>
        <stp>[TREASURY.xlsx]Sheet1!R288C5</stp>
        <tr r="E288" s="1"/>
      </tp>
      <tp t="s">
        <v>2/28/2021</v>
        <stp/>
        <stp>##V3_BDPV12</stp>
        <stp>9128286D Govt</stp>
        <stp>MATURITY</stp>
        <stp>[TREASURY.xlsx]Sheet1!R348C5</stp>
        <tr r="E348" s="1"/>
      </tp>
      <tp t="s">
        <v>6/30/2023</v>
        <stp/>
        <stp>##V3_BDPV12</stp>
        <stp>9128284U Govt</stp>
        <stp>MATURITY</stp>
        <stp>[TREASURY.xlsx]Sheet1!R128C5</stp>
        <tr r="E128" s="1"/>
      </tp>
      <tp t="s">
        <v>3/15/2022</v>
        <stp/>
        <stp>##V3_BDPV12</stp>
        <stp>9128286H Govt</stp>
        <stp>MATURITY</stp>
        <stp>[TREASURY.xlsx]Sheet1!R228C5</stp>
        <tr r="E228" s="1"/>
      </tp>
      <tp t="s">
        <v>4/15/2022</v>
        <stp/>
        <stp>##V3_BDPV12</stp>
        <stp>9128286M Govt</stp>
        <stp>MATURITY</stp>
        <stp>[TREASURY.xlsx]Sheet1!R218C5</stp>
        <tr r="E218" s="1"/>
      </tp>
      <tp t="s">
        <v>1/31/2023</v>
        <stp/>
        <stp>##V3_BDPV12</stp>
        <stp>9128283U Govt</stp>
        <stp>MATURITY</stp>
        <stp>[TREASURY.xlsx]Sheet1!R268C5</stp>
        <tr r="E268" s="1"/>
      </tp>
      <tp t="s">
        <v>7/31/2024</v>
        <stp/>
        <stp>##V3_BDPV12</stp>
        <stp>9128282N Govt</stp>
        <stp>MATURITY</stp>
        <stp>[TREASURY.xlsx]Sheet1!R258C5</stp>
        <tr r="E258" s="1"/>
      </tp>
      <tp t="s">
        <v>6/30/2017</v>
        <stp/>
        <stp>##V3_BDPV12</stp>
        <stp>912828NK Govt</stp>
        <stp>MATURITY</stp>
        <stp>[TREASURY.xlsx]Sheet1!R978C5</stp>
        <tr r="E978" s="1"/>
      </tp>
      <tp t="s">
        <v>12/31/2004</v>
        <stp/>
        <stp>##V3_BDPV12</stp>
        <stp>912828AR Govt</stp>
        <stp>MATURITY</stp>
        <stp>[TREASURY.xlsx]Sheet1!R658C5</stp>
        <tr r="E658" s="1"/>
      </tp>
      <tp t="s">
        <v>1/31/2016</v>
        <stp/>
        <stp>##V3_BDPV12</stp>
        <stp>912828B4 Govt</stp>
        <stp>MATURITY</stp>
        <stp>[TREASURY.xlsx]Sheet1!R458C5</stp>
        <tr r="E458" s="1"/>
      </tp>
      <tp t="s">
        <v>5/15/2013</v>
        <stp/>
        <stp>##V3_BDPV12</stp>
        <stp>912828BA Govt</stp>
        <stp>MATURITY</stp>
        <stp>[TREASURY.xlsx]Sheet1!R408C5</stp>
        <tr r="E408" s="1"/>
      </tp>
      <tp t="s">
        <v>9/15/2009</v>
        <stp/>
        <stp>##V3_BDPV12</stp>
        <stp>912828CV Govt</stp>
        <stp>MATURITY</stp>
        <stp>[TREASURY.xlsx]Sheet1!R508C5</stp>
        <tr r="E508" s="1"/>
      </tp>
      <tp t="s">
        <v>2/28/2019</v>
        <stp/>
        <stp>##V3_BDPV12</stp>
        <stp>912828C2 Govt</stp>
        <stp>MATURITY</stp>
        <stp>[TREASURY.xlsx]Sheet1!R688C5</stp>
        <tr r="E688" s="1"/>
      </tp>
      <tp t="s">
        <v>4/30/2016</v>
        <stp/>
        <stp>##V3_BDPV12</stp>
        <stp>912828C8 Govt</stp>
        <stp>MATURITY</stp>
        <stp>[TREASURY.xlsx]Sheet1!R788C5</stp>
        <tr r="E788" s="1"/>
      </tp>
      <tp t="s">
        <v>11/30/2005</v>
        <stp/>
        <stp>##V3_BDPV12</stp>
        <stp>912828BS Govt</stp>
        <stp>MATURITY</stp>
        <stp>[TREASURY.xlsx]Sheet1!R628C5</stp>
        <tr r="E628" s="1"/>
      </tp>
      <tp t="s">
        <v>10/31/2014</v>
        <stp/>
        <stp>##V3_BDPV12</stp>
        <stp>912828LS Govt</stp>
        <stp>MATURITY</stp>
        <stp>[TREASURY.xlsx]Sheet1!R858C5</stp>
        <tr r="E858" s="1"/>
      </tp>
      <tp t="s">
        <v>11/15/2006</v>
        <stp/>
        <stp>##V3_BDPV12</stp>
        <stp>912828BP Govt</stp>
        <stp>MATURITY</stp>
        <stp>[TREASURY.xlsx]Sheet1!R648C5</stp>
        <tr r="E648" s="1"/>
      </tp>
      <tp t="s">
        <v>10/31/2016</v>
        <stp/>
        <stp>##V3_BDPV12</stp>
        <stp>912828LU Govt</stp>
        <stp>MATURITY</stp>
        <stp>[TREASURY.xlsx]Sheet1!R818C5</stp>
        <tr r="E818" s="1"/>
      </tp>
      <tp t="s">
        <v>1/15/2018</v>
        <stp/>
        <stp>##V3_BDPV12</stp>
        <stp>912828H3 Govt</stp>
        <stp>MATURITY</stp>
        <stp>[TREASURY.xlsx]Sheet1!R968C5</stp>
        <tr r="E968" s="1"/>
      </tp>
      <tp t="s">
        <v>4/30/2008</v>
        <stp/>
        <stp>##V3_BDPV12</stp>
        <stp>912828FC Govt</stp>
        <stp>MATURITY</stp>
        <stp>[TREASURY.xlsx]Sheet1!R798C5</stp>
        <tr r="E798" s="1"/>
      </tp>
      <tp t="s">
        <v>3/31/2010</v>
        <stp/>
        <stp>##V3_BDPV12</stp>
        <stp>912828HU Govt</stp>
        <stp>MATURITY</stp>
        <stp>[TREASURY.xlsx]Sheet1!R808C5</stp>
        <tr r="E808" s="1"/>
      </tp>
      <tp t="s">
        <v>10/31/2020</v>
        <stp/>
        <stp>##V3_BDPV12</stp>
        <stp>912828L9 Govt</stp>
        <stp>MATURITY</stp>
        <stp>[TREASURY.xlsx]Sheet1!R358C5</stp>
        <tr r="E358" s="1"/>
      </tp>
      <tp t="s">
        <v>5/31/2013</v>
        <stp/>
        <stp>##V3_BDPV12</stp>
        <stp>912828JB Govt</stp>
        <stp>MATURITY</stp>
        <stp>[TREASURY.xlsx]Sheet1!R598C5</stp>
        <tr r="E598" s="1"/>
      </tp>
      <tp t="s">
        <v>2/29/2016</v>
        <stp/>
        <stp>##V3_BDPV12</stp>
        <stp>912828KS Govt</stp>
        <stp>MATURITY</stp>
        <stp>[TREASURY.xlsx]Sheet1!R418C5</stp>
        <tr r="E418" s="1"/>
      </tp>
      <tp t="s">
        <v>5/31/2012</v>
        <stp/>
        <stp>##V3_BDPV12</stp>
        <stp>912828GU Govt</stp>
        <stp>MATURITY</stp>
        <stp>[TREASURY.xlsx]Sheet1!R848C5</stp>
        <tr r="E848" s="1"/>
      </tp>
      <tp t="s">
        <v>4/30/2020</v>
        <stp/>
        <stp>##V3_BDPV12</stp>
        <stp>912828K5 Govt</stp>
        <stp>MATURITY</stp>
        <stp>[TREASURY.xlsx]Sheet1!R518C5</stp>
        <tr r="E518" s="1"/>
      </tp>
      <tp t="s">
        <v>1/31/2014</v>
        <stp/>
        <stp>##V3_BDPV12</stp>
        <stp>912828JZ Govt</stp>
        <stp>MATURITY</stp>
        <stp>[TREASURY.xlsx]Sheet1!R478C5</stp>
        <tr r="E478" s="1"/>
      </tp>
      <tp t="s">
        <v>4/30/2012</v>
        <stp/>
        <stp>##V3_BDPV12</stp>
        <stp>912828NB Govt</stp>
        <stp>MATURITY</stp>
        <stp>[TREASURY.xlsx]Sheet1!R388C5</stp>
        <tr r="E388" s="1"/>
      </tp>
      <tp t="s">
        <v>3/15/2017</v>
        <stp/>
        <stp>##V3_BDPV12</stp>
        <stp>912828C3 Govt</stp>
        <stp>MATURITY</stp>
        <stp>[TREASURY.xlsx]Sheet1!R838C5</stp>
        <tr r="E838" s="1"/>
      </tp>
      <tp t="s">
        <v>2/28/2022</v>
        <stp/>
        <stp>##V3_BDPV12</stp>
        <stp>912828J4 Govt</stp>
        <stp>MATURITY</stp>
        <stp>[TREASURY.xlsx]Sheet1!R308C5</stp>
        <tr r="E308" s="1"/>
      </tp>
      <tp t="s">
        <v>7/15/2012</v>
        <stp/>
        <stp>##V3_BDPV12</stp>
        <stp>912828LB Govt</stp>
        <stp>MATURITY</stp>
        <stp>[TREASURY.xlsx]Sheet1!R558C5</stp>
        <tr r="E558" s="1"/>
      </tp>
      <tp t="s">
        <v>4/30/2004</v>
        <stp/>
        <stp>##V3_BDPV12</stp>
        <stp>912828AB Govt</stp>
        <stp>MATURITY</stp>
        <stp>[TREASURY.xlsx]Sheet1!R958C5</stp>
        <tr r="E958" s="1"/>
      </tp>
      <tp t="s">
        <v>1/15/2012</v>
        <stp/>
        <stp>##V3_BDPV12</stp>
        <stp>912828KB Govt</stp>
        <stp>MATURITY</stp>
        <stp>[TREASURY.xlsx]Sheet1!R398C5</stp>
        <tr r="E398" s="1"/>
      </tp>
      <tp t="s">
        <v>1/31/2017</v>
        <stp/>
        <stp>##V3_BDPV12</stp>
        <stp>912828MK Govt</stp>
        <stp>MATURITY</stp>
        <stp>[TREASURY.xlsx]Sheet1!R538C5</stp>
        <tr r="E538" s="1"/>
      </tp>
      <tp t="s">
        <v>5/15/2023</v>
        <stp/>
        <stp>##V3_BDPV12</stp>
        <stp>912828VB Govt</stp>
        <stp>MATURITY</stp>
        <stp>[TREASURY.xlsx]Sheet1!R168C5</stp>
        <tr r="E168" s="1"/>
      </tp>
      <tp t="s">
        <v>11/15/2023</v>
        <stp/>
        <stp>##V3_BDPV12</stp>
        <stp>912828WE Govt</stp>
        <stp>MATURITY</stp>
        <stp>[TREASURY.xlsx]Sheet1!R108C5</stp>
        <tr r="E108" s="1"/>
      </tp>
      <tp t="s">
        <v>10/31/2015</v>
        <stp/>
        <stp>##V3_BDPV12</stp>
        <stp>912828PE Govt</stp>
        <stp>MATURITY</stp>
        <stp>[TREASURY.xlsx]Sheet1!R548C5</stp>
        <tr r="E548" s="1"/>
      </tp>
      <tp t="s">
        <v>2/15/2015</v>
        <stp/>
        <stp>##V3_BDPV12</stp>
        <stp>912828SE Govt</stp>
        <stp>MATURITY</stp>
        <stp>[TREASURY.xlsx]Sheet1!R618C5</stp>
        <tr r="E618" s="1"/>
      </tp>
      <tp t="s">
        <v>11/15/2022</v>
        <stp/>
        <stp>##V3_BDPV12</stp>
        <stp>912828TY Govt</stp>
        <stp>MATURITY</stp>
        <stp>[TREASURY.xlsx]Sheet1!R118C5</stp>
        <tr r="E118" s="1"/>
      </tp>
      <tp t="s">
        <v>5/31/2021</v>
        <stp/>
        <stp>##V3_BDPV12</stp>
        <stp>912828WN Govt</stp>
        <stp>MATURITY</stp>
        <stp>[TREASURY.xlsx]Sheet1!R338C5</stp>
        <tr r="E338" s="1"/>
      </tp>
      <tp t="s">
        <v>12/31/2018</v>
        <stp/>
        <stp>##V3_BDPV12</stp>
        <stp>912828U9 Govt</stp>
        <stp>MATURITY</stp>
        <stp>[TREASURY.xlsx]Sheet1!R678C5</stp>
        <tr r="E678" s="1"/>
      </tp>
      <tp t="s">
        <v>6/15/2017</v>
        <stp/>
        <stp>##V3_BDPV12</stp>
        <stp>912828WP Govt</stp>
        <stp>MATURITY</stp>
        <stp>[TREASURY.xlsx]Sheet1!R488C5</stp>
        <tr r="E488" s="1"/>
      </tp>
      <tp t="s">
        <v>4/30/2021</v>
        <stp/>
        <stp>##V3_BDPV12</stp>
        <stp>912828Q7 Govt</stp>
        <stp>MATURITY</stp>
        <stp>[TREASURY.xlsx]Sheet1!R378C5</stp>
        <tr r="E378" s="1"/>
      </tp>
      <tp t="s">
        <v>2/15/2022</v>
        <stp/>
        <stp>##V3_BDPV12</stp>
        <stp>912828SF Govt</stp>
        <stp>MATURITY</stp>
        <stp>[TREASURY.xlsx]Sheet1!R138C5</stp>
        <tr r="E138" s="1"/>
      </tp>
      <tp t="s">
        <v>4/30/2020</v>
        <stp/>
        <stp>##V3_BDPV12</stp>
        <stp>912828VA Govt</stp>
        <stp>MATURITY</stp>
        <stp>[TREASURY.xlsx]Sheet1!R638C5</stp>
        <tr r="E638" s="1"/>
      </tp>
      <tp t="s">
        <v>10/31/2019</v>
        <stp/>
        <stp>##V3_BDPV12</stp>
        <stp>912828TV Govt</stp>
        <stp>MATURITY</stp>
        <stp>[TREASURY.xlsx]Sheet1!R498C5</stp>
        <tr r="E498" s="1"/>
      </tp>
      <tp t="s">
        <v>7/15/2016</v>
        <stp/>
        <stp>##V3_BDPV12</stp>
        <stp>912828VL Govt</stp>
        <stp>MATURITY</stp>
        <stp>[TREASURY.xlsx]Sheet1!R878C5</stp>
        <tr r="E878" s="1"/>
      </tp>
      <tp t="s">
        <v>7/31/2017</v>
        <stp/>
        <stp>##V3_BDPV12</stp>
        <stp>912828XP Govt</stp>
        <stp>MATURITY</stp>
        <stp>[TREASURY.xlsx]Sheet1!R588C5</stp>
        <tr r="E588" s="1"/>
      </tp>
      <tp t="s">
        <v>9/15/2015</v>
        <stp/>
        <stp>##V3_BDPV12</stp>
        <stp>912828TP Govt</stp>
        <stp>MATURITY</stp>
        <stp>[TREASURY.xlsx]Sheet1!R998C5</stp>
        <tr r="E998" s="1"/>
      </tp>
      <tp t="s">
        <v>5/31/2020</v>
        <stp/>
        <stp>##V3_BDPV12</stp>
        <stp>912828XE Govt</stp>
        <stp>MATURITY</stp>
        <stp>[TREASURY.xlsx]Sheet1!R448C5</stp>
        <tr r="E448" s="1"/>
      </tp>
      <tp t="s">
        <v>6/30/2020</v>
        <stp/>
        <stp>##V3_BDPV12</stp>
        <stp>912828XH Govt</stp>
        <stp>MATURITY</stp>
        <stp>[TREASURY.xlsx]Sheet1!R468C5</stp>
        <tr r="E468" s="1"/>
      </tp>
      <tp t="s">
        <v>7/31/2024</v>
        <stp/>
        <stp>##V3_BDPV12</stp>
        <stp>912828Y8 Govt</stp>
        <stp>MATURITY</stp>
        <stp>[TREASURY.xlsx]Sheet1!R208C5</stp>
        <tr r="E208" s="1"/>
      </tp>
      <tp t="s">
        <v>2/28/2027</v>
        <stp/>
        <stp>##V3_BDPV12</stp>
        <stp>912828ZB Govt</stp>
        <stp>MATURITY</stp>
        <stp>[TREASURY.xlsx]Sheet1!R148C5</stp>
        <tr r="E148" s="1"/>
      </tp>
      <tp t="s">
        <v>8/31/2018</v>
        <stp/>
        <stp>##V3_BDPV12</stp>
        <stp>912828RE Govt</stp>
        <stp>MATURITY</stp>
        <stp>[TREASURY.xlsx]Sheet1!R868C5</stp>
        <tr r="E868" s="1"/>
      </tp>
      <tp t="s">
        <v>8/31/2016</v>
        <stp/>
        <stp>##V3_BDPV12</stp>
        <stp>912828RF Govt</stp>
        <stp>MATURITY</stp>
        <stp>[TREASURY.xlsx]Sheet1!R828C5</stp>
        <tr r="E828" s="1"/>
      </tp>
      <tp t="s">
        <v>8/31/2026</v>
        <stp/>
        <stp>##V3_BDPV12</stp>
        <stp>912828YD Govt</stp>
        <stp>MATURITY</stp>
        <stp>[TREASURY.xlsx]Sheet1!R178C5</stp>
        <tr r="E178" s="1"/>
      </tp>
      <tp t="s">
        <v>3/31/2018</v>
        <stp/>
        <stp>##V3_BDPV12</stp>
        <stp>912828QB Govt</stp>
        <stp>MATURITY</stp>
        <stp>[TREASURY.xlsx]Sheet1!R988C5</stp>
        <tr r="E988" s="1"/>
      </tp>
      <tp t="s">
        <v>12/31/2024</v>
        <stp/>
        <stp>##V3_BDPV12</stp>
        <stp>912828YY Govt</stp>
        <stp>MATURITY</stp>
        <stp>[TREASURY.xlsx]Sheet1!R158C5</stp>
        <tr r="E158" s="1"/>
      </tp>
      <tp t="s">
        <v>11/30/2021</v>
        <stp/>
        <stp>##V3_BDPV12</stp>
        <stp>912828YT Govt</stp>
        <stp>MATURITY</stp>
        <stp>[TREASURY.xlsx]Sheet1!R198C5</stp>
        <tr r="E198" s="1"/>
      </tp>
      <tp t="s">
        <v>1/31/2003</v>
        <stp/>
        <stp>##V3_BDPV12</stp>
        <stp>9128273V Govt</stp>
        <stp>MATURITY</stp>
        <stp>[TREASURY.xlsx]Sheet1!R1360C5</stp>
        <tr r="E1360" s="1"/>
      </tp>
      <tp t="s">
        <v>11/30/1999</v>
        <stp/>
        <stp>##V3_BDPV12</stp>
        <stp>9128273P Govt</stp>
        <stp>MATURITY</stp>
        <stp>[TREASURY.xlsx]Sheet1!R1530C5</stp>
        <tr r="E1530" s="1"/>
      </tp>
      <tp t="s">
        <v>7/31/2002</v>
        <stp/>
        <stp>##V3_BDPV12</stp>
        <stp>9128273C Govt</stp>
        <stp>MATURITY</stp>
        <stp>[TREASURY.xlsx]Sheet1!R1010C5</stp>
        <tr r="E1010" s="1"/>
      </tp>
      <tp t="s">
        <v>4/30/2002</v>
        <stp/>
        <stp>##V3_BDPV12</stp>
        <stp>9128272S Govt</stp>
        <stp>MATURITY</stp>
        <stp>[TREASURY.xlsx]Sheet1!R1520C5</stp>
        <tr r="E1520" s="1"/>
      </tp>
      <tp t="s">
        <v>12/31/1998</v>
        <stp/>
        <stp>##V3_BDPV12</stp>
        <stp>9128272D Govt</stp>
        <stp>MATURITY</stp>
        <stp>[TREASURY.xlsx]Sheet1!R1350C5</stp>
        <tr r="E1350" s="1"/>
      </tp>
      <tp t="s">
        <v>2/15/2000</v>
        <stp/>
        <stp>##V3_BDPV12</stp>
        <stp>9128272H Govt</stp>
        <stp>MATURITY</stp>
        <stp>[TREASURY.xlsx]Sheet1!R1450C5</stp>
        <tr r="E1450" s="1"/>
      </tp>
      <tp t="s">
        <v>T</v>
        <stp/>
        <stp>##V3_BDPV12</stp>
        <stp>912828PZ Govt</stp>
        <stp>TICKER</stp>
        <stp>[TREASURY.xlsx]Sheet1!R575C2</stp>
        <tr r="B575" s="1"/>
      </tp>
      <tp t="s">
        <v>5/31/2001</v>
        <stp/>
        <stp>##V3_BDPV12</stp>
        <stp>9128275H Govt</stp>
        <stp>MATURITY</stp>
        <stp>[TREASURY.xlsx]Sheet1!R1370C5</stp>
        <tr r="E1370" s="1"/>
      </tp>
      <tp t="s">
        <v>5/31/2003</v>
        <stp/>
        <stp>##V3_BDPV12</stp>
        <stp>9128274H Govt</stp>
        <stp>MATURITY</stp>
        <stp>[TREASURY.xlsx]Sheet1!R1460C5</stp>
        <tr r="E1460" s="1"/>
      </tp>
      <tp t="s">
        <v>T</v>
        <stp/>
        <stp>##V3_BDPV12</stp>
        <stp>912810RX Govt</stp>
        <stp>TICKER</stp>
        <stp>[TREASURY.xlsx]Sheet1!R197C2</stp>
        <tr r="B197" s="1"/>
      </tp>
      <tp t="s">
        <v>T</v>
        <stp/>
        <stp>##V3_BDPV12</stp>
        <stp>912828PX Govt</stp>
        <stp>TICKER</stp>
        <stp>[TREASURY.xlsx]Sheet1!R355C2</stp>
        <tr r="B355" s="1"/>
      </tp>
      <tp t="s">
        <v>9/30/2003</v>
        <stp/>
        <stp>##V3_BDPV12</stp>
        <stp>9128277D Govt</stp>
        <stp>MATURITY</stp>
        <stp>[TREASURY.xlsx]Sheet1!R1470C5</stp>
        <tr r="E1470" s="1"/>
      </tp>
      <tp t="s">
        <v>1/31/2003</v>
        <stp/>
        <stp>##V3_BDPV12</stp>
        <stp>9128276S Govt</stp>
        <stp>MATURITY</stp>
        <stp>[TREASURY.xlsx]Sheet1!R1540C5</stp>
        <tr r="E1540" s="1"/>
      </tp>
      <tp t="s">
        <v>2/28/2002</v>
        <stp/>
        <stp>##V3_BDPV12</stp>
        <stp>9128276A Govt</stp>
        <stp>MATURITY</stp>
        <stp>[TREASURY.xlsx]Sheet1!R1020C5</stp>
        <tr r="E1020" s="1"/>
      </tp>
      <tp t="s">
        <v>T</v>
        <stp/>
        <stp>##V3_BDPV12</stp>
        <stp>912828RV Govt</stp>
        <stp>TICKER</stp>
        <stp>[TREASURY.xlsx]Sheet1!R687C2</stp>
        <tr r="B687" s="1"/>
      </tp>
      <tp t="s">
        <v>T</v>
        <stp/>
        <stp>##V3_BDPV12</stp>
        <stp>912828TW Govt</stp>
        <stp>TICKER</stp>
        <stp>[TREASURY.xlsx]Sheet1!R361C2</stp>
        <tr r="B361" s="1"/>
      </tp>
      <tp t="s">
        <v>T</v>
        <stp/>
        <stp>##V3_BDPV12</stp>
        <stp>912827UW Govt</stp>
        <stp>TICKER</stp>
        <stp>[TREASURY.xlsx]Sheet1!R460C2</stp>
        <tr r="B460" s="1"/>
      </tp>
      <tp t="s">
        <v>NORMAL</v>
        <stp/>
        <stp>##V3_BDPV12</stp>
        <stp>912810SA Govt</stp>
        <stp>MTY_TYP</stp>
        <stp>[TREASURY.xlsx]Sheet1!R146C6</stp>
        <tr r="F146" s="1"/>
      </tp>
      <tp t="s">
        <v>NORMAL</v>
        <stp/>
        <stp>##V3_BDPV12</stp>
        <stp>912810SE Govt</stp>
        <stp>MTY_TYP</stp>
        <stp>[TREASURY.xlsx]Sheet1!R152C6</stp>
        <tr r="F152" s="1"/>
      </tp>
      <tp t="s">
        <v>NORMAL</v>
        <stp/>
        <stp>##V3_BDPV12</stp>
        <stp>912810QE Govt</stp>
        <stp>MTY_TYP</stp>
        <stp>[TREASURY.xlsx]Sheet1!R302C6</stp>
        <tr r="F302" s="1"/>
      </tp>
      <tp t="s">
        <v>NORMAL</v>
        <stp/>
        <stp>##V3_BDPV12</stp>
        <stp>912810EN Govt</stp>
        <stp>MTY_TYP</stp>
        <stp>[TREASURY.xlsx]Sheet1!R319C6</stp>
        <tr r="F319" s="1"/>
      </tp>
      <tp t="s">
        <v>T</v>
        <stp/>
        <stp>##V3_BDPV12</stp>
        <stp>912828SS Govt</stp>
        <stp>TICKER</stp>
        <stp>[TREASURY.xlsx]Sheet1!R996C2</stp>
        <tr r="B996" s="1"/>
      </tp>
      <tp t="s">
        <v>NORMAL</v>
        <stp/>
        <stp>##V3_BDPV12</stp>
        <stp>912828VN Govt</stp>
        <stp>MTY_TYP</stp>
        <stp>[TREASURY.xlsx]Sheet1!R879C6</stp>
        <tr r="F879" s="1"/>
      </tp>
      <tp t="s">
        <v>NORMAL</v>
        <stp/>
        <stp>##V3_BDPV12</stp>
        <stp>912827UC Govt</stp>
        <stp>MTY_TYP</stp>
        <stp>[TREASURY.xlsx]Sheet1!R754C6</stp>
        <tr r="F754" s="1"/>
      </tp>
      <tp t="s">
        <v>NORMAL</v>
        <stp/>
        <stp>##V3_BDPV12</stp>
        <stp>912828KA Govt</stp>
        <stp>MTY_TYP</stp>
        <stp>[TREASURY.xlsx]Sheet1!R856C6</stp>
        <tr r="F856" s="1"/>
      </tp>
      <tp t="s">
        <v>NORMAL</v>
        <stp/>
        <stp>##V3_BDPV12</stp>
        <stp>912828MG Govt</stp>
        <stp>MTY_TYP</stp>
        <stp>[TREASURY.xlsx]Sheet1!R860C6</stp>
        <tr r="F860" s="1"/>
      </tp>
      <tp t="s">
        <v>NORMAL</v>
        <stp/>
        <stp>##V3_BDPV12</stp>
        <stp>912828QG Govt</stp>
        <stp>MTY_TYP</stp>
        <stp>[TREASURY.xlsx]Sheet1!R990C6</stp>
        <tr r="F990" s="1"/>
      </tp>
      <tp t="s">
        <v>NORMAL</v>
        <stp/>
        <stp>##V3_BDPV12</stp>
        <stp>912827KN Govt</stp>
        <stp>MTY_TYP</stp>
        <stp>[TREASURY.xlsx]Sheet1!R569C6</stp>
        <tr r="F569" s="1"/>
      </tp>
      <tp t="s">
        <v>NORMAL</v>
        <stp/>
        <stp>##V3_BDPV12</stp>
        <stp>912828AA Govt</stp>
        <stp>MTY_TYP</stp>
        <stp>[TREASURY.xlsx]Sheet1!R426C6</stp>
        <tr r="F426" s="1"/>
      </tp>
      <tp t="s">
        <v>NORMAL</v>
        <stp/>
        <stp>##V3_BDPV12</stp>
        <stp>912828KE Govt</stp>
        <stp>MTY_TYP</stp>
        <stp>[TREASURY.xlsx]Sheet1!R582C6</stp>
        <tr r="F582" s="1"/>
      </tp>
      <tp t="s">
        <v>NORMAL</v>
        <stp/>
        <stp>##V3_BDPV12</stp>
        <stp>912828SD Govt</stp>
        <stp>MTY_TYP</stp>
        <stp>[TREASURY.xlsx]Sheet1!R623C6</stp>
        <tr r="F623" s="1"/>
      </tp>
      <tp t="s">
        <v>NORMAL</v>
        <stp/>
        <stp>##V3_BDPV12</stp>
        <stp>912828UF Govt</stp>
        <stp>MTY_TYP</stp>
        <stp>[TREASURY.xlsx]Sheet1!R671C6</stp>
        <tr r="F671" s="1"/>
      </tp>
      <tp t="s">
        <v>NORMAL</v>
        <stp/>
        <stp>##V3_BDPV12</stp>
        <stp>912828EN Govt</stp>
        <stp>MTY_TYP</stp>
        <stp>[TREASURY.xlsx]Sheet1!R649C6</stp>
        <tr r="F649" s="1"/>
      </tp>
      <tp t="s">
        <v>NORMAL</v>
        <stp/>
        <stp>##V3_BDPV12</stp>
        <stp>912827UA Govt</stp>
        <stp>MTY_TYP</stp>
        <stp>[TREASURY.xlsx]Sheet1!R836C6</stp>
        <tr r="F836" s="1"/>
      </tp>
      <tp t="s">
        <v>NORMAL</v>
        <stp/>
        <stp>##V3_BDPV12</stp>
        <stp>912828EC Govt</stp>
        <stp>MTY_TYP</stp>
        <stp>[TREASURY.xlsx]Sheet1!R794C6</stp>
        <tr r="F794" s="1"/>
      </tp>
      <tp t="s">
        <v>NORMAL</v>
        <stp/>
        <stp>##V3_BDPV12</stp>
        <stp>912828ZE Govt</stp>
        <stp>MTY_TYP</stp>
        <stp>[TREASURY.xlsx]Sheet1!R112C6</stp>
        <tr r="F112" s="1"/>
      </tp>
      <tp t="s">
        <v>NORMAL</v>
        <stp/>
        <stp>##V3_BDPV12</stp>
        <stp>9128286G Govt</stp>
        <stp>MTY_TYP</stp>
        <stp>[TREASURY.xlsx]Sheet1!R240C6</stp>
        <tr r="F240" s="1"/>
      </tp>
      <tp t="s">
        <v>NORMAL</v>
        <stp/>
        <stp>##V3_BDPV12</stp>
        <stp>9128284G Govt</stp>
        <stp>MTY_TYP</stp>
        <stp>[TREASURY.xlsx]Sheet1!R390C6</stp>
        <tr r="F390" s="1"/>
      </tp>
      <tp t="s">
        <v>NORMAL</v>
        <stp/>
        <stp>##V3_BDPV12</stp>
        <stp>9128283G Govt</stp>
        <stp>MTY_TYP</stp>
        <stp>[TREASURY.xlsx]Sheet1!R380C6</stp>
        <tr r="F380" s="1"/>
      </tp>
      <tp t="s">
        <v>NORMAL</v>
        <stp/>
        <stp>##V3_BDPV12</stp>
        <stp>912828WG Govt</stp>
        <stp>MTY_TYP</stp>
        <stp>[TREASURY.xlsx]Sheet1!R370C6</stp>
        <tr r="F370" s="1"/>
      </tp>
      <tp t="s">
        <v>T</v>
        <stp/>
        <stp>##V3_BDPV12</stp>
        <stp>912827PQ Govt</stp>
        <stp>TICKER</stp>
        <stp>[TREASURY.xlsx]Sheet1!R665C2</stp>
        <tr r="B665" s="1"/>
      </tp>
      <tp t="s">
        <v>T</v>
        <stp/>
        <stp>##V3_BDPV12</stp>
        <stp>912827VQ Govt</stp>
        <stp>TICKER</stp>
        <stp>[TREASURY.xlsx]Sheet1!R763C2</stp>
        <tr r="B763" s="1"/>
      </tp>
      <tp t="s">
        <v>T</v>
        <stp/>
        <stp>##V3_BDPV12</stp>
        <stp>912828PQ Govt</stp>
        <stp>TICKER</stp>
        <stp>[TREASURY.xlsx]Sheet1!R985C2</stp>
        <tr r="B985" s="1"/>
      </tp>
      <tp t="s">
        <v>8/15/2010</v>
        <stp/>
        <stp>##V3_BDPV12</stp>
        <stp>9128276J Govt</stp>
        <stp>MATURITY</stp>
        <stp>[TREASURY.xlsx]Sheet1!R438C5</stp>
        <tr r="E438" s="1"/>
      </tp>
      <tp t="s">
        <v>1/31/2004</v>
        <stp/>
        <stp>##V3_BDPV12</stp>
        <stp>9128277K Govt</stp>
        <stp>MATURITY</stp>
        <stp>[TREASURY.xlsx]Sheet1!R528C5</stp>
        <tr r="E528" s="1"/>
      </tp>
      <tp t="s">
        <v>5/15/2008</v>
        <stp/>
        <stp>##V3_BDPV12</stp>
        <stp>9128274F Govt</stp>
        <stp>MATURITY</stp>
        <stp>[TREASURY.xlsx]Sheet1!R578C5</stp>
        <tr r="E578" s="1"/>
      </tp>
      <tp t="s">
        <v>2/15/2010</v>
        <stp/>
        <stp>##V3_BDPV12</stp>
        <stp>9128275Z Govt</stp>
        <stp>MATURITY</stp>
        <stp>[TREASURY.xlsx]Sheet1!R428C5</stp>
        <tr r="E428" s="1"/>
      </tp>
      <tp t="s">
        <v>10/15/1988</v>
        <stp/>
        <stp>##V3_BDPV12</stp>
        <stp>912827MK Govt</stp>
        <stp>MATURITY</stp>
        <stp>[TREASURY.xlsx]Sheet1!R898C5</stp>
        <tr r="E898" s="1"/>
      </tp>
      <tp t="s">
        <v>9/30/1984</v>
        <stp/>
        <stp>##V3_BDPV12</stp>
        <stp>912827LC Govt</stp>
        <stp>MATURITY</stp>
        <stp>[TREASURY.xlsx]Sheet1!R888C5</stp>
        <tr r="E888" s="1"/>
      </tp>
      <tp t="s">
        <v>4/15/2000</v>
        <stp/>
        <stp>##V3_BDPV12</stp>
        <stp>912827K4 Govt</stp>
        <stp>MATURITY</stp>
        <stp>[TREASURY.xlsx]Sheet1!R568C5</stp>
        <tr r="E568" s="1"/>
      </tp>
      <tp t="s">
        <v>11/15/1989</v>
        <stp/>
        <stp>##V3_BDPV12</stp>
        <stp>912827KC Govt</stp>
        <stp>MATURITY</stp>
        <stp>[TREASURY.xlsx]Sheet1!R608C5</stp>
        <tr r="E608" s="1"/>
      </tp>
      <tp t="s">
        <v>5/31/1982</v>
        <stp/>
        <stp>##V3_BDPV12</stp>
        <stp>912827KS Govt</stp>
        <stp>MATURITY</stp>
        <stp>[TREASURY.xlsx]Sheet1!R668C5</stp>
        <tr r="E668" s="1"/>
      </tp>
      <tp t="s">
        <v>5/15/1987</v>
        <stp/>
        <stp>##V3_BDPV12</stp>
        <stp>912827KK Govt</stp>
        <stp>MATURITY</stp>
        <stp>[TREASURY.xlsx]Sheet1!R708C5</stp>
        <tr r="E708" s="1"/>
      </tp>
      <tp t="s">
        <v>10/31/1995</v>
        <stp/>
        <stp>##V3_BDPV12</stp>
        <stp>912827M5 Govt</stp>
        <stp>MATURITY</stp>
        <stp>[TREASURY.xlsx]Sheet1!R718C5</stp>
        <tr r="E718" s="1"/>
      </tp>
      <tp t="s">
        <v>1/31/1999</v>
        <stp/>
        <stp>##V3_BDPV12</stp>
        <stp>912827N6 Govt</stp>
        <stp>MATURITY</stp>
        <stp>[TREASURY.xlsx]Sheet1!R728C5</stp>
        <tr r="E728" s="1"/>
      </tp>
      <tp t="s">
        <v>5/15/1986</v>
        <stp/>
        <stp>##V3_BDPV12</stp>
        <stp>912827PL Govt</stp>
        <stp>MATURITY</stp>
        <stp>[TREASURY.xlsx]Sheet1!R738C5</stp>
        <tr r="E738" s="1"/>
      </tp>
      <tp t="s">
        <v>7/31/1987</v>
        <stp/>
        <stp>##V3_BDPV12</stp>
        <stp>912827SM Govt</stp>
        <stp>MATURITY</stp>
        <stp>[TREASURY.xlsx]Sheet1!R748C5</stp>
        <tr r="E748" s="1"/>
      </tp>
      <tp t="s">
        <v>11/15/2005</v>
        <stp/>
        <stp>##V3_BDPV12</stp>
        <stp>912827V8 Govt</stp>
        <stp>MATURITY</stp>
        <stp>[TREASURY.xlsx]Sheet1!R758C5</stp>
        <tr r="E758" s="1"/>
      </tp>
      <tp t="s">
        <v>6/30/1993</v>
        <stp/>
        <stp>##V3_BDPV12</stp>
        <stp>912827XS Govt</stp>
        <stp>MATURITY</stp>
        <stp>[TREASURY.xlsx]Sheet1!R938C5</stp>
        <tr r="E938" s="1"/>
      </tp>
      <tp t="s">
        <v>4/30/1990</v>
        <stp/>
        <stp>##V3_BDPV12</stp>
        <stp>912827WC Govt</stp>
        <stp>MATURITY</stp>
        <stp>[TREASURY.xlsx]Sheet1!R768C5</stp>
        <tr r="E768" s="1"/>
      </tp>
      <tp t="s">
        <v>5/31/1992</v>
        <stp/>
        <stp>##V3_BDPV12</stp>
        <stp>912827YX Govt</stp>
        <stp>MATURITY</stp>
        <stp>[TREASURY.xlsx]Sheet1!R948C5</stp>
        <tr r="E948" s="1"/>
      </tp>
      <tp t="s">
        <v>12/31/1997</v>
        <stp/>
        <stp>##V3_BDPV12</stp>
        <stp>912827W3 Govt</stp>
        <stp>MATURITY</stp>
        <stp>[TREASURY.xlsx]Sheet1!R928C5</stp>
        <tr r="E928" s="1"/>
      </tp>
      <tp t="s">
        <v>11/15/1999</v>
        <stp/>
        <stp>##V3_BDPV12</stp>
        <stp>912827Z9 Govt</stp>
        <stp>MATURITY</stp>
        <stp>[TREASURY.xlsx]Sheet1!R778C5</stp>
        <tr r="E778" s="1"/>
      </tp>
      <tp t="s">
        <v>10/15/1992</v>
        <stp/>
        <stp>##V3_BDPV12</stp>
        <stp>912827SV Govt</stp>
        <stp>MATURITY</stp>
        <stp>[TREASURY.xlsx]Sheet1!R918C5</stp>
        <tr r="E918" s="1"/>
      </tp>
      <tp t="s">
        <v>4/15/1991</v>
        <stp/>
        <stp>##V3_BDPV12</stp>
        <stp>912827QR Govt</stp>
        <stp>MATURITY</stp>
        <stp>[TREASURY.xlsx]Sheet1!R908C5</stp>
        <tr r="E908" s="1"/>
      </tp>
      <tp t="s">
        <v>T</v>
        <stp/>
        <stp>##V3_BDPV12</stp>
        <stp>912828QN Govt</stp>
        <stp>TICKER</stp>
        <stp>[TREASURY.xlsx]Sheet1!R334C2</stp>
        <tr r="B334" s="1"/>
      </tp>
      <tp t="s">
        <v>T</v>
        <stp/>
        <stp>##V3_BDPV12</stp>
        <stp>912828SM Govt</stp>
        <stp>TICKER</stp>
        <stp>[TREASURY.xlsx]Sheet1!R516C2</stp>
        <tr r="B516" s="1"/>
      </tp>
      <tp t="s">
        <v>T</v>
        <stp/>
        <stp>##V3_BDPV12</stp>
        <stp>912828WJ Govt</stp>
        <stp>TICKER</stp>
        <stp>[TREASURY.xlsx]Sheet1!R182C2</stp>
        <tr r="B182" s="1"/>
      </tp>
      <tp t="s">
        <v>T</v>
        <stp/>
        <stp>##V3_BDPV12</stp>
        <stp>912827WK Govt</stp>
        <stp>TICKER</stp>
        <stp>[TREASURY.xlsx]Sheet1!R932C2</stp>
        <tr r="B932" s="1"/>
      </tp>
      <tp t="s">
        <v>T</v>
        <stp/>
        <stp>##V3_BDPV12</stp>
        <stp>912810SH Govt</stp>
        <stp>TICKER</stp>
        <stp>[TREASURY.xlsx]Sheet1!R156C2</stp>
        <tr r="B156" s="1"/>
      </tp>
      <tp t="s">
        <v>T</v>
        <stp/>
        <stp>##V3_BDPV12</stp>
        <stp>912828SG Govt</stp>
        <stp>TICKER</stp>
        <stp>[TREASURY.xlsx]Sheet1!R496C2</stp>
        <tr r="B496" s="1"/>
      </tp>
      <tp t="s">
        <v>T</v>
        <stp/>
        <stp>##V3_BDPV12</stp>
        <stp>912828WD Govt</stp>
        <stp>TICKER</stp>
        <stp>[TREASURY.xlsx]Sheet1!R682C2</stp>
        <tr r="B682" s="1"/>
      </tp>
      <tp t="s">
        <v>T</v>
        <stp/>
        <stp>##V3_BDPV12</stp>
        <stp>912827SD Govt</stp>
        <stp>TICKER</stp>
        <stp>[TREASURY.xlsx]Sheet1!R916C2</stp>
        <tr r="B916" s="1"/>
      </tp>
      <tp t="s">
        <v>T</v>
        <stp/>
        <stp>##V3_BDPV12</stp>
        <stp>912828VE Govt</stp>
        <stp>TICKER</stp>
        <stp>[TREASURY.xlsx]Sheet1!R673C2</stp>
        <tr r="B673" s="1"/>
      </tp>
      <tp t="s">
        <v>T</v>
        <stp/>
        <stp>##V3_BDPV12</stp>
        <stp>912810QB Govt</stp>
        <stp>TICKER</stp>
        <stp>[TREASURY.xlsx]Sheet1!R274C2</stp>
        <tr r="B274" s="1"/>
      </tp>
      <tp t="s">
        <v>T</v>
        <stp/>
        <stp>##V3_BDPV12</stp>
        <stp>912828UB Govt</stp>
        <stp>TICKER</stp>
        <stp>[TREASURY.xlsx]Sheet1!R540C2</stp>
        <tr r="B540" s="1"/>
      </tp>
      <tp t="s">
        <v>T</v>
        <stp/>
        <stp>##V3_BDPV12</stp>
        <stp>912828PC Govt</stp>
        <stp>TICKER</stp>
        <stp>[TREASURY.xlsx]Sheet1!R365C2</stp>
        <tr r="B365" s="1"/>
      </tp>
      <tp t="s">
        <v>T</v>
        <stp/>
        <stp>##V3_BDPV12</stp>
        <stp>912810SA Govt</stp>
        <stp>TICKER</stp>
        <stp>[TREASURY.xlsx]Sheet1!R146C2</stp>
        <tr r="B146" s="1"/>
      </tp>
      <tp t="s">
        <v>T</v>
        <stp/>
        <stp>##V3_BDPV12</stp>
        <stp>912828RA Govt</stp>
        <stp>TICKER</stp>
        <stp>[TREASURY.xlsx]Sheet1!R677C2</stp>
        <tr r="B677" s="1"/>
      </tp>
      <tp t="s">
        <v>USD</v>
        <stp/>
        <stp>##V3_BDPV12</stp>
        <stp>912827XR Govt</stp>
        <stp>CRNCY</stp>
        <stp>[TREASURY.xlsx]Sheet1!R1216C7</stp>
        <tr r="G1216" s="1"/>
      </tp>
      <tp t="s">
        <v>912827MN9</v>
        <stp/>
        <stp>##V3_BDPV12</stp>
        <stp>912827MN Govt</stp>
        <stp>ID_CUSIP</stp>
        <stp>[TREASURY.xlsx]Sheet1!R1326C19</stp>
        <tr r="S1326" s="1"/>
      </tp>
      <tp t="s">
        <v>912827MM1</v>
        <stp/>
        <stp>##V3_BDPV12</stp>
        <stp>912827MM Govt</stp>
        <stp>ID_CUSIP</stp>
        <stp>[TREASURY.xlsx]Sheet1!R1045C19</stp>
        <tr r="S1045" s="1"/>
      </tp>
      <tp t="s">
        <v>T</v>
        <stp/>
        <stp>##V3_BDPV12</stp>
        <stp>912828GW Govt</stp>
        <stp>TICKER</stp>
        <stp>[TREASURY.xlsx]Sheet1!R1436C2</stp>
        <tr r="B1436" s="1"/>
      </tp>
      <tp t="s">
        <v>T</v>
        <stp/>
        <stp>##V3_BDPV12</stp>
        <stp>912828DX Govt</stp>
        <stp>TICKER</stp>
        <stp>[TREASURY.xlsx]Sheet1!R1429C2</stp>
        <tr r="B1429" s="1"/>
      </tp>
      <tp t="s">
        <v>T</v>
        <stp/>
        <stp>##V3_BDPV12</stp>
        <stp>912828UY Govt</stp>
        <stp>TICKER</stp>
        <stp>[TREASURY.xlsx]Sheet1!R1138C2</stp>
        <tr r="B1138" s="1"/>
      </tp>
      <tp t="s">
        <v>T</v>
        <stp/>
        <stp>##V3_BDPV12</stp>
        <stp>912828NY Govt</stp>
        <stp>TICKER</stp>
        <stp>[TREASURY.xlsx]Sheet1!R1258C2</stp>
        <tr r="B1258" s="1"/>
      </tp>
      <tp t="s">
        <v>T</v>
        <stp/>
        <stp>##V3_BDPV12</stp>
        <stp>9128283X Govt</stp>
        <stp>TICKER</stp>
        <stp>[TREASURY.xlsx]Sheet1!R1269C2</stp>
        <tr r="B1269" s="1"/>
      </tp>
      <tp t="s">
        <v>T</v>
        <stp/>
        <stp>##V3_BDPV12</stp>
        <stp>912827LR Govt</stp>
        <stp>TICKER</stp>
        <stp>[TREASURY.xlsx]Sheet1!R1323C2</stp>
        <tr r="B1323" s="1"/>
      </tp>
      <tp t="s">
        <v>T</v>
        <stp/>
        <stp>##V3_BDPV12</stp>
        <stp>912827YU Govt</stp>
        <stp>TICKER</stp>
        <stp>[TREASURY.xlsx]Sheet1!R1224C2</stp>
        <tr r="B1224" s="1"/>
      </tp>
      <tp t="s">
        <v>T</v>
        <stp/>
        <stp>##V3_BDPV12</stp>
        <stp>912827QQ Govt</stp>
        <stp>TICKER</stp>
        <stp>[TREASURY.xlsx]Sheet1!R1180C2</stp>
        <tr r="B1180" s="1"/>
      </tp>
      <tp t="s">
        <v>T</v>
        <stp/>
        <stp>##V3_BDPV12</stp>
        <stp>912827TT Govt</stp>
        <stp>TICKER</stp>
        <stp>[TREASURY.xlsx]Sheet1!R1195C2</stp>
        <tr r="B1195" s="1"/>
      </tp>
      <tp t="s">
        <v>T</v>
        <stp/>
        <stp>##V3_BDPV12</stp>
        <stp>9128276T Govt</stp>
        <stp>TICKER</stp>
        <stp>[TREASURY.xlsx]Sheet1!R1025C2</stp>
        <tr r="B1025" s="1"/>
      </tp>
      <tp t="s">
        <v>T</v>
        <stp/>
        <stp>##V3_BDPV12</stp>
        <stp>912827LP Govt</stp>
        <stp>TICKER</stp>
        <stp>[TREASURY.xlsx]Sheet1!R1491C2</stp>
        <tr r="B1491" s="1"/>
      </tp>
      <tp t="s">
        <v>T</v>
        <stp/>
        <stp>##V3_BDPV12</stp>
        <stp>9128276X Govt</stp>
        <stp>TICKER</stp>
        <stp>[TREASURY.xlsx]Sheet1!R1469C2</stp>
        <tr r="B1469" s="1"/>
      </tp>
      <tp t="s">
        <v>T</v>
        <stp/>
        <stp>##V3_BDPV12</stp>
        <stp>9128272R Govt</stp>
        <stp>TICKER</stp>
        <stp>[TREASURY.xlsx]Sheet1!R1453C2</stp>
        <tr r="B1453" s="1"/>
      </tp>
      <tp t="s">
        <v>T</v>
        <stp/>
        <stp>##V3_BDPV12</stp>
        <stp>9128272U Govt</stp>
        <stp>TICKER</stp>
        <stp>[TREASURY.xlsx]Sheet1!R1454C2</stp>
        <tr r="B1454" s="1"/>
      </tp>
      <tp t="s">
        <v>T</v>
        <stp/>
        <stp>##V3_BDPV12</stp>
        <stp>9128273W Govt</stp>
        <stp>TICKER</stp>
        <stp>[TREASURY.xlsx]Sheet1!R1456C2</stp>
        <tr r="B1456" s="1"/>
      </tp>
      <tp t="s">
        <v>912828ML1</v>
        <stp/>
        <stp>##V3_BDPV12</stp>
        <stp>912828ML Govt</stp>
        <stp>ID_CUSIP</stp>
        <stp>[TREASURY.xlsx]Sheet1!R1253C19</stp>
        <tr r="S1253" s="1"/>
      </tp>
      <tp t="s">
        <v>USD</v>
        <stp/>
        <stp>##V3_BDPV12</stp>
        <stp>912827WP Govt</stp>
        <stp>CRNCY</stp>
        <stp>[TREASURY.xlsx]Sheet1!R1419C7</stp>
        <tr r="G1419" s="1"/>
      </tp>
      <tp t="s">
        <v>T</v>
        <stp/>
        <stp>##V3_BDPV12</stp>
        <stp>912810DY Govt</stp>
        <stp>TICKER</stp>
        <stp>[TREASURY.xlsx]Sheet1!R1448C2</stp>
        <tr r="B1448" s="1"/>
      </tp>
      <tp t="s">
        <v>912827ML3</v>
        <stp/>
        <stp>##V3_BDPV12</stp>
        <stp>912827ML Govt</stp>
        <stp>ID_CUSIP</stp>
        <stp>[TREASURY.xlsx]Sheet1!R1325C19</stp>
        <tr r="S1325" s="1"/>
      </tp>
      <tp t="s">
        <v>USD</v>
        <stp/>
        <stp>##V3_BDPV12</stp>
        <stp>912827XQ Govt</stp>
        <stp>CRNCY</stp>
        <stp>[TREASURY.xlsx]Sheet1!R1096C7</stp>
        <tr r="G1096" s="1"/>
      </tp>
      <tp t="s">
        <v>USD</v>
        <stp/>
        <stp>##V3_BDPV12</stp>
        <stp>912827WV Govt</stp>
        <stp>CRNCY</stp>
        <stp>[TREASURY.xlsx]Sheet1!R1209C7</stp>
        <tr r="G1209" s="1"/>
      </tp>
      <tp t="s">
        <v>USD</v>
        <stp/>
        <stp>##V3_BDPV12</stp>
        <stp>912827ZW Govt</stp>
        <stp>CRNCY</stp>
        <stp>[TREASURY.xlsx]Sheet1!R1104C7</stp>
        <tr r="G1104" s="1"/>
      </tp>
      <tp t="s">
        <v>USD</v>
        <stp/>
        <stp>##V3_BDPV12</stp>
        <stp>912827YW Govt</stp>
        <stp>CRNCY</stp>
        <stp>[TREASURY.xlsx]Sheet1!R1607C7</stp>
        <tr r="G1607" s="1"/>
      </tp>
      <tp t="s">
        <v>USD</v>
        <stp/>
        <stp>##V3_BDPV12</stp>
        <stp>912827ZZ Govt</stp>
        <stp>CRNCY</stp>
        <stp>[TREASURY.xlsx]Sheet1!R1614C7</stp>
        <tr r="G1614" s="1"/>
      </tp>
      <tp t="s">
        <v>912827MD1</v>
        <stp/>
        <stp>##V3_BDPV12</stp>
        <stp>912827MD Govt</stp>
        <stp>ID_CUSIP</stp>
        <stp>[TREASURY.xlsx]Sheet1!R1167C19</stp>
        <tr r="S1167" s="1"/>
      </tp>
      <tp t="s">
        <v>912827MC3</v>
        <stp/>
        <stp>##V3_BDPV12</stp>
        <stp>912827MC Govt</stp>
        <stp>ID_CUSIP</stp>
        <stp>[TREASURY.xlsx]Sheet1!R1324C19</stp>
        <tr r="S1324" s="1"/>
      </tp>
      <tp t="s">
        <v>912828MA5</v>
        <stp/>
        <stp>##V3_BDPV12</stp>
        <stp>912828MA Govt</stp>
        <stp>ID_CUSIP</stp>
        <stp>[TREASURY.xlsx]Sheet1!R1252C19</stp>
        <tr r="S1252" s="1"/>
      </tp>
      <tp t="s">
        <v>#N/A Field Not Applicable</v>
        <stp/>
        <stp>##V3_BDPV12</stp>
        <stp>912810BZ Govt</stp>
        <stp>IDX_RATIO</stp>
        <stp>[TREASURY.xlsx]Sheet1!R1514C20</stp>
        <tr r="T1514" s="1"/>
      </tp>
      <tp t="s">
        <v>#N/A Field Not Applicable</v>
        <stp/>
        <stp>##V3_BDPV12</stp>
        <stp>912827ZZ Govt</stp>
        <stp>IDX_RATIO</stp>
        <stp>[TREASURY.xlsx]Sheet1!R1614C20</stp>
        <tr r="T1614" s="1"/>
      </tp>
      <tp t="s">
        <v>#N/A Field Not Applicable</v>
        <stp/>
        <stp>##V3_BDPV12</stp>
        <stp>9128282Z Govt</stp>
        <stp>IDX_RATIO</stp>
        <stp>[TREASURY.xlsx]Sheet1!R1615C20</stp>
        <tr r="T1615" s="1"/>
      </tp>
      <tp t="s">
        <v>#N/A Field Not Applicable</v>
        <stp/>
        <stp>##V3_BDPV12</stp>
        <stp>912810CZ Govt</stp>
        <stp>IDX_RATIO</stp>
        <stp>[TREASURY.xlsx]Sheet1!R1446C20</stp>
        <tr r="T1446" s="1"/>
      </tp>
      <tp t="s">
        <v>USD</v>
        <stp/>
        <stp>##V3_BDPV12</stp>
        <stp>912828WC Govt</stp>
        <stp>CRNCY</stp>
        <stp>[TREASURY.xlsx]Sheet1!R1139C7</stp>
        <tr r="G1139" s="1"/>
      </tp>
      <tp t="s">
        <v>NORMAL</v>
        <stp/>
        <stp>##V3_BDPV12</stp>
        <stp>912810DT Govt</stp>
        <stp>MTY_TYP</stp>
        <stp>[TREASURY.xlsx]Sheet1!R1622C6</stp>
        <tr r="F1622" s="1"/>
      </tp>
      <tp t="s">
        <v>NORMAL</v>
        <stp/>
        <stp>##V3_BDPV12</stp>
        <stp>912810CN Govt</stp>
        <stp>MTY_TYP</stp>
        <stp>[TREASURY.xlsx]Sheet1!R1442C6</stp>
        <tr r="F1442" s="1"/>
      </tp>
      <tp t="s">
        <v>CALLABLE</v>
        <stp/>
        <stp>##V3_BDPV12</stp>
        <stp>912810DF Govt</stp>
        <stp>MTY_TYP</stp>
        <stp>[TREASURY.xlsx]Sheet1!R1312C6</stp>
        <tr r="F1312" s="1"/>
      </tp>
      <tp t="s">
        <v>#N/A Field Not Applicable</v>
        <stp/>
        <stp>##V3_BDPV12</stp>
        <stp>912827WZ Govt</stp>
        <stp>IDX_RATIO</stp>
        <stp>[TREASURY.xlsx]Sheet1!R1423C20</stp>
        <tr r="T1423" s="1"/>
      </tp>
      <tp t="s">
        <v>#N/A Field Not Applicable</v>
        <stp/>
        <stp>##V3_BDPV12</stp>
        <stp>912827UZ Govt</stp>
        <stp>IDX_RATIO</stp>
        <stp>[TREASURY.xlsx]Sheet1!R1409C20</stp>
        <tr r="T1409" s="1"/>
      </tp>
      <tp t="s">
        <v>#N/A Field Not Applicable</v>
        <stp/>
        <stp>##V3_BDPV12</stp>
        <stp>912827QZ Govt</stp>
        <stp>IDX_RATIO</stp>
        <stp>[TREASURY.xlsx]Sheet1!R1576C20</stp>
        <tr r="T1576" s="1"/>
      </tp>
      <tp t="s">
        <v>#N/A Field Not Applicable</v>
        <stp/>
        <stp>##V3_BDPV12</stp>
        <stp>912827PZ Govt</stp>
        <stp>IDX_RATIO</stp>
        <stp>[TREASURY.xlsx]Sheet1!R1571C20</stp>
        <tr r="T1571" s="1"/>
      </tp>
      <tp t="s">
        <v>#N/A Field Not Applicable</v>
        <stp/>
        <stp>##V3_BDPV12</stp>
        <stp>912827LZ Govt</stp>
        <stp>IDX_RATIO</stp>
        <stp>[TREASURY.xlsx]Sheet1!R1567C20</stp>
        <tr r="T1567" s="1"/>
      </tp>
      <tp t="s">
        <v>#N/A Field Not Applicable</v>
        <stp/>
        <stp>##V3_BDPV12</stp>
        <stp>9128274Z Govt</stp>
        <stp>IDX_RATIO</stp>
        <stp>[TREASURY.xlsx]Sheet1!R1534C20</stp>
        <tr r="T1534" s="1"/>
      </tp>
      <tp t="s">
        <v>#N/A Field Not Applicable</v>
        <stp/>
        <stp>##V3_BDPV12</stp>
        <stp>912827RZ Govt</stp>
        <stp>IDX_RATIO</stp>
        <stp>[TREASURY.xlsx]Sheet1!R1584C20</stp>
        <tr r="T1584" s="1"/>
      </tp>
      <tp t="s">
        <v>#N/A Field Not Applicable</v>
        <stp/>
        <stp>##V3_BDPV12</stp>
        <stp>912828NZ Govt</stp>
        <stp>IDX_RATIO</stp>
        <stp>[TREASURY.xlsx]Sheet1!R1295C20</stp>
        <tr r="T1295" s="1"/>
      </tp>
      <tp t="s">
        <v>#N/A Field Not Applicable</v>
        <stp/>
        <stp>##V3_BDPV12</stp>
        <stp>912828MZ Govt</stp>
        <stp>IDX_RATIO</stp>
        <stp>[TREASURY.xlsx]Sheet1!R1255C20</stp>
        <tr r="T1255" s="1"/>
      </tp>
      <tp t="s">
        <v>912828MZ0</v>
        <stp/>
        <stp>##V3_BDPV12</stp>
        <stp>912828MZ Govt</stp>
        <stp>ID_CUSIP</stp>
        <stp>[TREASURY.xlsx]Sheet1!R1255C19</stp>
        <tr r="S1255" s="1"/>
      </tp>
      <tp t="s">
        <v>#N/A Field Not Applicable</v>
        <stp/>
        <stp>##V3_BDPV12</stp>
        <stp>912828RZ Govt</stp>
        <stp>IDX_RATIO</stp>
        <stp>[TREASURY.xlsx]Sheet1!R1268C20</stp>
        <tr r="T1268" s="1"/>
      </tp>
      <tp t="s">
        <v>#N/A Field Not Applicable</v>
        <stp/>
        <stp>##V3_BDPV12</stp>
        <stp>912828FZ Govt</stp>
        <stp>IDX_RATIO</stp>
        <stp>[TREASURY.xlsx]Sheet1!R1279C20</stp>
        <tr r="T1279" s="1"/>
      </tp>
      <tp t="s">
        <v>#N/A Field Not Applicable</v>
        <stp/>
        <stp>##V3_BDPV12</stp>
        <stp>912828DZ Govt</stp>
        <stp>IDX_RATIO</stp>
        <stp>[TREASURY.xlsx]Sheet1!R1273C20</stp>
        <tr r="T1273" s="1"/>
      </tp>
      <tp t="s">
        <v>USD</v>
        <stp/>
        <stp>##V3_BDPV12</stp>
        <stp>912827XF Govt</stp>
        <stp>CRNCY</stp>
        <stp>[TREASURY.xlsx]Sheet1!R1596C7</stp>
        <tr r="G1596" s="1"/>
      </tp>
      <tp t="s">
        <v>#N/A Field Not Applicable</v>
        <stp/>
        <stp>##V3_BDPV12</stp>
        <stp>9128273Z Govt</stp>
        <stp>IDX_RATIO</stp>
        <stp>[TREASURY.xlsx]Sheet1!R1361C20</stp>
        <tr r="T1361" s="1"/>
      </tp>
      <tp t="s">
        <v>#N/A Field Not Applicable</v>
        <stp/>
        <stp>##V3_BDPV12</stp>
        <stp>912827NZ Govt</stp>
        <stp>IDX_RATIO</stp>
        <stp>[TREASURY.xlsx]Sheet1!R1336C20</stp>
        <tr r="T1336" s="1"/>
      </tp>
      <tp t="s">
        <v>#N/A Field Not Applicable</v>
        <stp/>
        <stp>##V3_BDPV12</stp>
        <stp>912827SZ Govt</stp>
        <stp>IDX_RATIO</stp>
        <stp>[TREASURY.xlsx]Sheet1!R1068C20</stp>
        <tr r="T1068" s="1"/>
      </tp>
      <tp t="s">
        <v>#N/A Field Not Applicable</v>
        <stp/>
        <stp>##V3_BDPV12</stp>
        <stp>9128276Z Govt</stp>
        <stp>IDX_RATIO</stp>
        <stp>[TREASURY.xlsx]Sheet1!R1026C20</stp>
        <tr r="T1026" s="1"/>
      </tp>
      <tp t="s">
        <v>NORMAL</v>
        <stp/>
        <stp>##V3_BDPV12</stp>
        <stp>9128276W Govt</stp>
        <stp>MTY_TYP</stp>
        <stp>[TREASURY.xlsx]Sheet1!R1541C6</stp>
        <tr r="F1541" s="1"/>
      </tp>
      <tp t="s">
        <v>NORMAL</v>
        <stp/>
        <stp>##V3_BDPV12</stp>
        <stp>9128277G Govt</stp>
        <stp>MTY_TYP</stp>
        <stp>[TREASURY.xlsx]Sheet1!R1471C6</stp>
        <tr r="F1471" s="1"/>
      </tp>
      <tp t="s">
        <v>NORMAL</v>
        <stp/>
        <stp>##V3_BDPV12</stp>
        <stp>9128273G Govt</stp>
        <stp>MTY_TYP</stp>
        <stp>[TREASURY.xlsx]Sheet1!R1011C6</stp>
        <tr r="F1011" s="1"/>
      </tp>
      <tp t="s">
        <v>NORMAL</v>
        <stp/>
        <stp>##V3_BDPV12</stp>
        <stp>9128272F Govt</stp>
        <stp>MTY_TYP</stp>
        <stp>[TREASURY.xlsx]Sheet1!R1351C6</stp>
        <tr r="F1351" s="1"/>
      </tp>
      <tp t="s">
        <v>NORMAL</v>
        <stp/>
        <stp>##V3_BDPV12</stp>
        <stp>9128273Z Govt</stp>
        <stp>MTY_TYP</stp>
        <stp>[TREASURY.xlsx]Sheet1!R1361C6</stp>
        <tr r="F1361" s="1"/>
      </tp>
      <tp t="s">
        <v>NORMAL</v>
        <stp/>
        <stp>##V3_BDPV12</stp>
        <stp>9128274M Govt</stp>
        <stp>MTY_TYP</stp>
        <stp>[TREASURY.xlsx]Sheet1!R1461C6</stp>
        <tr r="F1461" s="1"/>
      </tp>
      <tp t="s">
        <v>NORMAL</v>
        <stp/>
        <stp>##V3_BDPV12</stp>
        <stp>9128272T Govt</stp>
        <stp>MTY_TYP</stp>
        <stp>[TREASURY.xlsx]Sheet1!R1521C6</stp>
        <tr r="F1521" s="1"/>
      </tp>
      <tp t="s">
        <v>NORMAL</v>
        <stp/>
        <stp>##V3_BDPV12</stp>
        <stp>9128273S Govt</stp>
        <stp>MTY_TYP</stp>
        <stp>[TREASURY.xlsx]Sheet1!R1531C6</stp>
        <tr r="F1531" s="1"/>
      </tp>
      <tp t="s">
        <v>NORMAL</v>
        <stp/>
        <stp>##V3_BDPV12</stp>
        <stp>9128272J Govt</stp>
        <stp>MTY_TYP</stp>
        <stp>[TREASURY.xlsx]Sheet1!R1451C6</stp>
        <tr r="F1451" s="1"/>
      </tp>
      <tp t="s">
        <v>NORMAL</v>
        <stp/>
        <stp>##V3_BDPV12</stp>
        <stp>9128276B Govt</stp>
        <stp>MTY_TYP</stp>
        <stp>[TREASURY.xlsx]Sheet1!R1021C6</stp>
        <tr r="F1021" s="1"/>
      </tp>
      <tp t="s">
        <v>#N/A Field Not Applicable</v>
        <stp/>
        <stp>##V3_BDPV12</stp>
        <stp>912827XZ Govt</stp>
        <stp>IDX_RATIO</stp>
        <stp>[TREASURY.xlsx]Sheet1!R1097C20</stp>
        <tr r="T1097" s="1"/>
      </tp>
      <tp t="s">
        <v>#N/A Field Not Applicable</v>
        <stp/>
        <stp>##V3_BDPV12</stp>
        <stp>912827VZ Govt</stp>
        <stp>IDX_RATIO</stp>
        <stp>[TREASURY.xlsx]Sheet1!R1089C20</stp>
        <tr r="T1089" s="1"/>
      </tp>
      <tp t="s">
        <v>NORMAL</v>
        <stp/>
        <stp>##V3_BDPV12</stp>
        <stp>912827KR Govt</stp>
        <stp>MTY_TYP</stp>
        <stp>[TREASURY.xlsx]Sheet1!R1161C6</stp>
        <tr r="F1161" s="1"/>
      </tp>
      <tp t="s">
        <v>NORMAL</v>
        <stp/>
        <stp>##V3_BDPV12</stp>
        <stp>912827LP Govt</stp>
        <stp>MTY_TYP</stp>
        <stp>[TREASURY.xlsx]Sheet1!R1491C6</stp>
        <tr r="F1491" s="1"/>
      </tp>
      <tp t="s">
        <v>NORMAL</v>
        <stp/>
        <stp>##V3_BDPV12</stp>
        <stp>912827LG Govt</stp>
        <stp>MTY_TYP</stp>
        <stp>[TREASURY.xlsx]Sheet1!R1321C6</stp>
        <tr r="F1321" s="1"/>
      </tp>
      <tp t="s">
        <v>NORMAL</v>
        <stp/>
        <stp>##V3_BDPV12</stp>
        <stp>912827J4 Govt</stp>
        <stp>MTY_TYP</stp>
        <stp>[TREASURY.xlsx]Sheet1!R1561C6</stp>
        <tr r="F1561" s="1"/>
      </tp>
      <tp t="s">
        <v>NORMAL</v>
        <stp/>
        <stp>##V3_BDPV12</stp>
        <stp>912827MV Govt</stp>
        <stp>MTY_TYP</stp>
        <stp>[TREASURY.xlsx]Sheet1!R1381C6</stp>
        <tr r="F1381" s="1"/>
      </tp>
      <tp t="s">
        <v>NORMAL</v>
        <stp/>
        <stp>##V3_BDPV12</stp>
        <stp>912827NN Govt</stp>
        <stp>MTY_TYP</stp>
        <stp>[TREASURY.xlsx]Sheet1!R1051C6</stp>
        <tr r="F1051" s="1"/>
      </tp>
      <tp t="s">
        <v>NORMAL</v>
        <stp/>
        <stp>##V3_BDPV12</stp>
        <stp>912827NA Govt</stp>
        <stp>MTY_TYP</stp>
        <stp>[TREASURY.xlsx]Sheet1!R1331C6</stp>
        <tr r="F1331" s="1"/>
      </tp>
      <tp t="s">
        <v>NORMAL</v>
        <stp/>
        <stp>##V3_BDPV12</stp>
        <stp>912827L6 Govt</stp>
        <stp>MTY_TYP</stp>
        <stp>[TREASURY.xlsx]Sheet1!R1041C6</stp>
        <tr r="F1041" s="1"/>
      </tp>
      <tp t="s">
        <v>NORMAL</v>
        <stp/>
        <stp>##V3_BDPV12</stp>
        <stp>912827A7 Govt</stp>
        <stp>MTY_TYP</stp>
        <stp>[TREASURY.xlsx]Sheet1!R1031C6</stp>
        <tr r="F1031" s="1"/>
      </tp>
      <tp t="s">
        <v>NORMAL</v>
        <stp/>
        <stp>##V3_BDPV12</stp>
        <stp>912827C5 Govt</stp>
        <stp>MTY_TYP</stp>
        <stp>[TREASURY.xlsx]Sheet1!R1481C6</stp>
        <tr r="F1481" s="1"/>
      </tp>
      <tp t="s">
        <v>NORMAL</v>
        <stp/>
        <stp>##V3_BDPV12</stp>
        <stp>912827B7 Govt</stp>
        <stp>MTY_TYP</stp>
        <stp>[TREASURY.xlsx]Sheet1!R1551C6</stp>
        <tr r="F1551" s="1"/>
      </tp>
      <tp t="s">
        <v>NORMAL</v>
        <stp/>
        <stp>##V3_BDPV12</stp>
        <stp>912827E6 Govt</stp>
        <stp>MTY_TYP</stp>
        <stp>[TREASURY.xlsx]Sheet1!R1371C6</stp>
        <tr r="F1371" s="1"/>
      </tp>
      <tp t="s">
        <v>NORMAL</v>
        <stp/>
        <stp>##V3_BDPV12</stp>
        <stp>912827YH Govt</stp>
        <stp>MTY_TYP</stp>
        <stp>[TREASURY.xlsx]Sheet1!R1221C6</stp>
        <tr r="F1221" s="1"/>
      </tp>
      <tp t="s">
        <v>NORMAL</v>
        <stp/>
        <stp>##V3_BDPV12</stp>
        <stp>912827X2 Govt</stp>
        <stp>MTY_TYP</stp>
        <stp>[TREASURY.xlsx]Sheet1!R1211C6</stp>
        <tr r="F1211" s="1"/>
      </tp>
      <tp t="s">
        <v>NORMAL</v>
        <stp/>
        <stp>##V3_BDPV12</stp>
        <stp>912827ZV Govt</stp>
        <stp>MTY_TYP</stp>
        <stp>[TREASURY.xlsx]Sheet1!R1231C6</stp>
        <tr r="F1231" s="1"/>
      </tp>
      <tp t="s">
        <v>NORMAL</v>
        <stp/>
        <stp>##V3_BDPV12</stp>
        <stp>912827YT Govt</stp>
        <stp>MTY_TYP</stp>
        <stp>[TREASURY.xlsx]Sheet1!R1101C6</stp>
        <tr r="F1101" s="1"/>
      </tp>
      <tp t="s">
        <v>NORMAL</v>
        <stp/>
        <stp>##V3_BDPV12</stp>
        <stp>912827Y3 Govt</stp>
        <stp>MTY_TYP</stp>
        <stp>[TREASURY.xlsx]Sheet1!R1601C6</stp>
        <tr r="F1601" s="1"/>
      </tp>
      <tp t="s">
        <v>NORMAL</v>
        <stp/>
        <stp>##V3_BDPV12</stp>
        <stp>912827ZQ Govt</stp>
        <stp>MTY_TYP</stp>
        <stp>[TREASURY.xlsx]Sheet1!R1611C6</stp>
        <tr r="F1611" s="1"/>
      </tp>
      <tp t="s">
        <v>NORMAL</v>
        <stp/>
        <stp>##V3_BDPV12</stp>
        <stp>912827PV Govt</stp>
        <stp>MTY_TYP</stp>
        <stp>[TREASURY.xlsx]Sheet1!R1391C6</stp>
        <tr r="F1391" s="1"/>
      </tp>
      <tp t="s">
        <v>NORMAL</v>
        <stp/>
        <stp>##V3_BDPV12</stp>
        <stp>912827PR Govt</stp>
        <stp>MTY_TYP</stp>
        <stp>[TREASURY.xlsx]Sheet1!R1341C6</stp>
        <tr r="F1341" s="1"/>
      </tp>
      <tp t="s">
        <v>NORMAL</v>
        <stp/>
        <stp>##V3_BDPV12</stp>
        <stp>912827WT Govt</stp>
        <stp>MTY_TYP</stp>
        <stp>[TREASURY.xlsx]Sheet1!R1421C6</stp>
        <tr r="F1421" s="1"/>
      </tp>
      <tp t="s">
        <v>NORMAL</v>
        <stp/>
        <stp>##V3_BDPV12</stp>
        <stp>912827V3 Govt</stp>
        <stp>MTY_TYP</stp>
        <stp>[TREASURY.xlsx]Sheet1!R1591C6</stp>
        <tr r="F1591" s="1"/>
      </tp>
      <tp t="s">
        <v>NORMAL</v>
        <stp/>
        <stp>##V3_BDPV12</stp>
        <stp>912827VB Govt</stp>
        <stp>MTY_TYP</stp>
        <stp>[TREASURY.xlsx]Sheet1!R1411C6</stp>
        <tr r="F1411" s="1"/>
      </tp>
      <tp t="s">
        <v>NORMAL</v>
        <stp/>
        <stp>##V3_BDPV12</stp>
        <stp>912827RA Govt</stp>
        <stp>MTY_TYP</stp>
        <stp>[TREASURY.xlsx]Sheet1!R1061C6</stp>
        <tr r="F1061" s="1"/>
      </tp>
      <tp t="s">
        <v>NORMAL</v>
        <stp/>
        <stp>##V3_BDPV12</stp>
        <stp>912827S2 Govt</stp>
        <stp>MTY_TYP</stp>
        <stp>[TREASURY.xlsx]Sheet1!R1181C6</stp>
        <tr r="F1181" s="1"/>
      </tp>
      <tp t="s">
        <v>NORMAL</v>
        <stp/>
        <stp>##V3_BDPV12</stp>
        <stp>912827P4 Govt</stp>
        <stp>MTY_TYP</stp>
        <stp>[TREASURY.xlsx]Sheet1!R1171C6</stp>
        <tr r="F1171" s="1"/>
      </tp>
      <tp t="s">
        <v>NORMAL</v>
        <stp/>
        <stp>##V3_BDPV12</stp>
        <stp>912827TU Govt</stp>
        <stp>MTY_TYP</stp>
        <stp>[TREASURY.xlsx]Sheet1!R1401C6</stp>
        <tr r="F1401" s="1"/>
      </tp>
      <tp t="s">
        <v>NORMAL</v>
        <stp/>
        <stp>##V3_BDPV12</stp>
        <stp>912827U7 Govt</stp>
        <stp>MTY_TYP</stp>
        <stp>[TREASURY.xlsx]Sheet1!R1511C6</stp>
        <tr r="F1511" s="1"/>
      </tp>
      <tp t="s">
        <v>NORMAL</v>
        <stp/>
        <stp>##V3_BDPV12</stp>
        <stp>912827RT Govt</stp>
        <stp>MTY_TYP</stp>
        <stp>[TREASURY.xlsx]Sheet1!R1581C6</stp>
        <tr r="F1581" s="1"/>
      </tp>
      <tp t="s">
        <v>NORMAL</v>
        <stp/>
        <stp>##V3_BDPV12</stp>
        <stp>912827WG Govt</stp>
        <stp>MTY_TYP</stp>
        <stp>[TREASURY.xlsx]Sheet1!R1091C6</stp>
        <tr r="F1091" s="1"/>
      </tp>
      <tp t="s">
        <v>NORMAL</v>
        <stp/>
        <stp>##V3_BDPV12</stp>
        <stp>912827UL Govt</stp>
        <stp>MTY_TYP</stp>
        <stp>[TREASURY.xlsx]Sheet1!R1201C6</stp>
        <tr r="F1201" s="1"/>
      </tp>
      <tp t="s">
        <v>NORMAL</v>
        <stp/>
        <stp>##V3_BDPV12</stp>
        <stp>912827RG Govt</stp>
        <stp>MTY_TYP</stp>
        <stp>[TREASURY.xlsx]Sheet1!R1501C6</stp>
        <tr r="F1501" s="1"/>
      </tp>
      <tp t="s">
        <v>NORMAL</v>
        <stp/>
        <stp>##V3_BDPV12</stp>
        <stp>912827PZ Govt</stp>
        <stp>MTY_TYP</stp>
        <stp>[TREASURY.xlsx]Sheet1!R1571C6</stp>
        <tr r="F1571" s="1"/>
      </tp>
      <tp t="s">
        <v>NORMAL</v>
        <stp/>
        <stp>##V3_BDPV12</stp>
        <stp>912827UX Govt</stp>
        <stp>MTY_TYP</stp>
        <stp>[TREASURY.xlsx]Sheet1!R1081C6</stp>
        <tr r="F1081" s="1"/>
      </tp>
      <tp t="s">
        <v>NORMAL</v>
        <stp/>
        <stp>##V3_BDPV12</stp>
        <stp>912827T6 Govt</stp>
        <stp>MTY_TYP</stp>
        <stp>[TREASURY.xlsx]Sheet1!R1191C6</stp>
        <tr r="F1191" s="1"/>
      </tp>
      <tp t="s">
        <v>NORMAL</v>
        <stp/>
        <stp>##V3_BDPV12</stp>
        <stp>912827T8 Govt</stp>
        <stp>MTY_TYP</stp>
        <stp>[TREASURY.xlsx]Sheet1!R1071C6</stp>
        <tr r="F1071" s="1"/>
      </tp>
      <tp t="s">
        <v>#N/A Field Not Applicable</v>
        <stp/>
        <stp>##V3_BDPV12</stp>
        <stp>912827MZ Govt</stp>
        <stp>IDX_RATIO</stp>
        <stp>[TREASURY.xlsx]Sheet1!R1168C20</stp>
        <tr r="T1168" s="1"/>
      </tp>
      <tp t="s">
        <v>912827MX7</v>
        <stp/>
        <stp>##V3_BDPV12</stp>
        <stp>912827MX Govt</stp>
        <stp>ID_CUSIP</stp>
        <stp>[TREASURY.xlsx]Sheet1!R1382C19</stp>
        <tr r="S1382" s="1"/>
      </tp>
      <tp t="s">
        <v>#N/A Field Not Applicable</v>
        <stp/>
        <stp>##V3_BDPV12</stp>
        <stp>912828GZ Govt</stp>
        <stp>IDX_RATIO</stp>
        <stp>[TREASURY.xlsx]Sheet1!R1121C20</stp>
        <tr r="T1121" s="1"/>
      </tp>
      <tp t="s">
        <v>912827MZ2</v>
        <stp/>
        <stp>##V3_BDPV12</stp>
        <stp>912827MZ Govt</stp>
        <stp>ID_CUSIP</stp>
        <stp>[TREASURY.xlsx]Sheet1!R1168C19</stp>
        <tr r="S1168" s="1"/>
      </tp>
      <tp t="s">
        <v>912827MV1</v>
        <stp/>
        <stp>##V3_BDPV12</stp>
        <stp>912827MV Govt</stp>
        <stp>ID_CUSIP</stp>
        <stp>[TREASURY.xlsx]Sheet1!R1381C19</stp>
        <tr r="S1381" s="1"/>
      </tp>
      <tp t="s">
        <v>USD</v>
        <stp/>
        <stp>##V3_BDPV12</stp>
        <stp>912828VK Govt</stp>
        <stp>CRNCY</stp>
        <stp>[TREASURY.xlsx]Sheet1!R1148C7</stp>
        <tr r="G1148" s="1"/>
      </tp>
      <tp t="s">
        <v>NORMAL</v>
        <stp/>
        <stp>##V3_BDPV12</stp>
        <stp>912828M6 Govt</stp>
        <stp>MTY_TYP</stp>
        <stp>[TREASURY.xlsx]Sheet1!R1251C6</stp>
        <tr r="F1251" s="1"/>
      </tp>
      <tp t="s">
        <v>NORMAL</v>
        <stp/>
        <stp>##V3_BDPV12</stp>
        <stp>912828LV Govt</stp>
        <stp>MTY_TYP</stp>
        <stp>[TREASURY.xlsx]Sheet1!R1291C6</stp>
        <tr r="F1291" s="1"/>
      </tp>
      <tp t="s">
        <v>NORMAL</v>
        <stp/>
        <stp>##V3_BDPV12</stp>
        <stp>912828EF Govt</stp>
        <stp>MTY_TYP</stp>
        <stp>[TREASURY.xlsx]Sheet1!R1431C6</stp>
        <tr r="F1431" s="1"/>
      </tp>
      <tp t="s">
        <v>NORMAL</v>
        <stp/>
        <stp>##V3_BDPV12</stp>
        <stp>912828GZ Govt</stp>
        <stp>MTY_TYP</stp>
        <stp>[TREASURY.xlsx]Sheet1!R1121C6</stp>
        <tr r="F1121" s="1"/>
      </tp>
      <tp t="s">
        <v>NORMAL</v>
        <stp/>
        <stp>##V3_BDPV12</stp>
        <stp>912828DK Govt</stp>
        <stp>MTY_TYP</stp>
        <stp>[TREASURY.xlsx]Sheet1!R1271C6</stp>
        <tr r="F1271" s="1"/>
      </tp>
      <tp t="s">
        <v>NORMAL</v>
        <stp/>
        <stp>##V3_BDPV12</stp>
        <stp>912828DJ Govt</stp>
        <stp>MTY_TYP</stp>
        <stp>[TREASURY.xlsx]Sheet1!R1111C6</stp>
        <tr r="F1111" s="1"/>
      </tp>
      <tp t="s">
        <v>NORMAL</v>
        <stp/>
        <stp>##V3_BDPV12</stp>
        <stp>912828G4 Govt</stp>
        <stp>MTY_TYP</stp>
        <stp>[TREASURY.xlsx]Sheet1!R1281C6</stp>
        <tr r="F1281" s="1"/>
      </tp>
      <tp t="s">
        <v>NORMAL</v>
        <stp/>
        <stp>##V3_BDPV12</stp>
        <stp>912828FG Govt</stp>
        <stp>MTY_TYP</stp>
        <stp>[TREASURY.xlsx]Sheet1!R1241C6</stp>
        <tr r="F1241" s="1"/>
      </tp>
      <tp t="s">
        <v>NORMAL</v>
        <stp/>
        <stp>##V3_BDPV12</stp>
        <stp>912828XF Govt</stp>
        <stp>MTY_TYP</stp>
        <stp>[TREASURY.xlsx]Sheet1!R1151C6</stp>
        <tr r="F1151" s="1"/>
      </tp>
      <tp t="s">
        <v>NORMAL</v>
        <stp/>
        <stp>##V3_BDPV12</stp>
        <stp>912828RL Govt</stp>
        <stp>MTY_TYP</stp>
        <stp>[TREASURY.xlsx]Sheet1!R1131C6</stp>
        <tr r="F1131" s="1"/>
      </tp>
      <tp t="s">
        <v>NORMAL</v>
        <stp/>
        <stp>##V3_BDPV12</stp>
        <stp>912828PU Govt</stp>
        <stp>MTY_TYP</stp>
        <stp>[TREASURY.xlsx]Sheet1!R1261C6</stp>
        <tr r="F1261" s="1"/>
      </tp>
      <tp t="s">
        <v>NORMAL</v>
        <stp/>
        <stp>##V3_BDPV12</stp>
        <stp>912828QC Govt</stp>
        <stp>MTY_TYP</stp>
        <stp>[TREASURY.xlsx]Sheet1!R1301C6</stp>
        <tr r="F1301" s="1"/>
      </tp>
      <tp t="s">
        <v>NORMAL</v>
        <stp/>
        <stp>##V3_BDPV12</stp>
        <stp>912828SC Govt</stp>
        <stp>MTY_TYP</stp>
        <stp>[TREASURY.xlsx]Sheet1!R1141C6</stp>
        <tr r="F1141" s="1"/>
      </tp>
      <tp t="s">
        <v>NORMAL</v>
        <stp/>
        <stp>##V3_BDPV12</stp>
        <stp>912828UU Govt</stp>
        <stp>MTY_TYP</stp>
        <stp>[TREASURY.xlsx]Sheet1!R1001C6</stp>
        <tr r="F1001" s="1"/>
      </tp>
      <tp t="s">
        <v>912827MU3</v>
        <stp/>
        <stp>##V3_BDPV12</stp>
        <stp>912827MU Govt</stp>
        <stp>ID_CUSIP</stp>
        <stp>[TREASURY.xlsx]Sheet1!R1328C19</stp>
        <tr r="S1328" s="1"/>
      </tp>
      <tp t="s">
        <v>912828MT4</v>
        <stp/>
        <stp>##V3_BDPV12</stp>
        <stp>912828MT Govt</stp>
        <stp>ID_CUSIP</stp>
        <stp>[TREASURY.xlsx]Sheet1!R1254C19</stp>
        <tr r="S1254" s="1"/>
      </tp>
      <tp t="s">
        <v>912827MW9</v>
        <stp/>
        <stp>##V3_BDPV12</stp>
        <stp>912827MW Govt</stp>
        <stp>ID_CUSIP</stp>
        <stp>[TREASURY.xlsx]Sheet1!R1047C19</stp>
        <tr r="S1047" s="1"/>
      </tp>
      <tp t="s">
        <v>912827MR0</v>
        <stp/>
        <stp>##V3_BDPV12</stp>
        <stp>912827MR Govt</stp>
        <stp>ID_CUSIP</stp>
        <stp>[TREASURY.xlsx]Sheet1!R1327C19</stp>
        <tr r="S1327" s="1"/>
      </tp>
      <tp t="s">
        <v>912827MS8</v>
        <stp/>
        <stp>##V3_BDPV12</stp>
        <stp>912827MS Govt</stp>
        <stp>ID_CUSIP</stp>
        <stp>[TREASURY.xlsx]Sheet1!R1046C19</stp>
        <tr r="S1046" s="1"/>
      </tp>
      <tp t="s">
        <v>USD</v>
        <stp/>
        <stp>##V3_BDPV12</stp>
        <stp>912827VM Govt</stp>
        <stp>CRNCY</stp>
        <stp>[TREASURY.xlsx]Sheet1!R1088C7</stp>
        <tr r="G1088" s="1"/>
      </tp>
      <tp t="s">
        <v>UNITED STATES</v>
        <stp/>
        <stp>##V3_BDPV12</stp>
        <stp>912810EZ Govt</stp>
        <stp>COUNTRY_FULL_NAME</stp>
        <stp>[TREASURY.xlsx]Sheet1!R323C8</stp>
        <tr r="H323" s="1"/>
      </tp>
      <tp t="s">
        <v>UNITED STATES</v>
        <stp/>
        <stp>##V3_BDPV12</stp>
        <stp>912810ET Govt</stp>
        <stp>COUNTRY_FULL_NAME</stp>
        <stp>[TREASURY.xlsx]Sheet1!R313C8</stp>
        <tr r="H313" s="1"/>
      </tp>
      <tp t="s">
        <v>UNITED STATES</v>
        <stp/>
        <stp>##V3_BDPV12</stp>
        <stp>912810EE Govt</stp>
        <stp>COUNTRY_FULL_NAME</stp>
        <stp>[TREASURY.xlsx]Sheet1!R503C8</stp>
        <tr r="H503" s="1"/>
      </tp>
      <tp t="s">
        <v>USD</v>
        <stp/>
        <stp>##V3_BDPV12</stp>
        <stp>912827Z4 Govt</stp>
        <stp>CRNCY</stp>
        <stp>[TREASURY.xlsx]Sheet1!R1225C7</stp>
        <tr r="G1225" s="1"/>
      </tp>
      <tp t="s">
        <v>UNITED STATES</v>
        <stp/>
        <stp>##V3_BDPV12</stp>
        <stp>912810FG Govt</stp>
        <stp>COUNTRY_FULL_NAME</stp>
        <stp>[TREASURY.xlsx]Sheet1!R223C8</stp>
        <tr r="H223" s="1"/>
      </tp>
      <tp t="s">
        <v>UNITED STATES</v>
        <stp/>
        <stp>##V3_BDPV12</stp>
        <stp>912810FE Govt</stp>
        <stp>COUNTRY_FULL_NAME</stp>
        <stp>[TREASURY.xlsx]Sheet1!R253C8</stp>
        <tr r="H253" s="1"/>
      </tp>
      <tp t="s">
        <v>UNITED STATES</v>
        <stp/>
        <stp>##V3_BDPV12</stp>
        <stp>912827H2 Govt</stp>
        <stp>COUNTRY_FULL_NAME</stp>
        <stp>[TREASURY.xlsx]Sheet1!R704C8</stp>
        <tr r="H704" s="1"/>
      </tp>
      <tp t="s">
        <v>UNITED STATES</v>
        <stp/>
        <stp>##V3_BDPV12</stp>
        <stp>912827KJ Govt</stp>
        <stp>COUNTRY_FULL_NAME</stp>
        <stp>[TREASURY.xlsx]Sheet1!R884C8</stp>
        <tr r="H884" s="1"/>
      </tp>
      <tp t="s">
        <v>UNITED STATES</v>
        <stp/>
        <stp>##V3_BDPV12</stp>
        <stp>912827L9 Govt</stp>
        <stp>COUNTRY_FULL_NAME</stp>
        <stp>[TREASURY.xlsx]Sheet1!R714C8</stp>
        <tr r="H714" s="1"/>
      </tp>
      <tp t="s">
        <v>UNITED STATES</v>
        <stp/>
        <stp>##V3_BDPV12</stp>
        <stp>912827LY Govt</stp>
        <stp>COUNTRY_FULL_NAME</stp>
        <stp>[TREASURY.xlsx]Sheet1!R894C8</stp>
        <tr r="H894" s="1"/>
      </tp>
      <tp t="s">
        <v>UNITED STATES</v>
        <stp/>
        <stp>##V3_BDPV12</stp>
        <stp>912827MT Govt</stp>
        <stp>COUNTRY_FULL_NAME</stp>
        <stp>[TREASURY.xlsx]Sheet1!R724C8</stp>
        <tr r="H724" s="1"/>
      </tp>
      <tp t="s">
        <v>UNITED STATES</v>
        <stp/>
        <stp>##V3_BDPV12</stp>
        <stp>912827MH Govt</stp>
        <stp>COUNTRY_FULL_NAME</stp>
        <stp>[TREASURY.xlsx]Sheet1!R544C8</stp>
        <tr r="H544" s="1"/>
      </tp>
      <tp t="s">
        <v>UNITED STATES</v>
        <stp/>
        <stp>##V3_BDPV12</stp>
        <stp>912827NV Govt</stp>
        <stp>COUNTRY_FULL_NAME</stp>
        <stp>[TREASURY.xlsx]Sheet1!R734C8</stp>
        <tr r="H734" s="1"/>
      </tp>
      <tp t="s">
        <v>UNITED STATES</v>
        <stp/>
        <stp>##V3_BDPV12</stp>
        <stp>912827PP Govt</stp>
        <stp>COUNTRY_FULL_NAME</stp>
        <stp>[TREASURY.xlsx]Sheet1!R904C8</stp>
        <tr r="H904" s="1"/>
      </tp>
      <tp t="s">
        <v>UNITED STATES</v>
        <stp/>
        <stp>##V3_BDPV12</stp>
        <stp>912810QS Govt</stp>
        <stp>COUNTRY_FULL_NAME</stp>
        <stp>[TREASURY.xlsx]Sheet1!R303C8</stp>
        <tr r="H303" s="1"/>
      </tp>
      <tp t="s">
        <v>UNITED STATES</v>
        <stp/>
        <stp>##V3_BDPV12</stp>
        <stp>912827RU Govt</stp>
        <stp>COUNTRY_FULL_NAME</stp>
        <stp>[TREASURY.xlsx]Sheet1!R914C8</stp>
        <tr r="H914" s="1"/>
      </tp>
      <tp t="s">
        <v>UNITED STATES</v>
        <stp/>
        <stp>##V3_BDPV12</stp>
        <stp>912810RZ Govt</stp>
        <stp>COUNTRY_FULL_NAME</stp>
        <stp>[TREASURY.xlsx]Sheet1!R273C8</stp>
        <tr r="H273" s="1"/>
      </tp>
      <tp t="s">
        <v>UNITED STATES</v>
        <stp/>
        <stp>##V3_BDPV12</stp>
        <stp>912810RS Govt</stp>
        <stp>COUNTRY_FULL_NAME</stp>
        <stp>[TREASURY.xlsx]Sheet1!R163C8</stp>
        <tr r="H163" s="1"/>
      </tp>
      <tp t="s">
        <v>UNITED STATES</v>
        <stp/>
        <stp>##V3_BDPV12</stp>
        <stp>912810RN Govt</stp>
        <stp>COUNTRY_FULL_NAME</stp>
        <stp>[TREASURY.xlsx]Sheet1!R293C8</stp>
        <tr r="H293" s="1"/>
      </tp>
      <tp t="s">
        <v>UNITED STATES</v>
        <stp/>
        <stp>##V3_BDPV12</stp>
        <stp>912810RK Govt</stp>
        <stp>COUNTRY_FULL_NAME</stp>
        <stp>[TREASURY.xlsx]Sheet1!R103C8</stp>
        <tr r="H103" s="1"/>
      </tp>
      <tp t="s">
        <v>UNITED STATES</v>
        <stp/>
        <stp>##V3_BDPV12</stp>
        <stp>912827RB Govt</stp>
        <stp>COUNTRY_FULL_NAME</stp>
        <stp>[TREASURY.xlsx]Sheet1!R744C8</stp>
        <tr r="H744" s="1"/>
      </tp>
      <tp t="s">
        <v>UNITED STATES</v>
        <stp/>
        <stp>##V3_BDPV12</stp>
        <stp>912810RC Govt</stp>
        <stp>COUNTRY_FULL_NAME</stp>
        <stp>[TREASURY.xlsx]Sheet1!R263C8</stp>
        <tr r="H263" s="1"/>
      </tp>
      <tp t="s">
        <v>UNITED STATES</v>
        <stp/>
        <stp>##V3_BDPV12</stp>
        <stp>912810SC Govt</stp>
        <stp>COUNTRY_FULL_NAME</stp>
        <stp>[TREASURY.xlsx]Sheet1!R243C8</stp>
        <tr r="H243" s="1"/>
      </tp>
      <tp t="s">
        <v>UNITED STATES</v>
        <stp/>
        <stp>##V3_BDPV12</stp>
        <stp>912827TA Govt</stp>
        <stp>COUNTRY_FULL_NAME</stp>
        <stp>[TREASURY.xlsx]Sheet1!R834C8</stp>
        <tr r="H834" s="1"/>
      </tp>
      <tp t="s">
        <v>912828L81</v>
        <stp/>
        <stp>##V3_BDPV12</stp>
        <stp>912828L8 Govt</stp>
        <stp>ID_CUSIP</stp>
        <stp>[TREASURY.xlsx]Sheet1!R1127C19</stp>
        <tr r="S1127" s="1"/>
      </tp>
      <tp t="s">
        <v>UNITED STATES</v>
        <stp/>
        <stp>##V3_BDPV12</stp>
        <stp>912827UC Govt</stp>
        <stp>COUNTRY_FULL_NAME</stp>
        <stp>[TREASURY.xlsx]Sheet1!R754C8</stp>
        <tr r="H754" s="1"/>
      </tp>
      <tp t="s">
        <v>UNITED STATES</v>
        <stp/>
        <stp>##V3_BDPV12</stp>
        <stp>912827VR Govt</stp>
        <stp>COUNTRY_FULL_NAME</stp>
        <stp>[TREASURY.xlsx]Sheet1!R764C8</stp>
        <tr r="H764" s="1"/>
      </tp>
      <tp t="s">
        <v>UNITED STATES</v>
        <stp/>
        <stp>##V3_BDPV12</stp>
        <stp>912827VH Govt</stp>
        <stp>COUNTRY_FULL_NAME</stp>
        <stp>[TREASURY.xlsx]Sheet1!R924C8</stp>
        <tr r="H924" s="1"/>
      </tp>
      <tp t="s">
        <v>912827L83</v>
        <stp/>
        <stp>##V3_BDPV12</stp>
        <stp>912827L8 Govt</stp>
        <stp>ID_CUSIP</stp>
        <stp>[TREASURY.xlsx]Sheet1!R1319C19</stp>
        <tr r="S1319" s="1"/>
      </tp>
      <tp t="s">
        <v>912827L42</v>
        <stp/>
        <stp>##V3_BDPV12</stp>
        <stp>912827L4 Govt</stp>
        <stp>ID_CUSIP</stp>
        <stp>[TREASURY.xlsx]Sheet1!R1040C19</stp>
        <tr r="S1040" s="1"/>
      </tp>
      <tp t="s">
        <v>UNITED STATES</v>
        <stp/>
        <stp>##V3_BDPV12</stp>
        <stp>912827X5 Govt</stp>
        <stp>COUNTRY_FULL_NAME</stp>
        <stp>[TREASURY.xlsx]Sheet1!R934C8</stp>
        <tr r="H934" s="1"/>
      </tp>
      <tp t="s">
        <v>UNITED STATES</v>
        <stp/>
        <stp>##V3_BDPV12</stp>
        <stp>912827XT Govt</stp>
        <stp>COUNTRY_FULL_NAME</stp>
        <stp>[TREASURY.xlsx]Sheet1!R774C8</stp>
        <tr r="H774" s="1"/>
      </tp>
      <tp t="s">
        <v>UNITED STATES</v>
        <stp/>
        <stp>##V3_BDPV12</stp>
        <stp>912827YR Govt</stp>
        <stp>COUNTRY_FULL_NAME</stp>
        <stp>[TREASURY.xlsx]Sheet1!R684C8</stp>
        <tr r="H684" s="1"/>
      </tp>
      <tp t="s">
        <v>UNITED STATES</v>
        <stp/>
        <stp>##V3_BDPV12</stp>
        <stp>912827YG Govt</stp>
        <stp>COUNTRY_FULL_NAME</stp>
        <stp>[TREASURY.xlsx]Sheet1!R944C8</stp>
        <tr r="H944" s="1"/>
      </tp>
      <tp t="s">
        <v>912827L34</v>
        <stp/>
        <stp>##V3_BDPV12</stp>
        <stp>912827L3 Govt</stp>
        <stp>ID_CUSIP</stp>
        <stp>[TREASURY.xlsx]Sheet1!R1564C19</stp>
        <tr r="S1564" s="1"/>
      </tp>
      <tp t="s">
        <v>912827L67</v>
        <stp/>
        <stp>##V3_BDPV12</stp>
        <stp>912827L6 Govt</stp>
        <stp>ID_CUSIP</stp>
        <stp>[TREASURY.xlsx]Sheet1!R1041C19</stp>
        <tr r="S1041" s="1"/>
      </tp>
      <tp t="s">
        <v>UNITED STATES</v>
        <stp/>
        <stp>##V3_BDPV12</stp>
        <stp>912827ZS Govt</stp>
        <stp>COUNTRY_FULL_NAME</stp>
        <stp>[TREASURY.xlsx]Sheet1!R954C8</stp>
        <tr r="H954" s="1"/>
      </tp>
      <tp t="s">
        <v>UNITED STATES</v>
        <stp/>
        <stp>##V3_BDPV12</stp>
        <stp>912827ZH Govt</stp>
        <stp>COUNTRY_FULL_NAME</stp>
        <stp>[TREASURY.xlsx]Sheet1!R634C8</stp>
        <tr r="H634" s="1"/>
      </tp>
      <tp t="s">
        <v>912827L75</v>
        <stp/>
        <stp>##V3_BDPV12</stp>
        <stp>912827L7 Govt</stp>
        <stp>ID_CUSIP</stp>
        <stp>[TREASURY.xlsx]Sheet1!R1565C19</stp>
        <tr r="S1565" s="1"/>
      </tp>
      <tp t="s">
        <v>912827L26</v>
        <stp/>
        <stp>##V3_BDPV12</stp>
        <stp>912827L2 Govt</stp>
        <stp>ID_CUSIP</stp>
        <stp>[TREASURY.xlsx]Sheet1!R1163C19</stp>
        <tr r="S1163" s="1"/>
      </tp>
      <tp t="s">
        <v>3/31/1999</v>
        <stp/>
        <stp>##V3_BDPV12</stp>
        <stp>912827P4 Govt</stp>
        <stp>MATURITY</stp>
        <stp>[TREASURY.xlsx]Sheet1!R1171C5</stp>
        <tr r="E1171" s="1"/>
      </tp>
      <tp t="s">
        <v>8/15/1993</v>
        <stp/>
        <stp>##V3_BDPV12</stp>
        <stp>912827PV Govt</stp>
        <stp>MATURITY</stp>
        <stp>[TREASURY.xlsx]Sheet1!R1391C5</stp>
        <tr r="E1391" s="1"/>
      </tp>
      <tp t="s">
        <v>6/30/1987</v>
        <stp/>
        <stp>##V3_BDPV12</stp>
        <stp>912827PR Govt</stp>
        <stp>MATURITY</stp>
        <stp>[TREASURY.xlsx]Sheet1!R1341C5</stp>
        <tr r="E1341" s="1"/>
      </tp>
      <tp t="s">
        <v>9/30/1987</v>
        <stp/>
        <stp>##V3_BDPV12</stp>
        <stp>912827PZ Govt</stp>
        <stp>MATURITY</stp>
        <stp>[TREASURY.xlsx]Sheet1!R1571C5</stp>
        <tr r="E1571" s="1"/>
      </tp>
      <tp t="s">
        <v>11/30/1999</v>
        <stp/>
        <stp>##V3_BDPV12</stp>
        <stp>912827S2 Govt</stp>
        <stp>MATURITY</stp>
        <stp>[TREASURY.xlsx]Sheet1!R1181C5</stp>
        <tr r="E1181" s="1"/>
      </tp>
      <tp t="s">
        <v>91282CCS8</v>
        <stp/>
        <stp>##V3_BDPV12</stp>
        <stp>91282CCS Govt</stp>
        <stp>ID_CUSIP</stp>
        <stp>[TREASURY.xlsx]Sheet1!R2C19</stp>
        <tr r="S2" s="1"/>
      </tp>
      <tp t="s">
        <v>1/15/1992</v>
        <stp/>
        <stp>##V3_BDPV12</stp>
        <stp>912827RT Govt</stp>
        <stp>MATURITY</stp>
        <stp>[TREASURY.xlsx]Sheet1!R1581C5</stp>
        <tr r="E1581" s="1"/>
      </tp>
      <tp t="s">
        <v>10/15/1991</v>
        <stp/>
        <stp>##V3_BDPV12</stp>
        <stp>912827RG Govt</stp>
        <stp>MATURITY</stp>
        <stp>[TREASURY.xlsx]Sheet1!R1501C5</stp>
        <tr r="E1501" s="1"/>
      </tp>
      <tp t="s">
        <v>7/31/1986</v>
        <stp/>
        <stp>##V3_BDPV12</stp>
        <stp>912827RA Govt</stp>
        <stp>MATURITY</stp>
        <stp>[TREASURY.xlsx]Sheet1!R1061C5</stp>
        <tr r="E1061" s="1"/>
      </tp>
      <tp t="s">
        <v>8/15/1998</v>
        <stp/>
        <stp>##V3_BDPV12</stp>
        <stp>912827U7 Govt</stp>
        <stp>MATURITY</stp>
        <stp>[TREASURY.xlsx]Sheet1!R1511C5</stp>
        <tr r="E1511" s="1"/>
      </tp>
      <tp t="s">
        <v>US912828Z526</v>
        <stp/>
        <stp>##V3_BDPV12</stp>
        <stp>912828Z5 Govt</stp>
        <stp>ID_ISIN</stp>
        <stp>[TREASURY.xlsx]Sheet1!R83C12</stp>
        <tr r="L83" s="1"/>
      </tp>
      <tp t="s">
        <v>US912828D564</v>
        <stp/>
        <stp>##V3_BDPV12</stp>
        <stp>912828D5 Govt</stp>
        <stp>ID_ISIN</stp>
        <stp>[TREASURY.xlsx]Sheet1!R70C12</stp>
        <tr r="L70" s="1"/>
      </tp>
      <tp t="s">
        <v>5/31/1989</v>
        <stp/>
        <stp>##V3_BDPV12</stp>
        <stp>912827UX Govt</stp>
        <stp>MATURITY</stp>
        <stp>[TREASURY.xlsx]Sheet1!R1081C5</stp>
        <tr r="E1081" s="1"/>
      </tp>
      <tp t="s">
        <v>1/15/1994</v>
        <stp/>
        <stp>##V3_BDPV12</stp>
        <stp>912827UL Govt</stp>
        <stp>MATURITY</stp>
        <stp>[TREASURY.xlsx]Sheet1!R1201C5</stp>
        <tr r="E1201" s="1"/>
      </tp>
      <tp t="s">
        <v>4/30/2000</v>
        <stp/>
        <stp>##V3_BDPV12</stp>
        <stp>912827T6 Govt</stp>
        <stp>MATURITY</stp>
        <stp>[TREASURY.xlsx]Sheet1!R1191C5</stp>
        <tr r="E1191" s="1"/>
      </tp>
      <tp t="s">
        <v>5/15/2005</v>
        <stp/>
        <stp>##V3_BDPV12</stp>
        <stp>912827T8 Govt</stp>
        <stp>MATURITY</stp>
        <stp>[TREASURY.xlsx]Sheet1!R1071C5</stp>
        <tr r="E1071" s="1"/>
      </tp>
      <tp t="s">
        <v>6/30/1990</v>
        <stp/>
        <stp>##V3_BDPV12</stp>
        <stp>912827TU Govt</stp>
        <stp>MATURITY</stp>
        <stp>[TREASURY.xlsx]Sheet1!R1401C5</stp>
        <tr r="E1401" s="1"/>
      </tp>
      <tp t="s">
        <v>10/15/1995</v>
        <stp/>
        <stp>##V3_BDPV12</stp>
        <stp>912827WT Govt</stp>
        <stp>MATURITY</stp>
        <stp>[TREASURY.xlsx]Sheet1!R1421C5</stp>
        <tr r="E1421" s="1"/>
      </tp>
      <tp t="s">
        <v>8/15/1993</v>
        <stp/>
        <stp>##V3_BDPV12</stp>
        <stp>912827WG Govt</stp>
        <stp>MATURITY</stp>
        <stp>[TREASURY.xlsx]Sheet1!R1091C5</stp>
        <tr r="E1091" s="1"/>
      </tp>
      <tp t="s">
        <v>9/30/1997</v>
        <stp/>
        <stp>##V3_BDPV12</stp>
        <stp>912827V3 Govt</stp>
        <stp>MATURITY</stp>
        <stp>[TREASURY.xlsx]Sheet1!R1591C5</stp>
        <tr r="E1591" s="1"/>
      </tp>
      <tp t="s">
        <v>T</v>
        <stp/>
        <stp>##V3_BDPV12</stp>
        <stp>912828W9 Govt</stp>
        <stp>TICKER</stp>
        <stp>[TREASURY.xlsx]Sheet1!R363C2</stp>
        <tr r="B363" s="1"/>
      </tp>
      <tp t="s">
        <v>T</v>
        <stp/>
        <stp>##V3_BDPV12</stp>
        <stp>912828Q9 Govt</stp>
        <stp>TICKER</stp>
        <stp>[TREASURY.xlsx]Sheet1!R425C2</stp>
        <tr r="B425" s="1"/>
      </tp>
      <tp t="s">
        <v>7/15/1994</v>
        <stp/>
        <stp>##V3_BDPV12</stp>
        <stp>912827VB Govt</stp>
        <stp>MATURITY</stp>
        <stp>[TREASURY.xlsx]Sheet1!R1411C5</stp>
        <tr r="E1411" s="1"/>
      </tp>
      <tp t="s">
        <v>6/30/1998</v>
        <stp/>
        <stp>##V3_BDPV12</stp>
        <stp>912827Y3 Govt</stp>
        <stp>MATURITY</stp>
        <stp>[TREASURY.xlsx]Sheet1!R1601C5</stp>
        <tr r="E1601" s="1"/>
      </tp>
      <tp t="s">
        <v>T</v>
        <stp/>
        <stp>##V3_BDPV12</stp>
        <stp>912828R6 Govt</stp>
        <stp>TICKER</stp>
        <stp>[TREASURY.xlsx]Sheet1!R266C2</stp>
        <tr r="B266" s="1"/>
      </tp>
      <tp t="s">
        <v>T</v>
        <stp/>
        <stp>##V3_BDPV12</stp>
        <stp>912827U6 Govt</stp>
        <stp>TICKER</stp>
        <stp>[TREASURY.xlsx]Sheet1!R751C2</stp>
        <tr r="B751" s="1"/>
      </tp>
      <tp t="s">
        <v>4/15/1997</v>
        <stp/>
        <stp>##V3_BDPV12</stp>
        <stp>912827YT Govt</stp>
        <stp>MATURITY</stp>
        <stp>[TREASURY.xlsx]Sheet1!R1101C5</stp>
        <tr r="E1101" s="1"/>
      </tp>
      <tp t="s">
        <v>12/31/1991</v>
        <stp/>
        <stp>##V3_BDPV12</stp>
        <stp>912827YH Govt</stp>
        <stp>MATURITY</stp>
        <stp>[TREASURY.xlsx]Sheet1!R1221C5</stp>
        <tr r="E1221" s="1"/>
      </tp>
      <tp t="s">
        <v>2/28/2001</v>
        <stp/>
        <stp>##V3_BDPV12</stp>
        <stp>912827X2 Govt</stp>
        <stp>MATURITY</stp>
        <stp>[TREASURY.xlsx]Sheet1!R1211C5</stp>
        <tr r="E1211" s="1"/>
      </tp>
      <tp t="s">
        <v>T</v>
        <stp/>
        <stp>##V3_BDPV12</stp>
        <stp>912828V7 Govt</stp>
        <stp>TICKER</stp>
        <stp>[TREASURY.xlsx]Sheet1!R262C2</stp>
        <tr r="B262" s="1"/>
      </tp>
      <tp t="s">
        <v>T</v>
        <stp/>
        <stp>##V3_BDPV12</stp>
        <stp>912828S4 Govt</stp>
        <stp>TICKER</stp>
        <stp>[TREASURY.xlsx]Sheet1!R487C2</stp>
        <tr r="B487" s="1"/>
      </tp>
      <tp t="s">
        <v>T</v>
        <stp/>
        <stp>##V3_BDPV12</stp>
        <stp>912827Q5 Govt</stp>
        <stp>TICKER</stp>
        <stp>[TREASURY.xlsx]Sheet1!R905C2</stp>
        <tr r="B905" s="1"/>
      </tp>
      <tp t="s">
        <v>2/15/1996</v>
        <stp/>
        <stp>##V3_BDPV12</stp>
        <stp>912827ZQ Govt</stp>
        <stp>MATURITY</stp>
        <stp>[TREASURY.xlsx]Sheet1!R1611C5</stp>
        <tr r="E1611" s="1"/>
      </tp>
      <tp t="s">
        <v>1/31/1996</v>
        <stp/>
        <stp>##V3_BDPV12</stp>
        <stp>912827ZV Govt</stp>
        <stp>MATURITY</stp>
        <stp>[TREASURY.xlsx]Sheet1!R1231C5</stp>
        <tr r="E1231" s="1"/>
      </tp>
      <tp t="s">
        <v>T</v>
        <stp/>
        <stp>##V3_BDPV12</stp>
        <stp>912828U3 Govt</stp>
        <stp>TICKER</stp>
        <stp>[TREASURY.xlsx]Sheet1!R491C2</stp>
        <tr r="B491" s="1"/>
      </tp>
      <tp t="s">
        <v>T</v>
        <stp/>
        <stp>##V3_BDPV12</stp>
        <stp>912827U3 Govt</stp>
        <stp>TICKER</stp>
        <stp>[TREASURY.xlsx]Sheet1!R921C2</stp>
        <tr r="B921" s="1"/>
      </tp>
      <tp t="s">
        <v>5/15/1994</v>
        <stp/>
        <stp>##V3_BDPV12</stp>
        <stp>912827A7 Govt</stp>
        <stp>MATURITY</stp>
        <stp>[TREASURY.xlsx]Sheet1!R1031C5</stp>
        <tr r="E1031" s="1"/>
      </tp>
      <tp t="s">
        <v>9/30/1996</v>
        <stp/>
        <stp>##V3_BDPV12</stp>
        <stp>912827C5 Govt</stp>
        <stp>MATURITY</stp>
        <stp>[TREASURY.xlsx]Sheet1!R1481C5</stp>
        <tr r="E1481" s="1"/>
      </tp>
      <tp t="s">
        <v>2/15/2002</v>
        <stp/>
        <stp>##V3_BDPV12</stp>
        <stp>912810CZ Govt</stp>
        <stp>MATURITY</stp>
        <stp>[TREASURY.xlsx]Sheet1!R1446C5</stp>
        <tr r="E1446" s="1"/>
      </tp>
      <tp t="s">
        <v>7/31/1996</v>
        <stp/>
        <stp>##V3_BDPV12</stp>
        <stp>912827B7 Govt</stp>
        <stp>MATURITY</stp>
        <stp>[TREASURY.xlsx]Sheet1!R1551C5</stp>
        <tr r="E1551" s="1"/>
      </tp>
      <tp t="s">
        <v>3/31/1994</v>
        <stp/>
        <stp>##V3_BDPV12</stp>
        <stp>912827E6 Govt</stp>
        <stp>MATURITY</stp>
        <stp>[TREASURY.xlsx]Sheet1!R1371C5</stp>
        <tr r="E1371" s="1"/>
      </tp>
      <tp t="s">
        <v>11/15/2003</v>
        <stp/>
        <stp>##V3_BDPV12</stp>
        <stp>912810DG Govt</stp>
        <stp>MATURITY</stp>
        <stp>[TREASURY.xlsx]Sheet1!R1516C5</stp>
        <tr r="E1516" s="1"/>
      </tp>
      <tp t="s">
        <v>11/15/2012</v>
        <stp/>
        <stp>##V3_BDPV12</stp>
        <stp>912810DB Govt</stp>
        <stp>MATURITY</stp>
        <stp>[TREASURY.xlsx]Sheet1!R1346C5</stp>
        <tr r="E1346" s="1"/>
      </tp>
      <tp t="s">
        <v>8/15/1983</v>
        <stp/>
        <stp>##V3_BDPV12</stp>
        <stp>912827KR Govt</stp>
        <stp>MATURITY</stp>
        <stp>[TREASURY.xlsx]Sheet1!R1161C5</stp>
        <tr r="E1161" s="1"/>
      </tp>
      <tp t="s">
        <v>1/31/1998</v>
        <stp/>
        <stp>##V3_BDPV12</stp>
        <stp>912827J4 Govt</stp>
        <stp>MATURITY</stp>
        <stp>[TREASURY.xlsx]Sheet1!R1561C5</stp>
        <tr r="E1561" s="1"/>
      </tp>
      <tp t="s">
        <v>11/15/2023</v>
        <stp/>
        <stp>##V3_BDPV12</stp>
        <stp>91282CAW Govt</stp>
        <stp>MATURITY</stp>
        <stp>[TREASURY.xlsx]Sheet1!R109C5</stp>
        <tr r="E109" s="1"/>
      </tp>
      <tp t="s">
        <v>2/15/1985</v>
        <stp/>
        <stp>##V3_BDPV12</stp>
        <stp>912827MV Govt</stp>
        <stp>MATURITY</stp>
        <stp>[TREASURY.xlsx]Sheet1!R1381C5</stp>
        <tr r="E1381" s="1"/>
      </tp>
      <tp t="s">
        <v>7/31/1998</v>
        <stp/>
        <stp>##V3_BDPV12</stp>
        <stp>912827L6 Govt</stp>
        <stp>MATURITY</stp>
        <stp>[TREASURY.xlsx]Sheet1!R1041C5</stp>
        <tr r="E1041" s="1"/>
      </tp>
      <tp t="s">
        <v>2/28/1983</v>
        <stp/>
        <stp>##V3_BDPV12</stp>
        <stp>912827LP Govt</stp>
        <stp>MATURITY</stp>
        <stp>[TREASURY.xlsx]Sheet1!R1491C5</stp>
        <tr r="E1491" s="1"/>
      </tp>
      <tp t="s">
        <v>11/30/1982</v>
        <stp/>
        <stp>##V3_BDPV12</stp>
        <stp>912827LG Govt</stp>
        <stp>MATURITY</stp>
        <stp>[TREASURY.xlsx]Sheet1!R1321C5</stp>
        <tr r="E1321" s="1"/>
      </tp>
      <tp t="s">
        <v>3/31/1986</v>
        <stp/>
        <stp>##V3_BDPV12</stp>
        <stp>912827NA Govt</stp>
        <stp>MATURITY</stp>
        <stp>[TREASURY.xlsx]Sheet1!R1331C5</stp>
        <tr r="E1331" s="1"/>
      </tp>
      <tp t="s">
        <v>8/31/1984</v>
        <stp/>
        <stp>##V3_BDPV12</stp>
        <stp>912827NN Govt</stp>
        <stp>MATURITY</stp>
        <stp>[TREASURY.xlsx]Sheet1!R1051C5</stp>
        <tr r="E1051" s="1"/>
      </tp>
      <tp t="s">
        <v>10/31/2023</v>
        <stp/>
        <stp>##V3_BDPV12</stp>
        <stp>9128285K Govt</stp>
        <stp>MATURITY</stp>
        <stp>[TREASURY.xlsx]Sheet1!R229C5</stp>
        <tr r="E229" s="1"/>
      </tp>
      <tp t="s">
        <v>12/31/2025</v>
        <stp/>
        <stp>##V3_BDPV12</stp>
        <stp>9128285T Govt</stp>
        <stp>MATURITY</stp>
        <stp>[TREASURY.xlsx]Sheet1!R239C5</stp>
        <tr r="E239" s="1"/>
      </tp>
      <tp t="s">
        <v>8/31/2018</v>
        <stp/>
        <stp>##V3_BDPV12</stp>
        <stp>9128282C Govt</stp>
        <stp>MATURITY</stp>
        <stp>[TREASURY.xlsx]Sheet1!R439C5</stp>
        <tr r="E439" s="1"/>
      </tp>
      <tp t="s">
        <v>4/30/2023</v>
        <stp/>
        <stp>##V3_BDPV12</stp>
        <stp>9128284L Govt</stp>
        <stp>MATURITY</stp>
        <stp>[TREASURY.xlsx]Sheet1!R299C5</stp>
        <tr r="E299" s="1"/>
      </tp>
      <tp t="s">
        <v>8/15/2020</v>
        <stp/>
        <stp>##V3_BDPV12</stp>
        <stp>9128282Q Govt</stp>
        <stp>MATURITY</stp>
        <stp>[TREASURY.xlsx]Sheet1!R469C5</stp>
        <tr r="E469" s="1"/>
      </tp>
      <tp t="s">
        <v>7/15/2022</v>
        <stp/>
        <stp>##V3_BDPV12</stp>
        <stp>9128287C Govt</stp>
        <stp>MATURITY</stp>
        <stp>[TREASURY.xlsx]Sheet1!R219C5</stp>
        <tr r="E219" s="1"/>
      </tp>
      <tp t="s">
        <v>6/30/2021</v>
        <stp/>
        <stp>##V3_BDPV12</stp>
        <stp>9128287A Govt</stp>
        <stp>MATURITY</stp>
        <stp>[TREASURY.xlsx]Sheet1!R339C5</stp>
        <tr r="E339" s="1"/>
      </tp>
      <tp t="s">
        <v>7/31/2021</v>
        <stp/>
        <stp>##V3_BDPV12</stp>
        <stp>9128287F Govt</stp>
        <stp>MATURITY</stp>
        <stp>[TREASURY.xlsx]Sheet1!R329C5</stp>
        <tr r="E329" s="1"/>
      </tp>
      <tp t="s">
        <v>1/15/2022</v>
        <stp/>
        <stp>##V3_BDPV12</stp>
        <stp>9128285V Govt</stp>
        <stp>MATURITY</stp>
        <stp>[TREASURY.xlsx]Sheet1!R179C5</stp>
        <tr r="E179" s="1"/>
      </tp>
      <tp t="s">
        <v>12/31/2020</v>
        <stp/>
        <stp>##V3_BDPV12</stp>
        <stp>9128285S Govt</stp>
        <stp>MATURITY</stp>
        <stp>[TREASURY.xlsx]Sheet1!R429C5</stp>
        <tr r="E429" s="1"/>
      </tp>
      <tp t="s">
        <v>10/31/2021</v>
        <stp/>
        <stp>##V3_BDPV12</stp>
        <stp>912828F9 Govt</stp>
        <stp>MATURITY</stp>
        <stp>[TREASURY.xlsx]Sheet1!R199C5</stp>
        <tr r="E199" s="1"/>
      </tp>
      <tp t="s">
        <v>6/30/2012</v>
        <stp/>
        <stp>##V3_BDPV12</stp>
        <stp>912828NS Govt</stp>
        <stp>MATURITY</stp>
        <stp>[TREASURY.xlsx]Sheet1!R979C5</stp>
        <tr r="E979" s="1"/>
      </tp>
      <tp t="s">
        <v>5/15/2009</v>
        <stp/>
        <stp>##V3_BDPV12</stp>
        <stp>912828CH Govt</stp>
        <stp>MATURITY</stp>
        <stp>[TREASURY.xlsx]Sheet1!R559C5</stp>
        <tr r="E559" s="1"/>
      </tp>
      <tp t="s">
        <v>12/31/2021</v>
        <stp/>
        <stp>##V3_BDPV12</stp>
        <stp>912828G8 Govt</stp>
        <stp>MATURITY</stp>
        <stp>[TREASURY.xlsx]Sheet1!R209C5</stp>
        <tr r="E209" s="1"/>
      </tp>
      <tp t="s">
        <v>12/15/2012</v>
        <stp/>
        <stp>##V3_BDPV12</stp>
        <stp>912828MB Govt</stp>
        <stp>MATURITY</stp>
        <stp>[TREASURY.xlsx]Sheet1!R819C5</stp>
        <tr r="E819" s="1"/>
      </tp>
      <tp t="s">
        <v>12/31/2016</v>
        <stp/>
        <stp>##V3_BDPV12</stp>
        <stp>912828MD Govt</stp>
        <stp>MATURITY</stp>
        <stp>[TREASURY.xlsx]Sheet1!R859C5</stp>
        <tr r="E859" s="1"/>
      </tp>
      <tp t="s">
        <v>10/15/2009</v>
        <stp/>
        <stp>##V3_BDPV12</stp>
        <stp>912828CX Govt</stp>
        <stp>MATURITY</stp>
        <stp>[TREASURY.xlsx]Sheet1!R659C5</stp>
        <tr r="E659" s="1"/>
      </tp>
      <tp t="s">
        <v>3/31/2012</v>
        <stp/>
        <stp>##V3_BDPV12</stp>
        <stp>912828GM Govt</stp>
        <stp>MATURITY</stp>
        <stp>[TREASURY.xlsx]Sheet1!R379C5</stp>
        <tr r="E379" s="1"/>
      </tp>
      <tp t="s">
        <v>5/15/2007</v>
        <stp/>
        <stp>##V3_BDPV12</stp>
        <stp>912828CG Govt</stp>
        <stp>MATURITY</stp>
        <stp>[TREASURY.xlsx]Sheet1!R789C5</stp>
        <tr r="E789" s="1"/>
      </tp>
      <tp t="s">
        <v>11/15/2015</v>
        <stp/>
        <stp>##V3_BDPV12</stp>
        <stp>912828EN Govt</stp>
        <stp>MATURITY</stp>
        <stp>[TREASURY.xlsx]Sheet1!R649C5</stp>
        <tr r="E649" s="1"/>
      </tp>
      <tp t="s">
        <v>4/30/2019</v>
        <stp/>
        <stp>##V3_BDPV12</stp>
        <stp>912828D2 Govt</stp>
        <stp>MATURITY</stp>
        <stp>[TREASURY.xlsx]Sheet1!R619C5</stp>
        <tr r="E619" s="1"/>
      </tp>
      <tp t="s">
        <v>9/30/2009</v>
        <stp/>
        <stp>##V3_BDPV12</stp>
        <stp>912828HD Govt</stp>
        <stp>MATURITY</stp>
        <stp>[TREASURY.xlsx]Sheet1!R969C5</stp>
        <tr r="E969" s="1"/>
      </tp>
      <tp t="s">
        <v>6/30/2008</v>
        <stp/>
        <stp>##V3_BDPV12</stp>
        <stp>912828FJ Govt</stp>
        <stp>MATURITY</stp>
        <stp>[TREASURY.xlsx]Sheet1!R799C5</stp>
        <tr r="E799" s="1"/>
      </tp>
      <tp t="s">
        <v>3/31/2019</v>
        <stp/>
        <stp>##V3_BDPV12</stp>
        <stp>912828C6 Govt</stp>
        <stp>MATURITY</stp>
        <stp>[TREASURY.xlsx]Sheet1!R349C5</stp>
        <tr r="E349" s="1"/>
      </tp>
      <tp t="s">
        <v>8/31/2009</v>
        <stp/>
        <stp>##V3_BDPV12</stp>
        <stp>912828HB Govt</stp>
        <stp>MATURITY</stp>
        <stp>[TREASURY.xlsx]Sheet1!R849C5</stp>
        <tr r="E849" s="1"/>
      </tp>
      <tp t="s">
        <v>4/30/2010</v>
        <stp/>
        <stp>##V3_BDPV12</stp>
        <stp>912828HX Govt</stp>
        <stp>MATURITY</stp>
        <stp>[TREASURY.xlsx]Sheet1!R809C5</stp>
        <tr r="E809" s="1"/>
      </tp>
      <tp t="s">
        <v>12/31/2022</v>
        <stp/>
        <stp>##V3_BDPV12</stp>
        <stp>912828N3 Govt</stp>
        <stp>MATURITY</stp>
        <stp>[TREASURY.xlsx]Sheet1!R129C5</stp>
        <tr r="E129" s="1"/>
      </tp>
      <tp t="s">
        <v>1/31/2020</v>
        <stp/>
        <stp>##V3_BDPV12</stp>
        <stp>912828H5 Govt</stp>
        <stp>MATURITY</stp>
        <stp>[TREASURY.xlsx]Sheet1!R419C5</stp>
        <tr r="E419" s="1"/>
      </tp>
      <tp t="s">
        <v>9/15/2017</v>
        <stp/>
        <stp>##V3_BDPV12</stp>
        <stp>912828D9 Govt</stp>
        <stp>MATURITY</stp>
        <stp>[TREASURY.xlsx]Sheet1!R839C5</stp>
        <tr r="E839" s="1"/>
      </tp>
      <tp t="s">
        <v>9/15/2018</v>
        <stp/>
        <stp>##V3_BDPV12</stp>
        <stp>912828L4 Govt</stp>
        <stp>MATURITY</stp>
        <stp>[TREASURY.xlsx]Sheet1!R669C5</stp>
        <tr r="E669" s="1"/>
      </tp>
      <tp t="s">
        <v>9/30/2011</v>
        <stp/>
        <stp>##V3_BDPV12</stp>
        <stp>912828LW Govt</stp>
        <stp>MATURITY</stp>
        <stp>[TREASURY.xlsx]Sheet1!R629C5</stp>
        <tr r="E629" s="1"/>
      </tp>
      <tp t="s">
        <v>8/15/2018</v>
        <stp/>
        <stp>##V3_BDPV12</stp>
        <stp>912828K8 Govt</stp>
        <stp>MATURITY</stp>
        <stp>[TREASURY.xlsx]Sheet1!R369C5</stp>
        <tr r="E369" s="1"/>
      </tp>
      <tp t="s">
        <v>8/31/2004</v>
        <stp/>
        <stp>##V3_BDPV12</stp>
        <stp>912828AK Govt</stp>
        <stp>MATURITY</stp>
        <stp>[TREASURY.xlsx]Sheet1!R959C5</stp>
        <tr r="E959" s="1"/>
      </tp>
      <tp t="s">
        <v>3/31/2015</v>
        <stp/>
        <stp>##V3_BDPV12</stp>
        <stp>912828MW Govt</stp>
        <stp>MATURITY</stp>
        <stp>[TREASURY.xlsx]Sheet1!R599C5</stp>
        <tr r="E599" s="1"/>
      </tp>
      <tp t="s">
        <v>2/28/2017</v>
        <stp/>
        <stp>##V3_BDPV12</stp>
        <stp>912828SJ Govt</stp>
        <stp>MATURITY</stp>
        <stp>[TREASURY.xlsx]Sheet1!R489C5</stp>
        <tr r="E489" s="1"/>
      </tp>
      <tp t="s">
        <v>10/31/2018</v>
        <stp/>
        <stp>##V3_BDPV12</stp>
        <stp>912828RP Govt</stp>
        <stp>MATURITY</stp>
        <stp>[TREASURY.xlsx]Sheet1!R549C5</stp>
        <tr r="E549" s="1"/>
      </tp>
      <tp t="s">
        <v>8/15/2014</v>
        <stp/>
        <stp>##V3_BDPV12</stp>
        <stp>912828RB Govt</stp>
        <stp>MATURITY</stp>
        <stp>[TREASURY.xlsx]Sheet1!R459C5</stp>
        <tr r="E459" s="1"/>
      </tp>
      <tp t="s">
        <v>5/31/2013</v>
        <stp/>
        <stp>##V3_BDPV12</stp>
        <stp>912828QZ Govt</stp>
        <stp>MATURITY</stp>
        <stp>[TREASURY.xlsx]Sheet1!R449C5</stp>
        <tr r="E449" s="1"/>
      </tp>
      <tp t="s">
        <v>6/15/2019</v>
        <stp/>
        <stp>##V3_BDPV12</stp>
        <stp>912828R8 Govt</stp>
        <stp>MATURITY</stp>
        <stp>[TREASURY.xlsx]Sheet1!R689C5</stp>
        <tr r="E689" s="1"/>
      </tp>
      <tp t="s">
        <v>3/31/2016</v>
        <stp/>
        <stp>##V3_BDPV12</stp>
        <stp>912828QA Govt</stp>
        <stp>MATURITY</stp>
        <stp>[TREASURY.xlsx]Sheet1!R509C5</stp>
        <tr r="E509" s="1"/>
      </tp>
      <tp t="s">
        <v>7/31/2016</v>
        <stp/>
        <stp>##V3_BDPV12</stp>
        <stp>912828QX Govt</stp>
        <stp>MATURITY</stp>
        <stp>[TREASURY.xlsx]Sheet1!R519C5</stp>
        <tr r="E519" s="1"/>
      </tp>
      <tp t="s">
        <v>7/31/2021</v>
        <stp/>
        <stp>##V3_BDPV12</stp>
        <stp>912828WY Govt</stp>
        <stp>MATURITY</stp>
        <stp>[TREASURY.xlsx]Sheet1!R359C5</stp>
        <tr r="E359" s="1"/>
      </tp>
      <tp t="s">
        <v>2/28/2021</v>
        <stp/>
        <stp>##V3_BDPV12</stp>
        <stp>912828P8 Govt</stp>
        <stp>MATURITY</stp>
        <stp>[TREASURY.xlsx]Sheet1!R389C5</stp>
        <tr r="E389" s="1"/>
      </tp>
      <tp t="s">
        <v>2/28/2023</v>
        <stp/>
        <stp>##V3_BDPV12</stp>
        <stp>912828P7 Govt</stp>
        <stp>MATURITY</stp>
        <stp>[TREASURY.xlsx]Sheet1!R309C5</stp>
        <tr r="E309" s="1"/>
      </tp>
      <tp t="s">
        <v>11/15/2021</v>
        <stp/>
        <stp>##V3_BDPV12</stp>
        <stp>912828RR Govt</stp>
        <stp>MATURITY</stp>
        <stp>[TREASURY.xlsx]Sheet1!R119C5</stp>
        <tr r="E119" s="1"/>
      </tp>
      <tp t="s">
        <v>7/31/2020</v>
        <stp/>
        <stp>##V3_BDPV12</stp>
        <stp>912828VP Govt</stp>
        <stp>MATURITY</stp>
        <stp>[TREASURY.xlsx]Sheet1!R479C5</stp>
        <tr r="E479" s="1"/>
      </tp>
      <tp t="s">
        <v>2/15/2020</v>
        <stp/>
        <stp>##V3_BDPV12</stp>
        <stp>912828W2 Govt</stp>
        <stp>MATURITY</stp>
        <stp>[TREASURY.xlsx]Sheet1!R679C5</stp>
        <tr r="E679" s="1"/>
      </tp>
      <tp t="s">
        <v>10/31/2014</v>
        <stp/>
        <stp>##V3_BDPV12</stp>
        <stp>912828TU Govt</stp>
        <stp>MATURITY</stp>
        <stp>[TREASURY.xlsx]Sheet1!R539C5</stp>
        <tr r="E539" s="1"/>
      </tp>
      <tp t="s">
        <v>8/31/2014</v>
        <stp/>
        <stp>##V3_BDPV12</stp>
        <stp>912828TL Govt</stp>
        <stp>MATURITY</stp>
        <stp>[TREASURY.xlsx]Sheet1!R409C5</stp>
        <tr r="E409" s="1"/>
      </tp>
      <tp t="s">
        <v>7/31/2015</v>
        <stp/>
        <stp>##V3_BDPV12</stp>
        <stp>912828VN Govt</stp>
        <stp>MATURITY</stp>
        <stp>[TREASURY.xlsx]Sheet1!R879C5</stp>
        <tr r="E879" s="1"/>
      </tp>
      <tp t="s">
        <v>6/15/2020</v>
        <stp/>
        <stp>##V3_BDPV12</stp>
        <stp>912828XU Govt</stp>
        <stp>MATURITY</stp>
        <stp>[TREASURY.xlsx]Sheet1!R639C5</stp>
        <tr r="E639" s="1"/>
      </tp>
      <tp t="s">
        <v>7/31/2020</v>
        <stp/>
        <stp>##V3_BDPV12</stp>
        <stp>912828Y4 Govt</stp>
        <stp>MATURITY</stp>
        <stp>[TREASURY.xlsx]Sheet1!R589C5</stp>
        <tr r="E589" s="1"/>
      </tp>
      <tp t="s">
        <v>1/31/2018</v>
        <stp/>
        <stp>##V3_BDPV12</stp>
        <stp>912828UJ Govt</stp>
        <stp>MATURITY</stp>
        <stp>[TREASURY.xlsx]Sheet1!R999C5</stp>
        <tr r="E999" s="1"/>
      </tp>
      <tp t="s">
        <v>1/31/2027</v>
        <stp/>
        <stp>##V3_BDPV12</stp>
        <stp>912828Z7 Govt</stp>
        <stp>MATURITY</stp>
        <stp>[TREASURY.xlsx]Sheet1!R169C5</stp>
        <tr r="E169" s="1"/>
      </tp>
      <tp t="s">
        <v>6/30/2027</v>
        <stp/>
        <stp>##V3_BDPV12</stp>
        <stp>912828ZV Govt</stp>
        <stp>MATURITY</stp>
        <stp>[TREASURY.xlsx]Sheet1!R159C5</stp>
        <tr r="E159" s="1"/>
      </tp>
      <tp t="s">
        <v>9/15/2014</v>
        <stp/>
        <stp>##V3_BDPV12</stp>
        <stp>912828RG Govt</stp>
        <stp>MATURITY</stp>
        <stp>[TREASURY.xlsx]Sheet1!R869C5</stp>
        <tr r="E869" s="1"/>
      </tp>
      <tp t="s">
        <v>6/30/2024</v>
        <stp/>
        <stp>##V3_BDPV12</stp>
        <stp>912828XX Govt</stp>
        <stp>MATURITY</stp>
        <stp>[TREASURY.xlsx]Sheet1!R249C5</stp>
        <tr r="E249" s="1"/>
      </tp>
      <tp t="s">
        <v>6/30/2025</v>
        <stp/>
        <stp>##V3_BDPV12</stp>
        <stp>912828XZ Govt</stp>
        <stp>MATURITY</stp>
        <stp>[TREASURY.xlsx]Sheet1!R279C5</stp>
        <tr r="E279" s="1"/>
      </tp>
      <tp t="s">
        <v>5/31/2022</v>
        <stp/>
        <stp>##V3_BDPV12</stp>
        <stp>912828XD Govt</stp>
        <stp>MATURITY</stp>
        <stp>[TREASURY.xlsx]Sheet1!R189C5</stp>
        <tr r="E189" s="1"/>
      </tp>
      <tp t="s">
        <v>4/30/2013</v>
        <stp/>
        <stp>##V3_BDPV12</stp>
        <stp>912828QE Govt</stp>
        <stp>MATURITY</stp>
        <stp>[TREASURY.xlsx]Sheet1!R989C5</stp>
        <tr r="E989" s="1"/>
      </tp>
      <tp t="s">
        <v>10/31/2021</v>
        <stp/>
        <stp>##V3_BDPV12</stp>
        <stp>912828YP Govt</stp>
        <stp>MATURITY</stp>
        <stp>[TREASURY.xlsx]Sheet1!R149C5</stp>
        <tr r="E149" s="1"/>
      </tp>
      <tp t="s">
        <v>11/30/2024</v>
        <stp/>
        <stp>##V3_BDPV12</stp>
        <stp>912828YV Govt</stp>
        <stp>MATURITY</stp>
        <stp>[TREASURY.xlsx]Sheet1!R139C5</stp>
        <tr r="E139" s="1"/>
      </tp>
      <tp t="s">
        <v>12/31/2002</v>
        <stp/>
        <stp>##V3_BDPV12</stp>
        <stp>9128273S Govt</stp>
        <stp>MATURITY</stp>
        <stp>[TREASURY.xlsx]Sheet1!R1531C5</stp>
        <tr r="E1531" s="1"/>
      </tp>
      <tp t="s">
        <v>2/28/2003</v>
        <stp/>
        <stp>##V3_BDPV12</stp>
        <stp>9128273Z Govt</stp>
        <stp>MATURITY</stp>
        <stp>[TREASURY.xlsx]Sheet1!R1361C5</stp>
        <tr r="E1361" s="1"/>
      </tp>
      <tp t="s">
        <v>8/31/2002</v>
        <stp/>
        <stp>##V3_BDPV12</stp>
        <stp>9128273G Govt</stp>
        <stp>MATURITY</stp>
        <stp>[TREASURY.xlsx]Sheet1!R1011C5</stp>
        <tr r="E1011" s="1"/>
      </tp>
      <tp t="s">
        <v>5/15/2000</v>
        <stp/>
        <stp>##V3_BDPV12</stp>
        <stp>9128272T Govt</stp>
        <stp>MATURITY</stp>
        <stp>[TREASURY.xlsx]Sheet1!R1521C5</stp>
        <tr r="E1521" s="1"/>
      </tp>
      <tp t="s">
        <v>1/31/1999</v>
        <stp/>
        <stp>##V3_BDPV12</stp>
        <stp>9128272F Govt</stp>
        <stp>MATURITY</stp>
        <stp>[TREASURY.xlsx]Sheet1!R1351C5</stp>
        <tr r="E1351" s="1"/>
      </tp>
      <tp t="s">
        <v>2/15/2007</v>
        <stp/>
        <stp>##V3_BDPV12</stp>
        <stp>9128272J Govt</stp>
        <stp>MATURITY</stp>
        <stp>[TREASURY.xlsx]Sheet1!R1451C5</stp>
        <tr r="E1451" s="1"/>
      </tp>
      <tp t="s">
        <v>T</v>
        <stp/>
        <stp>##V3_BDPV12</stp>
        <stp>912827TZ Govt</stp>
        <stp>TICKER</stp>
        <stp>[TREASURY.xlsx]Sheet1!R920C2</stp>
        <tr r="B920" s="1"/>
      </tp>
      <tp t="s">
        <v>7/31/2000</v>
        <stp/>
        <stp>##V3_BDPV12</stp>
        <stp>9128274M Govt</stp>
        <stp>MATURITY</stp>
        <stp>[TREASURY.xlsx]Sheet1!R1461C5</stp>
        <tr r="E1461" s="1"/>
      </tp>
      <tp t="s">
        <v>T</v>
        <stp/>
        <stp>##V3_BDPV12</stp>
        <stp>912810QX Govt</stp>
        <stp>TICKER</stp>
        <stp>[TREASURY.xlsx]Sheet1!R275C2</stp>
        <tr r="B275" s="1"/>
      </tp>
      <tp t="s">
        <v>11/30/2003</v>
        <stp/>
        <stp>##V3_BDPV12</stp>
        <stp>9128277G Govt</stp>
        <stp>MATURITY</stp>
        <stp>[TREASURY.xlsx]Sheet1!R1471C5</stp>
        <tr r="E1471" s="1"/>
      </tp>
      <tp t="s">
        <v>T</v>
        <stp/>
        <stp>##V3_BDPV12</stp>
        <stp>912828PY Govt</stp>
        <stp>TICKER</stp>
        <stp>[TREASURY.xlsx]Sheet1!R594C2</stp>
        <tr r="B594" s="1"/>
      </tp>
      <tp t="s">
        <v>5/15/2027</v>
        <stp/>
        <stp>##V3_BDPV12</stp>
        <stp>912828X8 Govt</stp>
        <stp>MATURITY</stp>
        <stp>[TREASURY.xlsx]Sheet1!R97C5</stp>
        <tr r="E97" s="1"/>
      </tp>
      <tp t="s">
        <v>4/30/2003</v>
        <stp/>
        <stp>##V3_BDPV12</stp>
        <stp>9128276W Govt</stp>
        <stp>MATURITY</stp>
        <stp>[TREASURY.xlsx]Sheet1!R1541C5</stp>
        <tr r="E1541" s="1"/>
      </tp>
      <tp t="s">
        <v>3/31/2002</v>
        <stp/>
        <stp>##V3_BDPV12</stp>
        <stp>9128276B Govt</stp>
        <stp>MATURITY</stp>
        <stp>[TREASURY.xlsx]Sheet1!R1021C5</stp>
        <tr r="E1021" s="1"/>
      </tp>
      <tp t="s">
        <v>T</v>
        <stp/>
        <stp>##V3_BDPV12</stp>
        <stp>912828ST Govt</stp>
        <stp>TICKER</stp>
        <stp>[TREASURY.xlsx]Sheet1!R497C2</stp>
        <tr r="B497" s="1"/>
      </tp>
      <tp t="s">
        <v>T</v>
        <stp/>
        <stp>##V3_BDPV12</stp>
        <stp>912827WR Govt</stp>
        <stp>TICKER</stp>
        <stp>[TREASURY.xlsx]Sheet1!R933C2</stp>
        <tr r="B933" s="1"/>
      </tp>
      <tp t="s">
        <v>NORMAL</v>
        <stp/>
        <stp>##V3_BDPV12</stp>
        <stp>912810EE Govt</stp>
        <stp>MTY_TYP</stp>
        <stp>[TREASURY.xlsx]Sheet1!R503C6</stp>
        <tr r="F503" s="1"/>
      </tp>
      <tp t="s">
        <v>NORMAL</v>
        <stp/>
        <stp>##V3_BDPV12</stp>
        <stp>912810QB Govt</stp>
        <stp>MTY_TYP</stp>
        <stp>[TREASURY.xlsx]Sheet1!R274C6</stp>
        <tr r="F274" s="1"/>
      </tp>
      <tp t="s">
        <v>NORMAL</v>
        <stp/>
        <stp>##V3_BDPV12</stp>
        <stp>912810FE Govt</stp>
        <stp>MTY_TYP</stp>
        <stp>[TREASURY.xlsx]Sheet1!R253C6</stp>
        <tr r="F253" s="1"/>
      </tp>
      <tp t="s">
        <v>T</v>
        <stp/>
        <stp>##V3_BDPV12</stp>
        <stp>912828TS Govt</stp>
        <stp>TICKER</stp>
        <stp>[TREASURY.xlsx]Sheet1!R490C2</stp>
        <tr r="B490" s="1"/>
      </tp>
      <tp t="s">
        <v>T</v>
        <stp/>
        <stp>##V3_BDPV12</stp>
        <stp>912828WS Govt</stp>
        <stp>TICKER</stp>
        <stp>[TREASURY.xlsx]Sheet1!R543C2</stp>
        <tr r="B543" s="1"/>
      </tp>
      <tp t="s">
        <v>T</v>
        <stp/>
        <stp>##V3_BDPV12</stp>
        <stp>912827TS Govt</stp>
        <stp>TICKER</stp>
        <stp>[TREASURY.xlsx]Sheet1!R750C2</stp>
        <tr r="B750" s="1"/>
      </tp>
      <tp t="s">
        <v>NORMAL</v>
        <stp/>
        <stp>##V3_BDPV12</stp>
        <stp>9128277B Govt</stp>
        <stp>MTY_TYP</stp>
        <stp>[TREASURY.xlsx]Sheet1!R354C6</stp>
        <tr r="F354" s="1"/>
      </tp>
      <tp t="s">
        <v>NORMAL</v>
        <stp/>
        <stp>##V3_BDPV12</stp>
        <stp>912827RB Govt</stp>
        <stp>MTY_TYP</stp>
        <stp>[TREASURY.xlsx]Sheet1!R744C6</stp>
        <tr r="F744" s="1"/>
      </tp>
      <tp t="s">
        <v>NORMAL</v>
        <stp/>
        <stp>##V3_BDPV12</stp>
        <stp>912827VG Govt</stp>
        <stp>MTY_TYP</stp>
        <stp>[TREASURY.xlsx]Sheet1!R761C6</stp>
        <tr r="F761" s="1"/>
      </tp>
      <tp t="s">
        <v>NORMAL</v>
        <stp/>
        <stp>##V3_BDPV12</stp>
        <stp>912828TD Govt</stp>
        <stp>MTY_TYP</stp>
        <stp>[TREASURY.xlsx]Sheet1!R872C6</stp>
        <tr r="F872" s="1"/>
      </tp>
      <tp t="s">
        <v>NORMAL</v>
        <stp/>
        <stp>##V3_BDPV12</stp>
        <stp>912828DF Govt</stp>
        <stp>MTY_TYP</stp>
        <stp>[TREASURY.xlsx]Sheet1!R840C6</stp>
        <tr r="F840" s="1"/>
      </tp>
      <tp t="s">
        <v>NORMAL</v>
        <stp/>
        <stp>##V3_BDPV12</stp>
        <stp>912828HF Govt</stp>
        <stp>MTY_TYP</stp>
        <stp>[TREASURY.xlsx]Sheet1!R970C6</stp>
        <tr r="F970" s="1"/>
      </tp>
      <tp t="s">
        <v>NORMAL</v>
        <stp/>
        <stp>##V3_BDPV12</stp>
        <stp>9128275E Govt</stp>
        <stp>MTY_TYP</stp>
        <stp>[TREASURY.xlsx]Sheet1!R553C6</stp>
        <tr r="F553" s="1"/>
      </tp>
      <tp t="s">
        <v>NORMAL</v>
        <stp/>
        <stp>##V3_BDPV12</stp>
        <stp>912828AD Govt</stp>
        <stp>MTY_TYP</stp>
        <stp>[TREASURY.xlsx]Sheet1!R412C6</stp>
        <tr r="F412" s="1"/>
      </tp>
      <tp t="s">
        <v>NORMAL</v>
        <stp/>
        <stp>##V3_BDPV12</stp>
        <stp>9128284C Govt</stp>
        <stp>MTY_TYP</stp>
        <stp>[TREASURY.xlsx]Sheet1!R505C6</stp>
        <tr r="F505" s="1"/>
      </tp>
      <tp t="s">
        <v>NORMAL</v>
        <stp/>
        <stp>##V3_BDPV12</stp>
        <stp>912828SB Govt</stp>
        <stp>MTY_TYP</stp>
        <stp>[TREASURY.xlsx]Sheet1!R564C6</stp>
        <tr r="F564" s="1"/>
      </tp>
      <tp t="s">
        <v>NORMAL</v>
        <stp/>
        <stp>##V3_BDPV12</stp>
        <stp>912827YE Govt</stp>
        <stp>MTY_TYP</stp>
        <stp>[TREASURY.xlsx]Sheet1!R943C6</stp>
        <tr r="F943" s="1"/>
      </tp>
      <tp t="s">
        <v>NORMAL</v>
        <stp/>
        <stp>##V3_BDPV12</stp>
        <stp>912828WD Govt</stp>
        <stp>MTY_TYP</stp>
        <stp>[TREASURY.xlsx]Sheet1!R682C6</stp>
        <tr r="F682" s="1"/>
      </tp>
      <tp t="s">
        <v>NORMAL</v>
        <stp/>
        <stp>##V3_BDPV12</stp>
        <stp>912828WF Govt</stp>
        <stp>MTY_TYP</stp>
        <stp>[TREASURY.xlsx]Sheet1!R680C6</stp>
        <tr r="F680" s="1"/>
      </tp>
      <tp t="s">
        <v>NORMAL</v>
        <stp/>
        <stp>##V3_BDPV12</stp>
        <stp>912828RA Govt</stp>
        <stp>MTY_TYP</stp>
        <stp>[TREASURY.xlsx]Sheet1!R677C6</stp>
        <tr r="F677" s="1"/>
      </tp>
      <tp t="s">
        <v>NORMAL</v>
        <stp/>
        <stp>##V3_BDPV12</stp>
        <stp>912828VE Govt</stp>
        <stp>MTY_TYP</stp>
        <stp>[TREASURY.xlsx]Sheet1!R673C6</stp>
        <tr r="F673" s="1"/>
      </tp>
      <tp t="s">
        <v>NORMAL</v>
        <stp/>
        <stp>##V3_BDPV12</stp>
        <stp>912827LA Govt</stp>
        <stp>MTY_TYP</stp>
        <stp>[TREASURY.xlsx]Sheet1!R887C6</stp>
        <tr r="F887" s="1"/>
      </tp>
      <tp t="s">
        <v>NORMAL</v>
        <stp/>
        <stp>##V3_BDPV12</stp>
        <stp>912828YE Govt</stp>
        <stp>MTY_TYP</stp>
        <stp>[TREASURY.xlsx]Sheet1!R143C6</stp>
        <tr r="F143" s="1"/>
      </tp>
      <tp t="s">
        <v>NORMAL</v>
        <stp/>
        <stp>##V3_BDPV12</stp>
        <stp>9128285C Govt</stp>
        <stp>MTY_TYP</stp>
        <stp>[TREASURY.xlsx]Sheet1!R205C6</stp>
        <tr r="F205" s="1"/>
      </tp>
      <tp t="s">
        <v>NORMAL</v>
        <stp/>
        <stp>##V3_BDPV12</stp>
        <stp>9128284D Govt</stp>
        <stp>MTY_TYP</stp>
        <stp>[TREASURY.xlsx]Sheet1!R202C6</stp>
        <tr r="F202" s="1"/>
      </tp>
      <tp t="s">
        <v>NORMAL</v>
        <stp/>
        <stp>##V3_BDPV12</stp>
        <stp>9128282N Govt</stp>
        <stp>MTY_TYP</stp>
        <stp>[TREASURY.xlsx]Sheet1!R258C6</stp>
        <tr r="F258" s="1"/>
      </tp>
      <tp t="s">
        <v>NORMAL</v>
        <stp/>
        <stp>##V3_BDPV12</stp>
        <stp>912828UA Govt</stp>
        <stp>MTY_TYP</stp>
        <stp>[TREASURY.xlsx]Sheet1!R387C6</stp>
        <tr r="F387" s="1"/>
      </tp>
      <tp t="s">
        <v>NORMAL</v>
        <stp/>
        <stp>##V3_BDPV12</stp>
        <stp>912828TC Govt</stp>
        <stp>MTY_TYP</stp>
        <stp>[TREASURY.xlsx]Sheet1!R385C6</stp>
        <tr r="F385" s="1"/>
      </tp>
      <tp t="s">
        <v>NORMAL</v>
        <stp/>
        <stp>##V3_BDPV12</stp>
        <stp>912828XA Govt</stp>
        <stp>MTY_TYP</stp>
        <stp>[TREASURY.xlsx]Sheet1!R377C6</stp>
        <tr r="F377" s="1"/>
      </tp>
      <tp t="s">
        <v>NORMAL</v>
        <stp/>
        <stp>##V3_BDPV12</stp>
        <stp>912828YC Govt</stp>
        <stp>MTY_TYP</stp>
        <stp>[TREASURY.xlsx]Sheet1!R335C6</stp>
        <tr r="F335" s="1"/>
      </tp>
      <tp t="s">
        <v>NORMAL</v>
        <stp/>
        <stp>##V3_BDPV12</stp>
        <stp>912828WN Govt</stp>
        <stp>MTY_TYP</stp>
        <stp>[TREASURY.xlsx]Sheet1!R338C6</stp>
        <tr r="F338" s="1"/>
      </tp>
      <tp t="s">
        <v>NORMAL</v>
        <stp/>
        <stp>##V3_BDPV12</stp>
        <stp>912828PC Govt</stp>
        <stp>MTY_TYP</stp>
        <stp>[TREASURY.xlsx]Sheet1!R365C6</stp>
        <tr r="F365" s="1"/>
      </tp>
      <tp t="s">
        <v>NORMAL</v>
        <stp/>
        <stp>##V3_BDPV12</stp>
        <stp>912828CC Govt</stp>
        <stp>MTY_TYP</stp>
        <stp>[TREASURY.xlsx]Sheet1!R325C6</stp>
        <tr r="F325" s="1"/>
      </tp>
      <tp t="s">
        <v>NORMAL</v>
        <stp/>
        <stp>##V3_BDPV12</stp>
        <stp>912828CA Govt</stp>
        <stp>MTY_TYP</stp>
        <stp>[TREASURY.xlsx]Sheet1!R337C6</stp>
        <tr r="F337" s="1"/>
      </tp>
      <tp t="s">
        <v>T</v>
        <stp/>
        <stp>##V3_BDPV12</stp>
        <stp>912827PP Govt</stp>
        <stp>TICKER</stp>
        <stp>[TREASURY.xlsx]Sheet1!R904C2</stp>
        <tr r="B904" s="1"/>
      </tp>
      <tp t="s">
        <v>NORMAL</v>
        <stp/>
        <stp>##V3_BDPV12</stp>
        <stp>91282CBB Govt</stp>
        <stp>MTY_TYP</stp>
        <stp>[TREASURY.xlsx]Sheet1!R114C6</stp>
        <tr r="F114" s="1"/>
      </tp>
      <tp t="s">
        <v>NORMAL</v>
        <stp/>
        <stp>##V3_BDPV12</stp>
        <stp>91282CAD Govt</stp>
        <stp>MTY_TYP</stp>
        <stp>[TREASURY.xlsx]Sheet1!R132C6</stp>
        <tr r="F132" s="1"/>
      </tp>
      <tp t="s">
        <v>T</v>
        <stp/>
        <stp>##V3_BDPV12</stp>
        <stp>912810QQ Govt</stp>
        <stp>TICKER</stp>
        <stp>[TREASURY.xlsx]Sheet1!R315C2</stp>
        <tr r="B315" s="1"/>
      </tp>
      <tp t="s">
        <v>T</v>
        <stp/>
        <stp>##V3_BDPV12</stp>
        <stp>912828UQ Govt</stp>
        <stp>TICKER</stp>
        <stp>[TREASURY.xlsx]Sheet1!R421C2</stp>
        <tr r="B421" s="1"/>
      </tp>
      <tp t="s">
        <v>11/30/1983</v>
        <stp/>
        <stp>##V3_BDPV12</stp>
        <stp>912827MP Govt</stp>
        <stp>MATURITY</stp>
        <stp>[TREASURY.xlsx]Sheet1!R899C5</stp>
        <tr r="E899" s="1"/>
      </tp>
      <tp t="s">
        <v>5/15/1984</v>
        <stp/>
        <stp>##V3_BDPV12</stp>
        <stp>912827LE Govt</stp>
        <stp>MATURITY</stp>
        <stp>[TREASURY.xlsx]Sheet1!R889C5</stp>
        <tr r="E889" s="1"/>
      </tp>
      <tp t="s">
        <v>2/28/1997</v>
        <stp/>
        <stp>##V3_BDPV12</stp>
        <stp>912827E5 Govt</stp>
        <stp>MATURITY</stp>
        <stp>[TREASURY.xlsx]Sheet1!R579C5</stp>
        <tr r="E579" s="1"/>
      </tp>
      <tp t="s">
        <v>3/31/1982</v>
        <stp/>
        <stp>##V3_BDPV12</stp>
        <stp>912827KN Govt</stp>
        <stp>MATURITY</stp>
        <stp>[TREASURY.xlsx]Sheet1!R569C5</stp>
        <tr r="E569" s="1"/>
      </tp>
      <tp t="s">
        <v>5/15/1985</v>
        <stp/>
        <stp>##V3_BDPV12</stp>
        <stp>912827KM Govt</stp>
        <stp>MATURITY</stp>
        <stp>[TREASURY.xlsx]Sheet1!R709C5</stp>
        <tr r="E709" s="1"/>
      </tp>
      <tp t="s">
        <v>10/31/1998</v>
        <stp/>
        <stp>##V3_BDPV12</stp>
        <stp>912827M6 Govt</stp>
        <stp>MATURITY</stp>
        <stp>[TREASURY.xlsx]Sheet1!R719C5</stp>
        <tr r="E719" s="1"/>
      </tp>
      <tp t="s">
        <v>2/15/2004</v>
        <stp/>
        <stp>##V3_BDPV12</stp>
        <stp>912827N8 Govt</stp>
        <stp>MATURITY</stp>
        <stp>[TREASURY.xlsx]Sheet1!R729C5</stp>
        <tr r="E729" s="1"/>
      </tp>
      <tp t="s">
        <v>8/31/1985</v>
        <stp/>
        <stp>##V3_BDPV12</stp>
        <stp>912827PW Govt</stp>
        <stp>MATURITY</stp>
        <stp>[TREASURY.xlsx]Sheet1!R739C5</stp>
        <tr r="E739" s="1"/>
      </tp>
      <tp t="s">
        <v>3/31/1987</v>
        <stp/>
        <stp>##V3_BDPV12</stp>
        <stp>912827PH Govt</stp>
        <stp>MATURITY</stp>
        <stp>[TREASURY.xlsx]Sheet1!R499C5</stp>
        <tr r="E499" s="1"/>
      </tp>
      <tp t="s">
        <v>11/15/1988</v>
        <stp/>
        <stp>##V3_BDPV12</stp>
        <stp>912827SX Govt</stp>
        <stp>MATURITY</stp>
        <stp>[TREASURY.xlsx]Sheet1!R749C5</stp>
        <tr r="E749" s="1"/>
      </tp>
      <tp t="s">
        <v>6/30/1991</v>
        <stp/>
        <stp>##V3_BDPV12</stp>
        <stp>912827VA Govt</stp>
        <stp>MATURITY</stp>
        <stp>[TREASURY.xlsx]Sheet1!R759C5</stp>
        <tr r="E759" s="1"/>
      </tp>
      <tp t="s">
        <v>8/31/1991</v>
        <stp/>
        <stp>##V3_BDPV12</stp>
        <stp>912827XX Govt</stp>
        <stp>MATURITY</stp>
        <stp>[TREASURY.xlsx]Sheet1!R939C5</stp>
        <tr r="E939" s="1"/>
      </tp>
      <tp t="s">
        <v>8/15/1995</v>
        <stp/>
        <stp>##V3_BDPV12</stp>
        <stp>912827YY Govt</stp>
        <stp>MATURITY</stp>
        <stp>[TREASURY.xlsx]Sheet1!R949C5</stp>
        <tr r="E949" s="1"/>
      </tp>
      <tp t="s">
        <v>3/31/2001</v>
        <stp/>
        <stp>##V3_BDPV12</stp>
        <stp>912827X4 Govt</stp>
        <stp>MATURITY</stp>
        <stp>[TREASURY.xlsx]Sheet1!R769C5</stp>
        <tr r="E769" s="1"/>
      </tp>
      <tp t="s">
        <v>12/31/2000</v>
        <stp/>
        <stp>##V3_BDPV12</stp>
        <stp>912827W4 Govt</stp>
        <stp>MATURITY</stp>
        <stp>[TREASURY.xlsx]Sheet1!R929C5</stp>
        <tr r="E929" s="1"/>
      </tp>
      <tp t="s">
        <v>4/30/1997</v>
        <stp/>
        <stp>##V3_BDPV12</stp>
        <stp>912827T5 Govt</stp>
        <stp>MATURITY</stp>
        <stp>[TREASURY.xlsx]Sheet1!R919C5</stp>
        <tr r="E919" s="1"/>
      </tp>
      <tp t="s">
        <v>7/31/1992</v>
        <stp/>
        <stp>##V3_BDPV12</stp>
        <stp>912827ZC Govt</stp>
        <stp>MATURITY</stp>
        <stp>[TREASURY.xlsx]Sheet1!R779C5</stp>
        <tr r="E779" s="1"/>
      </tp>
      <tp t="s">
        <v>11/15/2004</v>
        <stp/>
        <stp>##V3_BDPV12</stp>
        <stp>912827R8 Govt</stp>
        <stp>MATURITY</stp>
        <stp>[TREASURY.xlsx]Sheet1!R909C5</stp>
        <tr r="E909" s="1"/>
      </tp>
      <tp t="s">
        <v>12/31/1986</v>
        <stp/>
        <stp>##V3_BDPV12</stp>
        <stp>912827RR Govt</stp>
        <stp>MATURITY</stp>
        <stp>[TREASURY.xlsx]Sheet1!R829C5</stp>
        <tr r="E829" s="1"/>
      </tp>
      <tp t="s">
        <v>T</v>
        <stp/>
        <stp>##V3_BDPV12</stp>
        <stp>912828PN Govt</stp>
        <stp>TICKER</stp>
        <stp>[TREASURY.xlsx]Sheet1!R984C2</stp>
        <tr r="B984" s="1"/>
      </tp>
      <tp t="s">
        <v>T</v>
        <stp/>
        <stp>##V3_BDPV12</stp>
        <stp>912827SL Govt</stp>
        <stp>TICKER</stp>
        <stp>[TREASURY.xlsx]Sheet1!R917C2</stp>
        <tr r="B917" s="1"/>
      </tp>
      <tp t="s">
        <v>T</v>
        <stp/>
        <stp>##V3_BDPV12</stp>
        <stp>912810RM Govt</stp>
        <stp>TICKER</stp>
        <stp>[TREASURY.xlsx]Sheet1!R176C2</stp>
        <tr r="B176" s="1"/>
      </tp>
      <tp t="s">
        <v>T</v>
        <stp/>
        <stp>##V3_BDPV12</stp>
        <stp>912827VK Govt</stp>
        <stp>TICKER</stp>
        <stp>[TREASURY.xlsx]Sheet1!R762C2</stp>
        <tr r="B762" s="1"/>
      </tp>
      <tp t="s">
        <v>T</v>
        <stp/>
        <stp>##V3_BDPV12</stp>
        <stp>912828PH Govt</stp>
        <stp>TICKER</stp>
        <stp>[TREASURY.xlsx]Sheet1!R464C2</stp>
        <tr r="B464" s="1"/>
      </tp>
      <tp t="s">
        <v>T</v>
        <stp/>
        <stp>##V3_BDPV12</stp>
        <stp>912828RH Govt</stp>
        <stp>TICKER</stp>
        <stp>[TREASURY.xlsx]Sheet1!R456C2</stp>
        <tr r="B456" s="1"/>
      </tp>
      <tp t="s">
        <v>T</v>
        <stp/>
        <stp>##V3_BDPV12</stp>
        <stp>912828QH Govt</stp>
        <stp>TICKER</stp>
        <stp>[TREASURY.xlsx]Sheet1!R595C2</stp>
        <tr r="B595" s="1"/>
      </tp>
      <tp t="s">
        <v>T</v>
        <stp/>
        <stp>##V3_BDPV12</stp>
        <stp>912828VH Govt</stp>
        <stp>TICKER</stp>
        <stp>[TREASURY.xlsx]Sheet1!R632C2</stp>
        <tr r="B632" s="1"/>
      </tp>
      <tp t="s">
        <v>T</v>
        <stp/>
        <stp>##V3_BDPV12</stp>
        <stp>912810SF Govt</stp>
        <stp>TICKER</stp>
        <stp>[TREASURY.xlsx]Sheet1!R177C2</stp>
        <tr r="B177" s="1"/>
      </tp>
      <tp t="s">
        <v>T</v>
        <stp/>
        <stp>##V3_BDPV12</stp>
        <stp>912828UF Govt</stp>
        <stp>TICKER</stp>
        <stp>[TREASURY.xlsx]Sheet1!R671C2</stp>
        <tr r="B671" s="1"/>
      </tp>
      <tp t="s">
        <v>T</v>
        <stp/>
        <stp>##V3_BDPV12</stp>
        <stp>912827SC Govt</stp>
        <stp>TICKER</stp>
        <stp>[TREASURY.xlsx]Sheet1!R747C2</stp>
        <tr r="B747" s="1"/>
      </tp>
      <tp t="s">
        <v>T</v>
        <stp/>
        <stp>##V3_BDPV12</stp>
        <stp>912828TA Govt</stp>
        <stp>TICKER</stp>
        <stp>[TREASURY.xlsx]Sheet1!R520C2</stp>
        <tr r="B520" s="1"/>
      </tp>
      <tp t="s">
        <v>912828LM0</v>
        <stp/>
        <stp>##V3_BDPV12</stp>
        <stp>912828LM Govt</stp>
        <stp>ID_CUSIP</stp>
        <stp>[TREASURY.xlsx]Sheet1!R1129C19</stp>
        <tr r="S1129" s="1"/>
      </tp>
      <tp t="s">
        <v>912827LH3</v>
        <stp/>
        <stp>##V3_BDPV12</stp>
        <stp>912827LH Govt</stp>
        <stp>ID_CUSIP</stp>
        <stp>[TREASURY.xlsx]Sheet1!R1566C19</stp>
        <tr r="S1566" s="1"/>
      </tp>
      <tp t="s">
        <v>USD</v>
        <stp/>
        <stp>##V3_BDPV12</stp>
        <stp>912828XS Govt</stp>
        <stp>CRNCY</stp>
        <stp>[TREASURY.xlsx]Sheet1!R1307C7</stp>
        <tr r="G1307" s="1"/>
      </tp>
      <tp t="s">
        <v>T</v>
        <stp/>
        <stp>##V3_BDPV12</stp>
        <stp>912828SR Govt</stp>
        <stp>TICKER</stp>
        <stp>[TREASURY.xlsx]Sheet1!R1142C2</stp>
        <tr r="B1142" s="1"/>
      </tp>
      <tp t="s">
        <v>T</v>
        <stp/>
        <stp>##V3_BDPV12</stp>
        <stp>912828TT Govt</stp>
        <stp>TICKER</stp>
        <stp>[TREASURY.xlsx]Sheet1!R1134C2</stp>
        <tr r="B1134" s="1"/>
      </tp>
      <tp t="s">
        <v>T</v>
        <stp/>
        <stp>##V3_BDPV12</stp>
        <stp>912828MT Govt</stp>
        <stp>TICKER</stp>
        <stp>[TREASURY.xlsx]Sheet1!R1254C2</stp>
        <tr r="B1254" s="1"/>
      </tp>
      <tp t="s">
        <v>T</v>
        <stp/>
        <stp>##V3_BDPV12</stp>
        <stp>912828FX Govt</stp>
        <stp>TICKER</stp>
        <stp>[TREASURY.xlsx]Sheet1!R1278C2</stp>
        <tr r="B1278" s="1"/>
      </tp>
      <tp t="s">
        <v>T</v>
        <stp/>
        <stp>##V3_BDPV12</stp>
        <stp>912828EY Govt</stp>
        <stp>TICKER</stp>
        <stp>[TREASURY.xlsx]Sheet1!R1239C2</stp>
        <tr r="B1239" s="1"/>
      </tp>
      <tp t="s">
        <v>T</v>
        <stp/>
        <stp>##V3_BDPV12</stp>
        <stp>912827NU Govt</stp>
        <stp>TICKER</stp>
        <stp>[TREASURY.xlsx]Sheet1!R1335C2</stp>
        <tr r="B1335" s="1"/>
      </tp>
      <tp t="s">
        <v>T</v>
        <stp/>
        <stp>##V3_BDPV12</stp>
        <stp>912827NT Govt</stp>
        <stp>TICKER</stp>
        <stp>[TREASURY.xlsx]Sheet1!R1384C2</stp>
        <tr r="B1384" s="1"/>
      </tp>
      <tp t="s">
        <v>T</v>
        <stp/>
        <stp>##V3_BDPV12</stp>
        <stp>912827QS Govt</stp>
        <stp>TICKER</stp>
        <stp>[TREASURY.xlsx]Sheet1!R1393C2</stp>
        <tr r="B1393" s="1"/>
      </tp>
      <tp t="s">
        <v>T</v>
        <stp/>
        <stp>##V3_BDPV12</stp>
        <stp>9128274X Govt</stp>
        <stp>TICKER</stp>
        <stp>[TREASURY.xlsx]Sheet1!R1368C2</stp>
        <tr r="B1368" s="1"/>
      </tp>
      <tp t="s">
        <v>T</v>
        <stp/>
        <stp>##V3_BDPV12</stp>
        <stp>912827PU Govt</stp>
        <stp>TICKER</stp>
        <stp>[TREASURY.xlsx]Sheet1!R1175C2</stp>
        <tr r="B1175" s="1"/>
      </tp>
      <tp t="s">
        <v>T</v>
        <stp/>
        <stp>##V3_BDPV12</stp>
        <stp>912827MW Govt</stp>
        <stp>TICKER</stp>
        <stp>[TREASURY.xlsx]Sheet1!R1047C2</stp>
        <tr r="B1047" s="1"/>
      </tp>
      <tp t="s">
        <v>T</v>
        <stp/>
        <stp>##V3_BDPV12</stp>
        <stp>912827LS Govt</stp>
        <stp>TICKER</stp>
        <stp>[TREASURY.xlsx]Sheet1!R1043C2</stp>
        <tr r="B1043" s="1"/>
      </tp>
      <tp t="s">
        <v>T</v>
        <stp/>
        <stp>##V3_BDPV12</stp>
        <stp>912827NR Govt</stp>
        <stp>TICKER</stp>
        <stp>[TREASURY.xlsx]Sheet1!R1052C2</stp>
        <tr r="B1052" s="1"/>
      </tp>
      <tp t="s">
        <v>T</v>
        <stp/>
        <stp>##V3_BDPV12</stp>
        <stp>912827YW Govt</stp>
        <stp>TICKER</stp>
        <stp>[TREASURY.xlsx]Sheet1!R1607C2</stp>
        <tr r="B1607" s="1"/>
      </tp>
      <tp t="s">
        <v>T</v>
        <stp/>
        <stp>##V3_BDPV12</stp>
        <stp>912827ZQ Govt</stp>
        <stp>TICKER</stp>
        <stp>[TREASURY.xlsx]Sheet1!R1611C2</stp>
        <tr r="B1611" s="1"/>
      </tp>
      <tp t="s">
        <v>T</v>
        <stp/>
        <stp>##V3_BDPV12</stp>
        <stp>9128273P Govt</stp>
        <stp>TICKER</stp>
        <stp>[TREASURY.xlsx]Sheet1!R1530C2</stp>
        <tr r="B1530" s="1"/>
      </tp>
      <tp t="s">
        <v>T</v>
        <stp/>
        <stp>##V3_BDPV12</stp>
        <stp>9128274R Govt</stp>
        <stp>TICKER</stp>
        <stp>[TREASURY.xlsx]Sheet1!R1532C2</stp>
        <tr r="B1532" s="1"/>
      </tp>
      <tp t="s">
        <v>T</v>
        <stp/>
        <stp>##V3_BDPV12</stp>
        <stp>9128273U Govt</stp>
        <stp>TICKER</stp>
        <stp>[TREASURY.xlsx]Sheet1!R1455C2</stp>
        <tr r="B1455" s="1"/>
      </tp>
      <tp t="s">
        <v>912828LL2</v>
        <stp/>
        <stp>##V3_BDPV12</stp>
        <stp>912828LL Govt</stp>
        <stp>ID_CUSIP</stp>
        <stp>[TREASURY.xlsx]Sheet1!R1290C19</stp>
        <tr r="S1290" s="1"/>
      </tp>
      <tp t="s">
        <v>USD</v>
        <stp/>
        <stp>##V3_BDPV12</stp>
        <stp>912827YP Govt</stp>
        <stp>CRNCY</stp>
        <stp>[TREASURY.xlsx]Sheet1!R1606C7</stp>
        <tr r="G1606" s="1"/>
      </tp>
      <tp t="s">
        <v>T</v>
        <stp/>
        <stp>##V3_BDPV12</stp>
        <stp>912810DQ Govt</stp>
        <stp>TICKER</stp>
        <stp>[TREASURY.xlsx]Sheet1!R1621C2</stp>
        <tr r="B1621" s="1"/>
      </tp>
      <tp t="s">
        <v>T</v>
        <stp/>
        <stp>##V3_BDPV12</stp>
        <stp>912810CU Govt</stp>
        <stp>TICKER</stp>
        <stp>[TREASURY.xlsx]Sheet1!R1345C2</stp>
        <tr r="B1345" s="1"/>
      </tp>
      <tp t="s">
        <v>912828LH1</v>
        <stp/>
        <stp>##V3_BDPV12</stp>
        <stp>912828LH Govt</stp>
        <stp>ID_CUSIP</stp>
        <stp>[TREASURY.xlsx]Sheet1!R1128C19</stp>
        <tr r="S1128" s="1"/>
      </tp>
      <tp t="s">
        <v>USD</v>
        <stp/>
        <stp>##V3_BDPV12</stp>
        <stp>912828VW Govt</stp>
        <stp>CRNCY</stp>
        <stp>[TREASURY.xlsx]Sheet1!R1149C7</stp>
        <tr r="G1149" s="1"/>
      </tp>
      <tp t="s">
        <v>2/28/2022</v>
        <stp/>
        <stp>##V3_BDPV12</stp>
        <stp>91282CCV Govt</stp>
        <stp>FIRST_CPN_DT</stp>
        <stp>[TREASURY.xlsx]Sheet1!R9C9</stp>
        <tr r="I9" s="1"/>
      </tp>
      <tp t="s">
        <v>912827LK6</v>
        <stp/>
        <stp>##V3_BDPV12</stp>
        <stp>912827LK Govt</stp>
        <stp>ID_CUSIP</stp>
        <stp>[TREASURY.xlsx]Sheet1!R1042C19</stp>
        <tr r="S1042" s="1"/>
      </tp>
      <tp t="s">
        <v>USD</v>
        <stp/>
        <stp>##V3_BDPV12</stp>
        <stp>912827XU Govt</stp>
        <stp>CRNCY</stp>
        <stp>[TREASURY.xlsx]Sheet1!R1217C7</stp>
        <tr r="G1217" s="1"/>
      </tp>
      <tp t="s">
        <v>912827LG5</v>
        <stp/>
        <stp>##V3_BDPV12</stp>
        <stp>912827LG Govt</stp>
        <stp>ID_CUSIP</stp>
        <stp>[TREASURY.xlsx]Sheet1!R1321C19</stp>
        <tr r="S1321" s="1"/>
      </tp>
      <tp t="s">
        <v>USD</v>
        <stp/>
        <stp>##V3_BDPV12</stp>
        <stp>912827VZ Govt</stp>
        <stp>CRNCY</stp>
        <stp>[TREASURY.xlsx]Sheet1!R1089C7</stp>
        <tr r="G1089" s="1"/>
      </tp>
      <tp t="s">
        <v>USD</v>
        <stp/>
        <stp>##V3_BDPV12</stp>
        <stp>912827XZ Govt</stp>
        <stp>CRNCY</stp>
        <stp>[TREASURY.xlsx]Sheet1!R1097C7</stp>
        <tr r="G1097" s="1"/>
      </tp>
      <tp t="s">
        <v>912827LD2</v>
        <stp/>
        <stp>##V3_BDPV12</stp>
        <stp>912827LD Govt</stp>
        <stp>ID_CUSIP</stp>
        <stp>[TREASURY.xlsx]Sheet1!R1378C19</stp>
        <tr r="S1378" s="1"/>
      </tp>
      <tp t="s">
        <v>912828LC2</v>
        <stp/>
        <stp>##V3_BDPV12</stp>
        <stp>912828LC Govt</stp>
        <stp>ID_CUSIP</stp>
        <stp>[TREASURY.xlsx]Sheet1!R1289C19</stp>
        <tr r="S1289" s="1"/>
      </tp>
      <tp t="s">
        <v>912827LB6</v>
        <stp/>
        <stp>##V3_BDPV12</stp>
        <stp>912827LB Govt</stp>
        <stp>ID_CUSIP</stp>
        <stp>[TREASURY.xlsx]Sheet1!R1320C19</stp>
        <tr r="S1320" s="1"/>
      </tp>
      <tp t="s">
        <v>NORMAL</v>
        <stp/>
        <stp>##V3_BDPV12</stp>
        <stp>912810DC Govt</stp>
        <stp>MTY_TYP</stp>
        <stp>[TREASURY.xlsx]Sheet1!R1443C6</stp>
        <tr r="F1443" s="1"/>
      </tp>
      <tp t="s">
        <v>NORMAL</v>
        <stp/>
        <stp>##V3_BDPV12</stp>
        <stp>912810BG Govt</stp>
        <stp>MTY_TYP</stp>
        <stp>[TREASURY.xlsx]Sheet1!R1513C6</stp>
        <tr r="F1513" s="1"/>
      </tp>
      <tp t="s">
        <v>NORMAL</v>
        <stp/>
        <stp>##V3_BDPV12</stp>
        <stp>912810CQ Govt</stp>
        <stp>MTY_TYP</stp>
        <stp>[TREASURY.xlsx]Sheet1!R1623C6</stp>
        <tr r="F1623" s="1"/>
      </tp>
      <tp t="s">
        <v>912827LZ3</v>
        <stp/>
        <stp>##V3_BDPV12</stp>
        <stp>912827LZ Govt</stp>
        <stp>ID_CUSIP</stp>
        <stp>[TREASURY.xlsx]Sheet1!R1567C19</stp>
        <tr r="S1567" s="1"/>
      </tp>
      <tp t="s">
        <v>USD</v>
        <stp/>
        <stp>##V3_BDPV12</stp>
        <stp>912827XG Govt</stp>
        <stp>CRNCY</stp>
        <stp>[TREASURY.xlsx]Sheet1!R1597C7</stp>
        <tr r="G1597" s="1"/>
      </tp>
      <tp t="s">
        <v>UNITED STATES</v>
        <stp/>
        <stp>##V3_BDPV12</stp>
        <stp>9128275N Govt</stp>
        <stp>COUNTRY_FULL_NAME</stp>
        <stp>[TREASURY.xlsx]Sheet1!R674C8</stp>
        <tr r="H674" s="1"/>
      </tp>
      <tp t="s">
        <v>NORMAL</v>
        <stp/>
        <stp>##V3_BDPV12</stp>
        <stp>9128276S Govt</stp>
        <stp>MTY_TYP</stp>
        <stp>[TREASURY.xlsx]Sheet1!R1540C6</stp>
        <tr r="F1540" s="1"/>
      </tp>
      <tp t="s">
        <v>NORMAL</v>
        <stp/>
        <stp>##V3_BDPV12</stp>
        <stp>9128277D Govt</stp>
        <stp>MTY_TYP</stp>
        <stp>[TREASURY.xlsx]Sheet1!R1470C6</stp>
        <tr r="F1470" s="1"/>
      </tp>
      <tp t="s">
        <v>NORMAL</v>
        <stp/>
        <stp>##V3_BDPV12</stp>
        <stp>9128273C Govt</stp>
        <stp>MTY_TYP</stp>
        <stp>[TREASURY.xlsx]Sheet1!R1010C6</stp>
        <tr r="F1010" s="1"/>
      </tp>
      <tp t="s">
        <v>NORMAL</v>
        <stp/>
        <stp>##V3_BDPV12</stp>
        <stp>9128272D Govt</stp>
        <stp>MTY_TYP</stp>
        <stp>[TREASURY.xlsx]Sheet1!R1350C6</stp>
        <tr r="F1350" s="1"/>
      </tp>
      <tp t="s">
        <v>NORMAL</v>
        <stp/>
        <stp>##V3_BDPV12</stp>
        <stp>9128273V Govt</stp>
        <stp>MTY_TYP</stp>
        <stp>[TREASURY.xlsx]Sheet1!R1360C6</stp>
        <tr r="F1360" s="1"/>
      </tp>
      <tp t="s">
        <v>NORMAL</v>
        <stp/>
        <stp>##V3_BDPV12</stp>
        <stp>9128274H Govt</stp>
        <stp>MTY_TYP</stp>
        <stp>[TREASURY.xlsx]Sheet1!R1460C6</stp>
        <tr r="F1460" s="1"/>
      </tp>
      <tp t="s">
        <v>NORMAL</v>
        <stp/>
        <stp>##V3_BDPV12</stp>
        <stp>9128272S Govt</stp>
        <stp>MTY_TYP</stp>
        <stp>[TREASURY.xlsx]Sheet1!R1520C6</stp>
        <tr r="F1520" s="1"/>
      </tp>
      <tp t="s">
        <v>NORMAL</v>
        <stp/>
        <stp>##V3_BDPV12</stp>
        <stp>9128273P Govt</stp>
        <stp>MTY_TYP</stp>
        <stp>[TREASURY.xlsx]Sheet1!R1530C6</stp>
        <tr r="F1530" s="1"/>
      </tp>
      <tp t="s">
        <v>NORMAL</v>
        <stp/>
        <stp>##V3_BDPV12</stp>
        <stp>9128275H Govt</stp>
        <stp>MTY_TYP</stp>
        <stp>[TREASURY.xlsx]Sheet1!R1370C6</stp>
        <tr r="F1370" s="1"/>
      </tp>
      <tp t="s">
        <v>NORMAL</v>
        <stp/>
        <stp>##V3_BDPV12</stp>
        <stp>9128272H Govt</stp>
        <stp>MTY_TYP</stp>
        <stp>[TREASURY.xlsx]Sheet1!R1450C6</stp>
        <tr r="F1450" s="1"/>
      </tp>
      <tp t="s">
        <v>NORMAL</v>
        <stp/>
        <stp>##V3_BDPV12</stp>
        <stp>9128276A Govt</stp>
        <stp>MTY_TYP</stp>
        <stp>[TREASURY.xlsx]Sheet1!R1020C6</stp>
        <tr r="F1020" s="1"/>
      </tp>
      <tp t="s">
        <v>NORMAL</v>
        <stp/>
        <stp>##V3_BDPV12</stp>
        <stp>912827K9 Govt</stp>
        <stp>MTY_TYP</stp>
        <stp>[TREASURY.xlsx]Sheet1!R1160C6</stp>
        <tr r="F1160" s="1"/>
      </tp>
      <tp t="s">
        <v>NORMAL</v>
        <stp/>
        <stp>##V3_BDPV12</stp>
        <stp>912827LW Govt</stp>
        <stp>MTY_TYP</stp>
        <stp>[TREASURY.xlsx]Sheet1!R1380C6</stp>
        <tr r="F1380" s="1"/>
      </tp>
      <tp t="s">
        <v>NORMAL</v>
        <stp/>
        <stp>##V3_BDPV12</stp>
        <stp>912827NY Govt</stp>
        <stp>MTY_TYP</stp>
        <stp>[TREASURY.xlsx]Sheet1!R1170C6</stp>
        <tr r="F1170" s="1"/>
      </tp>
      <tp t="s">
        <v>NORMAL</v>
        <stp/>
        <stp>##V3_BDPV12</stp>
        <stp>912827LB Govt</stp>
        <stp>MTY_TYP</stp>
        <stp>[TREASURY.xlsx]Sheet1!R1320C6</stp>
        <tr r="F1320" s="1"/>
      </tp>
      <tp t="s">
        <v>NORMAL</v>
        <stp/>
        <stp>##V3_BDPV12</stp>
        <stp>912827K6 Govt</stp>
        <stp>MTY_TYP</stp>
        <stp>[TREASURY.xlsx]Sheet1!R1490C6</stp>
        <tr r="F1490" s="1"/>
      </tp>
      <tp t="s">
        <v>NORMAL</v>
        <stp/>
        <stp>##V3_BDPV12</stp>
        <stp>912827NJ Govt</stp>
        <stp>MTY_TYP</stp>
        <stp>[TREASURY.xlsx]Sheet1!R1050C6</stp>
        <tr r="F1050" s="1"/>
      </tp>
      <tp t="s">
        <v>NORMAL</v>
        <stp/>
        <stp>##V3_BDPV12</stp>
        <stp>912827N9 Govt</stp>
        <stp>MTY_TYP</stp>
        <stp>[TREASURY.xlsx]Sheet1!R1330C6</stp>
        <tr r="F1330" s="1"/>
      </tp>
      <tp t="s">
        <v>NORMAL</v>
        <stp/>
        <stp>##V3_BDPV12</stp>
        <stp>912827L4 Govt</stp>
        <stp>MTY_TYP</stp>
        <stp>[TREASURY.xlsx]Sheet1!R1040C6</stp>
        <tr r="F1040" s="1"/>
      </tp>
      <tp t="s">
        <v>NORMAL</v>
        <stp/>
        <stp>##V3_BDPV12</stp>
        <stp>912827F5 Govt</stp>
        <stp>MTY_TYP</stp>
        <stp>[TREASURY.xlsx]Sheet1!R1560C6</stp>
        <tr r="F1560" s="1"/>
      </tp>
      <tp t="s">
        <v>NORMAL</v>
        <stp/>
        <stp>##V3_BDPV12</stp>
        <stp>912827A3 Govt</stp>
        <stp>MTY_TYP</stp>
        <stp>[TREASURY.xlsx]Sheet1!R1030C6</stp>
        <tr r="F1030" s="1"/>
      </tp>
      <tp t="s">
        <v>NORMAL</v>
        <stp/>
        <stp>##V3_BDPV12</stp>
        <stp>912827C3 Govt</stp>
        <stp>MTY_TYP</stp>
        <stp>[TREASURY.xlsx]Sheet1!R1480C6</stp>
        <tr r="F1480" s="1"/>
      </tp>
      <tp t="s">
        <v>NORMAL</v>
        <stp/>
        <stp>##V3_BDPV12</stp>
        <stp>912827B6 Govt</stp>
        <stp>MTY_TYP</stp>
        <stp>[TREASURY.xlsx]Sheet1!R1550C6</stp>
        <tr r="F1550" s="1"/>
      </tp>
      <tp t="s">
        <v>NORMAL</v>
        <stp/>
        <stp>##V3_BDPV12</stp>
        <stp>912827YC Govt</stp>
        <stp>MTY_TYP</stp>
        <stp>[TREASURY.xlsx]Sheet1!R1220C6</stp>
        <tr r="F1220" s="1"/>
      </tp>
      <tp t="s">
        <v>NORMAL</v>
        <stp/>
        <stp>##V3_BDPV12</stp>
        <stp>912827ZM Govt</stp>
        <stp>MTY_TYP</stp>
        <stp>[TREASURY.xlsx]Sheet1!R1230C6</stp>
        <tr r="F1230" s="1"/>
      </tp>
      <tp t="s">
        <v>NORMAL</v>
        <stp/>
        <stp>##V3_BDPV12</stp>
        <stp>912827YB Govt</stp>
        <stp>MTY_TYP</stp>
        <stp>[TREASURY.xlsx]Sheet1!R1100C6</stp>
        <tr r="F1100" s="1"/>
      </tp>
      <tp t="s">
        <v>NORMAL</v>
        <stp/>
        <stp>##V3_BDPV12</stp>
        <stp>912827XY Govt</stp>
        <stp>MTY_TYP</stp>
        <stp>[TREASURY.xlsx]Sheet1!R1600C6</stp>
        <tr r="F1600" s="1"/>
      </tp>
      <tp t="s">
        <v>NORMAL</v>
        <stp/>
        <stp>##V3_BDPV12</stp>
        <stp>912827ZD Govt</stp>
        <stp>MTY_TYP</stp>
        <stp>[TREASURY.xlsx]Sheet1!R1610C6</stp>
        <tr r="F1610" s="1"/>
      </tp>
      <tp t="s">
        <v>NORMAL</v>
        <stp/>
        <stp>##V3_BDPV12</stp>
        <stp>912827PS Govt</stp>
        <stp>MTY_TYP</stp>
        <stp>[TREASURY.xlsx]Sheet1!R1390C6</stp>
        <tr r="F1390" s="1"/>
      </tp>
      <tp t="s">
        <v>NORMAL</v>
        <stp/>
        <stp>##V3_BDPV12</stp>
        <stp>912827WS Govt</stp>
        <stp>MTY_TYP</stp>
        <stp>[TREASURY.xlsx]Sheet1!R1420C6</stp>
        <tr r="F1420" s="1"/>
      </tp>
      <tp t="s">
        <v>NORMAL</v>
        <stp/>
        <stp>##V3_BDPV12</stp>
        <stp>912827PK Govt</stp>
        <stp>MTY_TYP</stp>
        <stp>[TREASURY.xlsx]Sheet1!R1340C6</stp>
        <tr r="F1340" s="1"/>
      </tp>
      <tp t="s">
        <v>NORMAL</v>
        <stp/>
        <stp>##V3_BDPV12</stp>
        <stp>912827SY Govt</stp>
        <stp>MTY_TYP</stp>
        <stp>[TREASURY.xlsx]Sheet1!R1190C6</stp>
        <tr r="F1190" s="1"/>
      </tp>
      <tp t="s">
        <v>NORMAL</v>
        <stp/>
        <stp>##V3_BDPV12</stp>
        <stp>912827V7 Govt</stp>
        <stp>MTY_TYP</stp>
        <stp>[TREASURY.xlsx]Sheet1!R1410C6</stp>
        <tr r="F1410" s="1"/>
      </tp>
      <tp t="s">
        <v>NORMAL</v>
        <stp/>
        <stp>##V3_BDPV12</stp>
        <stp>912827R3 Govt</stp>
        <stp>MTY_TYP</stp>
        <stp>[TREASURY.xlsx]Sheet1!R1060C6</stp>
        <tr r="F1060" s="1"/>
      </tp>
      <tp t="s">
        <v>NORMAL</v>
        <stp/>
        <stp>##V3_BDPV12</stp>
        <stp>912827TV Govt</stp>
        <stp>MTY_TYP</stp>
        <stp>[TREASURY.xlsx]Sheet1!R1510C6</stp>
        <tr r="F1510" s="1"/>
      </tp>
      <tp t="s">
        <v>NORMAL</v>
        <stp/>
        <stp>##V3_BDPV12</stp>
        <stp>912827QQ Govt</stp>
        <stp>MTY_TYP</stp>
        <stp>[TREASURY.xlsx]Sheet1!R1180C6</stp>
        <tr r="F1180" s="1"/>
      </tp>
      <tp t="s">
        <v>NORMAL</v>
        <stp/>
        <stp>##V3_BDPV12</stp>
        <stp>912827UY Govt</stp>
        <stp>MTY_TYP</stp>
        <stp>[TREASURY.xlsx]Sheet1!R1590C6</stp>
        <tr r="F1590" s="1"/>
      </tp>
      <tp t="s">
        <v>NORMAL</v>
        <stp/>
        <stp>##V3_BDPV12</stp>
        <stp>912827TM Govt</stp>
        <stp>MTY_TYP</stp>
        <stp>[TREASURY.xlsx]Sheet1!R1400C6</stp>
        <tr r="F1400" s="1"/>
      </tp>
      <tp t="s">
        <v>NORMAL</v>
        <stp/>
        <stp>##V3_BDPV12</stp>
        <stp>912827UK Govt</stp>
        <stp>MTY_TYP</stp>
        <stp>[TREASURY.xlsx]Sheet1!R1200C6</stp>
        <tr r="F1200" s="1"/>
      </tp>
      <tp t="s">
        <v>NORMAL</v>
        <stp/>
        <stp>##V3_BDPV12</stp>
        <stp>912827WF Govt</stp>
        <stp>MTY_TYP</stp>
        <stp>[TREASURY.xlsx]Sheet1!R1090C6</stp>
        <tr r="F1090" s="1"/>
      </tp>
      <tp t="s">
        <v>NORMAL</v>
        <stp/>
        <stp>##V3_BDPV12</stp>
        <stp>912827RM Govt</stp>
        <stp>MTY_TYP</stp>
        <stp>[TREASURY.xlsx]Sheet1!R1580C6</stp>
        <tr r="F1580" s="1"/>
      </tp>
      <tp t="s">
        <v>NORMAL</v>
        <stp/>
        <stp>##V3_BDPV12</stp>
        <stp>912827R6 Govt</stp>
        <stp>MTY_TYP</stp>
        <stp>[TREASURY.xlsx]Sheet1!R1500C6</stp>
        <tr r="F1500" s="1"/>
      </tp>
      <tp t="s">
        <v>NORMAL</v>
        <stp/>
        <stp>##V3_BDPV12</stp>
        <stp>912827UR Govt</stp>
        <stp>MTY_TYP</stp>
        <stp>[TREASURY.xlsx]Sheet1!R1080C6</stp>
        <tr r="F1080" s="1"/>
      </tp>
      <tp t="s">
        <v>NORMAL</v>
        <stp/>
        <stp>##V3_BDPV12</stp>
        <stp>912827WY Govt</stp>
        <stp>MTY_TYP</stp>
        <stp>[TREASURY.xlsx]Sheet1!R1210C6</stp>
        <tr r="F1210" s="1"/>
      </tp>
      <tp t="s">
        <v>NORMAL</v>
        <stp/>
        <stp>##V3_BDPV12</stp>
        <stp>912827PX Govt</stp>
        <stp>MTY_TYP</stp>
        <stp>[TREASURY.xlsx]Sheet1!R1570C6</stp>
        <tr r="F1570" s="1"/>
      </tp>
      <tp t="s">
        <v>NORMAL</v>
        <stp/>
        <stp>##V3_BDPV12</stp>
        <stp>912827T7 Govt</stp>
        <stp>MTY_TYP</stp>
        <stp>[TREASURY.xlsx]Sheet1!R1070C6</stp>
        <tr r="F1070" s="1"/>
      </tp>
      <tp t="s">
        <v>UNITED STATES</v>
        <stp/>
        <stp>##V3_BDPV12</stp>
        <stp>9128277B Govt</stp>
        <stp>COUNTRY_FULL_NAME</stp>
        <stp>[TREASURY.xlsx]Sheet1!R354C8</stp>
        <tr r="H354" s="1"/>
      </tp>
      <tp t="s">
        <v>912827LP5</v>
        <stp/>
        <stp>##V3_BDPV12</stp>
        <stp>912827LP Govt</stp>
        <stp>ID_CUSIP</stp>
        <stp>[TREASURY.xlsx]Sheet1!R1491C19</stp>
        <tr r="S1491" s="1"/>
      </tp>
      <tp t="s">
        <v>912828LV0</v>
        <stp/>
        <stp>##V3_BDPV12</stp>
        <stp>912828LV Govt</stp>
        <stp>ID_CUSIP</stp>
        <stp>[TREASURY.xlsx]Sheet1!R1291C19</stp>
        <tr r="S1291" s="1"/>
      </tp>
      <tp t="s">
        <v>912827LW0</v>
        <stp/>
        <stp>##V3_BDPV12</stp>
        <stp>912827LW Govt</stp>
        <stp>ID_CUSIP</stp>
        <stp>[TREASURY.xlsx]Sheet1!R1380C19</stp>
        <tr r="S1380" s="1"/>
      </tp>
      <tp t="s">
        <v>NORMAL</v>
        <stp/>
        <stp>##V3_BDPV12</stp>
        <stp>912828KN Govt</stp>
        <stp>MTY_TYP</stp>
        <stp>[TREASURY.xlsx]Sheet1!R1250C6</stp>
        <tr r="F1250" s="1"/>
      </tp>
      <tp t="s">
        <v>NORMAL</v>
        <stp/>
        <stp>##V3_BDPV12</stp>
        <stp>912828LL Govt</stp>
        <stp>MTY_TYP</stp>
        <stp>[TREASURY.xlsx]Sheet1!R1290C6</stp>
        <tr r="F1290" s="1"/>
      </tp>
      <tp t="s">
        <v>NORMAL</v>
        <stp/>
        <stp>##V3_BDPV12</stp>
        <stp>912828DY Govt</stp>
        <stp>MTY_TYP</stp>
        <stp>[TREASURY.xlsx]Sheet1!R1430C6</stp>
        <tr r="F1430" s="1"/>
      </tp>
      <tp t="s">
        <v>NORMAL</v>
        <stp/>
        <stp>##V3_BDPV12</stp>
        <stp>912828B7 Govt</stp>
        <stp>MTY_TYP</stp>
        <stp>[TREASURY.xlsx]Sheet1!R1270C6</stp>
        <tr r="F1270" s="1"/>
      </tp>
      <tp t="s">
        <v>NORMAL</v>
        <stp/>
        <stp>##V3_BDPV12</stp>
        <stp>912828GY Govt</stp>
        <stp>MTY_TYP</stp>
        <stp>[TREASURY.xlsx]Sheet1!R1120C6</stp>
        <tr r="F1120" s="1"/>
      </tp>
      <tp t="s">
        <v>NORMAL</v>
        <stp/>
        <stp>##V3_BDPV12</stp>
        <stp>912828DG Govt</stp>
        <stp>MTY_TYP</stp>
        <stp>[TREASURY.xlsx]Sheet1!R1110C6</stp>
        <tr r="F1110" s="1"/>
      </tp>
      <tp t="s">
        <v>NORMAL</v>
        <stp/>
        <stp>##V3_BDPV12</stp>
        <stp>912828G2 Govt</stp>
        <stp>MTY_TYP</stp>
        <stp>[TREASURY.xlsx]Sheet1!R1280C6</stp>
        <tr r="F1280" s="1"/>
      </tp>
      <tp t="s">
        <v>NORMAL</v>
        <stp/>
        <stp>##V3_BDPV12</stp>
        <stp>912828F5 Govt</stp>
        <stp>MTY_TYP</stp>
        <stp>[TREASURY.xlsx]Sheet1!R1240C6</stp>
        <tr r="F1240" s="1"/>
      </tp>
      <tp t="s">
        <v>NORMAL</v>
        <stp/>
        <stp>##V3_BDPV12</stp>
        <stp>912828PT Govt</stp>
        <stp>MTY_TYP</stp>
        <stp>[TREASURY.xlsx]Sheet1!R1300C6</stp>
        <tr r="F1300" s="1"/>
      </tp>
      <tp t="s">
        <v>NORMAL</v>
        <stp/>
        <stp>##V3_BDPV12</stp>
        <stp>912828RN Govt</stp>
        <stp>MTY_TYP</stp>
        <stp>[TREASURY.xlsx]Sheet1!R1140C6</stp>
        <tr r="F1140" s="1"/>
      </tp>
      <tp t="s">
        <v>NORMAL</v>
        <stp/>
        <stp>##V3_BDPV12</stp>
        <stp>912828PR Govt</stp>
        <stp>MTY_TYP</stp>
        <stp>[TREASURY.xlsx]Sheet1!R1260C6</stp>
        <tr r="F1260" s="1"/>
      </tp>
      <tp t="s">
        <v>NORMAL</v>
        <stp/>
        <stp>##V3_BDPV12</stp>
        <stp>912828QM Govt</stp>
        <stp>MTY_TYP</stp>
        <stp>[TREASURY.xlsx]Sheet1!R1130C6</stp>
        <tr r="F1130" s="1"/>
      </tp>
      <tp t="s">
        <v>NORMAL</v>
        <stp/>
        <stp>##V3_BDPV12</stp>
        <stp>912828WL Govt</stp>
        <stp>MTY_TYP</stp>
        <stp>[TREASURY.xlsx]Sheet1!R1150C6</stp>
        <tr r="F1150" s="1"/>
      </tp>
      <tp t="s">
        <v>NORMAL</v>
        <stp/>
        <stp>##V3_BDPV12</stp>
        <stp>912828UL Govt</stp>
        <stp>MTY_TYP</stp>
        <stp>[TREASURY.xlsx]Sheet1!R1000C6</stp>
        <tr r="F1000" s="1"/>
      </tp>
      <tp t="s">
        <v>912827LT7</v>
        <stp/>
        <stp>##V3_BDPV12</stp>
        <stp>912827LT Govt</stp>
        <stp>ID_CUSIP</stp>
        <stp>[TREASURY.xlsx]Sheet1!R1379C19</stp>
        <tr r="S1379" s="1"/>
      </tp>
      <tp t="s">
        <v>912827LR1</v>
        <stp/>
        <stp>##V3_BDPV12</stp>
        <stp>912827LR Govt</stp>
        <stp>ID_CUSIP</stp>
        <stp>[TREASURY.xlsx]Sheet1!R1323C19</stp>
        <tr r="S1323" s="1"/>
      </tp>
      <tp t="s">
        <v>912827LQ3</v>
        <stp/>
        <stp>##V3_BDPV12</stp>
        <stp>912827LQ Govt</stp>
        <stp>ID_CUSIP</stp>
        <stp>[TREASURY.xlsx]Sheet1!R1322C19</stp>
        <tr r="S1322" s="1"/>
      </tp>
      <tp t="s">
        <v>USD</v>
        <stp/>
        <stp>##V3_BDPV12</stp>
        <stp>912827WL Govt</stp>
        <stp>CRNCY</stp>
        <stp>[TREASURY.xlsx]Sheet1!R1208C7</stp>
        <tr r="G1208" s="1"/>
      </tp>
      <tp t="s">
        <v>912827LS9</v>
        <stp/>
        <stp>##V3_BDPV12</stp>
        <stp>912827LS Govt</stp>
        <stp>ID_CUSIP</stp>
        <stp>[TREASURY.xlsx]Sheet1!R1043C19</stp>
        <tr r="S1043" s="1"/>
      </tp>
      <tp t="s">
        <v>USD</v>
        <stp/>
        <stp>##V3_BDPV12</stp>
        <stp>912827WM Govt</stp>
        <stp>CRNCY</stp>
        <stp>[TREASURY.xlsx]Sheet1!R1418C7</stp>
        <tr r="G1418" s="1"/>
      </tp>
      <tp t="s">
        <v>USD</v>
        <stp/>
        <stp>##V3_BDPV12</stp>
        <stp>912827X3 Govt</stp>
        <stp>CRNCY</stp>
        <stp>[TREASURY.xlsx]Sheet1!R1094C7</stp>
        <tr r="G1094" s="1"/>
      </tp>
      <tp t="s">
        <v>UNITED STATES</v>
        <stp/>
        <stp>##V3_BDPV12</stp>
        <stp>912828AR Govt</stp>
        <stp>COUNTRY_FULL_NAME</stp>
        <stp>[TREASURY.xlsx]Sheet1!R658C8</stp>
        <tr r="H658" s="1"/>
      </tp>
      <tp t="s">
        <v>UNITED STATES</v>
        <stp/>
        <stp>##V3_BDPV12</stp>
        <stp>912828AB Govt</stp>
        <stp>COUNTRY_FULL_NAME</stp>
        <stp>[TREASURY.xlsx]Sheet1!R958C8</stp>
        <tr r="H958" s="1"/>
      </tp>
      <tp t="s">
        <v>UNITED STATES</v>
        <stp/>
        <stp>##V3_BDPV12</stp>
        <stp>912828B4 Govt</stp>
        <stp>COUNTRY_FULL_NAME</stp>
        <stp>[TREASURY.xlsx]Sheet1!R458C8</stp>
        <tr r="H458" s="1"/>
      </tp>
      <tp t="s">
        <v>UNITED STATES</v>
        <stp/>
        <stp>##V3_BDPV12</stp>
        <stp>912828BS Govt</stp>
        <stp>COUNTRY_FULL_NAME</stp>
        <stp>[TREASURY.xlsx]Sheet1!R628C8</stp>
        <tr r="H628" s="1"/>
      </tp>
      <tp t="s">
        <v>UNITED STATES</v>
        <stp/>
        <stp>##V3_BDPV12</stp>
        <stp>912828BP Govt</stp>
        <stp>COUNTRY_FULL_NAME</stp>
        <stp>[TREASURY.xlsx]Sheet1!R648C8</stp>
        <tr r="H648" s="1"/>
      </tp>
      <tp t="s">
        <v>UNITED STATES</v>
        <stp/>
        <stp>##V3_BDPV12</stp>
        <stp>912828BA Govt</stp>
        <stp>COUNTRY_FULL_NAME</stp>
        <stp>[TREASURY.xlsx]Sheet1!R408C8</stp>
        <tr r="H408" s="1"/>
      </tp>
      <tp t="s">
        <v>UNITED STATES</v>
        <stp/>
        <stp>##V3_BDPV12</stp>
        <stp>912828C8 Govt</stp>
        <stp>COUNTRY_FULL_NAME</stp>
        <stp>[TREASURY.xlsx]Sheet1!R788C8</stp>
        <tr r="H788" s="1"/>
      </tp>
      <tp t="s">
        <v>UNITED STATES</v>
        <stp/>
        <stp>##V3_BDPV12</stp>
        <stp>912828C3 Govt</stp>
        <stp>COUNTRY_FULL_NAME</stp>
        <stp>[TREASURY.xlsx]Sheet1!R838C8</stp>
        <tr r="H838" s="1"/>
      </tp>
      <tp t="s">
        <v>UNITED STATES</v>
        <stp/>
        <stp>##V3_BDPV12</stp>
        <stp>912828C2 Govt</stp>
        <stp>COUNTRY_FULL_NAME</stp>
        <stp>[TREASURY.xlsx]Sheet1!R688C8</stp>
        <tr r="H688" s="1"/>
      </tp>
      <tp t="s">
        <v>UNITED STATES</v>
        <stp/>
        <stp>##V3_BDPV12</stp>
        <stp>912810CS Govt</stp>
        <stp>COUNTRY_FULL_NAME</stp>
        <stp>[TREASURY.xlsx]Sheet1!R660C8</stp>
        <tr r="H660" s="1"/>
      </tp>
      <tp t="s">
        <v>UNITED STATES</v>
        <stp/>
        <stp>##V3_BDPV12</stp>
        <stp>912828CV Govt</stp>
        <stp>COUNTRY_FULL_NAME</stp>
        <stp>[TREASURY.xlsx]Sheet1!R508C8</stp>
        <tr r="H508" s="1"/>
      </tp>
      <tp t="s">
        <v>USD</v>
        <stp/>
        <stp>##V3_BDPV12</stp>
        <stp>912827Z6 Govt</stp>
        <stp>CRNCY</stp>
        <stp>[TREASURY.xlsx]Sheet1!R1226C7</stp>
        <tr r="G1226" s="1"/>
      </tp>
      <tp t="s">
        <v>UNITED STATES</v>
        <stp/>
        <stp>##V3_BDPV12</stp>
        <stp>912810EH Govt</stp>
        <stp>COUNTRY_FULL_NAME</stp>
        <stp>[TREASURY.xlsx]Sheet1!R400C8</stp>
        <tr r="H400" s="1"/>
      </tp>
      <tp t="s">
        <v>UNITED STATES</v>
        <stp/>
        <stp>##V3_BDPV12</stp>
        <stp>912828FC Govt</stp>
        <stp>COUNTRY_FULL_NAME</stp>
        <stp>[TREASURY.xlsx]Sheet1!R798C8</stp>
        <tr r="H798" s="1"/>
      </tp>
      <tp t="s">
        <v>UNITED STATES</v>
        <stp/>
        <stp>##V3_BDPV12</stp>
        <stp>912810FB Govt</stp>
        <stp>COUNTRY_FULL_NAME</stp>
        <stp>[TREASURY.xlsx]Sheet1!R320C8</stp>
        <tr r="H320" s="1"/>
      </tp>
      <tp t="s">
        <v>UNITED STATES</v>
        <stp/>
        <stp>##V3_BDPV12</stp>
        <stp>912828GU Govt</stp>
        <stp>COUNTRY_FULL_NAME</stp>
        <stp>[TREASURY.xlsx]Sheet1!R848C8</stp>
        <tr r="H848" s="1"/>
      </tp>
      <tp t="s">
        <v>UNITED STATES</v>
        <stp/>
        <stp>##V3_BDPV12</stp>
        <stp>912828H3 Govt</stp>
        <stp>COUNTRY_FULL_NAME</stp>
        <stp>[TREASURY.xlsx]Sheet1!R968C8</stp>
        <tr r="H968" s="1"/>
      </tp>
      <tp t="s">
        <v>UNITED STATES</v>
        <stp/>
        <stp>##V3_BDPV12</stp>
        <stp>912828HU Govt</stp>
        <stp>COUNTRY_FULL_NAME</stp>
        <stp>[TREASURY.xlsx]Sheet1!R808C8</stp>
        <tr r="H808" s="1"/>
      </tp>
      <tp t="s">
        <v>UNITED STATES</v>
        <stp/>
        <stp>##V3_BDPV12</stp>
        <stp>912827J3 Govt</stp>
        <stp>COUNTRY_FULL_NAME</stp>
        <stp>[TREASURY.xlsx]Sheet1!R707C8</stp>
        <tr r="H707" s="1"/>
      </tp>
      <tp t="s">
        <v>UNITED STATES</v>
        <stp/>
        <stp>##V3_BDPV12</stp>
        <stp>912828J4 Govt</stp>
        <stp>COUNTRY_FULL_NAME</stp>
        <stp>[TREASURY.xlsx]Sheet1!R308C8</stp>
        <tr r="H308" s="1"/>
      </tp>
      <tp t="s">
        <v>UNITED STATES</v>
        <stp/>
        <stp>##V3_BDPV12</stp>
        <stp>912828JZ Govt</stp>
        <stp>COUNTRY_FULL_NAME</stp>
        <stp>[TREASURY.xlsx]Sheet1!R478C8</stp>
        <tr r="H478" s="1"/>
      </tp>
      <tp t="s">
        <v>UNITED STATES</v>
        <stp/>
        <stp>##V3_BDPV12</stp>
        <stp>912828JB Govt</stp>
        <stp>COUNTRY_FULL_NAME</stp>
        <stp>[TREASURY.xlsx]Sheet1!R598C8</stp>
        <tr r="H598" s="1"/>
      </tp>
      <tp t="s">
        <v>UNITED STATES</v>
        <stp/>
        <stp>##V3_BDPV12</stp>
        <stp>912828K5 Govt</stp>
        <stp>COUNTRY_FULL_NAME</stp>
        <stp>[TREASURY.xlsx]Sheet1!R518C8</stp>
        <tr r="H518" s="1"/>
      </tp>
      <tp t="s">
        <v>UNITED STATES</v>
        <stp/>
        <stp>##V3_BDPV12</stp>
        <stp>912828KS Govt</stp>
        <stp>COUNTRY_FULL_NAME</stp>
        <stp>[TREASURY.xlsx]Sheet1!R418C8</stp>
        <tr r="H418" s="1"/>
      </tp>
      <tp t="s">
        <v>UNITED STATES</v>
        <stp/>
        <stp>##V3_BDPV12</stp>
        <stp>912828KB Govt</stp>
        <stp>COUNTRY_FULL_NAME</stp>
        <stp>[TREASURY.xlsx]Sheet1!R398C8</stp>
        <tr r="H398" s="1"/>
      </tp>
      <tp t="s">
        <v>UNITED STATES</v>
        <stp/>
        <stp>##V3_BDPV12</stp>
        <stp>912828L9 Govt</stp>
        <stp>COUNTRY_FULL_NAME</stp>
        <stp>[TREASURY.xlsx]Sheet1!R358C8</stp>
        <tr r="H358" s="1"/>
      </tp>
      <tp t="s">
        <v>UNITED STATES</v>
        <stp/>
        <stp>##V3_BDPV12</stp>
        <stp>912828LU Govt</stp>
        <stp>COUNTRY_FULL_NAME</stp>
        <stp>[TREASURY.xlsx]Sheet1!R818C8</stp>
        <tr r="H818" s="1"/>
      </tp>
      <tp t="s">
        <v>UNITED STATES</v>
        <stp/>
        <stp>##V3_BDPV12</stp>
        <stp>912828LS Govt</stp>
        <stp>COUNTRY_FULL_NAME</stp>
        <stp>[TREASURY.xlsx]Sheet1!R858C8</stp>
        <tr r="H858" s="1"/>
      </tp>
      <tp t="s">
        <v>UNITED STATES</v>
        <stp/>
        <stp>##V3_BDPV12</stp>
        <stp>912827LV Govt</stp>
        <stp>COUNTRY_FULL_NAME</stp>
        <stp>[TREASURY.xlsx]Sheet1!R717C8</stp>
        <tr r="H717" s="1"/>
      </tp>
      <tp t="s">
        <v>UNITED STATES</v>
        <stp/>
        <stp>##V3_BDPV12</stp>
        <stp>912827LA Govt</stp>
        <stp>COUNTRY_FULL_NAME</stp>
        <stp>[TREASURY.xlsx]Sheet1!R887C8</stp>
        <tr r="H887" s="1"/>
      </tp>
      <tp t="s">
        <v>UNITED STATES</v>
        <stp/>
        <stp>##V3_BDPV12</stp>
        <stp>912828LB Govt</stp>
        <stp>COUNTRY_FULL_NAME</stp>
        <stp>[TREASURY.xlsx]Sheet1!R558C8</stp>
        <tr r="H558" s="1"/>
      </tp>
      <tp t="s">
        <v>UNITED STATES</v>
        <stp/>
        <stp>##V3_BDPV12</stp>
        <stp>912828MK Govt</stp>
        <stp>COUNTRY_FULL_NAME</stp>
        <stp>[TREASURY.xlsx]Sheet1!R538C8</stp>
        <tr r="H538" s="1"/>
      </tp>
      <tp t="s">
        <v>UNITED STATES</v>
        <stp/>
        <stp>##V3_BDPV12</stp>
        <stp>912827MJ Govt</stp>
        <stp>COUNTRY_FULL_NAME</stp>
        <stp>[TREASURY.xlsx]Sheet1!R897C8</stp>
        <tr r="H897" s="1"/>
      </tp>
      <tp t="s">
        <v>UNITED STATES</v>
        <stp/>
        <stp>##V3_BDPV12</stp>
        <stp>912827N5 Govt</stp>
        <stp>COUNTRY_FULL_NAME</stp>
        <stp>[TREASURY.xlsx]Sheet1!R727C8</stp>
        <tr r="H727" s="1"/>
      </tp>
      <tp t="s">
        <v>UNITED STATES</v>
        <stp/>
        <stp>##V3_BDPV12</stp>
        <stp>912828NB Govt</stp>
        <stp>COUNTRY_FULL_NAME</stp>
        <stp>[TREASURY.xlsx]Sheet1!R388C8</stp>
        <tr r="H388" s="1"/>
      </tp>
      <tp t="s">
        <v>UNITED STATES</v>
        <stp/>
        <stp>##V3_BDPV12</stp>
        <stp>912828NK Govt</stp>
        <stp>COUNTRY_FULL_NAME</stp>
        <stp>[TREASURY.xlsx]Sheet1!R978C8</stp>
        <tr r="H978" s="1"/>
      </tp>
      <tp t="s">
        <v>UNITED STATES</v>
        <stp/>
        <stp>##V3_BDPV12</stp>
        <stp>912827PF Govt</stp>
        <stp>COUNTRY_FULL_NAME</stp>
        <stp>[TREASURY.xlsx]Sheet1!R737C8</stp>
        <tr r="H737" s="1"/>
      </tp>
      <tp t="s">
        <v>UNITED STATES</v>
        <stp/>
        <stp>##V3_BDPV12</stp>
        <stp>912828PE Govt</stp>
        <stp>COUNTRY_FULL_NAME</stp>
        <stp>[TREASURY.xlsx]Sheet1!R548C8</stp>
        <tr r="H548" s="1"/>
      </tp>
      <tp t="s">
        <v>UNITED STATES</v>
        <stp/>
        <stp>##V3_BDPV12</stp>
        <stp>912828Q7 Govt</stp>
        <stp>COUNTRY_FULL_NAME</stp>
        <stp>[TREASURY.xlsx]Sheet1!R378C8</stp>
        <tr r="H378" s="1"/>
      </tp>
      <tp t="s">
        <v>UNITED STATES</v>
        <stp/>
        <stp>##V3_BDPV12</stp>
        <stp>912810QZ Govt</stp>
        <stp>COUNTRY_FULL_NAME</stp>
        <stp>[TREASURY.xlsx]Sheet1!R310C8</stp>
        <tr r="H310" s="1"/>
      </tp>
      <tp t="s">
        <v>UNITED STATES</v>
        <stp/>
        <stp>##V3_BDPV12</stp>
        <stp>912810QY Govt</stp>
        <stp>COUNTRY_FULL_NAME</stp>
        <stp>[TREASURY.xlsx]Sheet1!R270C8</stp>
        <tr r="H270" s="1"/>
      </tp>
      <tp t="s">
        <v>UNITED STATES</v>
        <stp/>
        <stp>##V3_BDPV12</stp>
        <stp>912828QB Govt</stp>
        <stp>COUNTRY_FULL_NAME</stp>
        <stp>[TREASURY.xlsx]Sheet1!R988C8</stp>
        <tr r="H988" s="1"/>
      </tp>
      <tp t="s">
        <v>UNITED STATES</v>
        <stp/>
        <stp>##V3_BDPV12</stp>
        <stp>912810QA Govt</stp>
        <stp>COUNTRY_FULL_NAME</stp>
        <stp>[TREASURY.xlsx]Sheet1!R280C8</stp>
        <tr r="H280" s="1"/>
      </tp>
      <tp t="s">
        <v>UNITED STATES</v>
        <stp/>
        <stp>##V3_BDPV12</stp>
        <stp>912827QJ Govt</stp>
        <stp>COUNTRY_FULL_NAME</stp>
        <stp>[TREASURY.xlsx]Sheet1!R907C8</stp>
        <tr r="H907" s="1"/>
      </tp>
      <tp t="s">
        <v>UNITED STATES</v>
        <stp/>
        <stp>##V3_BDPV12</stp>
        <stp>912828RE Govt</stp>
        <stp>COUNTRY_FULL_NAME</stp>
        <stp>[TREASURY.xlsx]Sheet1!R868C8</stp>
        <tr r="H868" s="1"/>
      </tp>
      <tp t="s">
        <v>UNITED STATES</v>
        <stp/>
        <stp>##V3_BDPV12</stp>
        <stp>912828RF Govt</stp>
        <stp>COUNTRY_FULL_NAME</stp>
        <stp>[TREASURY.xlsx]Sheet1!R828C8</stp>
        <tr r="H828" s="1"/>
      </tp>
      <tp t="s">
        <v>UNITED STATES</v>
        <stp/>
        <stp>##V3_BDPV12</stp>
        <stp>912810RJ Govt</stp>
        <stp>COUNTRY_FULL_NAME</stp>
        <stp>[TREASURY.xlsx]Sheet1!R180C8</stp>
        <tr r="H180" s="1"/>
      </tp>
      <tp t="s">
        <v>UNITED STATES</v>
        <stp/>
        <stp>##V3_BDPV12</stp>
        <stp>912810SR Govt</stp>
        <stp>COUNTRY_FULL_NAME</stp>
        <stp>[TREASURY.xlsx]Sheet1!R100C8</stp>
        <tr r="H100" s="1"/>
      </tp>
      <tp t="s">
        <v>UNITED STATES</v>
        <stp/>
        <stp>##V3_BDPV12</stp>
        <stp>912827SL Govt</stp>
        <stp>COUNTRY_FULL_NAME</stp>
        <stp>[TREASURY.xlsx]Sheet1!R917C8</stp>
        <tr r="H917" s="1"/>
      </tp>
      <tp t="s">
        <v>UNITED STATES</v>
        <stp/>
        <stp>##V3_BDPV12</stp>
        <stp>912827SC Govt</stp>
        <stp>COUNTRY_FULL_NAME</stp>
        <stp>[TREASURY.xlsx]Sheet1!R747C8</stp>
        <tr r="H747" s="1"/>
      </tp>
      <tp t="s">
        <v>UNITED STATES</v>
        <stp/>
        <stp>##V3_BDPV12</stp>
        <stp>912828SF Govt</stp>
        <stp>COUNTRY_FULL_NAME</stp>
        <stp>[TREASURY.xlsx]Sheet1!R138C8</stp>
        <tr r="H138" s="1"/>
      </tp>
      <tp t="s">
        <v>UNITED STATES</v>
        <stp/>
        <stp>##V3_BDPV12</stp>
        <stp>912828SE Govt</stp>
        <stp>COUNTRY_FULL_NAME</stp>
        <stp>[TREASURY.xlsx]Sheet1!R618C8</stp>
        <tr r="H618" s="1"/>
      </tp>
      <tp t="s">
        <v>UNITED STATES</v>
        <stp/>
        <stp>##V3_BDPV12</stp>
        <stp>912828TP Govt</stp>
        <stp>COUNTRY_FULL_NAME</stp>
        <stp>[TREASURY.xlsx]Sheet1!R998C8</stp>
        <tr r="H998" s="1"/>
      </tp>
      <tp t="s">
        <v>UNITED STATES</v>
        <stp/>
        <stp>##V3_BDPV12</stp>
        <stp>912828TY Govt</stp>
        <stp>COUNTRY_FULL_NAME</stp>
        <stp>[TREASURY.xlsx]Sheet1!R118C8</stp>
        <tr r="H118" s="1"/>
      </tp>
      <tp t="s">
        <v>UNITED STATES</v>
        <stp/>
        <stp>##V3_BDPV12</stp>
        <stp>912828TV Govt</stp>
        <stp>COUNTRY_FULL_NAME</stp>
        <stp>[TREASURY.xlsx]Sheet1!R498C8</stp>
        <tr r="H498" s="1"/>
      </tp>
      <tp t="s">
        <v>UNITED STATES</v>
        <stp/>
        <stp>##V3_BDPV12</stp>
        <stp>912828U9 Govt</stp>
        <stp>COUNTRY_FULL_NAME</stp>
        <stp>[TREASURY.xlsx]Sheet1!R678C8</stp>
        <tr r="H678" s="1"/>
      </tp>
      <tp t="s">
        <v>UNITED STATES</v>
        <stp/>
        <stp>##V3_BDPV12</stp>
        <stp>912827V4 Govt</stp>
        <stp>COUNTRY_FULL_NAME</stp>
        <stp>[TREASURY.xlsx]Sheet1!R757C8</stp>
        <tr r="H757" s="1"/>
      </tp>
      <tp t="s">
        <v>UNITED STATES</v>
        <stp/>
        <stp>##V3_BDPV12</stp>
        <stp>912827VX Govt</stp>
        <stp>COUNTRY_FULL_NAME</stp>
        <stp>[TREASURY.xlsx]Sheet1!R927C8</stp>
        <tr r="H927" s="1"/>
      </tp>
      <tp t="s">
        <v>UNITED STATES</v>
        <stp/>
        <stp>##V3_BDPV12</stp>
        <stp>912828VL Govt</stp>
        <stp>COUNTRY_FULL_NAME</stp>
        <stp>[TREASURY.xlsx]Sheet1!R878C8</stp>
        <tr r="H878" s="1"/>
      </tp>
      <tp t="s">
        <v>UNITED STATES</v>
        <stp/>
        <stp>##V3_BDPV12</stp>
        <stp>912828VA Govt</stp>
        <stp>COUNTRY_FULL_NAME</stp>
        <stp>[TREASURY.xlsx]Sheet1!R638C8</stp>
        <tr r="H638" s="1"/>
      </tp>
      <tp t="s">
        <v>UNITED STATES</v>
        <stp/>
        <stp>##V3_BDPV12</stp>
        <stp>912828VB Govt</stp>
        <stp>COUNTRY_FULL_NAME</stp>
        <stp>[TREASURY.xlsx]Sheet1!R168C8</stp>
        <tr r="H168" s="1"/>
      </tp>
      <tp t="s">
        <v>UNITED STATES</v>
        <stp/>
        <stp>##V3_BDPV12</stp>
        <stp>912827W2 Govt</stp>
        <stp>COUNTRY_FULL_NAME</stp>
        <stp>[TREASURY.xlsx]Sheet1!R767C8</stp>
        <tr r="H767" s="1"/>
      </tp>
      <tp t="s">
        <v>UNITED STATES</v>
        <stp/>
        <stp>##V3_BDPV12</stp>
        <stp>912828WP Govt</stp>
        <stp>COUNTRY_FULL_NAME</stp>
        <stp>[TREASURY.xlsx]Sheet1!R488C8</stp>
        <tr r="H488" s="1"/>
      </tp>
      <tp t="s">
        <v>UNITED STATES</v>
        <stp/>
        <stp>##V3_BDPV12</stp>
        <stp>912828WN Govt</stp>
        <stp>COUNTRY_FULL_NAME</stp>
        <stp>[TREASURY.xlsx]Sheet1!R338C8</stp>
        <tr r="H338" s="1"/>
      </tp>
      <tp t="s">
        <v>UNITED STATES</v>
        <stp/>
        <stp>##V3_BDPV12</stp>
        <stp>912828WE Govt</stp>
        <stp>COUNTRY_FULL_NAME</stp>
        <stp>[TREASURY.xlsx]Sheet1!R108C8</stp>
        <tr r="H108" s="1"/>
      </tp>
      <tp t="s">
        <v>UNITED STATES</v>
        <stp/>
        <stp>##V3_BDPV12</stp>
        <stp>912827XP Govt</stp>
        <stp>COUNTRY_FULL_NAME</stp>
        <stp>[TREASURY.xlsx]Sheet1!R937C8</stp>
        <tr r="H937" s="1"/>
      </tp>
      <tp t="s">
        <v>UNITED STATES</v>
        <stp/>
        <stp>##V3_BDPV12</stp>
        <stp>912828XP Govt</stp>
        <stp>COUNTRY_FULL_NAME</stp>
        <stp>[TREASURY.xlsx]Sheet1!R588C8</stp>
        <tr r="H588" s="1"/>
      </tp>
      <tp t="s">
        <v>UNITED STATES</v>
        <stp/>
        <stp>##V3_BDPV12</stp>
        <stp>912828XH Govt</stp>
        <stp>COUNTRY_FULL_NAME</stp>
        <stp>[TREASURY.xlsx]Sheet1!R468C8</stp>
        <tr r="H468" s="1"/>
      </tp>
      <tp t="s">
        <v>UNITED STATES</v>
        <stp/>
        <stp>##V3_BDPV12</stp>
        <stp>912828XE Govt</stp>
        <stp>COUNTRY_FULL_NAME</stp>
        <stp>[TREASURY.xlsx]Sheet1!R448C8</stp>
        <tr r="H448" s="1"/>
      </tp>
      <tp t="s">
        <v>UNITED STATES</v>
        <stp/>
        <stp>##V3_BDPV12</stp>
        <stp>912828Y8 Govt</stp>
        <stp>COUNTRY_FULL_NAME</stp>
        <stp>[TREASURY.xlsx]Sheet1!R208C8</stp>
        <tr r="H208" s="1"/>
      </tp>
      <tp t="s">
        <v>UNITED STATES</v>
        <stp/>
        <stp>##V3_BDPV12</stp>
        <stp>912827YV Govt</stp>
        <stp>COUNTRY_FULL_NAME</stp>
        <stp>[TREASURY.xlsx]Sheet1!R947C8</stp>
        <tr r="H947" s="1"/>
      </tp>
      <tp t="s">
        <v>UNITED STATES</v>
        <stp/>
        <stp>##V3_BDPV12</stp>
        <stp>912828YY Govt</stp>
        <stp>COUNTRY_FULL_NAME</stp>
        <stp>[TREASURY.xlsx]Sheet1!R158C8</stp>
        <tr r="H158" s="1"/>
      </tp>
      <tp t="s">
        <v>UNITED STATES</v>
        <stp/>
        <stp>##V3_BDPV12</stp>
        <stp>912828YT Govt</stp>
        <stp>COUNTRY_FULL_NAME</stp>
        <stp>[TREASURY.xlsx]Sheet1!R198C8</stp>
        <tr r="H198" s="1"/>
      </tp>
      <tp t="s">
        <v>UNITED STATES</v>
        <stp/>
        <stp>##V3_BDPV12</stp>
        <stp>912828YD Govt</stp>
        <stp>COUNTRY_FULL_NAME</stp>
        <stp>[TREASURY.xlsx]Sheet1!R178C8</stp>
        <tr r="H178" s="1"/>
      </tp>
      <tp t="s">
        <v>UNITED STATES</v>
        <stp/>
        <stp>##V3_BDPV12</stp>
        <stp>912827Z7 Govt</stp>
        <stp>COUNTRY_FULL_NAME</stp>
        <stp>[TREASURY.xlsx]Sheet1!R777C8</stp>
        <tr r="H777" s="1"/>
      </tp>
      <tp t="s">
        <v>UNITED STATES</v>
        <stp/>
        <stp>##V3_BDPV12</stp>
        <stp>912828ZB Govt</stp>
        <stp>COUNTRY_FULL_NAME</stp>
        <stp>[TREASURY.xlsx]Sheet1!R148C8</stp>
        <tr r="H148" s="1"/>
      </tp>
      <tp t="s">
        <v>8/15/2004</v>
        <stp/>
        <stp>##V3_BDPV12</stp>
        <stp>912827Q8 Govt</stp>
        <stp>MATURITY</stp>
        <stp>[TREASURY.xlsx]Sheet1!R1572C5</stp>
        <tr r="E1572" s="1"/>
      </tp>
      <tp t="s">
        <v>US912810SZ21</v>
        <stp/>
        <stp>##V3_BDPV12</stp>
        <stp>912810SZ Govt</stp>
        <stp>ID_ISIN</stp>
        <stp>[TREASURY.xlsx]Sheet1!R3C12</stp>
        <tr r="L3" s="1"/>
      </tp>
      <tp t="s">
        <v>10/15/1990</v>
        <stp/>
        <stp>##V3_BDPV12</stp>
        <stp>912827QA Govt</stp>
        <stp>MATURITY</stp>
        <stp>[TREASURY.xlsx]Sheet1!R1392C5</stp>
        <tr r="E1392" s="1"/>
      </tp>
      <tp t="s">
        <v>5/15/2004</v>
        <stp/>
        <stp>##V3_BDPV12</stp>
        <stp>912827P8 Govt</stp>
        <stp>MATURITY</stp>
        <stp>[TREASURY.xlsx]Sheet1!R1492C5</stp>
        <tr r="E1492" s="1"/>
      </tp>
      <tp t="s">
        <v>7/31/1985</v>
        <stp/>
        <stp>##V3_BDPV12</stp>
        <stp>912827PT Govt</stp>
        <stp>MATURITY</stp>
        <stp>[TREASURY.xlsx]Sheet1!R1342C5</stp>
        <tr r="E1342" s="1"/>
      </tp>
      <tp t="s">
        <v>1/15/1990</v>
        <stp/>
        <stp>##V3_BDPV12</stp>
        <stp>912827PA Govt</stp>
        <stp>MATURITY</stp>
        <stp>[TREASURY.xlsx]Sheet1!R1172C5</stp>
        <tr r="E1172" s="1"/>
      </tp>
      <tp t="s">
        <v>1/31/2000</v>
        <stp/>
        <stp>##V3_BDPV12</stp>
        <stp>912827S6 Govt</stp>
        <stp>MATURITY</stp>
        <stp>[TREASURY.xlsx]Sheet1!R1182C5</stp>
        <tr r="E1182" s="1"/>
      </tp>
      <tp t="s">
        <v>US912810SX72</v>
        <stp/>
        <stp>##V3_BDPV12</stp>
        <stp>912810SX Govt</stp>
        <stp>ID_ISIN</stp>
        <stp>[TREASURY.xlsx]Sheet1!R8C12</stp>
        <tr r="L8" s="1"/>
      </tp>
      <tp t="s">
        <v>2/15/1988</v>
        <stp/>
        <stp>##V3_BDPV12</stp>
        <stp>912827RV Govt</stp>
        <stp>MATURITY</stp>
        <stp>[TREASURY.xlsx]Sheet1!R1582C5</stp>
        <tr r="E1582" s="1"/>
      </tp>
      <tp t="s">
        <v>8/15/1994</v>
        <stp/>
        <stp>##V3_BDPV12</stp>
        <stp>912827RC Govt</stp>
        <stp>MATURITY</stp>
        <stp>[TREASURY.xlsx]Sheet1!R1062C5</stp>
        <tr r="E1062" s="1"/>
      </tp>
      <tp t="s">
        <v>9/30/1988</v>
        <stp/>
        <stp>##V3_BDPV12</stp>
        <stp>912827RH Govt</stp>
        <stp>MATURITY</stp>
        <stp>[TREASURY.xlsx]Sheet1!R1502C5</stp>
        <tr r="E1502" s="1"/>
      </tp>
      <tp t="s">
        <v>2/28/1989</v>
        <stp/>
        <stp>##V3_BDPV12</stp>
        <stp>912827UP Govt</stp>
        <stp>MATURITY</stp>
        <stp>[TREASURY.xlsx]Sheet1!R1202C5</stp>
        <tr r="E1202" s="1"/>
      </tp>
      <tp t="s">
        <v>10/15/1993</v>
        <stp/>
        <stp>##V3_BDPV12</stp>
        <stp>912827UD Govt</stp>
        <stp>MATURITY</stp>
        <stp>[TREASURY.xlsx]Sheet1!R1512C5</stp>
        <tr r="E1512" s="1"/>
      </tp>
      <tp t="s">
        <v>7/31/1988</v>
        <stp/>
        <stp>##V3_BDPV12</stp>
        <stp>912827TW Govt</stp>
        <stp>MATURITY</stp>
        <stp>[TREASURY.xlsx]Sheet1!R1402C5</stp>
        <tr r="E1402" s="1"/>
      </tp>
      <tp t="s">
        <v>12/31/1989</v>
        <stp/>
        <stp>##V3_BDPV12</stp>
        <stp>912827TB Govt</stp>
        <stp>MATURITY</stp>
        <stp>[TREASURY.xlsx]Sheet1!R1072C5</stp>
        <tr r="E1072" s="1"/>
      </tp>
      <tp t="s">
        <v>2/29/1988</v>
        <stp/>
        <stp>##V3_BDPV12</stp>
        <stp>912827TH Govt</stp>
        <stp>MATURITY</stp>
        <stp>[TREASURY.xlsx]Sheet1!R1192C5</stp>
        <tr r="E1192" s="1"/>
      </tp>
      <tp t="s">
        <v>T</v>
        <stp/>
        <stp>##V3_BDPV12</stp>
        <stp>912827W8 Govt</stp>
        <stp>TICKER</stp>
        <stp>[TREASURY.xlsx]Sheet1!R930C2</stp>
        <tr r="B930" s="1"/>
      </tp>
      <tp t="s">
        <v>11/15/1998</v>
        <stp/>
        <stp>##V3_BDPV12</stp>
        <stp>912827WW Govt</stp>
        <stp>MATURITY</stp>
        <stp>[TREASURY.xlsx]Sheet1!R1592C5</stp>
        <tr r="E1592" s="1"/>
      </tp>
      <tp t="s">
        <v>10/31/1990</v>
        <stp/>
        <stp>##V3_BDPV12</stp>
        <stp>912827WU Govt</stp>
        <stp>MATURITY</stp>
        <stp>[TREASURY.xlsx]Sheet1!R1422C5</stp>
        <tr r="E1422" s="1"/>
      </tp>
      <tp t="s">
        <v>8/15/1998</v>
        <stp/>
        <stp>##V3_BDPV12</stp>
        <stp>912827WN Govt</stp>
        <stp>MATURITY</stp>
        <stp>[TREASURY.xlsx]Sheet1!R1092C5</stp>
        <tr r="E1092" s="1"/>
      </tp>
      <tp t="s">
        <v>8/31/2000</v>
        <stp/>
        <stp>##V3_BDPV12</stp>
        <stp>912827V2 Govt</stp>
        <stp>MATURITY</stp>
        <stp>[TREASURY.xlsx]Sheet1!R1082C5</stp>
        <tr r="E1082" s="1"/>
      </tp>
      <tp t="s">
        <v>T</v>
        <stp/>
        <stp>##V3_BDPV12</stp>
        <stp>912827U9 Govt</stp>
        <stp>TICKER</stp>
        <stp>[TREASURY.xlsx]Sheet1!R752C2</stp>
        <tr r="B752" s="1"/>
      </tp>
      <tp t="s">
        <v>1/31/1990</v>
        <stp/>
        <stp>##V3_BDPV12</stp>
        <stp>912827VU Govt</stp>
        <stp>MATURITY</stp>
        <stp>[TREASURY.xlsx]Sheet1!R1412C5</stp>
        <tr r="E1412" s="1"/>
      </tp>
      <tp t="s">
        <v>6/30/2001</v>
        <stp/>
        <stp>##V3_BDPV12</stp>
        <stp>912827Y4 Govt</stp>
        <stp>MATURITY</stp>
        <stp>[TREASURY.xlsx]Sheet1!R1602C5</stp>
        <tr r="E1602" s="1"/>
      </tp>
      <tp t="s">
        <v>T</v>
        <stp/>
        <stp>##V3_BDPV12</stp>
        <stp>912828U6 Govt</stp>
        <stp>TICKER</stp>
        <stp>[TREASURY.xlsx]Sheet1!R232C2</stp>
        <tr r="B232" s="1"/>
      </tp>
      <tp t="s">
        <v>T</v>
        <stp/>
        <stp>##V3_BDPV12</stp>
        <stp>912828W6 Govt</stp>
        <stp>TICKER</stp>
        <stp>[TREASURY.xlsx]Sheet1!R480C2</stp>
        <tr r="B480" s="1"/>
      </tp>
      <tp t="s">
        <v>1/15/1997</v>
        <stp/>
        <stp>##V3_BDPV12</stp>
        <stp>912827YK Govt</stp>
        <stp>MATURITY</stp>
        <stp>[TREASURY.xlsx]Sheet1!R1222C5</stp>
        <tr r="E1222" s="1"/>
      </tp>
      <tp t="s">
        <v>4/30/2001</v>
        <stp/>
        <stp>##V3_BDPV12</stp>
        <stp>912827X6 Govt</stp>
        <stp>MATURITY</stp>
        <stp>[TREASURY.xlsx]Sheet1!R1212C5</stp>
        <tr r="E1212" s="1"/>
      </tp>
      <tp t="s">
        <v>FIXED</v>
        <stp/>
        <stp>##V3_BDPV12</stp>
        <stp>912828J2 Govt</stp>
        <stp>CPN_TYP</stp>
        <stp>[TREASURY.xlsx]Sheet1!R94C11</stp>
        <tr r="K94" s="1"/>
      </tp>
      <tp t="s">
        <v>FIXED</v>
        <stp/>
        <stp>##V3_BDPV12</stp>
        <stp>912828U2 Govt</stp>
        <stp>CPN_TYP</stp>
        <stp>[TREASURY.xlsx]Sheet1!R84C11</stp>
        <tr r="K84" s="1"/>
      </tp>
      <tp t="s">
        <v>10/31/2001</v>
        <stp/>
        <stp>##V3_BDPV12</stp>
        <stp>912827Z8 Govt</stp>
        <stp>MATURITY</stp>
        <stp>[TREASURY.xlsx]Sheet1!R1102C5</stp>
        <tr r="E1102" s="1"/>
      </tp>
      <tp t="s">
        <v>1/15/1998</v>
        <stp/>
        <stp>##V3_BDPV12</stp>
        <stp>912827ZT Govt</stp>
        <stp>MATURITY</stp>
        <stp>[TREASURY.xlsx]Sheet1!R1612C5</stp>
        <tr r="E1612" s="1"/>
      </tp>
      <tp t="s">
        <v>T</v>
        <stp/>
        <stp>##V3_BDPV12</stp>
        <stp>912828R2 Govt</stp>
        <stp>TICKER</stp>
        <stp>[TREASURY.xlsx]Sheet1!R245C2</stp>
        <tr r="B245" s="1"/>
      </tp>
      <tp t="s">
        <v>T</v>
        <stp/>
        <stp>##V3_BDPV12</stp>
        <stp>912827T2 Govt</stp>
        <stp>TICKER</stp>
        <stp>[TREASURY.xlsx]Sheet1!R833C2</stp>
        <tr r="B833" s="1"/>
      </tp>
      <tp t="s">
        <v>5/15/2001</v>
        <stp/>
        <stp>##V3_BDPV12</stp>
        <stp>912827A8 Govt</stp>
        <stp>MATURITY</stp>
        <stp>[TREASURY.xlsx]Sheet1!R1032C5</stp>
        <tr r="E1032" s="1"/>
      </tp>
      <tp t="s">
        <v>10/31/1996</v>
        <stp/>
        <stp>##V3_BDPV12</stp>
        <stp>912827C8 Govt</stp>
        <stp>MATURITY</stp>
        <stp>[TREASURY.xlsx]Sheet1!R1482C5</stp>
        <tr r="E1482" s="1"/>
      </tp>
      <tp t="s">
        <v>5/15/2001</v>
        <stp/>
        <stp>##V3_BDPV12</stp>
        <stp>912810CU Govt</stp>
        <stp>MATURITY</stp>
        <stp>[TREASURY.xlsx]Sheet1!R1345C5</stp>
        <tr r="E1345" s="1"/>
      </tp>
      <tp t="s">
        <v>2/15/2010</v>
        <stp/>
        <stp>##V3_BDPV12</stp>
        <stp>912810CM Govt</stp>
        <stp>MATURITY</stp>
        <stp>[TREASURY.xlsx]Sheet1!R1515C5</stp>
        <tr r="E1515" s="1"/>
      </tp>
      <tp t="s">
        <v>8/15/2001</v>
        <stp/>
        <stp>##V3_BDPV12</stp>
        <stp>912827B9 Govt</stp>
        <stp>MATURITY</stp>
        <stp>[TREASURY.xlsx]Sheet1!R1552C5</stp>
        <tr r="E1552" s="1"/>
      </tp>
      <tp t="s">
        <v>4/30/1994</v>
        <stp/>
        <stp>##V3_BDPV12</stp>
        <stp>912827E9 Govt</stp>
        <stp>MATURITY</stp>
        <stp>[TREASURY.xlsx]Sheet1!R1372C5</stp>
        <tr r="E1372" s="1"/>
      </tp>
      <tp t="s">
        <v>5/15/2018</v>
        <stp/>
        <stp>##V3_BDPV12</stp>
        <stp>912810EA Govt</stp>
        <stp>MATURITY</stp>
        <stp>[TREASURY.xlsx]Sheet1!R1445C5</stp>
        <tr r="E1445" s="1"/>
      </tp>
      <tp t="s">
        <v>11/15/1983</v>
        <stp/>
        <stp>##V3_BDPV12</stp>
        <stp>912827KX Govt</stp>
        <stp>MATURITY</stp>
        <stp>[TREASURY.xlsx]Sheet1!R1162C5</stp>
        <tr r="E1162" s="1"/>
      </tp>
      <tp t="s">
        <v>2/15/2003</v>
        <stp/>
        <stp>##V3_BDPV12</stp>
        <stp>912827J7 Govt</stp>
        <stp>MATURITY</stp>
        <stp>[TREASURY.xlsx]Sheet1!R1562C5</stp>
        <tr r="E1562" s="1"/>
      </tp>
      <tp t="s">
        <v>2/29/1984</v>
        <stp/>
        <stp>##V3_BDPV12</stp>
        <stp>912827MX Govt</stp>
        <stp>MATURITY</stp>
        <stp>[TREASURY.xlsx]Sheet1!R1382C5</stp>
        <tr r="E1382" s="1"/>
      </tp>
      <tp t="s">
        <v>5/15/1986</v>
        <stp/>
        <stp>##V3_BDPV12</stp>
        <stp>912827LQ Govt</stp>
        <stp>MATURITY</stp>
        <stp>[TREASURY.xlsx]Sheet1!R1322C5</stp>
        <tr r="E1322" s="1"/>
      </tp>
      <tp t="s">
        <v>12/31/1984</v>
        <stp/>
        <stp>##V3_BDPV12</stp>
        <stp>912827LK Govt</stp>
        <stp>MATURITY</stp>
        <stp>[TREASURY.xlsx]Sheet1!R1042C5</stp>
        <tr r="E1042" s="1"/>
      </tp>
      <tp t="s">
        <v>9/30/1986</v>
        <stp/>
        <stp>##V3_BDPV12</stp>
        <stp>912827NR Govt</stp>
        <stp>MATURITY</stp>
        <stp>[TREASURY.xlsx]Sheet1!R1052C5</stp>
        <tr r="E1052" s="1"/>
      </tp>
      <tp t="s">
        <v>5/15/1992</v>
        <stp/>
        <stp>##V3_BDPV12</stp>
        <stp>912827NE Govt</stp>
        <stp>MATURITY</stp>
        <stp>[TREASURY.xlsx]Sheet1!R1332C5</stp>
        <tr r="E1332" s="1"/>
      </tp>
      <tp t="s">
        <v>5/31/1999</v>
        <stp/>
        <stp>##V3_BDPV12</stp>
        <stp>9128272V Govt</stp>
        <stp>MATURITY</stp>
        <stp>[TREASURY.xlsx]Sheet1!R1522C5</stp>
        <tr r="E1522" s="1"/>
      </tp>
      <tp t="s">
        <v>3/31/1999</v>
        <stp/>
        <stp>##V3_BDPV12</stp>
        <stp>9128272N Govt</stp>
        <stp>MATURITY</stp>
        <stp>[TREASURY.xlsx]Sheet1!R1352C5</stp>
        <tr r="E1352" s="1"/>
      </tp>
      <tp t="s">
        <v>2/28/2002</v>
        <stp/>
        <stp>##V3_BDPV12</stp>
        <stp>9128272L Govt</stp>
        <stp>MATURITY</stp>
        <stp>[TREASURY.xlsx]Sheet1!R1452C5</stp>
        <tr r="E1452" s="1"/>
      </tp>
      <tp t="s">
        <v>9/30/2000</v>
        <stp/>
        <stp>##V3_BDPV12</stp>
        <stp>9128274R Govt</stp>
        <stp>MATURITY</stp>
        <stp>[TREASURY.xlsx]Sheet1!R1532C5</stp>
        <tr r="E1532" s="1"/>
      </tp>
      <tp t="s">
        <v>11/15/2003</v>
        <stp/>
        <stp>##V3_BDPV12</stp>
        <stp>9128274U Govt</stp>
        <stp>MATURITY</stp>
        <stp>[TREASURY.xlsx]Sheet1!R1012C5</stp>
        <tr r="E1012" s="1"/>
      </tp>
      <tp t="s">
        <v>3/31/2003</v>
        <stp/>
        <stp>##V3_BDPV12</stp>
        <stp>9128274B Govt</stp>
        <stp>MATURITY</stp>
        <stp>[TREASURY.xlsx]Sheet1!R1362C5</stp>
        <tr r="E1362" s="1"/>
      </tp>
      <tp t="s">
        <v>8/15/2003</v>
        <stp/>
        <stp>##V3_BDPV12</stp>
        <stp>9128274N Govt</stp>
        <stp>MATURITY</stp>
        <stp>[TREASURY.xlsx]Sheet1!R1462C5</stp>
        <tr r="E1462" s="1"/>
      </tp>
      <tp t="s">
        <v>T</v>
        <stp/>
        <stp>##V3_BDPV12</stp>
        <stp>912827RX Govt</stp>
        <stp>TICKER</stp>
        <stp>[TREASURY.xlsx]Sheet1!R915C2</stp>
        <tr r="B915" s="1"/>
      </tp>
      <tp t="s">
        <v>2/29/2004</v>
        <stp/>
        <stp>##V3_BDPV12</stp>
        <stp>9128277M Govt</stp>
        <stp>MATURITY</stp>
        <stp>[TREASURY.xlsx]Sheet1!R1472C5</stp>
        <tr r="E1472" s="1"/>
      </tp>
      <tp t="s">
        <v>2/15/2030</v>
        <stp/>
        <stp>##V3_BDPV12</stp>
        <stp>912828Z9 Govt</stp>
        <stp>MATURITY</stp>
        <stp>[TREASURY.xlsx]Sheet1!R25C5</stp>
        <tr r="E25" s="1"/>
      </tp>
      <tp t="s">
        <v>5/31/2003</v>
        <stp/>
        <stp>##V3_BDPV12</stp>
        <stp>9128276Y Govt</stp>
        <stp>MATURITY</stp>
        <stp>[TREASURY.xlsx]Sheet1!R1542C5</stp>
        <tr r="E1542" s="1"/>
      </tp>
      <tp t="s">
        <v>4/30/2002</v>
        <stp/>
        <stp>##V3_BDPV12</stp>
        <stp>9128276C Govt</stp>
        <stp>MATURITY</stp>
        <stp>[TREASURY.xlsx]Sheet1!R1022C5</stp>
        <tr r="E1022" s="1"/>
      </tp>
      <tp t="s">
        <v>T</v>
        <stp/>
        <stp>##V3_BDPV12</stp>
        <stp>912828SV Govt</stp>
        <stp>TICKER</stp>
        <stp>[TREASURY.xlsx]Sheet1!R164C2</stp>
        <tr r="B164" s="1"/>
      </tp>
      <tp t="s">
        <v>T</v>
        <stp/>
        <stp>##V3_BDPV12</stp>
        <stp>912827UV Govt</stp>
        <stp>TICKER</stp>
        <stp>[TREASURY.xlsx]Sheet1!R922C2</stp>
        <tr r="B922" s="1"/>
      </tp>
      <tp t="s">
        <v>5/15/2014</v>
        <stp/>
        <stp>##V3_BDPV12</stp>
        <stp>912810DJ Govt</stp>
        <stp>MATURITY</stp>
        <stp>[TREASURY.xlsx]Sheet1!R399C5</stp>
        <tr r="E399" s="1"/>
      </tp>
      <tp t="s">
        <v>11/15/2022</v>
        <stp/>
        <stp>##V3_BDPV12</stp>
        <stp>912810EN Govt</stp>
        <stp>MATURITY</stp>
        <stp>[TREASURY.xlsx]Sheet1!R319C5</stp>
        <tr r="E319" s="1"/>
      </tp>
      <tp t="s">
        <v>8/15/2017</v>
        <stp/>
        <stp>##V3_BDPV12</stp>
        <stp>912810DZ Govt</stp>
        <stp>MATURITY</stp>
        <stp>[TREASURY.xlsx]Sheet1!R699C5</stp>
        <tr r="E699" s="1"/>
      </tp>
      <tp t="s">
        <v>5/15/2016</v>
        <stp/>
        <stp>##V3_BDPV12</stp>
        <stp>912810DW Govt</stp>
        <stp>MATURITY</stp>
        <stp>[TREASURY.xlsx]Sheet1!R609C5</stp>
        <tr r="E609" s="1"/>
      </tp>
      <tp t="s">
        <v>11/15/2002</v>
        <stp/>
        <stp>##V3_BDPV12</stp>
        <stp>912810DA Govt</stp>
        <stp>MATURITY</stp>
        <stp>[TREASURY.xlsx]Sheet1!R529C5</stp>
        <tr r="E529" s="1"/>
      </tp>
      <tp t="s">
        <v>2/15/2038</v>
        <stp/>
        <stp>##V3_BDPV12</stp>
        <stp>912810PW Govt</stp>
        <stp>MATURITY</stp>
        <stp>[TREASURY.xlsx]Sheet1!R289C5</stp>
        <tr r="E289" s="1"/>
      </tp>
      <tp t="s">
        <v>5/15/2043</v>
        <stp/>
        <stp>##V3_BDPV12</stp>
        <stp>912810RB Govt</stp>
        <stp>MATURITY</stp>
        <stp>[TREASURY.xlsx]Sheet1!R269C5</stp>
        <tr r="E269" s="1"/>
      </tp>
      <tp t="s">
        <v>8/15/2044</v>
        <stp/>
        <stp>##V3_BDPV12</stp>
        <stp>912810RH Govt</stp>
        <stp>MATURITY</stp>
        <stp>[TREASURY.xlsx]Sheet1!R259C5</stp>
        <tr r="E259" s="1"/>
      </tp>
      <tp t="s">
        <v>T</v>
        <stp/>
        <stp>##V3_BDPV12</stp>
        <stp>912810QW Govt</stp>
        <stp>TICKER</stp>
        <stp>[TREASURY.xlsx]Sheet1!R286C2</stp>
        <tr r="B286" s="1"/>
      </tp>
      <tp t="s">
        <v>T</v>
        <stp/>
        <stp>##V3_BDPV12</stp>
        <stp>912828WW Govt</stp>
        <stp>TICKER</stp>
        <stp>[TREASURY.xlsx]Sheet1!R340C2</stp>
        <tr r="B340" s="1"/>
      </tp>
      <tp t="s">
        <v>T</v>
        <stp/>
        <stp>##V3_BDPV12</stp>
        <stp>912828QW Govt</stp>
        <stp>TICKER</stp>
        <stp>[TREASURY.xlsx]Sheet1!R646C2</stp>
        <tr r="B646" s="1"/>
      </tp>
      <tp t="s">
        <v>T</v>
        <stp/>
        <stp>##V3_BDPV12</stp>
        <stp>912828PW Govt</stp>
        <stp>TICKER</stp>
        <stp>[TREASURY.xlsx]Sheet1!R987C2</stp>
        <tr r="B987" s="1"/>
      </tp>
      <tp t="s">
        <v>T</v>
        <stp/>
        <stp>##V3_BDPV12</stp>
        <stp>912828UT Govt</stp>
        <stp>TICKER</stp>
        <stp>[TREASURY.xlsx]Sheet1!R552C2</stp>
        <tr r="B552" s="1"/>
      </tp>
      <tp t="s">
        <v>T</v>
        <stp/>
        <stp>##V3_BDPV12</stp>
        <stp>912828SU Govt</stp>
        <stp>TICKER</stp>
        <stp>[TREASURY.xlsx]Sheet1!R404C2</stp>
        <tr r="B404" s="1"/>
      </tp>
      <tp t="s">
        <v>T</v>
        <stp/>
        <stp>##V3_BDPV12</stp>
        <stp>912828QU Govt</stp>
        <stp>TICKER</stp>
        <stp>[TREASURY.xlsx]Sheet1!R826C2</stp>
        <tr r="B826" s="1"/>
      </tp>
      <tp t="s">
        <v>T</v>
        <stp/>
        <stp>##V3_BDPV12</stp>
        <stp>912828QR Govt</stp>
        <stp>TICKER</stp>
        <stp>[TREASURY.xlsx]Sheet1!R866C2</stp>
        <tr r="B866" s="1"/>
      </tp>
      <tp t="s">
        <v>CALLABLE</v>
        <stp/>
        <stp>##V3_BDPV12</stp>
        <stp>912810CC Govt</stp>
        <stp>MTY_TYP</stp>
        <stp>[TREASURY.xlsx]Sheet1!R526C6</stp>
        <tr r="F526" s="1"/>
      </tp>
      <tp t="s">
        <v>NORMAL</v>
        <stp/>
        <stp>##V3_BDPV12</stp>
        <stp>912810SD Govt</stp>
        <stp>MTY_TYP</stp>
        <stp>[TREASURY.xlsx]Sheet1!R181C6</stp>
        <tr r="F181" s="1"/>
      </tp>
      <tp t="s">
        <v>NORMAL</v>
        <stp/>
        <stp>##V3_BDPV12</stp>
        <stp>912810FM Govt</stp>
        <stp>MTY_TYP</stp>
        <stp>[TREASURY.xlsx]Sheet1!R188C6</stp>
        <tr r="F188" s="1"/>
      </tp>
      <tp t="s">
        <v>NORMAL</v>
        <stp/>
        <stp>##V3_BDPV12</stp>
        <stp>912810QD Govt</stp>
        <stp>MTY_TYP</stp>
        <stp>[TREASURY.xlsx]Sheet1!R311C6</stp>
        <tr r="F311" s="1"/>
      </tp>
      <tp t="s">
        <v>NORMAL</v>
        <stp/>
        <stp>##V3_BDPV12</stp>
        <stp>912810FA Govt</stp>
        <stp>MTY_TYP</stp>
        <stp>[TREASURY.xlsx]Sheet1!R314C6</stp>
        <tr r="F314" s="1"/>
      </tp>
      <tp t="s">
        <v>NORMAL</v>
        <stp/>
        <stp>##V3_BDPV12</stp>
        <stp>912827QE Govt</stp>
        <stp>MTY_TYP</stp>
        <stp>[TREASURY.xlsx]Sheet1!R740C6</stp>
        <tr r="F740" s="1"/>
      </tp>
      <tp t="s">
        <v>NORMAL</v>
        <stp/>
        <stp>##V3_BDPV12</stp>
        <stp>912827SM Govt</stp>
        <stp>MTY_TYP</stp>
        <stp>[TREASURY.xlsx]Sheet1!R748C6</stp>
        <tr r="F748" s="1"/>
      </tp>
      <tp t="s">
        <v>NORMAL</v>
        <stp/>
        <stp>##V3_BDPV12</stp>
        <stp>912827PC Govt</stp>
        <stp>MTY_TYP</stp>
        <stp>[TREASURY.xlsx]Sheet1!R736C6</stp>
        <tr r="F736" s="1"/>
      </tp>
      <tp t="s">
        <v>NORMAL</v>
        <stp/>
        <stp>##V3_BDPV12</stp>
        <stp>912827ZE Govt</stp>
        <stp>MTY_TYP</stp>
        <stp>[TREASURY.xlsx]Sheet1!R780C6</stp>
        <tr r="F780" s="1"/>
      </tp>
      <tp t="s">
        <v>NORMAL</v>
        <stp/>
        <stp>##V3_BDPV12</stp>
        <stp>912827ND Govt</stp>
        <stp>MTY_TYP</stp>
        <stp>[TREASURY.xlsx]Sheet1!R731C6</stp>
        <tr r="F731" s="1"/>
      </tp>
      <tp t="s">
        <v>NORMAL</v>
        <stp/>
        <stp>##V3_BDPV12</stp>
        <stp>912828HE Govt</stp>
        <stp>MTY_TYP</stp>
        <stp>[TREASURY.xlsx]Sheet1!R850C6</stp>
        <tr r="F850" s="1"/>
      </tp>
      <tp t="s">
        <v>NORMAL</v>
        <stp/>
        <stp>##V3_BDPV12</stp>
        <stp>912828JD Govt</stp>
        <stp>MTY_TYP</stp>
        <stp>[TREASURY.xlsx]Sheet1!R971C6</stp>
        <tr r="F971" s="1"/>
      </tp>
      <tp t="s">
        <v>NORMAL</v>
        <stp/>
        <stp>##V3_BDPV12</stp>
        <stp>912827XE Govt</stp>
        <stp>MTY_TYP</stp>
        <stp>[TREASURY.xlsx]Sheet1!R570C6</stp>
        <tr r="F570" s="1"/>
      </tp>
      <tp t="s">
        <v>NORMAL</v>
        <stp/>
        <stp>##V3_BDPV12</stp>
        <stp>912828TL Govt</stp>
        <stp>MTY_TYP</stp>
        <stp>[TREASURY.xlsx]Sheet1!R409C6</stp>
        <tr r="F409" s="1"/>
      </tp>
      <tp t="s">
        <v>NORMAL</v>
        <stp/>
        <stp>##V3_BDPV12</stp>
        <stp>912828WB Govt</stp>
        <stp>MTY_TYP</stp>
        <stp>[TREASURY.xlsx]Sheet1!R457C6</stp>
        <tr r="F457" s="1"/>
      </tp>
      <tp t="s">
        <v>NORMAL</v>
        <stp/>
        <stp>##V3_BDPV12</stp>
        <stp>912828NG Govt</stp>
        <stp>MTY_TYP</stp>
        <stp>[TREASURY.xlsx]Sheet1!R562C6</stp>
        <tr r="F562" s="1"/>
      </tp>
      <tp t="s">
        <v>NORMAL</v>
        <stp/>
        <stp>##V3_BDPV12</stp>
        <stp>912828AE Govt</stp>
        <stp>MTY_TYP</stp>
        <stp>[TREASURY.xlsx]Sheet1!R530C6</stp>
        <tr r="F530" s="1"/>
      </tp>
      <tp t="s">
        <v>NORMAL</v>
        <stp/>
        <stp>##V3_BDPV12</stp>
        <stp>912828TB Govt</stp>
        <stp>MTY_TYP</stp>
        <stp>[TREASURY.xlsx]Sheet1!R637C6</stp>
        <tr r="F637" s="1"/>
      </tp>
      <tp t="s">
        <v>NORMAL</v>
        <stp/>
        <stp>##V3_BDPV12</stp>
        <stp>912827TA Govt</stp>
        <stp>MTY_TYP</stp>
        <stp>[TREASURY.xlsx]Sheet1!R834C6</stp>
        <tr r="F834" s="1"/>
      </tp>
      <tp t="s">
        <v>NORMAL</v>
        <stp/>
        <stp>##V3_BDPV12</stp>
        <stp>912828DD Govt</stp>
        <stp>MTY_TYP</stp>
        <stp>[TREASURY.xlsx]Sheet1!R791C6</stp>
        <tr r="F791" s="1"/>
      </tp>
      <tp t="s">
        <v>NORMAL</v>
        <stp/>
        <stp>##V3_BDPV12</stp>
        <stp>9128283C Govt</stp>
        <stp>MTY_TYP</stp>
        <stp>[TREASURY.xlsx]Sheet1!R186C6</stp>
        <tr r="F186" s="1"/>
      </tp>
      <tp t="s">
        <v>NORMAL</v>
        <stp/>
        <stp>##V3_BDPV12</stp>
        <stp>912828ZD Govt</stp>
        <stp>MTY_TYP</stp>
        <stp>[TREASURY.xlsx]Sheet1!R121C6</stp>
        <tr r="F121" s="1"/>
      </tp>
      <tp t="s">
        <v>NORMAL</v>
        <stp/>
        <stp>##V3_BDPV12</stp>
        <stp>9128284L Govt</stp>
        <stp>MTY_TYP</stp>
        <stp>[TREASURY.xlsx]Sheet1!R299C6</stp>
        <tr r="F299" s="1"/>
      </tp>
      <tp t="s">
        <v>NORMAL</v>
        <stp/>
        <stp>##V3_BDPV12</stp>
        <stp>9128286M Govt</stp>
        <stp>MTY_TYP</stp>
        <stp>[TREASURY.xlsx]Sheet1!R218C6</stp>
        <tr r="F218" s="1"/>
      </tp>
      <tp t="s">
        <v>NORMAL</v>
        <stp/>
        <stp>##V3_BDPV12</stp>
        <stp>9128283D Govt</stp>
        <stp>MTY_TYP</stp>
        <stp>[TREASURY.xlsx]Sheet1!R231C6</stp>
        <tr r="F231" s="1"/>
      </tp>
      <tp t="s">
        <v>T</v>
        <stp/>
        <stp>##V3_BDPV12</stp>
        <stp>912828UM Govt</stp>
        <stp>TICKER</stp>
        <stp>[TREASURY.xlsx]Sheet1!R472C2</stp>
        <tr r="B472" s="1"/>
      </tp>
      <tp t="s">
        <v>T</v>
        <stp/>
        <stp>##V3_BDPV12</stp>
        <stp>912828TM Govt</stp>
        <stp>TICKER</stp>
        <stp>[TREASURY.xlsx]Sheet1!R873C2</stp>
        <tr r="B873" s="1"/>
      </tp>
      <tp t="s">
        <v>T</v>
        <stp/>
        <stp>##V3_BDPV12</stp>
        <stp>912810QH Govt</stp>
        <stp>TICKER</stp>
        <stp>[TREASURY.xlsx]Sheet1!R316C2</stp>
        <tr r="B316" s="1"/>
      </tp>
      <tp t="s">
        <v>T</v>
        <stp/>
        <stp>##V3_BDPV12</stp>
        <stp>912828QF Govt</stp>
        <stp>TICKER</stp>
        <stp>[TREASURY.xlsx]Sheet1!R576C2</stp>
        <tr r="B576" s="1"/>
      </tp>
      <tp t="s">
        <v>T</v>
        <stp/>
        <stp>##V3_BDPV12</stp>
        <stp>912828WF Govt</stp>
        <stp>TICKER</stp>
        <stp>[TREASURY.xlsx]Sheet1!R680C2</stp>
        <tr r="B680" s="1"/>
      </tp>
      <tp t="s">
        <v>T</v>
        <stp/>
        <stp>##V3_BDPV12</stp>
        <stp>912827PF Govt</stp>
        <stp>TICKER</stp>
        <stp>[TREASURY.xlsx]Sheet1!R737C2</stp>
        <tr r="B737" s="1"/>
      </tp>
      <tp t="s">
        <v>T</v>
        <stp/>
        <stp>##V3_BDPV12</stp>
        <stp>912828WG Govt</stp>
        <stp>TICKER</stp>
        <stp>[TREASURY.xlsx]Sheet1!R370C2</stp>
        <tr r="B370" s="1"/>
      </tp>
      <tp t="s">
        <v>T</v>
        <stp/>
        <stp>##V3_BDPV12</stp>
        <stp>912827VG Govt</stp>
        <stp>TICKER</stp>
        <stp>[TREASURY.xlsx]Sheet1!R761C2</stp>
        <tr r="B761" s="1"/>
      </tp>
      <tp t="s">
        <v>T</v>
        <stp/>
        <stp>##V3_BDPV12</stp>
        <stp>912827QG Govt</stp>
        <stp>TICKER</stp>
        <stp>[TREASURY.xlsx]Sheet1!R906C2</stp>
        <tr r="B906" s="1"/>
      </tp>
      <tp t="s">
        <v>T</v>
        <stp/>
        <stp>##V3_BDPV12</stp>
        <stp>912810RD Govt</stp>
        <stp>TICKER</stp>
        <stp>[TREASURY.xlsx]Sheet1!R235C2</stp>
        <tr r="B235" s="1"/>
      </tp>
      <tp t="s">
        <v>T</v>
        <stp/>
        <stp>##V3_BDPV12</stp>
        <stp>912810RE Govt</stp>
        <stp>TICKER</stp>
        <stp>[TREASURY.xlsx]Sheet1!R295C2</stp>
        <tr r="B295" s="1"/>
      </tp>
      <tp t="s">
        <v>T</v>
        <stp/>
        <stp>##V3_BDPV12</stp>
        <stp>912828SB Govt</stp>
        <stp>TICKER</stp>
        <stp>[TREASURY.xlsx]Sheet1!R564C2</stp>
        <tr r="B564" s="1"/>
      </tp>
      <tp t="s">
        <v>T</v>
        <stp/>
        <stp>##V3_BDPV12</stp>
        <stp>912828WT Govt</stp>
        <stp>TICKER</stp>
        <stp>[TREASURY.xlsx]Sheet1!R1007C2</stp>
        <tr r="B1007" s="1"/>
      </tp>
      <tp t="s">
        <v>T</v>
        <stp/>
        <stp>##V3_BDPV12</stp>
        <stp>912828DQ Govt</stp>
        <stp>TICKER</stp>
        <stp>[TREASURY.xlsx]Sheet1!R1112C2</stp>
        <tr r="B1112" s="1"/>
      </tp>
      <tp t="s">
        <v>T</v>
        <stp/>
        <stp>##V3_BDPV12</stp>
        <stp>912828FZ Govt</stp>
        <stp>TICKER</stp>
        <stp>[TREASURY.xlsx]Sheet1!R1279C2</stp>
        <tr r="B1279" s="1"/>
      </tp>
      <tp t="s">
        <v>T</v>
        <stp/>
        <stp>##V3_BDPV12</stp>
        <stp>912828NW Govt</stp>
        <stp>TICKER</stp>
        <stp>[TREASURY.xlsx]Sheet1!R1294C2</stp>
        <tr r="B1294" s="1"/>
      </tp>
      <tp t="s">
        <v>T</v>
        <stp/>
        <stp>##V3_BDPV12</stp>
        <stp>912828VV Govt</stp>
        <stp>TICKER</stp>
        <stp>[TREASURY.xlsx]Sheet1!R1305C2</stp>
        <tr r="B1305" s="1"/>
      </tp>
      <tp t="s">
        <v>T</v>
        <stp/>
        <stp>##V3_BDPV12</stp>
        <stp>912827LQ Govt</stp>
        <stp>TICKER</stp>
        <stp>[TREASURY.xlsx]Sheet1!R1322C2</stp>
        <tr r="B1322" s="1"/>
      </tp>
      <tp t="s">
        <v>T</v>
        <stp/>
        <stp>##V3_BDPV12</stp>
        <stp>912827PS Govt</stp>
        <stp>TICKER</stp>
        <stp>[TREASURY.xlsx]Sheet1!R1390C2</stp>
        <tr r="B1390" s="1"/>
      </tp>
      <tp t="s">
        <v>T</v>
        <stp/>
        <stp>##V3_BDPV12</stp>
        <stp>912827QW Govt</stp>
        <stp>TICKER</stp>
        <stp>[TREASURY.xlsx]Sheet1!R1394C2</stp>
        <tr r="B1394" s="1"/>
      </tp>
      <tp t="s">
        <v>T</v>
        <stp/>
        <stp>##V3_BDPV12</stp>
        <stp>912827PR Govt</stp>
        <stp>TICKER</stp>
        <stp>[TREASURY.xlsx]Sheet1!R1341C2</stp>
        <tr r="B1341" s="1"/>
      </tp>
      <tp t="s">
        <v>T</v>
        <stp/>
        <stp>##V3_BDPV12</stp>
        <stp>912827KR Govt</stp>
        <stp>TICKER</stp>
        <stp>[TREASURY.xlsx]Sheet1!R1161C2</stp>
        <tr r="B1161" s="1"/>
      </tp>
      <tp t="s">
        <v>T</v>
        <stp/>
        <stp>##V3_BDPV12</stp>
        <stp>912827ZW Govt</stp>
        <stp>TICKER</stp>
        <stp>[TREASURY.xlsx]Sheet1!R1104C2</stp>
        <tr r="B1104" s="1"/>
      </tp>
      <tp t="s">
        <v>T</v>
        <stp/>
        <stp>##V3_BDPV12</stp>
        <stp>912827TP Govt</stp>
        <stp>TICKER</stp>
        <stp>[TREASURY.xlsx]Sheet1!R1193C2</stp>
        <tr r="B1193" s="1"/>
      </tp>
      <tp t="s">
        <v>T</v>
        <stp/>
        <stp>##V3_BDPV12</stp>
        <stp>912827VZ Govt</stp>
        <stp>TICKER</stp>
        <stp>[TREASURY.xlsx]Sheet1!R1089C2</stp>
        <tr r="B1089" s="1"/>
      </tp>
      <tp t="s">
        <v>T</v>
        <stp/>
        <stp>##V3_BDPV12</stp>
        <stp>912827ST Govt</stp>
        <stp>TICKER</stp>
        <stp>[TREASURY.xlsx]Sheet1!R1067C2</stp>
        <tr r="B1067" s="1"/>
      </tp>
      <tp t="s">
        <v>T</v>
        <stp/>
        <stp>##V3_BDPV12</stp>
        <stp>9128272S Govt</stp>
        <stp>TICKER</stp>
        <stp>[TREASURY.xlsx]Sheet1!R1520C2</stp>
        <tr r="B1520" s="1"/>
      </tp>
      <tp t="s">
        <v>T</v>
        <stp/>
        <stp>##V3_BDPV12</stp>
        <stp>9128276S Govt</stp>
        <stp>TICKER</stp>
        <stp>[TREASURY.xlsx]Sheet1!R1540C2</stp>
        <tr r="B1540" s="1"/>
      </tp>
      <tp t="s">
        <v>T</v>
        <stp/>
        <stp>##V3_BDPV12</stp>
        <stp>912827UZ Govt</stp>
        <stp>TICKER</stp>
        <stp>[TREASURY.xlsx]Sheet1!R1409C2</stp>
        <tr r="B1409" s="1"/>
      </tp>
      <tp t="s">
        <v>T</v>
        <stp/>
        <stp>##V3_BDPV12</stp>
        <stp>912827WS Govt</stp>
        <stp>TICKER</stp>
        <stp>[TREASURY.xlsx]Sheet1!R1420C2</stp>
        <tr r="B1420" s="1"/>
      </tp>
      <tp t="s">
        <v>USD</v>
        <stp/>
        <stp>##V3_BDPV12</stp>
        <stp>912827UQ Govt</stp>
        <stp>CRNCY</stp>
        <stp>[TREASURY.xlsx]Sheet1!R1079C7</stp>
        <tr r="G1079" s="1"/>
      </tp>
      <tp t="s">
        <v>USD</v>
        <stp/>
        <stp>##V3_BDPV12</stp>
        <stp>912827UZ Govt</stp>
        <stp>CRNCY</stp>
        <stp>[TREASURY.xlsx]Sheet1!R1409C7</stp>
        <tr r="G1409" s="1"/>
      </tp>
      <tp t="s">
        <v>#N/A Field Not Applicable</v>
        <stp/>
        <stp>##V3_BDPV12</stp>
        <stp>912810BX Govt</stp>
        <stp>IDX_RATIO</stp>
        <stp>[TREASURY.xlsx]Sheet1!R1440C20</stp>
        <tr r="T1440" s="1"/>
      </tp>
      <tp t="s">
        <v>CALLABLE</v>
        <stp/>
        <stp>##V3_BDPV12</stp>
        <stp>912810DL Govt</stp>
        <stp>MTY_TYP</stp>
        <stp>[TREASURY.xlsx]Sheet1!R1620C6</stp>
        <tr r="F1620" s="1"/>
      </tp>
      <tp t="s">
        <v>CALLABLE</v>
        <stp/>
        <stp>##V3_BDPV12</stp>
        <stp>912810CV Govt</stp>
        <stp>MTY_TYP</stp>
        <stp>[TREASURY.xlsx]Sheet1!R1310C6</stp>
        <tr r="F1310" s="1"/>
      </tp>
      <tp t="s">
        <v>CALLABLE</v>
        <stp/>
        <stp>##V3_BDPV12</stp>
        <stp>912810BX Govt</stp>
        <stp>MTY_TYP</stp>
        <stp>[TREASURY.xlsx]Sheet1!R1440C6</stp>
        <tr r="F1440" s="1"/>
      </tp>
      <tp t="s">
        <v>#N/A Field Not Applicable</v>
        <stp/>
        <stp>##V3_BDPV12</stp>
        <stp>9128276X Govt</stp>
        <stp>IDX_RATIO</stp>
        <stp>[TREASURY.xlsx]Sheet1!R1469C20</stp>
        <tr r="T1469" s="1"/>
      </tp>
      <tp t="s">
        <v>#N/A Field Not Applicable</v>
        <stp/>
        <stp>##V3_BDPV12</stp>
        <stp>912828DX Govt</stp>
        <stp>IDX_RATIO</stp>
        <stp>[TREASURY.xlsx]Sheet1!R1429C20</stp>
        <tr r="T1429" s="1"/>
      </tp>
      <tp t="s">
        <v>UNITED STATES</v>
        <stp/>
        <stp>##V3_BDPV12</stp>
        <stp>9128282N Govt</stp>
        <stp>COUNTRY_FULL_NAME</stp>
        <stp>[TREASURY.xlsx]Sheet1!R258C8</stp>
        <tr r="H258" s="1"/>
      </tp>
      <tp t="s">
        <v>#N/A Field Not Applicable</v>
        <stp/>
        <stp>##V3_BDPV12</stp>
        <stp>912827QX Govt</stp>
        <stp>IDX_RATIO</stp>
        <stp>[TREASURY.xlsx]Sheet1!R1575C20</stp>
        <tr r="T1575" s="1"/>
      </tp>
      <tp t="s">
        <v>#N/A Field Not Applicable</v>
        <stp/>
        <stp>##V3_BDPV12</stp>
        <stp>912827PX Govt</stp>
        <stp>IDX_RATIO</stp>
        <stp>[TREASURY.xlsx]Sheet1!R1570C20</stp>
        <tr r="T1570" s="1"/>
      </tp>
      <tp t="s">
        <v>#N/A Field Not Applicable</v>
        <stp/>
        <stp>##V3_BDPV12</stp>
        <stp>9128272X Govt</stp>
        <stp>IDX_RATIO</stp>
        <stp>[TREASURY.xlsx]Sheet1!R1524C20</stp>
        <tr r="T1524" s="1"/>
      </tp>
      <tp t="s">
        <v>#N/A Field Not Applicable</v>
        <stp/>
        <stp>##V3_BDPV12</stp>
        <stp>912827WX Govt</stp>
        <stp>IDX_RATIO</stp>
        <stp>[TREASURY.xlsx]Sheet1!R1593C20</stp>
        <tr r="T1593" s="1"/>
      </tp>
      <tp t="s">
        <v>USD</v>
        <stp/>
        <stp>##V3_BDPV12</stp>
        <stp>912827XA Govt</stp>
        <stp>CRNCY</stp>
        <stp>[TREASURY.xlsx]Sheet1!R1594C7</stp>
        <tr r="G1594" s="1"/>
      </tp>
      <tp t="s">
        <v>UNITED STATES</v>
        <stp/>
        <stp>##V3_BDPV12</stp>
        <stp>9128273Y Govt</stp>
        <stp>COUNTRY_FULL_NAME</stp>
        <stp>[TREASURY.xlsx]Sheet1!R607C8</stp>
        <tr r="H607" s="1"/>
      </tp>
      <tp t="s">
        <v>UNITED STATES</v>
        <stp/>
        <stp>##V3_BDPV12</stp>
        <stp>9128283U Govt</stp>
        <stp>COUNTRY_FULL_NAME</stp>
        <stp>[TREASURY.xlsx]Sheet1!R268C8</stp>
        <tr r="H268" s="1"/>
      </tp>
      <tp t="s">
        <v>#N/A Field Not Applicable</v>
        <stp/>
        <stp>##V3_BDPV12</stp>
        <stp>9128283X Govt</stp>
        <stp>IDX_RATIO</stp>
        <stp>[TREASURY.xlsx]Sheet1!R1269C20</stp>
        <tr r="T1269" s="1"/>
      </tp>
      <tp t="s">
        <v>#N/A Field Not Applicable</v>
        <stp/>
        <stp>##V3_BDPV12</stp>
        <stp>912828FX Govt</stp>
        <stp>IDX_RATIO</stp>
        <stp>[TREASURY.xlsx]Sheet1!R1278C20</stp>
        <tr r="T1278" s="1"/>
      </tp>
      <tp t="s">
        <v>UNITED STATES</v>
        <stp/>
        <stp>##V3_BDPV12</stp>
        <stp>9128284U Govt</stp>
        <stp>COUNTRY_FULL_NAME</stp>
        <stp>[TREASURY.xlsx]Sheet1!R128C8</stp>
        <tr r="H128" s="1"/>
      </tp>
      <tp t="s">
        <v>UNITED STATES</v>
        <stp/>
        <stp>##V3_BDPV12</stp>
        <stp>9128284A Govt</stp>
        <stp>COUNTRY_FULL_NAME</stp>
        <stp>[TREASURY.xlsx]Sheet1!R288C8</stp>
        <tr r="H288" s="1"/>
      </tp>
      <tp t="s">
        <v>#N/A Field Not Applicable</v>
        <stp/>
        <stp>##V3_BDPV12</stp>
        <stp>9128274X Govt</stp>
        <stp>IDX_RATIO</stp>
        <stp>[TREASURY.xlsx]Sheet1!R1368C20</stp>
        <tr r="T1368" s="1"/>
      </tp>
      <tp t="s">
        <v>#N/A Field Not Applicable</v>
        <stp/>
        <stp>##V3_BDPV12</stp>
        <stp>912827MX Govt</stp>
        <stp>IDX_RATIO</stp>
        <stp>[TREASURY.xlsx]Sheet1!R1382C20</stp>
        <tr r="T1382" s="1"/>
      </tp>
      <tp t="s">
        <v>#N/A Field Not Applicable</v>
        <stp/>
        <stp>##V3_BDPV12</stp>
        <stp>912827NX Govt</stp>
        <stp>IDX_RATIO</stp>
        <stp>[TREASURY.xlsx]Sheet1!R1385C20</stp>
        <tr r="T1385" s="1"/>
      </tp>
      <tp t="s">
        <v>USD</v>
        <stp/>
        <stp>##V3_BDPV12</stp>
        <stp>912827UG Govt</stp>
        <stp>CRNCY</stp>
        <stp>[TREASURY.xlsx]Sheet1!R1199C7</stp>
        <tr r="G1199" s="1"/>
      </tp>
      <tp t="s">
        <v>UNITED STATES</v>
        <stp/>
        <stp>##V3_BDPV12</stp>
        <stp>9128285J Govt</stp>
        <stp>COUNTRY_FULL_NAME</stp>
        <stp>[TREASURY.xlsx]Sheet1!R248C8</stp>
        <tr r="H248" s="1"/>
      </tp>
      <tp t="s">
        <v>UNITED STATES</v>
        <stp/>
        <stp>##V3_BDPV12</stp>
        <stp>9128285G Govt</stp>
        <stp>COUNTRY_FULL_NAME</stp>
        <stp>[TREASURY.xlsx]Sheet1!R368C8</stp>
        <tr r="H368" s="1"/>
      </tp>
      <tp t="s">
        <v>NORMAL</v>
        <stp/>
        <stp>##V3_BDPV12</stp>
        <stp>9128277A Govt</stp>
        <stp>MTY_TYP</stp>
        <stp>[TREASURY.xlsx]Sheet1!R1543C6</stp>
        <tr r="F1543" s="1"/>
      </tp>
      <tp t="s">
        <v>NORMAL</v>
        <stp/>
        <stp>##V3_BDPV12</stp>
        <stp>9128274V Govt</stp>
        <stp>MTY_TYP</stp>
        <stp>[TREASURY.xlsx]Sheet1!R1533C6</stp>
        <tr r="F1533" s="1"/>
      </tp>
      <tp t="s">
        <v>NORMAL</v>
        <stp/>
        <stp>##V3_BDPV12</stp>
        <stp>9128275A Govt</stp>
        <stp>MTY_TYP</stp>
        <stp>[TREASURY.xlsx]Sheet1!R1463C6</stp>
        <tr r="F1463" s="1"/>
      </tp>
      <tp t="s">
        <v>NORMAL</v>
        <stp/>
        <stp>##V3_BDPV12</stp>
        <stp>9128273B Govt</stp>
        <stp>MTY_TYP</stp>
        <stp>[TREASURY.xlsx]Sheet1!R1353C6</stp>
        <tr r="F1353" s="1"/>
      </tp>
      <tp t="s">
        <v>NORMAL</v>
        <stp/>
        <stp>##V3_BDPV12</stp>
        <stp>9128272W Govt</stp>
        <stp>MTY_TYP</stp>
        <stp>[TREASURY.xlsx]Sheet1!R1523C6</stp>
        <tr r="F1523" s="1"/>
      </tp>
      <tp t="s">
        <v>NORMAL</v>
        <stp/>
        <stp>##V3_BDPV12</stp>
        <stp>9128274E Govt</stp>
        <stp>MTY_TYP</stp>
        <stp>[TREASURY.xlsx]Sheet1!R1363C6</stp>
        <tr r="F1363" s="1"/>
      </tp>
      <tp t="s">
        <v>NORMAL</v>
        <stp/>
        <stp>##V3_BDPV12</stp>
        <stp>9128272R Govt</stp>
        <stp>MTY_TYP</stp>
        <stp>[TREASURY.xlsx]Sheet1!R1453C6</stp>
        <tr r="F1453" s="1"/>
      </tp>
      <tp t="s">
        <v>NORMAL</v>
        <stp/>
        <stp>##V3_BDPV12</stp>
        <stp>9128276K Govt</stp>
        <stp>MTY_TYP</stp>
        <stp>[TREASURY.xlsx]Sheet1!R1023C6</stp>
        <tr r="F1023" s="1"/>
      </tp>
      <tp t="s">
        <v>NORMAL</v>
        <stp/>
        <stp>##V3_BDPV12</stp>
        <stp>9128275D Govt</stp>
        <stp>MTY_TYP</stp>
        <stp>[TREASURY.xlsx]Sheet1!R1013C6</stp>
        <tr r="F1013" s="1"/>
      </tp>
      <tp t="s">
        <v>#N/A Field Not Applicable</v>
        <stp/>
        <stp>##V3_BDPV12</stp>
        <stp>912827UX Govt</stp>
        <stp>IDX_RATIO</stp>
        <stp>[TREASURY.xlsx]Sheet1!R1081C20</stp>
        <tr r="T1081" s="1"/>
      </tp>
      <tp t="s">
        <v>USD</v>
        <stp/>
        <stp>##V3_BDPV12</stp>
        <stp>912827TD Govt</stp>
        <stp>CRNCY</stp>
        <stp>[TREASURY.xlsx]Sheet1!R1398C7</stp>
        <tr r="G1398" s="1"/>
      </tp>
      <tp t="s">
        <v>UNITED STATES</v>
        <stp/>
        <stp>##V3_BDPV12</stp>
        <stp>9128286M Govt</stp>
        <stp>COUNTRY_FULL_NAME</stp>
        <stp>[TREASURY.xlsx]Sheet1!R218C8</stp>
        <tr r="H218" s="1"/>
      </tp>
      <tp t="s">
        <v>UNITED STATES</v>
        <stp/>
        <stp>##V3_BDPV12</stp>
        <stp>9128286H Govt</stp>
        <stp>COUNTRY_FULL_NAME</stp>
        <stp>[TREASURY.xlsx]Sheet1!R228C8</stp>
        <tr r="H228" s="1"/>
      </tp>
      <tp t="s">
        <v>UNITED STATES</v>
        <stp/>
        <stp>##V3_BDPV12</stp>
        <stp>9128286D Govt</stp>
        <stp>COUNTRY_FULL_NAME</stp>
        <stp>[TREASURY.xlsx]Sheet1!R348C8</stp>
        <tr r="H348" s="1"/>
      </tp>
      <tp t="s">
        <v>NORMAL</v>
        <stp/>
        <stp>##V3_BDPV12</stp>
        <stp>912827LR Govt</stp>
        <stp>MTY_TYP</stp>
        <stp>[TREASURY.xlsx]Sheet1!R1323C6</stp>
        <tr r="F1323" s="1"/>
      </tp>
      <tp t="s">
        <v>NORMAL</v>
        <stp/>
        <stp>##V3_BDPV12</stp>
        <stp>912827NW Govt</stp>
        <stp>MTY_TYP</stp>
        <stp>[TREASURY.xlsx]Sheet1!R1053C6</stp>
        <tr r="F1053" s="1"/>
      </tp>
      <tp t="s">
        <v>NORMAL</v>
        <stp/>
        <stp>##V3_BDPV12</stp>
        <stp>912827K7 Govt</stp>
        <stp>MTY_TYP</stp>
        <stp>[TREASURY.xlsx]Sheet1!R1563C6</stp>
        <tr r="F1563" s="1"/>
      </tp>
      <tp t="s">
        <v>NORMAL</v>
        <stp/>
        <stp>##V3_BDPV12</stp>
        <stp>912827NH Govt</stp>
        <stp>MTY_TYP</stp>
        <stp>[TREASURY.xlsx]Sheet1!R1333C6</stp>
        <tr r="F1333" s="1"/>
      </tp>
      <tp t="s">
        <v>NORMAL</v>
        <stp/>
        <stp>##V3_BDPV12</stp>
        <stp>912827NB Govt</stp>
        <stp>MTY_TYP</stp>
        <stp>[TREASURY.xlsx]Sheet1!R1383C6</stp>
        <tr r="F1383" s="1"/>
      </tp>
      <tp t="s">
        <v>NORMAL</v>
        <stp/>
        <stp>##V3_BDPV12</stp>
        <stp>912827L2 Govt</stp>
        <stp>MTY_TYP</stp>
        <stp>[TREASURY.xlsx]Sheet1!R1163C6</stp>
        <tr r="F1163" s="1"/>
      </tp>
      <tp t="s">
        <v>NORMAL</v>
        <stp/>
        <stp>##V3_BDPV12</stp>
        <stp>912827LS Govt</stp>
        <stp>MTY_TYP</stp>
        <stp>[TREASURY.xlsx]Sheet1!R1043C6</stp>
        <tr r="F1043" s="1"/>
      </tp>
      <tp t="s">
        <v>NORMAL</v>
        <stp/>
        <stp>##V3_BDPV12</stp>
        <stp>912827D3 Govt</stp>
        <stp>MTY_TYP</stp>
        <stp>[TREASURY.xlsx]Sheet1!R1483C6</stp>
        <tr r="F1483" s="1"/>
      </tp>
      <tp t="s">
        <v>NORMAL</v>
        <stp/>
        <stp>##V3_BDPV12</stp>
        <stp>912827C4 Govt</stp>
        <stp>MTY_TYP</stp>
        <stp>[TREASURY.xlsx]Sheet1!R1553C6</stp>
        <tr r="F1553" s="1"/>
      </tp>
      <tp t="s">
        <v>NORMAL</v>
        <stp/>
        <stp>##V3_BDPV12</stp>
        <stp>912827E4 Govt</stp>
        <stp>MTY_TYP</stp>
        <stp>[TREASURY.xlsx]Sheet1!R1313C6</stp>
        <tr r="F1313" s="1"/>
      </tp>
      <tp t="s">
        <v>NORMAL</v>
        <stp/>
        <stp>##V3_BDPV12</stp>
        <stp>912827A5 Govt</stp>
        <stp>MTY_TYP</stp>
        <stp>[TREASURY.xlsx]Sheet1!R1473C6</stp>
        <tr r="F1473" s="1"/>
      </tp>
      <tp t="s">
        <v>NORMAL</v>
        <stp/>
        <stp>##V3_BDPV12</stp>
        <stp>912827F6 Govt</stp>
        <stp>MTY_TYP</stp>
        <stp>[TREASURY.xlsx]Sheet1!R1373C6</stp>
        <tr r="F1373" s="1"/>
      </tp>
      <tp t="s">
        <v>NORMAL</v>
        <stp/>
        <stp>##V3_BDPV12</stp>
        <stp>912827D2 Govt</stp>
        <stp>MTY_TYP</stp>
        <stp>[TREASURY.xlsx]Sheet1!R1033C6</stp>
        <tr r="F1033" s="1"/>
      </tp>
      <tp t="s">
        <v>NORMAL</v>
        <stp/>
        <stp>##V3_BDPV12</stp>
        <stp>912827E2 Govt</stp>
        <stp>MTY_TYP</stp>
        <stp>[TREASURY.xlsx]Sheet1!R1153C6</stp>
        <tr r="F1153" s="1"/>
      </tp>
      <tp t="s">
        <v>NORMAL</v>
        <stp/>
        <stp>##V3_BDPV12</stp>
        <stp>912827YQ Govt</stp>
        <stp>MTY_TYP</stp>
        <stp>[TREASURY.xlsx]Sheet1!R1223C6</stp>
        <tr r="F1223" s="1"/>
      </tp>
      <tp t="s">
        <v>NORMAL</v>
        <stp/>
        <stp>##V3_BDPV12</stp>
        <stp>912827ZG Govt</stp>
        <stp>MTY_TYP</stp>
        <stp>[TREASURY.xlsx]Sheet1!R1103C6</stp>
        <tr r="F1103" s="1"/>
      </tp>
      <tp t="s">
        <v>NORMAL</v>
        <stp/>
        <stp>##V3_BDPV12</stp>
        <stp>912827X8 Govt</stp>
        <stp>MTY_TYP</stp>
        <stp>[TREASURY.xlsx]Sheet1!R1213C6</stp>
        <tr r="F1213" s="1"/>
      </tp>
      <tp t="s">
        <v>NORMAL</v>
        <stp/>
        <stp>##V3_BDPV12</stp>
        <stp>912827YD Govt</stp>
        <stp>MTY_TYP</stp>
        <stp>[TREASURY.xlsx]Sheet1!R1603C6</stp>
        <tr r="F1603" s="1"/>
      </tp>
      <tp t="s">
        <v>NORMAL</v>
        <stp/>
        <stp>##V3_BDPV12</stp>
        <stp>912827ZY Govt</stp>
        <stp>MTY_TYP</stp>
        <stp>[TREASURY.xlsx]Sheet1!R1613C6</stp>
        <tr r="F1613" s="1"/>
      </tp>
      <tp t="s">
        <v>NORMAL</v>
        <stp/>
        <stp>##V3_BDPV12</stp>
        <stp>912827WZ Govt</stp>
        <stp>MTY_TYP</stp>
        <stp>[TREASURY.xlsx]Sheet1!R1423C6</stp>
        <tr r="F1423" s="1"/>
      </tp>
      <tp t="s">
        <v>NORMAL</v>
        <stp/>
        <stp>##V3_BDPV12</stp>
        <stp>912827QS Govt</stp>
        <stp>MTY_TYP</stp>
        <stp>[TREASURY.xlsx]Sheet1!R1393C6</stp>
        <tr r="F1393" s="1"/>
      </tp>
      <tp t="s">
        <v>NORMAL</v>
        <stp/>
        <stp>##V3_BDPV12</stp>
        <stp>912827WX Govt</stp>
        <stp>MTY_TYP</stp>
        <stp>[TREASURY.xlsx]Sheet1!R1593C6</stp>
        <tr r="F1593" s="1"/>
      </tp>
      <tp t="s">
        <v>NORMAL</v>
        <stp/>
        <stp>##V3_BDPV12</stp>
        <stp>912827VW Govt</stp>
        <stp>MTY_TYP</stp>
        <stp>[TREASURY.xlsx]Sheet1!R1413C6</stp>
        <tr r="F1413" s="1"/>
      </tp>
      <tp t="s">
        <v>NORMAL</v>
        <stp/>
        <stp>##V3_BDPV12</stp>
        <stp>912827SB Govt</stp>
        <stp>MTY_TYP</stp>
        <stp>[TREASURY.xlsx]Sheet1!R1183C6</stp>
        <tr r="F1183" s="1"/>
      </tp>
      <tp t="s">
        <v>NORMAL</v>
        <stp/>
        <stp>##V3_BDPV12</stp>
        <stp>912827RE Govt</stp>
        <stp>MTY_TYP</stp>
        <stp>[TREASURY.xlsx]Sheet1!R1063C6</stp>
        <tr r="F1063" s="1"/>
      </tp>
      <tp t="s">
        <v>NORMAL</v>
        <stp/>
        <stp>##V3_BDPV12</stp>
        <stp>912827Q6 Govt</stp>
        <stp>MTY_TYP</stp>
        <stp>[TREASURY.xlsx]Sheet1!R1343C6</stp>
        <tr r="F1343" s="1"/>
      </tp>
      <tp t="s">
        <v>NORMAL</v>
        <stp/>
        <stp>##V3_BDPV12</stp>
        <stp>912827PG Govt</stp>
        <stp>MTY_TYP</stp>
        <stp>[TREASURY.xlsx]Sheet1!R1173C6</stp>
        <tr r="F1173" s="1"/>
      </tp>
      <tp t="s">
        <v>NORMAL</v>
        <stp/>
        <stp>##V3_BDPV12</stp>
        <stp>912827U4 Govt</stp>
        <stp>MTY_TYP</stp>
        <stp>[TREASURY.xlsx]Sheet1!R1403C6</stp>
        <tr r="F1403" s="1"/>
      </tp>
      <tp t="s">
        <v>NORMAL</v>
        <stp/>
        <stp>##V3_BDPV12</stp>
        <stp>912827WQ Govt</stp>
        <stp>MTY_TYP</stp>
        <stp>[TREASURY.xlsx]Sheet1!R1093C6</stp>
        <tr r="F1093" s="1"/>
      </tp>
      <tp t="s">
        <v>NORMAL</v>
        <stp/>
        <stp>##V3_BDPV12</stp>
        <stp>912827RY Govt</stp>
        <stp>MTY_TYP</stp>
        <stp>[TREASURY.xlsx]Sheet1!R1583C6</stp>
        <tr r="F1583" s="1"/>
      </tp>
      <tp t="s">
        <v>NORMAL</v>
        <stp/>
        <stp>##V3_BDPV12</stp>
        <stp>912827RL Govt</stp>
        <stp>MTY_TYP</stp>
        <stp>[TREASURY.xlsx]Sheet1!R1503C6</stp>
        <tr r="F1503" s="1"/>
      </tp>
      <tp t="s">
        <v>NORMAL</v>
        <stp/>
        <stp>##V3_BDPV12</stp>
        <stp>912827V5 Govt</stp>
        <stp>MTY_TYP</stp>
        <stp>[TREASURY.xlsx]Sheet1!R1083C6</stp>
        <tr r="F1083" s="1"/>
      </tp>
      <tp t="s">
        <v>NORMAL</v>
        <stp/>
        <stp>##V3_BDPV12</stp>
        <stp>912827TP Govt</stp>
        <stp>MTY_TYP</stp>
        <stp>[TREASURY.xlsx]Sheet1!R1193C6</stp>
        <tr r="F1193" s="1"/>
      </tp>
      <tp t="s">
        <v>NORMAL</v>
        <stp/>
        <stp>##V3_BDPV12</stp>
        <stp>912827PY Govt</stp>
        <stp>MTY_TYP</stp>
        <stp>[TREASURY.xlsx]Sheet1!R1493C6</stp>
        <tr r="F1493" s="1"/>
      </tp>
      <tp t="s">
        <v>NORMAL</v>
        <stp/>
        <stp>##V3_BDPV12</stp>
        <stp>912827VJ Govt</stp>
        <stp>MTY_TYP</stp>
        <stp>[TREASURY.xlsx]Sheet1!R1203C6</stp>
        <tr r="F1203" s="1"/>
      </tp>
      <tp t="s">
        <v>NORMAL</v>
        <stp/>
        <stp>##V3_BDPV12</stp>
        <stp>912827TJ Govt</stp>
        <stp>MTY_TYP</stp>
        <stp>[TREASURY.xlsx]Sheet1!R1073C6</stp>
        <tr r="F1073" s="1"/>
      </tp>
      <tp t="s">
        <v>NORMAL</v>
        <stp/>
        <stp>##V3_BDPV12</stp>
        <stp>912827Q9 Govt</stp>
        <stp>MTY_TYP</stp>
        <stp>[TREASURY.xlsx]Sheet1!R1573C6</stp>
        <tr r="F1573" s="1"/>
      </tp>
      <tp t="s">
        <v>#N/A Field Not Applicable</v>
        <stp/>
        <stp>##V3_BDPV12</stp>
        <stp>912827KX Govt</stp>
        <stp>IDX_RATIO</stp>
        <stp>[TREASURY.xlsx]Sheet1!R1162C20</stp>
        <tr r="T1162" s="1"/>
      </tp>
      <tp t="s">
        <v>#N/A Field Not Applicable</v>
        <stp/>
        <stp>##V3_BDPV12</stp>
        <stp>912828KX Govt</stp>
        <stp>IDX_RATIO</stp>
        <stp>[TREASURY.xlsx]Sheet1!R1126C20</stp>
        <tr r="T1126" s="1"/>
      </tp>
      <tp t="s">
        <v>#N/A Field Not Applicable</v>
        <stp/>
        <stp>##V3_BDPV12</stp>
        <stp>912827TX Govt</stp>
        <stp>IDX_RATIO</stp>
        <stp>[TREASURY.xlsx]Sheet1!R1196C20</stp>
        <tr r="T1196" s="1"/>
      </tp>
      <tp t="s">
        <v>USD</v>
        <stp/>
        <stp>##V3_BDPV12</stp>
        <stp>912827TK Govt</stp>
        <stp>CRNCY</stp>
        <stp>[TREASURY.xlsx]Sheet1!R1508C7</stp>
        <tr r="G1508" s="1"/>
      </tp>
      <tp t="s">
        <v>NORMAL</v>
        <stp/>
        <stp>##V3_BDPV12</stp>
        <stp>912828HC Govt</stp>
        <stp>MTY_TYP</stp>
        <stp>[TREASURY.xlsx]Sheet1!R1283C6</stp>
        <tr r="F1283" s="1"/>
      </tp>
      <tp t="s">
        <v>NORMAL</v>
        <stp/>
        <stp>##V3_BDPV12</stp>
        <stp>912828KH Govt</stp>
        <stp>MTY_TYP</stp>
        <stp>[TREASURY.xlsx]Sheet1!R1123C6</stp>
        <tr r="F1123" s="1"/>
      </tp>
      <tp t="s">
        <v>NORMAL</v>
        <stp/>
        <stp>##V3_BDPV12</stp>
        <stp>912828H9 Govt</stp>
        <stp>MTY_TYP</stp>
        <stp>[TREASURY.xlsx]Sheet1!R1243C6</stp>
        <tr r="F1243" s="1"/>
      </tp>
      <tp t="s">
        <v>NORMAL</v>
        <stp/>
        <stp>##V3_BDPV12</stp>
        <stp>912828ML Govt</stp>
        <stp>MTY_TYP</stp>
        <stp>[TREASURY.xlsx]Sheet1!R1253C6</stp>
        <tr r="F1253" s="1"/>
      </tp>
      <tp t="s">
        <v>NORMAL</v>
        <stp/>
        <stp>##V3_BDPV12</stp>
        <stp>912828NQ Govt</stp>
        <stp>MTY_TYP</stp>
        <stp>[TREASURY.xlsx]Sheet1!R1293C6</stp>
        <tr r="F1293" s="1"/>
      </tp>
      <tp t="s">
        <v>NORMAL</v>
        <stp/>
        <stp>##V3_BDPV12</stp>
        <stp>912828GB Govt</stp>
        <stp>MTY_TYP</stp>
        <stp>[TREASURY.xlsx]Sheet1!R1433C6</stp>
        <tr r="F1433" s="1"/>
      </tp>
      <tp t="s">
        <v>NORMAL</v>
        <stp/>
        <stp>##V3_BDPV12</stp>
        <stp>912828A5 Govt</stp>
        <stp>MTY_TYP</stp>
        <stp>[TREASURY.xlsx]Sheet1!R1233C6</stp>
        <tr r="F1233" s="1"/>
      </tp>
      <tp t="s">
        <v>NORMAL</v>
        <stp/>
        <stp>##V3_BDPV12</stp>
        <stp>912828DZ Govt</stp>
        <stp>MTY_TYP</stp>
        <stp>[TREASURY.xlsx]Sheet1!R1273C6</stp>
        <tr r="F1273" s="1"/>
      </tp>
      <tp t="s">
        <v>NORMAL</v>
        <stp/>
        <stp>##V3_BDPV12</stp>
        <stp>912828EB Govt</stp>
        <stp>MTY_TYP</stp>
        <stp>[TREASURY.xlsx]Sheet1!R1113C6</stp>
        <tr r="F1113" s="1"/>
      </tp>
      <tp t="s">
        <v>NORMAL</v>
        <stp/>
        <stp>##V3_BDPV12</stp>
        <stp>912828QK Govt</stp>
        <stp>MTY_TYP</stp>
        <stp>[TREASURY.xlsx]Sheet1!R1263C6</stp>
        <tr r="F1263" s="1"/>
      </tp>
      <tp t="s">
        <v>NORMAL</v>
        <stp/>
        <stp>##V3_BDPV12</stp>
        <stp>912828SY Govt</stp>
        <stp>MTY_TYP</stp>
        <stp>[TREASURY.xlsx]Sheet1!R1133C6</stp>
        <tr r="F1133" s="1"/>
      </tp>
      <tp t="s">
        <v>NORMAL</v>
        <stp/>
        <stp>##V3_BDPV12</stp>
        <stp>912828RW Govt</stp>
        <stp>MTY_TYP</stp>
        <stp>[TREASURY.xlsx]Sheet1!R1303C6</stp>
        <tr r="F1303" s="1"/>
      </tp>
      <tp t="s">
        <v>NORMAL</v>
        <stp/>
        <stp>##V3_BDPV12</stp>
        <stp>912828VU Govt</stp>
        <stp>MTY_TYP</stp>
        <stp>[TREASURY.xlsx]Sheet1!R1003C6</stp>
        <tr r="F1003" s="1"/>
      </tp>
      <tp t="s">
        <v>NORMAL</v>
        <stp/>
        <stp>##V3_BDPV12</stp>
        <stp>912828TN Govt</stp>
        <stp>MTY_TYP</stp>
        <stp>[TREASURY.xlsx]Sheet1!R1143C6</stp>
        <tr r="F1143" s="1"/>
      </tp>
      <tp t="s">
        <v>USD</v>
        <stp/>
        <stp>##V3_BDPV12</stp>
        <stp>912827XL Govt</stp>
        <stp>CRNCY</stp>
        <stp>[TREASURY.xlsx]Sheet1!R1214C7</stp>
        <tr r="G1214" s="1"/>
      </tp>
      <tp t="s">
        <v>USD</v>
        <stp/>
        <stp>##V3_BDPV12</stp>
        <stp>912827YL Govt</stp>
        <stp>CRNCY</stp>
        <stp>[TREASURY.xlsx]Sheet1!R1605C7</stp>
        <tr r="G1605" s="1"/>
      </tp>
      <tp t="s">
        <v>USD</v>
        <stp/>
        <stp>##V3_BDPV12</stp>
        <stp>912827T3 Govt</stp>
        <stp>CRNCY</stp>
        <stp>[TREASURY.xlsx]Sheet1!R1069C7</stp>
        <tr r="G1069" s="1"/>
      </tp>
      <tp t="s">
        <v>UNITED STATES</v>
        <stp/>
        <stp>##V3_BDPV12</stp>
        <stp>912828AK Govt</stp>
        <stp>COUNTRY_FULL_NAME</stp>
        <stp>[TREASURY.xlsx]Sheet1!R959C8</stp>
        <tr r="H959" s="1"/>
      </tp>
      <tp t="s">
        <v>UNITED STATES</v>
        <stp/>
        <stp>##V3_BDPV12</stp>
        <stp>912828C6 Govt</stp>
        <stp>COUNTRY_FULL_NAME</stp>
        <stp>[TREASURY.xlsx]Sheet1!R349C8</stp>
        <tr r="H349" s="1"/>
      </tp>
      <tp t="s">
        <v>UNITED STATES</v>
        <stp/>
        <stp>##V3_BDPV12</stp>
        <stp>912810CX Govt</stp>
        <stp>COUNTRY_FULL_NAME</stp>
        <stp>[TREASURY.xlsx]Sheet1!R661C8</stp>
        <tr r="H661" s="1"/>
      </tp>
      <tp t="s">
        <v>UNITED STATES</v>
        <stp/>
        <stp>##V3_BDPV12</stp>
        <stp>912828CX Govt</stp>
        <stp>COUNTRY_FULL_NAME</stp>
        <stp>[TREASURY.xlsx]Sheet1!R659C8</stp>
        <tr r="H659" s="1"/>
      </tp>
      <tp t="s">
        <v>UNITED STATES</v>
        <stp/>
        <stp>##V3_BDPV12</stp>
        <stp>912810CT Govt</stp>
        <stp>COUNTRY_FULL_NAME</stp>
        <stp>[TREASURY.xlsx]Sheet1!R501C8</stp>
        <tr r="H501" s="1"/>
      </tp>
      <tp t="s">
        <v>UNITED STATES</v>
        <stp/>
        <stp>##V3_BDPV12</stp>
        <stp>912828CH Govt</stp>
        <stp>COUNTRY_FULL_NAME</stp>
        <stp>[TREASURY.xlsx]Sheet1!R559C8</stp>
        <tr r="H559" s="1"/>
      </tp>
      <tp t="s">
        <v>UNITED STATES</v>
        <stp/>
        <stp>##V3_BDPV12</stp>
        <stp>912828CG Govt</stp>
        <stp>COUNTRY_FULL_NAME</stp>
        <stp>[TREASURY.xlsx]Sheet1!R789C8</stp>
        <tr r="H789" s="1"/>
      </tp>
      <tp t="s">
        <v>UNITED STATES</v>
        <stp/>
        <stp>##V3_BDPV12</stp>
        <stp>912828D2 Govt</stp>
        <stp>COUNTRY_FULL_NAME</stp>
        <stp>[TREASURY.xlsx]Sheet1!R619C8</stp>
        <tr r="H619" s="1"/>
      </tp>
      <tp t="s">
        <v>UNITED STATES</v>
        <stp/>
        <stp>##V3_BDPV12</stp>
        <stp>912828D9 Govt</stp>
        <stp>COUNTRY_FULL_NAME</stp>
        <stp>[TREASURY.xlsx]Sheet1!R839C8</stp>
        <tr r="H839" s="1"/>
      </tp>
      <tp t="s">
        <v>UNITED STATES</v>
        <stp/>
        <stp>##V3_BDPV12</stp>
        <stp>912810DX Govt</stp>
        <stp>COUNTRY_FULL_NAME</stp>
        <stp>[TREASURY.xlsx]Sheet1!R461C8</stp>
        <tr r="H461" s="1"/>
      </tp>
      <tp t="s">
        <v>USD</v>
        <stp/>
        <stp>##V3_BDPV12</stp>
        <stp>912827X7 Govt</stp>
        <stp>CRNCY</stp>
        <stp>[TREASURY.xlsx]Sheet1!R1095C7</stp>
        <tr r="G1095" s="1"/>
      </tp>
      <tp t="s">
        <v>UNITED STATES</v>
        <stp/>
        <stp>##V3_BDPV12</stp>
        <stp>912810EJ Govt</stp>
        <stp>COUNTRY_FULL_NAME</stp>
        <stp>[TREASURY.xlsx]Sheet1!R521C8</stp>
        <tr r="H521" s="1"/>
      </tp>
      <tp t="s">
        <v>UNITED STATES</v>
        <stp/>
        <stp>##V3_BDPV12</stp>
        <stp>912810EL Govt</stp>
        <stp>COUNTRY_FULL_NAME</stp>
        <stp>[TREASURY.xlsx]Sheet1!R211C8</stp>
        <tr r="H211" s="1"/>
      </tp>
      <tp t="s">
        <v>UNITED STATES</v>
        <stp/>
        <stp>##V3_BDPV12</stp>
        <stp>912828EN Govt</stp>
        <stp>COUNTRY_FULL_NAME</stp>
        <stp>[TREASURY.xlsx]Sheet1!R649C8</stp>
        <tr r="H649" s="1"/>
      </tp>
      <tp t="s">
        <v>UNITED STATES</v>
        <stp/>
        <stp>##V3_BDPV12</stp>
        <stp>912828F9 Govt</stp>
        <stp>COUNTRY_FULL_NAME</stp>
        <stp>[TREASURY.xlsx]Sheet1!R199C8</stp>
        <tr r="H199" s="1"/>
      </tp>
      <tp t="s">
        <v>UNITED STATES</v>
        <stp/>
        <stp>##V3_BDPV12</stp>
        <stp>912828FJ Govt</stp>
        <stp>COUNTRY_FULL_NAME</stp>
        <stp>[TREASURY.xlsx]Sheet1!R799C8</stp>
        <tr r="H799" s="1"/>
      </tp>
      <tp t="s">
        <v>UNITED STATES</v>
        <stp/>
        <stp>##V3_BDPV12</stp>
        <stp>912828G8 Govt</stp>
        <stp>COUNTRY_FULL_NAME</stp>
        <stp>[TREASURY.xlsx]Sheet1!R209C8</stp>
        <tr r="H209" s="1"/>
      </tp>
      <tp t="s">
        <v>UNITED STATES</v>
        <stp/>
        <stp>##V3_BDPV12</stp>
        <stp>912828GM Govt</stp>
        <stp>COUNTRY_FULL_NAME</stp>
        <stp>[TREASURY.xlsx]Sheet1!R379C8</stp>
        <tr r="H379" s="1"/>
      </tp>
      <tp t="s">
        <v>UNITED STATES</v>
        <stp/>
        <stp>##V3_BDPV12</stp>
        <stp>912828H5 Govt</stp>
        <stp>COUNTRY_FULL_NAME</stp>
        <stp>[TREASURY.xlsx]Sheet1!R419C8</stp>
        <tr r="H419" s="1"/>
      </tp>
      <tp t="s">
        <v>UNITED STATES</v>
        <stp/>
        <stp>##V3_BDPV12</stp>
        <stp>912828HX Govt</stp>
        <stp>COUNTRY_FULL_NAME</stp>
        <stp>[TREASURY.xlsx]Sheet1!R809C8</stp>
        <tr r="H809" s="1"/>
      </tp>
      <tp t="s">
        <v>UNITED STATES</v>
        <stp/>
        <stp>##V3_BDPV12</stp>
        <stp>912828HD Govt</stp>
        <stp>COUNTRY_FULL_NAME</stp>
        <stp>[TREASURY.xlsx]Sheet1!R969C8</stp>
        <tr r="H969" s="1"/>
      </tp>
      <tp t="s">
        <v>UNITED STATES</v>
        <stp/>
        <stp>##V3_BDPV12</stp>
        <stp>912828HB Govt</stp>
        <stp>COUNTRY_FULL_NAME</stp>
        <stp>[TREASURY.xlsx]Sheet1!R849C8</stp>
        <tr r="H849" s="1"/>
      </tp>
      <tp t="s">
        <v>UNITED STATES</v>
        <stp/>
        <stp>##V3_BDPV12</stp>
        <stp>912827J2 Govt</stp>
        <stp>COUNTRY_FULL_NAME</stp>
        <stp>[TREASURY.xlsx]Sheet1!R706C8</stp>
        <tr r="H706" s="1"/>
      </tp>
      <tp t="s">
        <v>USD</v>
        <stp/>
        <stp>##V3_BDPV12</stp>
        <stp>912827U8 Govt</stp>
        <stp>CRNCY</stp>
        <stp>[TREASURY.xlsx]Sheet1!R1198C7</stp>
        <tr r="G1198" s="1"/>
      </tp>
      <tp t="s">
        <v>UNITED STATES</v>
        <stp/>
        <stp>##V3_BDPV12</stp>
        <stp>912828K8 Govt</stp>
        <stp>COUNTRY_FULL_NAME</stp>
        <stp>[TREASURY.xlsx]Sheet1!R369C8</stp>
        <tr r="H369" s="1"/>
      </tp>
      <tp t="s">
        <v>UNITED STATES</v>
        <stp/>
        <stp>##V3_BDPV12</stp>
        <stp>912827L5 Govt</stp>
        <stp>COUNTRY_FULL_NAME</stp>
        <stp>[TREASURY.xlsx]Sheet1!R886C8</stp>
        <tr r="H886" s="1"/>
      </tp>
      <tp t="s">
        <v>UNITED STATES</v>
        <stp/>
        <stp>##V3_BDPV12</stp>
        <stp>912828L4 Govt</stp>
        <stp>COUNTRY_FULL_NAME</stp>
        <stp>[TREASURY.xlsx]Sheet1!R669C8</stp>
        <tr r="H669" s="1"/>
      </tp>
      <tp t="s">
        <v>UNITED STATES</v>
        <stp/>
        <stp>##V3_BDPV12</stp>
        <stp>912828LW Govt</stp>
        <stp>COUNTRY_FULL_NAME</stp>
        <stp>[TREASURY.xlsx]Sheet1!R629C8</stp>
        <tr r="H629" s="1"/>
      </tp>
      <tp t="s">
        <v>UNITED STATES</v>
        <stp/>
        <stp>##V3_BDPV12</stp>
        <stp>912827LN Govt</stp>
        <stp>COUNTRY_FULL_NAME</stp>
        <stp>[TREASURY.xlsx]Sheet1!R716C8</stp>
        <tr r="H716" s="1"/>
      </tp>
      <tp t="s">
        <v>UNITED STATES</v>
        <stp/>
        <stp>##V3_BDPV12</stp>
        <stp>912827LF Govt</stp>
        <stp>COUNTRY_FULL_NAME</stp>
        <stp>[TREASURY.xlsx]Sheet1!R656C8</stp>
        <tr r="H656" s="1"/>
      </tp>
      <tp t="s">
        <v>UNITED STATES</v>
        <stp/>
        <stp>##V3_BDPV12</stp>
        <stp>912828MW Govt</stp>
        <stp>COUNTRY_FULL_NAME</stp>
        <stp>[TREASURY.xlsx]Sheet1!R599C8</stp>
        <tr r="H599" s="1"/>
      </tp>
      <tp t="s">
        <v>UNITED STATES</v>
        <stp/>
        <stp>##V3_BDPV12</stp>
        <stp>912828MD Govt</stp>
        <stp>COUNTRY_FULL_NAME</stp>
        <stp>[TREASURY.xlsx]Sheet1!R859C8</stp>
        <tr r="H859" s="1"/>
      </tp>
      <tp t="s">
        <v>UNITED STATES</v>
        <stp/>
        <stp>##V3_BDPV12</stp>
        <stp>912827MG Govt</stp>
        <stp>COUNTRY_FULL_NAME</stp>
        <stp>[TREASURY.xlsx]Sheet1!R896C8</stp>
        <tr r="H896" s="1"/>
      </tp>
      <tp t="s">
        <v>UNITED STATES</v>
        <stp/>
        <stp>##V3_BDPV12</stp>
        <stp>912828MB Govt</stp>
        <stp>COUNTRY_FULL_NAME</stp>
        <stp>[TREASURY.xlsx]Sheet1!R819C8</stp>
        <tr r="H819" s="1"/>
      </tp>
      <tp t="s">
        <v>UNITED STATES</v>
        <stp/>
        <stp>##V3_BDPV12</stp>
        <stp>912827N3 Govt</stp>
        <stp>COUNTRY_FULL_NAME</stp>
        <stp>[TREASURY.xlsx]Sheet1!R726C8</stp>
        <tr r="H726" s="1"/>
      </tp>
      <tp t="s">
        <v>UNITED STATES</v>
        <stp/>
        <stp>##V3_BDPV12</stp>
        <stp>912828N3 Govt</stp>
        <stp>COUNTRY_FULL_NAME</stp>
        <stp>[TREASURY.xlsx]Sheet1!R129C8</stp>
        <tr r="H129" s="1"/>
      </tp>
      <tp t="s">
        <v>UNITED STATES</v>
        <stp/>
        <stp>##V3_BDPV12</stp>
        <stp>912828NS Govt</stp>
        <stp>COUNTRY_FULL_NAME</stp>
        <stp>[TREASURY.xlsx]Sheet1!R979C8</stp>
        <tr r="H979" s="1"/>
      </tp>
      <tp t="s">
        <v>UNITED STATES</v>
        <stp/>
        <stp>##V3_BDPV12</stp>
        <stp>912828P8 Govt</stp>
        <stp>COUNTRY_FULL_NAME</stp>
        <stp>[TREASURY.xlsx]Sheet1!R389C8</stp>
        <tr r="H389" s="1"/>
      </tp>
      <tp t="s">
        <v>UNITED STATES</v>
        <stp/>
        <stp>##V3_BDPV12</stp>
        <stp>912828P7 Govt</stp>
        <stp>COUNTRY_FULL_NAME</stp>
        <stp>[TREASURY.xlsx]Sheet1!R309C8</stp>
        <tr r="H309" s="1"/>
      </tp>
      <tp t="s">
        <v>UNITED STATES</v>
        <stp/>
        <stp>##V3_BDPV12</stp>
        <stp>912827PC Govt</stp>
        <stp>COUNTRY_FULL_NAME</stp>
        <stp>[TREASURY.xlsx]Sheet1!R736C8</stp>
        <tr r="H736" s="1"/>
      </tp>
      <tp t="s">
        <v>UNITED STATES</v>
        <stp/>
        <stp>##V3_BDPV12</stp>
        <stp>912828QX Govt</stp>
        <stp>COUNTRY_FULL_NAME</stp>
        <stp>[TREASURY.xlsx]Sheet1!R519C8</stp>
        <tr r="H519" s="1"/>
      </tp>
      <tp t="s">
        <v>UNITED STATES</v>
        <stp/>
        <stp>##V3_BDPV12</stp>
        <stp>912828QZ Govt</stp>
        <stp>COUNTRY_FULL_NAME</stp>
        <stp>[TREASURY.xlsx]Sheet1!R449C8</stp>
        <tr r="H449" s="1"/>
      </tp>
      <tp t="s">
        <v>UNITED STATES</v>
        <stp/>
        <stp>##V3_BDPV12</stp>
        <stp>912828QE Govt</stp>
        <stp>COUNTRY_FULL_NAME</stp>
        <stp>[TREASURY.xlsx]Sheet1!R989C8</stp>
        <tr r="H989" s="1"/>
      </tp>
      <tp t="s">
        <v>UNITED STATES</v>
        <stp/>
        <stp>##V3_BDPV12</stp>
        <stp>912810QN Govt</stp>
        <stp>COUNTRY_FULL_NAME</stp>
        <stp>[TREASURY.xlsx]Sheet1!R291C8</stp>
        <tr r="H291" s="1"/>
      </tp>
      <tp t="s">
        <v>UNITED STATES</v>
        <stp/>
        <stp>##V3_BDPV12</stp>
        <stp>912810QL Govt</stp>
        <stp>COUNTRY_FULL_NAME</stp>
        <stp>[TREASURY.xlsx]Sheet1!R321C8</stp>
        <tr r="H321" s="1"/>
      </tp>
      <tp t="s">
        <v>UNITED STATES</v>
        <stp/>
        <stp>##V3_BDPV12</stp>
        <stp>912827QG Govt</stp>
        <stp>COUNTRY_FULL_NAME</stp>
        <stp>[TREASURY.xlsx]Sheet1!R906C8</stp>
        <tr r="H906" s="1"/>
      </tp>
      <tp t="s">
        <v>UNITED STATES</v>
        <stp/>
        <stp>##V3_BDPV12</stp>
        <stp>912828QA Govt</stp>
        <stp>COUNTRY_FULL_NAME</stp>
        <stp>[TREASURY.xlsx]Sheet1!R509C8</stp>
        <tr r="H509" s="1"/>
      </tp>
      <tp t="s">
        <v>UNITED STATES</v>
        <stp/>
        <stp>##V3_BDPV12</stp>
        <stp>912810QD Govt</stp>
        <stp>COUNTRY_FULL_NAME</stp>
        <stp>[TREASURY.xlsx]Sheet1!R311C8</stp>
        <tr r="H311" s="1"/>
      </tp>
      <tp t="s">
        <v>UNITED STATES</v>
        <stp/>
        <stp>##V3_BDPV12</stp>
        <stp>912828R8 Govt</stp>
        <stp>COUNTRY_FULL_NAME</stp>
        <stp>[TREASURY.xlsx]Sheet1!R689C8</stp>
        <tr r="H689" s="1"/>
      </tp>
      <tp t="s">
        <v>UNITED STATES</v>
        <stp/>
        <stp>##V3_BDPV12</stp>
        <stp>912810RY Govt</stp>
        <stp>COUNTRY_FULL_NAME</stp>
        <stp>[TREASURY.xlsx]Sheet1!R191C8</stp>
        <tr r="H191" s="1"/>
      </tp>
      <tp t="s">
        <v>UNITED STATES</v>
        <stp/>
        <stp>##V3_BDPV12</stp>
        <stp>912828RP Govt</stp>
        <stp>COUNTRY_FULL_NAME</stp>
        <stp>[TREASURY.xlsx]Sheet1!R549C8</stp>
        <tr r="H549" s="1"/>
      </tp>
      <tp t="s">
        <v>UNITED STATES</v>
        <stp/>
        <stp>##V3_BDPV12</stp>
        <stp>912828RR Govt</stp>
        <stp>COUNTRY_FULL_NAME</stp>
        <stp>[TREASURY.xlsx]Sheet1!R119C8</stp>
        <tr r="H119" s="1"/>
      </tp>
      <tp t="s">
        <v>UNITED STATES</v>
        <stp/>
        <stp>##V3_BDPV12</stp>
        <stp>912828RG Govt</stp>
        <stp>COUNTRY_FULL_NAME</stp>
        <stp>[TREASURY.xlsx]Sheet1!R869C8</stp>
        <tr r="H869" s="1"/>
      </tp>
      <tp t="s">
        <v>UNITED STATES</v>
        <stp/>
        <stp>##V3_BDPV12</stp>
        <stp>912828RB Govt</stp>
        <stp>COUNTRY_FULL_NAME</stp>
        <stp>[TREASURY.xlsx]Sheet1!R459C8</stp>
        <tr r="H459" s="1"/>
      </tp>
      <tp t="s">
        <v>UNITED STATES</v>
        <stp/>
        <stp>##V3_BDPV12</stp>
        <stp>912827S9 Govt</stp>
        <stp>COUNTRY_FULL_NAME</stp>
        <stp>[TREASURY.xlsx]Sheet1!R746C8</stp>
        <tr r="H746" s="1"/>
      </tp>
      <tp t="s">
        <v>UNITED STATES</v>
        <stp/>
        <stp>##V3_BDPV12</stp>
        <stp>912827SD Govt</stp>
        <stp>COUNTRY_FULL_NAME</stp>
        <stp>[TREASURY.xlsx]Sheet1!R916C8</stp>
        <tr r="H916" s="1"/>
      </tp>
      <tp t="s">
        <v>UNITED STATES</v>
        <stp/>
        <stp>##V3_BDPV12</stp>
        <stp>912828SJ Govt</stp>
        <stp>COUNTRY_FULL_NAME</stp>
        <stp>[TREASURY.xlsx]Sheet1!R489C8</stp>
        <tr r="H489" s="1"/>
      </tp>
      <tp t="s">
        <v>UNITED STATES</v>
        <stp/>
        <stp>##V3_BDPV12</stp>
        <stp>912810SD Govt</stp>
        <stp>COUNTRY_FULL_NAME</stp>
        <stp>[TREASURY.xlsx]Sheet1!R181C8</stp>
        <tr r="H181" s="1"/>
      </tp>
      <tp t="s">
        <v>UNITED STATES</v>
        <stp/>
        <stp>##V3_BDPV12</stp>
        <stp>912828TU Govt</stp>
        <stp>COUNTRY_FULL_NAME</stp>
        <stp>[TREASURY.xlsx]Sheet1!R539C8</stp>
        <tr r="H539" s="1"/>
      </tp>
      <tp t="s">
        <v>UNITED STATES</v>
        <stp/>
        <stp>##V3_BDPV12</stp>
        <stp>912828TL Govt</stp>
        <stp>COUNTRY_FULL_NAME</stp>
        <stp>[TREASURY.xlsx]Sheet1!R409C8</stp>
        <tr r="H409" s="1"/>
      </tp>
      <tp t="s">
        <v>UNITED STATES</v>
        <stp/>
        <stp>##V3_BDPV12</stp>
        <stp>912827UT Govt</stp>
        <stp>COUNTRY_FULL_NAME</stp>
        <stp>[TREASURY.xlsx]Sheet1!R756C8</stp>
        <tr r="H756" s="1"/>
      </tp>
      <tp t="s">
        <v>UNITED STATES</v>
        <stp/>
        <stp>##V3_BDPV12</stp>
        <stp>912827UA Govt</stp>
        <stp>COUNTRY_FULL_NAME</stp>
        <stp>[TREASURY.xlsx]Sheet1!R836C8</stp>
        <tr r="H836" s="1"/>
      </tp>
      <tp t="s">
        <v>UNITED STATES</v>
        <stp/>
        <stp>##V3_BDPV12</stp>
        <stp>912828UJ Govt</stp>
        <stp>COUNTRY_FULL_NAME</stp>
        <stp>[TREASURY.xlsx]Sheet1!R999C8</stp>
        <tr r="H999" s="1"/>
      </tp>
      <tp t="s">
        <v>912827N99</v>
        <stp/>
        <stp>##V3_BDPV12</stp>
        <stp>912827N9 Govt</stp>
        <stp>ID_CUSIP</stp>
        <stp>[TREASURY.xlsx]Sheet1!R1330C19</stp>
        <tr r="S1330" s="1"/>
      </tp>
      <tp t="s">
        <v>UNITED STATES</v>
        <stp/>
        <stp>##V3_BDPV12</stp>
        <stp>912827VV Govt</stp>
        <stp>COUNTRY_FULL_NAME</stp>
        <stp>[TREASURY.xlsx]Sheet1!R926C8</stp>
        <tr r="H926" s="1"/>
      </tp>
      <tp t="s">
        <v>UNITED STATES</v>
        <stp/>
        <stp>##V3_BDPV12</stp>
        <stp>912827VY Govt</stp>
        <stp>COUNTRY_FULL_NAME</stp>
        <stp>[TREASURY.xlsx]Sheet1!R766C8</stp>
        <tr r="H766" s="1"/>
      </tp>
      <tp t="s">
        <v>UNITED STATES</v>
        <stp/>
        <stp>##V3_BDPV12</stp>
        <stp>912828VP Govt</stp>
        <stp>COUNTRY_FULL_NAME</stp>
        <stp>[TREASURY.xlsx]Sheet1!R479C8</stp>
        <tr r="H479" s="1"/>
      </tp>
      <tp t="s">
        <v>UNITED STATES</v>
        <stp/>
        <stp>##V3_BDPV12</stp>
        <stp>912828VN Govt</stp>
        <stp>COUNTRY_FULL_NAME</stp>
        <stp>[TREASURY.xlsx]Sheet1!R879C8</stp>
        <tr r="H879" s="1"/>
      </tp>
      <tp t="s">
        <v>UNITED STATES</v>
        <stp/>
        <stp>##V3_BDPV12</stp>
        <stp>912827VE Govt</stp>
        <stp>COUNTRY_FULL_NAME</stp>
        <stp>[TREASURY.xlsx]Sheet1!R626C8</stp>
        <tr r="H626" s="1"/>
      </tp>
      <tp t="s">
        <v>UNITED STATES</v>
        <stp/>
        <stp>##V3_BDPV12</stp>
        <stp>912828W2 Govt</stp>
        <stp>COUNTRY_FULL_NAME</stp>
        <stp>[TREASURY.xlsx]Sheet1!R679C8</stp>
        <tr r="H679" s="1"/>
      </tp>
      <tp t="s">
        <v>UNITED STATES</v>
        <stp/>
        <stp>##V3_BDPV12</stp>
        <stp>912828WY Govt</stp>
        <stp>COUNTRY_FULL_NAME</stp>
        <stp>[TREASURY.xlsx]Sheet1!R359C8</stp>
        <tr r="H359" s="1"/>
      </tp>
      <tp t="s">
        <v>912827N40</v>
        <stp/>
        <stp>##V3_BDPV12</stp>
        <stp>912827N4 Govt</stp>
        <stp>ID_CUSIP</stp>
        <stp>[TREASURY.xlsx]Sheet1!R1048C19</stp>
        <tr r="S1048" s="1"/>
      </tp>
      <tp t="s">
        <v>UNITED STATES</v>
        <stp/>
        <stp>##V3_BDPV12</stp>
        <stp>912828XZ Govt</stp>
        <stp>COUNTRY_FULL_NAME</stp>
        <stp>[TREASURY.xlsx]Sheet1!R279C8</stp>
        <tr r="H279" s="1"/>
      </tp>
      <tp t="s">
        <v>UNITED STATES</v>
        <stp/>
        <stp>##V3_BDPV12</stp>
        <stp>912828XX Govt</stp>
        <stp>COUNTRY_FULL_NAME</stp>
        <stp>[TREASURY.xlsx]Sheet1!R249C8</stp>
        <tr r="H249" s="1"/>
      </tp>
      <tp t="s">
        <v>UNITED STATES</v>
        <stp/>
        <stp>##V3_BDPV12</stp>
        <stp>912828XU Govt</stp>
        <stp>COUNTRY_FULL_NAME</stp>
        <stp>[TREASURY.xlsx]Sheet1!R639C8</stp>
        <tr r="H639" s="1"/>
      </tp>
      <tp t="s">
        <v>UNITED STATES</v>
        <stp/>
        <stp>##V3_BDPV12</stp>
        <stp>912828XD Govt</stp>
        <stp>COUNTRY_FULL_NAME</stp>
        <stp>[TREASURY.xlsx]Sheet1!R189C8</stp>
        <tr r="H189" s="1"/>
      </tp>
      <tp t="s">
        <v>UNITED STATES</v>
        <stp/>
        <stp>##V3_BDPV12</stp>
        <stp>912827XJ Govt</stp>
        <stp>COUNTRY_FULL_NAME</stp>
        <stp>[TREASURY.xlsx]Sheet1!R936C8</stp>
        <tr r="H936" s="1"/>
      </tp>
      <tp t="s">
        <v>UNITED STATES</v>
        <stp/>
        <stp>##V3_BDPV12</stp>
        <stp>912828Y4 Govt</stp>
        <stp>COUNTRY_FULL_NAME</stp>
        <stp>[TREASURY.xlsx]Sheet1!R589C8</stp>
        <tr r="H589" s="1"/>
      </tp>
      <tp t="s">
        <v>UNITED STATES</v>
        <stp/>
        <stp>##V3_BDPV12</stp>
        <stp>912827YS Govt</stp>
        <stp>COUNTRY_FULL_NAME</stp>
        <stp>[TREASURY.xlsx]Sheet1!R946C8</stp>
        <tr r="H946" s="1"/>
      </tp>
      <tp t="s">
        <v>UNITED STATES</v>
        <stp/>
        <stp>##V3_BDPV12</stp>
        <stp>912828YV Govt</stp>
        <stp>COUNTRY_FULL_NAME</stp>
        <stp>[TREASURY.xlsx]Sheet1!R139C8</stp>
        <tr r="H139" s="1"/>
      </tp>
      <tp t="s">
        <v>UNITED STATES</v>
        <stp/>
        <stp>##V3_BDPV12</stp>
        <stp>912828YP Govt</stp>
        <stp>COUNTRY_FULL_NAME</stp>
        <stp>[TREASURY.xlsx]Sheet1!R149C8</stp>
        <tr r="H149" s="1"/>
      </tp>
      <tp t="s">
        <v>UNITED STATES</v>
        <stp/>
        <stp>##V3_BDPV12</stp>
        <stp>912827YN Govt</stp>
        <stp>COUNTRY_FULL_NAME</stp>
        <stp>[TREASURY.xlsx]Sheet1!R776C8</stp>
        <tr r="H776" s="1"/>
      </tp>
      <tp t="s">
        <v>UNITED STATES</v>
        <stp/>
        <stp>##V3_BDPV12</stp>
        <stp>912828Z7 Govt</stp>
        <stp>COUNTRY_FULL_NAME</stp>
        <stp>[TREASURY.xlsx]Sheet1!R169C8</stp>
        <tr r="H169" s="1"/>
      </tp>
      <tp t="s">
        <v>UNITED STATES</v>
        <stp/>
        <stp>##V3_BDPV12</stp>
        <stp>912828ZV Govt</stp>
        <stp>COUNTRY_FULL_NAME</stp>
        <stp>[TREASURY.xlsx]Sheet1!R159C8</stp>
        <tr r="H159" s="1"/>
      </tp>
      <tp t="s">
        <v>UNITED STATES</v>
        <stp/>
        <stp>##V3_BDPV12</stp>
        <stp>912827ZX Govt</stp>
        <stp>COUNTRY_FULL_NAME</stp>
        <stp>[TREASURY.xlsx]Sheet1!R956C8</stp>
        <tr r="H956" s="1"/>
      </tp>
      <tp t="s">
        <v>912827N24</v>
        <stp/>
        <stp>##V3_BDPV12</stp>
        <stp>912827N2 Govt</stp>
        <stp>ID_CUSIP</stp>
        <stp>[TREASURY.xlsx]Sheet1!R1329C19</stp>
        <tr r="S1329" s="1"/>
      </tp>
      <tp t="s">
        <v>7/31/1999</v>
        <stp/>
        <stp>##V3_BDPV12</stp>
        <stp>912827Q6 Govt</stp>
        <stp>MATURITY</stp>
        <stp>[TREASURY.xlsx]Sheet1!R1343C5</stp>
        <tr r="E1343" s="1"/>
      </tp>
      <tp t="s">
        <v>8/31/1996</v>
        <stp/>
        <stp>##V3_BDPV12</stp>
        <stp>912827Q9 Govt</stp>
        <stp>MATURITY</stp>
        <stp>[TREASURY.xlsx]Sheet1!R1573C5</stp>
        <tr r="E1573" s="1"/>
      </tp>
      <tp t="s">
        <v>4/30/1986</v>
        <stp/>
        <stp>##V3_BDPV12</stp>
        <stp>912827QS Govt</stp>
        <stp>MATURITY</stp>
        <stp>[TREASURY.xlsx]Sheet1!R1393C5</stp>
        <tr r="E1393" s="1"/>
      </tp>
      <tp t="s">
        <v>9/30/1985</v>
        <stp/>
        <stp>##V3_BDPV12</stp>
        <stp>912827PY Govt</stp>
        <stp>MATURITY</stp>
        <stp>[TREASURY.xlsx]Sheet1!R1493C5</stp>
        <tr r="E1493" s="1"/>
      </tp>
      <tp t="s">
        <v>3/31/1985</v>
        <stp/>
        <stp>##V3_BDPV12</stp>
        <stp>912827PG Govt</stp>
        <stp>MATURITY</stp>
        <stp>[TREASURY.xlsx]Sheet1!R1173C5</stp>
        <tr r="E1173" s="1"/>
      </tp>
      <tp t="s">
        <v>4/15/1992</v>
        <stp/>
        <stp>##V3_BDPV12</stp>
        <stp>912827SB Govt</stp>
        <stp>MATURITY</stp>
        <stp>[TREASURY.xlsx]Sheet1!R1183C5</stp>
        <tr r="E1183" s="1"/>
      </tp>
      <tp t="s">
        <v>5/15/1990</v>
        <stp/>
        <stp>##V3_BDPV12</stp>
        <stp>912827RY Govt</stp>
        <stp>MATURITY</stp>
        <stp>[TREASURY.xlsx]Sheet1!R1583C5</stp>
        <tr r="E1583" s="1"/>
      </tp>
      <tp t="s">
        <v>11/15/1989</v>
        <stp/>
        <stp>##V3_BDPV12</stp>
        <stp>912827RE Govt</stp>
        <stp>MATURITY</stp>
        <stp>[TREASURY.xlsx]Sheet1!R1063C5</stp>
        <tr r="E1063" s="1"/>
      </tp>
      <tp t="s">
        <v>11/15/1987</v>
        <stp/>
        <stp>##V3_BDPV12</stp>
        <stp>912827RL Govt</stp>
        <stp>MATURITY</stp>
        <stp>[TREASURY.xlsx]Sheet1!R1503C5</stp>
        <tr r="E1503" s="1"/>
      </tp>
      <tp t="s">
        <v>6/30/2000</v>
        <stp/>
        <stp>##V3_BDPV12</stp>
        <stp>912827U4 Govt</stp>
        <stp>MATURITY</stp>
        <stp>[TREASURY.xlsx]Sheet1!R1403C5</stp>
        <tr r="E1403" s="1"/>
      </tp>
      <tp t="s">
        <v>US912828K742</v>
        <stp/>
        <stp>##V3_BDPV12</stp>
        <stp>912828K7 Govt</stp>
        <stp>ID_ISIN</stp>
        <stp>[TREASURY.xlsx]Sheet1!R81C12</stp>
        <tr r="L81" s="1"/>
      </tp>
      <tp t="s">
        <v>5/15/1989</v>
        <stp/>
        <stp>##V3_BDPV12</stp>
        <stp>912827TP Govt</stp>
        <stp>MATURITY</stp>
        <stp>[TREASURY.xlsx]Sheet1!R1193C5</stp>
        <tr r="E1193" s="1"/>
      </tp>
      <tp t="s">
        <v>5/15/1991</v>
        <stp/>
        <stp>##V3_BDPV12</stp>
        <stp>912827TJ Govt</stp>
        <stp>MATURITY</stp>
        <stp>[TREASURY.xlsx]Sheet1!R1073C5</stp>
        <tr r="E1073" s="1"/>
      </tp>
      <tp t="s">
        <v>T</v>
        <stp/>
        <stp>##V3_BDPV12</stp>
        <stp>912828W8 Govt</stp>
        <stp>TICKER</stp>
        <stp>[TREASURY.xlsx]Sheet1!R221C2</stp>
        <tr r="B221" s="1"/>
      </tp>
      <tp t="s">
        <v>T</v>
        <stp/>
        <stp>##V3_BDPV12</stp>
        <stp>912828U8 Govt</stp>
        <stp>TICKER</stp>
        <stp>[TREASURY.xlsx]Sheet1!R213C2</stp>
        <tr r="B213" s="1"/>
      </tp>
      <tp t="s">
        <v>11/15/1993</v>
        <stp/>
        <stp>##V3_BDPV12</stp>
        <stp>912827WQ Govt</stp>
        <stp>MATURITY</stp>
        <stp>[TREASURY.xlsx]Sheet1!R1093C5</stp>
        <tr r="E1093" s="1"/>
      </tp>
      <tp t="s">
        <v>12/31/1990</v>
        <stp/>
        <stp>##V3_BDPV12</stp>
        <stp>912827WZ Govt</stp>
        <stp>MATURITY</stp>
        <stp>[TREASURY.xlsx]Sheet1!R1423C5</stp>
        <tr r="E1423" s="1"/>
      </tp>
      <tp t="s">
        <v>11/30/1990</v>
        <stp/>
        <stp>##V3_BDPV12</stp>
        <stp>912827WX Govt</stp>
        <stp>MATURITY</stp>
        <stp>[TREASURY.xlsx]Sheet1!R1593C5</stp>
        <tr r="E1593" s="1"/>
      </tp>
      <tp t="s">
        <v>10/31/1997</v>
        <stp/>
        <stp>##V3_BDPV12</stp>
        <stp>912827V5 Govt</stp>
        <stp>MATURITY</stp>
        <stp>[TREASURY.xlsx]Sheet1!R1083C5</stp>
        <tr r="E1083" s="1"/>
      </tp>
      <tp t="s">
        <v>2/15/1998</v>
        <stp/>
        <stp>##V3_BDPV12</stp>
        <stp>912827VW Govt</stp>
        <stp>MATURITY</stp>
        <stp>[TREASURY.xlsx]Sheet1!R1413C5</stp>
        <tr r="E1413" s="1"/>
      </tp>
      <tp t="s">
        <v>9/30/1991</v>
        <stp/>
        <stp>##V3_BDPV12</stp>
        <stp>912827VJ Govt</stp>
        <stp>MATURITY</stp>
        <stp>[TREASURY.xlsx]Sheet1!R1203C5</stp>
        <tr r="E1203" s="1"/>
      </tp>
      <tp t="s">
        <v>5/15/1995</v>
        <stp/>
        <stp>##V3_BDPV12</stp>
        <stp>912827YQ Govt</stp>
        <stp>MATURITY</stp>
        <stp>[TREASURY.xlsx]Sheet1!R1223C5</stp>
        <tr r="E1223" s="1"/>
      </tp>
      <tp t="s">
        <v>11/15/1992</v>
        <stp/>
        <stp>##V3_BDPV12</stp>
        <stp>912827YD Govt</stp>
        <stp>MATURITY</stp>
        <stp>[TREASURY.xlsx]Sheet1!R1603C5</stp>
        <tr r="E1603" s="1"/>
      </tp>
      <tp t="s">
        <v>5/15/2006</v>
        <stp/>
        <stp>##V3_BDPV12</stp>
        <stp>912827X8 Govt</stp>
        <stp>MATURITY</stp>
        <stp>[TREASURY.xlsx]Sheet1!R1213C5</stp>
        <tr r="E1213" s="1"/>
      </tp>
      <tp t="s">
        <v>T</v>
        <stp/>
        <stp>##V3_BDPV12</stp>
        <stp>912827S4 Govt</stp>
        <stp>TICKER</stp>
        <stp>[TREASURY.xlsx]Sheet1!R745C2</stp>
        <tr r="B745" s="1"/>
      </tp>
      <tp t="s">
        <v>T</v>
        <stp/>
        <stp>##V3_BDPV12</stp>
        <stp>912828W5 Govt</stp>
        <stp>TICKER</stp>
        <stp>[TREASURY.xlsx]Sheet1!R281C2</stp>
        <tr r="B281" s="1"/>
      </tp>
      <tp t="s">
        <v>2/28/1993</v>
        <stp/>
        <stp>##V3_BDPV12</stp>
        <stp>912827ZY Govt</stp>
        <stp>MATURITY</stp>
        <stp>[TREASURY.xlsx]Sheet1!R1613C5</stp>
        <tr r="E1613" s="1"/>
      </tp>
      <tp t="s">
        <v>11/15/1995</v>
        <stp/>
        <stp>##V3_BDPV12</stp>
        <stp>912827ZG Govt</stp>
        <stp>MATURITY</stp>
        <stp>[TREASURY.xlsx]Sheet1!R1103C5</stp>
        <tr r="E1103" s="1"/>
      </tp>
      <tp t="s">
        <v>T</v>
        <stp/>
        <stp>##V3_BDPV12</stp>
        <stp>912828Q2 Govt</stp>
        <stp>TICKER</stp>
        <stp>[TREASURY.xlsx]Sheet1!R187C2</stp>
        <tr r="B187" s="1"/>
      </tp>
      <tp t="s">
        <v>T</v>
        <stp/>
        <stp>##V3_BDPV12</stp>
        <stp>912828T2 Govt</stp>
        <stp>TICKER</stp>
        <stp>[TREASURY.xlsx]Sheet1!R192C2</stp>
        <tr r="B192" s="1"/>
      </tp>
      <tp t="s">
        <v>T</v>
        <stp/>
        <stp>##V3_BDPV12</stp>
        <stp>912828V2 Govt</stp>
        <stp>TICKER</stp>
        <stp>[TREASURY.xlsx]Sheet1!R250C2</stp>
        <tr r="B250" s="1"/>
      </tp>
      <tp t="s">
        <v>T</v>
        <stp/>
        <stp>##V3_BDPV12</stp>
        <stp>912828S3 Govt</stp>
        <stp>TICKER</stp>
        <stp>[TREASURY.xlsx]Sheet1!R305C2</stp>
        <tr r="B305" s="1"/>
      </tp>
      <tp t="s">
        <v>T</v>
        <stp/>
        <stp>##V3_BDPV12</stp>
        <stp>912828W3 Govt</stp>
        <stp>TICKER</stp>
        <stp>[TREASURY.xlsx]Sheet1!R681C2</stp>
        <tr r="B681" s="1"/>
      </tp>
      <tp t="s">
        <v>4/30/1993</v>
        <stp/>
        <stp>##V3_BDPV12</stp>
        <stp>912827A5 Govt</stp>
        <stp>MATURITY</stp>
        <stp>[TREASURY.xlsx]Sheet1!R1473C5</stp>
        <tr r="E1473" s="1"/>
      </tp>
      <tp t="s">
        <v>9/30/1993</v>
        <stp/>
        <stp>##V3_BDPV12</stp>
        <stp>912827C4 Govt</stp>
        <stp>MATURITY</stp>
        <stp>[TREASURY.xlsx]Sheet1!R1553C5</stp>
        <tr r="E1553" s="1"/>
      </tp>
      <tp t="s">
        <v>11/15/1995</v>
        <stp/>
        <stp>##V3_BDPV12</stp>
        <stp>912810CR Govt</stp>
        <stp>MATURITY</stp>
        <stp>[TREASURY.xlsx]Sheet1!R1344C5</stp>
        <tr r="E1344" s="1"/>
      </tp>
      <tp t="s">
        <v>11/15/2007</v>
        <stp/>
        <stp>##V3_BDPV12</stp>
        <stp>912810BZ Govt</stp>
        <stp>MATURITY</stp>
        <stp>[TREASURY.xlsx]Sheet1!R1514C5</stp>
        <tr r="E1514" s="1"/>
      </tp>
      <tp t="s">
        <v>2/28/1994</v>
        <stp/>
        <stp>##V3_BDPV12</stp>
        <stp>912827E4 Govt</stp>
        <stp>MATURITY</stp>
        <stp>[TREASURY.xlsx]Sheet1!R1313C5</stp>
        <tr r="E1313" s="1"/>
      </tp>
      <tp t="s">
        <v>2/15/1995</v>
        <stp/>
        <stp>##V3_BDPV12</stp>
        <stp>912827E2 Govt</stp>
        <stp>MATURITY</stp>
        <stp>[TREASURY.xlsx]Sheet1!R1153C5</stp>
        <tr r="E1153" s="1"/>
      </tp>
      <tp t="s">
        <v>11/15/2018</v>
        <stp/>
        <stp>##V3_BDPV12</stp>
        <stp>912810EB Govt</stp>
        <stp>MATURITY</stp>
        <stp>[TREASURY.xlsx]Sheet1!R1624C5</stp>
        <tr r="E1624" s="1"/>
      </tp>
      <tp t="s">
        <v>11/30/1993</v>
        <stp/>
        <stp>##V3_BDPV12</stp>
        <stp>912827D3 Govt</stp>
        <stp>MATURITY</stp>
        <stp>[TREASURY.xlsx]Sheet1!R1483C5</stp>
        <tr r="E1483" s="1"/>
      </tp>
      <tp t="s">
        <v>11/15/2001</v>
        <stp/>
        <stp>##V3_BDPV12</stp>
        <stp>912827D2 Govt</stp>
        <stp>MATURITY</stp>
        <stp>[TREASURY.xlsx]Sheet1!R1033C5</stp>
        <tr r="E1033" s="1"/>
      </tp>
      <tp t="s">
        <v>5/15/2003</v>
        <stp/>
        <stp>##V3_BDPV12</stp>
        <stp>912810DD Govt</stp>
        <stp>MATURITY</stp>
        <stp>[TREASURY.xlsx]Sheet1!R1444C5</stp>
        <tr r="E1444" s="1"/>
      </tp>
      <tp t="s">
        <v>5/31/1997</v>
        <stp/>
        <stp>##V3_BDPV12</stp>
        <stp>912827F6 Govt</stp>
        <stp>MATURITY</stp>
        <stp>[TREASURY.xlsx]Sheet1!R1373C5</stp>
        <tr r="E1373" s="1"/>
      </tp>
      <tp t="s">
        <v>5/15/1996</v>
        <stp/>
        <stp>##V3_BDPV12</stp>
        <stp>912827K7 Govt</stp>
        <stp>MATURITY</stp>
        <stp>[TREASURY.xlsx]Sheet1!R1563C5</stp>
        <tr r="E1563" s="1"/>
      </tp>
      <tp t="s">
        <v>5/31/1998</v>
        <stp/>
        <stp>##V3_BDPV12</stp>
        <stp>912827L2 Govt</stp>
        <stp>MATURITY</stp>
        <stp>[TREASURY.xlsx]Sheet1!R1163C5</stp>
        <tr r="E1163" s="1"/>
      </tp>
      <tp t="s">
        <v>3/31/1985</v>
        <stp/>
        <stp>##V3_BDPV12</stp>
        <stp>912827LS Govt</stp>
        <stp>MATURITY</stp>
        <stp>[TREASURY.xlsx]Sheet1!R1043C5</stp>
        <tr r="E1043" s="1"/>
      </tp>
      <tp t="s">
        <v>3/31/1983</v>
        <stp/>
        <stp>##V3_BDPV12</stp>
        <stp>912827LR Govt</stp>
        <stp>MATURITY</stp>
        <stp>[TREASURY.xlsx]Sheet1!R1323C5</stp>
        <tr r="E1323" s="1"/>
      </tp>
      <tp t="s">
        <v>11/30/1984</v>
        <stp/>
        <stp>##V3_BDPV12</stp>
        <stp>912827NW Govt</stp>
        <stp>MATURITY</stp>
        <stp>[TREASURY.xlsx]Sheet1!R1053C5</stp>
        <tr r="E1053" s="1"/>
      </tp>
      <tp t="s">
        <v>4/15/1989</v>
        <stp/>
        <stp>##V3_BDPV12</stp>
        <stp>912827NB Govt</stp>
        <stp>MATURITY</stp>
        <stp>[TREASURY.xlsx]Sheet1!R1383C5</stp>
        <tr r="E1383" s="1"/>
      </tp>
      <tp t="s">
        <v>6/30/1984</v>
        <stp/>
        <stp>##V3_BDPV12</stp>
        <stp>912827NH Govt</stp>
        <stp>MATURITY</stp>
        <stp>[TREASURY.xlsx]Sheet1!R1333C5</stp>
        <tr r="E1333" s="1"/>
      </tp>
      <tp t="s">
        <v>7/31/1999</v>
        <stp/>
        <stp>##V3_BDPV12</stp>
        <stp>9128273B Govt</stp>
        <stp>MATURITY</stp>
        <stp>[TREASURY.xlsx]Sheet1!R1353C5</stp>
        <tr r="E1353" s="1"/>
      </tp>
      <tp t="s">
        <v>4/30/1999</v>
        <stp/>
        <stp>##V3_BDPV12</stp>
        <stp>9128272R Govt</stp>
        <stp>MATURITY</stp>
        <stp>[TREASURY.xlsx]Sheet1!R1453C5</stp>
        <tr r="E1453" s="1"/>
      </tp>
      <tp t="s">
        <v>5/31/2002</v>
        <stp/>
        <stp>##V3_BDPV12</stp>
        <stp>9128272W Govt</stp>
        <stp>MATURITY</stp>
        <stp>[TREASURY.xlsx]Sheet1!R1523C5</stp>
        <tr r="E1523" s="1"/>
      </tp>
      <tp t="s">
        <v>2/15/2004</v>
        <stp/>
        <stp>##V3_BDPV12</stp>
        <stp>9128275A Govt</stp>
        <stp>MATURITY</stp>
        <stp>[TREASURY.xlsx]Sheet1!R1463C5</stp>
        <tr r="E1463" s="1"/>
      </tp>
      <tp t="s">
        <v>3/31/2001</v>
        <stp/>
        <stp>##V3_BDPV12</stp>
        <stp>9128275D Govt</stp>
        <stp>MATURITY</stp>
        <stp>[TREASURY.xlsx]Sheet1!R1013C5</stp>
        <tr r="E1013" s="1"/>
      </tp>
      <tp t="s">
        <v>11/15/2008</v>
        <stp/>
        <stp>##V3_BDPV12</stp>
        <stp>9128274V Govt</stp>
        <stp>MATURITY</stp>
        <stp>[TREASURY.xlsx]Sheet1!R1533C5</stp>
        <tr r="E1533" s="1"/>
      </tp>
      <tp t="s">
        <v>5/15/2001</v>
        <stp/>
        <stp>##V3_BDPV12</stp>
        <stp>9128274E Govt</stp>
        <stp>MATURITY</stp>
        <stp>[TREASURY.xlsx]Sheet1!R1363C5</stp>
        <tr r="E1363" s="1"/>
      </tp>
      <tp t="s">
        <v>T</v>
        <stp/>
        <stp>##V3_BDPV12</stp>
        <stp>912828RX Govt</stp>
        <stp>TICKER</stp>
        <stp>[TREASURY.xlsx]Sheet1!R374C2</stp>
        <tr r="B374" s="1"/>
      </tp>
      <tp t="s">
        <v>T</v>
        <stp/>
        <stp>##V3_BDPV12</stp>
        <stp>912828WX Govt</stp>
        <stp>TICKER</stp>
        <stp>[TREASURY.xlsx]Sheet1!R881C2</stp>
        <tr r="B881" s="1"/>
      </tp>
      <tp t="s">
        <v>7/31/2003</v>
        <stp/>
        <stp>##V3_BDPV12</stp>
        <stp>9128277A Govt</stp>
        <stp>MATURITY</stp>
        <stp>[TREASURY.xlsx]Sheet1!R1543C5</stp>
        <tr r="E1543" s="1"/>
      </tp>
      <tp t="s">
        <v>T</v>
        <stp/>
        <stp>##V3_BDPV12</stp>
        <stp>912828QY Govt</stp>
        <stp>TICKER</stp>
        <stp>[TREASURY.xlsx]Sheet1!R827C2</stp>
        <tr r="B827" s="1"/>
      </tp>
      <tp t="s">
        <v>8/31/2002</v>
        <stp/>
        <stp>##V3_BDPV12</stp>
        <stp>9128276K Govt</stp>
        <stp>MATURITY</stp>
        <stp>[TREASURY.xlsx]Sheet1!R1023C5</stp>
        <tr r="E1023" s="1"/>
      </tp>
      <tp t="s">
        <v>T</v>
        <stp/>
        <stp>##V3_BDPV12</stp>
        <stp>912828UV Govt</stp>
        <stp>TICKER</stp>
        <stp>[TREASURY.xlsx]Sheet1!R693C2</stp>
        <tr r="B693" s="1"/>
      </tp>
      <tp t="s">
        <v>5/15/2030</v>
        <stp/>
        <stp>##V3_BDPV12</stp>
        <stp>912810FM Govt</stp>
        <stp>MATURITY</stp>
        <stp>[TREASURY.xlsx]Sheet1!R188C5</stp>
        <tr r="E188" s="1"/>
      </tp>
      <tp t="s">
        <v>8/15/2023</v>
        <stp/>
        <stp>##V3_BDPV12</stp>
        <stp>912810EQ Govt</stp>
        <stp>MATURITY</stp>
        <stp>[TREASURY.xlsx]Sheet1!R298C5</stp>
        <tr r="E298" s="1"/>
      </tp>
      <tp t="s">
        <v>11/15/2026</v>
        <stp/>
        <stp>##V3_BDPV12</stp>
        <stp>912810EY Govt</stp>
        <stp>MATURITY</stp>
        <stp>[TREASURY.xlsx]Sheet1!R328C5</stp>
        <tr r="E328" s="1"/>
      </tp>
      <tp t="s">
        <v>2/15/2015</v>
        <stp/>
        <stp>##V3_BDPV12</stp>
        <stp>912810DP Govt</stp>
        <stp>MATURITY</stp>
        <stp>[TREASURY.xlsx]Sheet1!R698C5</stp>
        <tr r="E698" s="1"/>
      </tp>
      <tp t="s">
        <v>8/15/2040</v>
        <stp/>
        <stp>##V3_BDPV12</stp>
        <stp>912810QK Govt</stp>
        <stp>MATURITY</stp>
        <stp>[TREASURY.xlsx]Sheet1!R238C5</stp>
        <tr r="E238" s="1"/>
      </tp>
      <tp t="s">
        <v>8/15/2039</v>
        <stp/>
        <stp>##V3_BDPV12</stp>
        <stp>912810QC Govt</stp>
        <stp>MATURITY</stp>
        <stp>[TREASURY.xlsx]Sheet1!R318C5</stp>
        <tr r="E318" s="1"/>
      </tp>
      <tp t="s">
        <v>11/15/2045</v>
        <stp/>
        <stp>##V3_BDPV12</stp>
        <stp>912810RP Govt</stp>
        <stp>MATURITY</stp>
        <stp>[TREASURY.xlsx]Sheet1!R278C5</stp>
        <tr r="E278" s="1"/>
      </tp>
      <tp t="s">
        <v>T</v>
        <stp/>
        <stp>##V3_BDPV12</stp>
        <stp>912810PT Govt</stp>
        <stp>TICKER</stp>
        <stp>[TREASURY.xlsx]Sheet1!R226C2</stp>
        <tr r="B226" s="1"/>
      </tp>
      <tp t="s">
        <v>T</v>
        <stp/>
        <stp>##V3_BDPV12</stp>
        <stp>912810QT Govt</stp>
        <stp>TICKER</stp>
        <stp>[TREASURY.xlsx]Sheet1!R237C2</stp>
        <tr r="B237" s="1"/>
      </tp>
      <tp t="s">
        <v>T</v>
        <stp/>
        <stp>##V3_BDPV12</stp>
        <stp>912828QT Govt</stp>
        <stp>TICKER</stp>
        <stp>[TREASURY.xlsx]Sheet1!R867C2</stp>
        <tr r="B867" s="1"/>
      </tp>
      <tp t="s">
        <v>T</v>
        <stp/>
        <stp>##V3_BDPV12</stp>
        <stp>912810QU Govt</stp>
        <stp>TICKER</stp>
        <stp>[TREASURY.xlsx]Sheet1!R287C2</stp>
        <tr r="B287" s="1"/>
      </tp>
      <tp t="s">
        <v>T</v>
        <stp/>
        <stp>##V3_BDPV12</stp>
        <stp>912810RU Govt</stp>
        <stp>TICKER</stp>
        <stp>[TREASURY.xlsx]Sheet1!R154C2</stp>
        <tr r="B154" s="1"/>
      </tp>
      <tp t="s">
        <v>T</v>
        <stp/>
        <stp>##V3_BDPV12</stp>
        <stp>912827RU Govt</stp>
        <stp>TICKER</stp>
        <stp>[TREASURY.xlsx]Sheet1!R914C2</stp>
        <tr r="B914" s="1"/>
      </tp>
      <tp t="s">
        <v>T</v>
        <stp/>
        <stp>##V3_BDPV12</stp>
        <stp>912828WR Govt</stp>
        <stp>TICKER</stp>
        <stp>[TREASURY.xlsx]Sheet1!R341C2</stp>
        <tr r="B341" s="1"/>
      </tp>
      <tp t="s">
        <v>T</v>
        <stp/>
        <stp>##V3_BDPV12</stp>
        <stp>912828TR Govt</stp>
        <stp>TICKER</stp>
        <stp>[TREASURY.xlsx]Sheet1!R402C2</stp>
        <tr r="B402" s="1"/>
      </tp>
      <tp t="s">
        <v>NORMAL</v>
        <stp/>
        <stp>##V3_BDPV12</stp>
        <stp>912810FF Govt</stp>
        <stp>MTY_TYP</stp>
        <stp>[TREASURY.xlsx]Sheet1!R292C6</stp>
        <tr r="F292" s="1"/>
      </tp>
      <tp t="s">
        <v>NORMAL</v>
        <stp/>
        <stp>##V3_BDPV12</stp>
        <stp>912810FG Govt</stp>
        <stp>MTY_TYP</stp>
        <stp>[TREASURY.xlsx]Sheet1!R223C6</stp>
        <tr r="F223" s="1"/>
      </tp>
      <tp t="s">
        <v>T</v>
        <stp/>
        <stp>##V3_BDPV12</stp>
        <stp>912828RS Govt</stp>
        <stp>TICKER</stp>
        <stp>[TREASURY.xlsx]Sheet1!R444C2</stp>
        <tr r="B444" s="1"/>
      </tp>
      <tp t="s">
        <v>T</v>
        <stp/>
        <stp>##V3_BDPV12</stp>
        <stp>912828PS Govt</stp>
        <stp>TICKER</stp>
        <stp>[TREASURY.xlsx]Sheet1!R986C2</stp>
        <tr r="B986" s="1"/>
      </tp>
      <tp t="s">
        <v>NORMAL</v>
        <stp/>
        <stp>##V3_BDPV12</stp>
        <stp>912827SC Govt</stp>
        <stp>MTY_TYP</stp>
        <stp>[TREASURY.xlsx]Sheet1!R747C6</stp>
        <tr r="F747" s="1"/>
      </tp>
      <tp t="s">
        <v>NORMAL</v>
        <stp/>
        <stp>##V3_BDPV12</stp>
        <stp>912828VL Govt</stp>
        <stp>MTY_TYP</stp>
        <stp>[TREASURY.xlsx]Sheet1!R878C6</stp>
        <tr r="F878" s="1"/>
      </tp>
      <tp t="s">
        <v>NORMAL</v>
        <stp/>
        <stp>##V3_BDPV12</stp>
        <stp>912827PL Govt</stp>
        <stp>MTY_TYP</stp>
        <stp>[TREASURY.xlsx]Sheet1!R738C6</stp>
        <tr r="F738" s="1"/>
      </tp>
      <tp t="s">
        <v>NORMAL</v>
        <stp/>
        <stp>##V3_BDPV12</stp>
        <stp>912827MF Govt</stp>
        <stp>MTY_TYP</stp>
        <stp>[TREASURY.xlsx]Sheet1!R722C6</stp>
        <tr r="F722" s="1"/>
      </tp>
      <tp t="s">
        <v>NORMAL</v>
        <stp/>
        <stp>##V3_BDPV12</stp>
        <stp>912827KM Govt</stp>
        <stp>MTY_TYP</stp>
        <stp>[TREASURY.xlsx]Sheet1!R709C6</stp>
        <tr r="F709" s="1"/>
      </tp>
      <tp t="s">
        <v>NORMAL</v>
        <stp/>
        <stp>##V3_BDPV12</stp>
        <stp>912828KF Govt</stp>
        <stp>MTY_TYP</stp>
        <stp>[TREASURY.xlsx]Sheet1!R812C6</stp>
        <tr r="F812" s="1"/>
      </tp>
      <tp t="s">
        <v>NORMAL</v>
        <stp/>
        <stp>##V3_BDPV12</stp>
        <stp>9128275F Govt</stp>
        <stp>MTY_TYP</stp>
        <stp>[TREASURY.xlsx]Sheet1!R662C6</stp>
        <tr r="F662" s="1"/>
      </tp>
      <tp t="s">
        <v>NORMAL</v>
        <stp/>
        <stp>##V3_BDPV12</stp>
        <stp>912827WE Govt</stp>
        <stp>MTY_TYP</stp>
        <stp>[TREASURY.xlsx]Sheet1!R601C6</stp>
        <tr r="F601" s="1"/>
      </tp>
      <tp t="s">
        <v>NORMAL</v>
        <stp/>
        <stp>##V3_BDPV12</stp>
        <stp>912828VC Govt</stp>
        <stp>MTY_TYP</stp>
        <stp>[TREASURY.xlsx]Sheet1!R577C6</stp>
        <tr r="F577" s="1"/>
      </tp>
      <tp t="s">
        <v>NORMAL</v>
        <stp/>
        <stp>##V3_BDPV12</stp>
        <stp>912827RD Govt</stp>
        <stp>MTY_TYP</stp>
        <stp>[TREASURY.xlsx]Sheet1!R910C6</stp>
        <tr r="F910" s="1"/>
      </tp>
      <tp t="s">
        <v>NORMAL</v>
        <stp/>
        <stp>##V3_BDPV12</stp>
        <stp>912828FD Govt</stp>
        <stp>MTY_TYP</stp>
        <stp>[TREASURY.xlsx]Sheet1!R650C6</stp>
        <tr r="F650" s="1"/>
      </tp>
      <tp t="s">
        <v>NORMAL</v>
        <stp/>
        <stp>##V3_BDPV12</stp>
        <stp>9128282D Govt</stp>
        <stp>MTY_TYP</stp>
        <stp>[TREASURY.xlsx]Sheet1!R260C6</stp>
        <tr r="F260" s="1"/>
      </tp>
      <tp t="s">
        <v>NORMAL</v>
        <stp/>
        <stp>##V3_BDPV12</stp>
        <stp>9128286A Govt</stp>
        <stp>MTY_TYP</stp>
        <stp>[TREASURY.xlsx]Sheet1!R265C6</stp>
        <tr r="F265" s="1"/>
      </tp>
      <tp t="s">
        <v>NORMAL</v>
        <stp/>
        <stp>##V3_BDPV12</stp>
        <stp>9128287B Govt</stp>
        <stp>MTY_TYP</stp>
        <stp>[TREASURY.xlsx]Sheet1!R306C6</stp>
        <tr r="F306" s="1"/>
      </tp>
      <tp t="s">
        <v>NORMAL</v>
        <stp/>
        <stp>##V3_BDPV12</stp>
        <stp>912828GM Govt</stp>
        <stp>MTY_TYP</stp>
        <stp>[TREASURY.xlsx]Sheet1!R379C6</stp>
        <tr r="F379" s="1"/>
      </tp>
      <tp t="s">
        <v>T</v>
        <stp/>
        <stp>##V3_BDPV12</stp>
        <stp>912828SP Govt</stp>
        <stp>TICKER</stp>
        <stp>[TREASURY.xlsx]Sheet1!R995C2</stp>
        <tr r="B995" s="1"/>
      </tp>
      <tp t="s">
        <v>NORMAL</v>
        <stp/>
        <stp>##V3_BDPV12</stp>
        <stp>91282CAG Govt</stp>
        <stp>MTY_TYP</stp>
        <stp>[TREASURY.xlsx]Sheet1!R133C6</stp>
        <tr r="F133" s="1"/>
      </tp>
      <tp t="s">
        <v>T</v>
        <stp/>
        <stp>##V3_BDPV12</stp>
        <stp>912828VQ Govt</stp>
        <stp>TICKER</stp>
        <stp>[TREASURY.xlsx]Sheet1!R880C2</stp>
        <tr r="B880" s="1"/>
      </tp>
      <tp t="s">
        <v>T</v>
        <stp/>
        <stp>##V3_BDPV12</stp>
        <stp>912828RQ Govt</stp>
        <stp>TICKER</stp>
        <stp>[TREASURY.xlsx]Sheet1!R994C2</stp>
        <tr r="B994" s="1"/>
      </tp>
      <tp t="s">
        <v>T</v>
        <stp/>
        <stp>##V3_BDPV12</stp>
        <stp>912828QJ Govt</stp>
        <stp>TICKER</stp>
        <stp>[TREASURY.xlsx]Sheet1!R407C2</stp>
        <tr r="B407" s="1"/>
      </tp>
      <tp t="s">
        <v>T</v>
        <stp/>
        <stp>##V3_BDPV12</stp>
        <stp>912827QJ Govt</stp>
        <stp>TICKER</stp>
        <stp>[TREASURY.xlsx]Sheet1!R907C2</stp>
        <tr r="B907" s="1"/>
      </tp>
      <tp t="s">
        <v>T</v>
        <stp/>
        <stp>##V3_BDPV12</stp>
        <stp>912810RG Govt</stp>
        <stp>TICKER</stp>
        <stp>[TREASURY.xlsx]Sheet1!R284C2</stp>
        <tr r="B284" s="1"/>
      </tp>
      <tp t="s">
        <v>T</v>
        <stp/>
        <stp>##V3_BDPV12</stp>
        <stp>912828TD Govt</stp>
        <stp>TICKER</stp>
        <stp>[TREASURY.xlsx]Sheet1!R872C2</stp>
        <tr r="B872" s="1"/>
      </tp>
      <tp t="s">
        <v>T</v>
        <stp/>
        <stp>##V3_BDPV12</stp>
        <stp>912827WE Govt</stp>
        <stp>TICKER</stp>
        <stp>[TREASURY.xlsx]Sheet1!R601C2</stp>
        <tr r="B601" s="1"/>
      </tp>
      <tp t="s">
        <v>T</v>
        <stp/>
        <stp>##V3_BDPV12</stp>
        <stp>912827UB Govt</stp>
        <stp>TICKER</stp>
        <stp>[TREASURY.xlsx]Sheet1!R753C2</stp>
        <tr r="B753" s="1"/>
      </tp>
      <tp t="s">
        <v>T</v>
        <stp/>
        <stp>##V3_BDPV12</stp>
        <stp>912827RB Govt</stp>
        <stp>TICKER</stp>
        <stp>[TREASURY.xlsx]Sheet1!R744C2</stp>
        <tr r="B744" s="1"/>
      </tp>
      <tp t="s">
        <v>T</v>
        <stp/>
        <stp>##V3_BDPV12</stp>
        <stp>912827WB Govt</stp>
        <stp>TICKER</stp>
        <stp>[TREASURY.xlsx]Sheet1!R931C2</stp>
        <tr r="B931" s="1"/>
      </tp>
      <tp t="s">
        <v>T</v>
        <stp/>
        <stp>##V3_BDPV12</stp>
        <stp>912827PC Govt</stp>
        <stp>TICKER</stp>
        <stp>[TREASURY.xlsx]Sheet1!R736C2</stp>
        <tr r="B736" s="1"/>
      </tp>
      <tp t="s">
        <v>T</v>
        <stp/>
        <stp>##V3_BDPV12</stp>
        <stp>912827VC Govt</stp>
        <stp>TICKER</stp>
        <stp>[TREASURY.xlsx]Sheet1!R760C2</stp>
        <tr r="B760" s="1"/>
      </tp>
      <tp t="s">
        <v>T</v>
        <stp/>
        <stp>##V3_BDPV12</stp>
        <stp>912828DU Govt</stp>
        <stp>TICKER</stp>
        <stp>[TREASURY.xlsx]Sheet1!R1237C2</stp>
        <tr r="B1237" s="1"/>
      </tp>
      <tp t="s">
        <v>T</v>
        <stp/>
        <stp>##V3_BDPV12</stp>
        <stp>912828NQ Govt</stp>
        <stp>TICKER</stp>
        <stp>[TREASURY.xlsx]Sheet1!R1293C2</stp>
        <tr r="B1293" s="1"/>
      </tp>
      <tp t="s">
        <v>T</v>
        <stp/>
        <stp>##V3_BDPV12</stp>
        <stp>912828RZ Govt</stp>
        <stp>TICKER</stp>
        <stp>[TREASURY.xlsx]Sheet1!R1268C2</stp>
        <tr r="B1268" s="1"/>
      </tp>
      <tp t="s">
        <v>T</v>
        <stp/>
        <stp>##V3_BDPV12</stp>
        <stp>912828PR Govt</stp>
        <stp>TICKER</stp>
        <stp>[TREASURY.xlsx]Sheet1!R1260C2</stp>
        <tr r="B1260" s="1"/>
      </tp>
      <tp t="s">
        <v>T</v>
        <stp/>
        <stp>##V3_BDPV12</stp>
        <stp>912827XU Govt</stp>
        <stp>TICKER</stp>
        <stp>[TREASURY.xlsx]Sheet1!R1217C2</stp>
        <tr r="B1217" s="1"/>
      </tp>
      <tp t="s">
        <v>T</v>
        <stp/>
        <stp>##V3_BDPV12</stp>
        <stp>912827YQ Govt</stp>
        <stp>TICKER</stp>
        <stp>[TREASURY.xlsx]Sheet1!R1223C2</stp>
        <tr r="B1223" s="1"/>
      </tp>
      <tp t="s">
        <v>T</v>
        <stp/>
        <stp>##V3_BDPV12</stp>
        <stp>912827UP Govt</stp>
        <stp>TICKER</stp>
        <stp>[TREASURY.xlsx]Sheet1!R1202C2</stp>
        <tr r="B1202" s="1"/>
      </tp>
      <tp t="s">
        <v>T</v>
        <stp/>
        <stp>##V3_BDPV12</stp>
        <stp>912827MZ Govt</stp>
        <stp>TICKER</stp>
        <stp>[TREASURY.xlsx]Sheet1!R1168C2</stp>
        <tr r="B1168" s="1"/>
      </tp>
      <tp t="s">
        <v>T</v>
        <stp/>
        <stp>##V3_BDPV12</stp>
        <stp>912827UR Govt</stp>
        <stp>TICKER</stp>
        <stp>[TREASURY.xlsx]Sheet1!R1080C2</stp>
        <tr r="B1080" s="1"/>
      </tp>
      <tp t="s">
        <v>T</v>
        <stp/>
        <stp>##V3_BDPV12</stp>
        <stp>912827WQ Govt</stp>
        <stp>TICKER</stp>
        <stp>[TREASURY.xlsx]Sheet1!R1093C2</stp>
        <tr r="B1093" s="1"/>
      </tp>
      <tp t="s">
        <v>T</v>
        <stp/>
        <stp>##V3_BDPV12</stp>
        <stp>912827SZ Govt</stp>
        <stp>TICKER</stp>
        <stp>[TREASURY.xlsx]Sheet1!R1068C2</stp>
        <tr r="B1068" s="1"/>
      </tp>
      <tp t="s">
        <v>T</v>
        <stp/>
        <stp>##V3_BDPV12</stp>
        <stp>9128273S Govt</stp>
        <stp>TICKER</stp>
        <stp>[TREASURY.xlsx]Sheet1!R1531C2</stp>
        <tr r="B1531" s="1"/>
      </tp>
      <tp t="s">
        <v>T</v>
        <stp/>
        <stp>##V3_BDPV12</stp>
        <stp>912827QU Govt</stp>
        <stp>TICKER</stp>
        <stp>[TREASURY.xlsx]Sheet1!R1497C2</stp>
        <tr r="B1497" s="1"/>
      </tp>
      <tp t="s">
        <v>T</v>
        <stp/>
        <stp>##V3_BDPV12</stp>
        <stp>9128276U Govt</stp>
        <stp>TICKER</stp>
        <stp>[TREASURY.xlsx]Sheet1!R1467C2</stp>
        <tr r="B1467" s="1"/>
      </tp>
      <tp t="s">
        <v>912827NN8</v>
        <stp/>
        <stp>##V3_BDPV12</stp>
        <stp>912827NN Govt</stp>
        <stp>ID_CUSIP</stp>
        <stp>[TREASURY.xlsx]Sheet1!R1051C19</stp>
        <tr r="S1051" s="1"/>
      </tp>
      <tp t="s">
        <v>T</v>
        <stp/>
        <stp>##V3_BDPV12</stp>
        <stp>912810CQ Govt</stp>
        <stp>TICKER</stp>
        <stp>[TREASURY.xlsx]Sheet1!R1623C2</stp>
        <tr r="B1623" s="1"/>
      </tp>
      <tp t="s">
        <v>912827NJ7</v>
        <stp/>
        <stp>##V3_BDPV12</stp>
        <stp>912827NJ Govt</stp>
        <stp>ID_CUSIP</stp>
        <stp>[TREASURY.xlsx]Sheet1!R1050C19</stp>
        <tr r="S1050" s="1"/>
      </tp>
      <tp t="s">
        <v>912827NH1</v>
        <stp/>
        <stp>##V3_BDPV12</stp>
        <stp>912827NH Govt</stp>
        <stp>ID_CUSIP</stp>
        <stp>[TREASURY.xlsx]Sheet1!R1333C19</stp>
        <tr r="S1333" s="1"/>
      </tp>
      <tp t="s">
        <v>USD</v>
        <stp/>
        <stp>##V3_BDPV12</stp>
        <stp>912827YU Govt</stp>
        <stp>CRNCY</stp>
        <stp>[TREASURY.xlsx]Sheet1!R1224C7</stp>
        <tr r="G1224" s="1"/>
      </tp>
      <tp t="s">
        <v>USD</v>
        <stp/>
        <stp>##V3_BDPV12</stp>
        <stp>912827UU Govt</stp>
        <stp>CRNCY</stp>
        <stp>[TREASURY.xlsx]Sheet1!R1408C7</stp>
        <tr r="G1408" s="1"/>
      </tp>
      <tp t="s">
        <v>912828NF3</v>
        <stp/>
        <stp>##V3_BDPV12</stp>
        <stp>912828NF Govt</stp>
        <stp>ID_CUSIP</stp>
        <stp>[TREASURY.xlsx]Sheet1!R1256C19</stp>
        <tr r="S1256" s="1"/>
      </tp>
      <tp t="s">
        <v>912827NE8</v>
        <stp/>
        <stp>##V3_BDPV12</stp>
        <stp>912827NE Govt</stp>
        <stp>ID_CUSIP</stp>
        <stp>[TREASURY.xlsx]Sheet1!R1332C19</stp>
        <tr r="S1332" s="1"/>
      </tp>
      <tp t="s">
        <v>912827NG3</v>
        <stp/>
        <stp>##V3_BDPV12</stp>
        <stp>912827NG Govt</stp>
        <stp>ID_CUSIP</stp>
        <stp>[TREASURY.xlsx]Sheet1!R1169C19</stp>
        <tr r="S1169" s="1"/>
      </tp>
      <tp t="s">
        <v>912827NF5</v>
        <stp/>
        <stp>##V3_BDPV12</stp>
        <stp>912827NF Govt</stp>
        <stp>ID_CUSIP</stp>
        <stp>[TREASURY.xlsx]Sheet1!R1049C19</stp>
        <tr r="S1049" s="1"/>
      </tp>
      <tp t="s">
        <v>USD</v>
        <stp/>
        <stp>##V3_BDPV12</stp>
        <stp>912828UY Govt</stp>
        <stp>CRNCY</stp>
        <stp>[TREASURY.xlsx]Sheet1!R1138C7</stp>
        <tr r="G1138" s="1"/>
      </tp>
      <tp t="s">
        <v>912827NB4</v>
        <stp/>
        <stp>##V3_BDPV12</stp>
        <stp>912827NB Govt</stp>
        <stp>ID_CUSIP</stp>
        <stp>[TREASURY.xlsx]Sheet1!R1383C19</stp>
        <tr r="S1383" s="1"/>
      </tp>
      <tp t="s">
        <v>912827NA6</v>
        <stp/>
        <stp>##V3_BDPV12</stp>
        <stp>912827NA Govt</stp>
        <stp>ID_CUSIP</stp>
        <stp>[TREASURY.xlsx]Sheet1!R1331C19</stp>
        <tr r="S1331" s="1"/>
      </tp>
      <tp t="s">
        <v>912828NA4</v>
        <stp/>
        <stp>##V3_BDPV12</stp>
        <stp>912828NA Govt</stp>
        <stp>ID_CUSIP</stp>
        <stp>[TREASURY.xlsx]Sheet1!R1292C19</stp>
        <tr r="S1292" s="1"/>
      </tp>
      <tp t="s">
        <v>#N/A Field Not Applicable</v>
        <stp/>
        <stp>##V3_BDPV12</stp>
        <stp>912827ZY Govt</stp>
        <stp>IDX_RATIO</stp>
        <stp>[TREASURY.xlsx]Sheet1!R1613C20</stp>
        <tr r="T1613" s="1"/>
      </tp>
      <tp t="s">
        <v>#N/A Field Not Applicable</v>
        <stp/>
        <stp>##V3_BDPV12</stp>
        <stp>912827XY Govt</stp>
        <stp>IDX_RATIO</stp>
        <stp>[TREASURY.xlsx]Sheet1!R1600C20</stp>
        <tr r="T1600" s="1"/>
      </tp>
      <tp t="s">
        <v>USD</v>
        <stp/>
        <stp>##V3_BDPV12</stp>
        <stp>912827XB Govt</stp>
        <stp>CRNCY</stp>
        <stp>[TREASURY.xlsx]Sheet1!R1595C7</stp>
        <tr r="G1595" s="1"/>
      </tp>
      <tp t="s">
        <v>#N/A Field Not Applicable</v>
        <stp/>
        <stp>##V3_BDPV12</stp>
        <stp>912810DY Govt</stp>
        <stp>IDX_RATIO</stp>
        <stp>[TREASURY.xlsx]Sheet1!R1448C20</stp>
        <tr r="T1448" s="1"/>
      </tp>
      <tp t="s">
        <v>NORMAL</v>
        <stp/>
        <stp>##V3_BDPV12</stp>
        <stp>912810DQ Govt</stp>
        <stp>MTY_TYP</stp>
        <stp>[TREASURY.xlsx]Sheet1!R1621C6</stp>
        <tr r="F1621" s="1"/>
      </tp>
      <tp t="s">
        <v>CALLABLE</v>
        <stp/>
        <stp>##V3_BDPV12</stp>
        <stp>912810CE Govt</stp>
        <stp>MTY_TYP</stp>
        <stp>[TREASURY.xlsx]Sheet1!R1441C6</stp>
        <tr r="F1441" s="1"/>
      </tp>
      <tp t="s">
        <v>NORMAL</v>
        <stp/>
        <stp>##V3_BDPV12</stp>
        <stp>912810DE Govt</stp>
        <stp>MTY_TYP</stp>
        <stp>[TREASURY.xlsx]Sheet1!R1311C6</stp>
        <tr r="F1311" s="1"/>
      </tp>
      <tp t="s">
        <v>#N/A Field Not Applicable</v>
        <stp/>
        <stp>##V3_BDPV12</stp>
        <stp>912828DY Govt</stp>
        <stp>IDX_RATIO</stp>
        <stp>[TREASURY.xlsx]Sheet1!R1430C20</stp>
        <tr r="T1430" s="1"/>
      </tp>
      <tp t="s">
        <v>#N/A Field Not Applicable</v>
        <stp/>
        <stp>##V3_BDPV12</stp>
        <stp>912827PY Govt</stp>
        <stp>IDX_RATIO</stp>
        <stp>[TREASURY.xlsx]Sheet1!R1493C20</stp>
        <tr r="T1493" s="1"/>
      </tp>
      <tp t="s">
        <v>UNITED STATES</v>
        <stp/>
        <stp>##V3_BDPV12</stp>
        <stp>9128282Q Govt</stp>
        <stp>COUNTRY_FULL_NAME</stp>
        <stp>[TREASURY.xlsx]Sheet1!R469C8</stp>
        <tr r="H469" s="1"/>
      </tp>
      <tp t="s">
        <v>UNITED STATES</v>
        <stp/>
        <stp>##V3_BDPV12</stp>
        <stp>9128282C Govt</stp>
        <stp>COUNTRY_FULL_NAME</stp>
        <stp>[TREASURY.xlsx]Sheet1!R439C8</stp>
        <tr r="H439" s="1"/>
      </tp>
      <tp t="s">
        <v>#N/A Field Not Applicable</v>
        <stp/>
        <stp>##V3_BDPV12</stp>
        <stp>9128276Y Govt</stp>
        <stp>IDX_RATIO</stp>
        <stp>[TREASURY.xlsx]Sheet1!R1542C20</stp>
        <tr r="T1542" s="1"/>
      </tp>
      <tp t="s">
        <v>#N/A Field Not Applicable</v>
        <stp/>
        <stp>##V3_BDPV12</stp>
        <stp>9128272Y Govt</stp>
        <stp>IDX_RATIO</stp>
        <stp>[TREASURY.xlsx]Sheet1!R1525C20</stp>
        <tr r="T1525" s="1"/>
      </tp>
      <tp t="s">
        <v>#N/A Field Not Applicable</v>
        <stp/>
        <stp>##V3_BDPV12</stp>
        <stp>912827UY Govt</stp>
        <stp>IDX_RATIO</stp>
        <stp>[TREASURY.xlsx]Sheet1!R1590C20</stp>
        <tr r="T1590" s="1"/>
      </tp>
      <tp t="s">
        <v>#N/A Field Not Applicable</v>
        <stp/>
        <stp>##V3_BDPV12</stp>
        <stp>912827RY Govt</stp>
        <stp>IDX_RATIO</stp>
        <stp>[TREASURY.xlsx]Sheet1!R1583C20</stp>
        <tr r="T1583" s="1"/>
      </tp>
      <tp t="s">
        <v>USD</v>
        <stp/>
        <stp>##V3_BDPV12</stp>
        <stp>912827ZA Govt</stp>
        <stp>CRNCY</stp>
        <stp>[TREASURY.xlsx]Sheet1!R1227C7</stp>
        <tr r="G1227" s="1"/>
      </tp>
      <tp t="s">
        <v>912828NZ9</v>
        <stp/>
        <stp>##V3_BDPV12</stp>
        <stp>912828NZ Govt</stp>
        <stp>ID_CUSIP</stp>
        <stp>[TREASURY.xlsx]Sheet1!R1295C19</stp>
        <tr r="S1295" s="1"/>
      </tp>
      <tp t="s">
        <v>#N/A Field Not Applicable</v>
        <stp/>
        <stp>##V3_BDPV12</stp>
        <stp>912827WY Govt</stp>
        <stp>IDX_RATIO</stp>
        <stp>[TREASURY.xlsx]Sheet1!R1210C20</stp>
        <tr r="T1210" s="1"/>
      </tp>
      <tp t="s">
        <v>#N/A Field Not Applicable</v>
        <stp/>
        <stp>##V3_BDPV12</stp>
        <stp>912828EY Govt</stp>
        <stp>IDX_RATIO</stp>
        <stp>[TREASURY.xlsx]Sheet1!R1239C20</stp>
        <tr r="T1239" s="1"/>
      </tp>
      <tp t="s">
        <v>912827NY4</v>
        <stp/>
        <stp>##V3_BDPV12</stp>
        <stp>912827NY Govt</stp>
        <stp>ID_CUSIP</stp>
        <stp>[TREASURY.xlsx]Sheet1!R1170C19</stp>
        <tr r="S1170" s="1"/>
      </tp>
      <tp t="s">
        <v>#N/A Field Not Applicable</v>
        <stp/>
        <stp>##V3_BDPV12</stp>
        <stp>912828NY Govt</stp>
        <stp>IDX_RATIO</stp>
        <stp>[TREASURY.xlsx]Sheet1!R1258C20</stp>
        <tr r="T1258" s="1"/>
      </tp>
      <tp t="s">
        <v>#N/A Field Not Applicable</v>
        <stp/>
        <stp>##V3_BDPV12</stp>
        <stp>912828RY Govt</stp>
        <stp>IDX_RATIO</stp>
        <stp>[TREASURY.xlsx]Sheet1!R1267C20</stp>
        <tr r="T1267" s="1"/>
      </tp>
      <tp t="s">
        <v>USD</v>
        <stp/>
        <stp>##V3_BDPV12</stp>
        <stp>912827TF Govt</stp>
        <stp>CRNCY</stp>
        <stp>[TREASURY.xlsx]Sheet1!R1399C7</stp>
        <tr r="G1399" s="1"/>
      </tp>
      <tp t="s">
        <v>USD</v>
        <stp/>
        <stp>##V3_BDPV12</stp>
        <stp>912827YF Govt</stp>
        <stp>CRNCY</stp>
        <stp>[TREASURY.xlsx]Sheet1!R1604C7</stp>
        <tr r="G1604" s="1"/>
      </tp>
      <tp t="s">
        <v>UNITED STATES</v>
        <stp/>
        <stp>##V3_BDPV12</stp>
        <stp>9128284L Govt</stp>
        <stp>COUNTRY_FULL_NAME</stp>
        <stp>[TREASURY.xlsx]Sheet1!R299C8</stp>
        <tr r="H299" s="1"/>
      </tp>
      <tp t="s">
        <v>912827NZ1</v>
        <stp/>
        <stp>##V3_BDPV12</stp>
        <stp>912827NZ Govt</stp>
        <stp>ID_CUSIP</stp>
        <stp>[TREASURY.xlsx]Sheet1!R1336C19</stp>
        <tr r="S1336" s="1"/>
      </tp>
      <tp t="s">
        <v>#N/A Field Not Applicable</v>
        <stp/>
        <stp>##V3_BDPV12</stp>
        <stp>912827QY Govt</stp>
        <stp>IDX_RATIO</stp>
        <stp>[TREASURY.xlsx]Sheet1!R1395C20</stp>
        <tr r="T1395" s="1"/>
      </tp>
      <tp t="s">
        <v>UNITED STATES</v>
        <stp/>
        <stp>##V3_BDPV12</stp>
        <stp>9128285S Govt</stp>
        <stp>COUNTRY_FULL_NAME</stp>
        <stp>[TREASURY.xlsx]Sheet1!R429C8</stp>
        <tr r="H429" s="1"/>
      </tp>
      <tp t="s">
        <v>UNITED STATES</v>
        <stp/>
        <stp>##V3_BDPV12</stp>
        <stp>9128285V Govt</stp>
        <stp>COUNTRY_FULL_NAME</stp>
        <stp>[TREASURY.xlsx]Sheet1!R179C8</stp>
        <tr r="H179" s="1"/>
      </tp>
      <tp t="s">
        <v>UNITED STATES</v>
        <stp/>
        <stp>##V3_BDPV12</stp>
        <stp>9128285T Govt</stp>
        <stp>COUNTRY_FULL_NAME</stp>
        <stp>[TREASURY.xlsx]Sheet1!R239C8</stp>
        <tr r="H239" s="1"/>
      </tp>
      <tp t="s">
        <v>UNITED STATES</v>
        <stp/>
        <stp>##V3_BDPV12</stp>
        <stp>9128285K Govt</stp>
        <stp>COUNTRY_FULL_NAME</stp>
        <stp>[TREASURY.xlsx]Sheet1!R229C8</stp>
        <tr r="H229" s="1"/>
      </tp>
      <tp t="s">
        <v>#N/A Field Not Applicable</v>
        <stp/>
        <stp>##V3_BDPV12</stp>
        <stp>912827TY Govt</stp>
        <stp>IDX_RATIO</stp>
        <stp>[TREASURY.xlsx]Sheet1!R1076C20</stp>
        <tr r="T1076" s="1"/>
      </tp>
      <tp t="s">
        <v>NORMAL</v>
        <stp/>
        <stp>##V3_BDPV12</stp>
        <stp>9128276Y Govt</stp>
        <stp>MTY_TYP</stp>
        <stp>[TREASURY.xlsx]Sheet1!R1542C6</stp>
        <tr r="F1542" s="1"/>
      </tp>
      <tp t="s">
        <v>NORMAL</v>
        <stp/>
        <stp>##V3_BDPV12</stp>
        <stp>9128277M Govt</stp>
        <stp>MTY_TYP</stp>
        <stp>[TREASURY.xlsx]Sheet1!R1472C6</stp>
        <tr r="F1472" s="1"/>
      </tp>
      <tp t="s">
        <v>#N/A Field Not Applicable</v>
        <stp/>
        <stp>##V3_BDPV12</stp>
        <stp>912828VY Govt</stp>
        <stp>IDX_RATIO</stp>
        <stp>[TREASURY.xlsx]Sheet1!R1004C20</stp>
        <tr r="T1004" s="1"/>
      </tp>
      <tp t="s">
        <v>NORMAL</v>
        <stp/>
        <stp>##V3_BDPV12</stp>
        <stp>9128274R Govt</stp>
        <stp>MTY_TYP</stp>
        <stp>[TREASURY.xlsx]Sheet1!R1532C6</stp>
        <tr r="F1532" s="1"/>
      </tp>
      <tp t="s">
        <v>NORMAL</v>
        <stp/>
        <stp>##V3_BDPV12</stp>
        <stp>9128272N Govt</stp>
        <stp>MTY_TYP</stp>
        <stp>[TREASURY.xlsx]Sheet1!R1352C6</stp>
        <tr r="F1352" s="1"/>
      </tp>
      <tp t="s">
        <v>NORMAL</v>
        <stp/>
        <stp>##V3_BDPV12</stp>
        <stp>9128274N Govt</stp>
        <stp>MTY_TYP</stp>
        <stp>[TREASURY.xlsx]Sheet1!R1462C6</stp>
        <tr r="F1462" s="1"/>
      </tp>
      <tp t="s">
        <v>NORMAL</v>
        <stp/>
        <stp>##V3_BDPV12</stp>
        <stp>9128272V Govt</stp>
        <stp>MTY_TYP</stp>
        <stp>[TREASURY.xlsx]Sheet1!R1522C6</stp>
        <tr r="F1522" s="1"/>
      </tp>
      <tp t="s">
        <v>NORMAL</v>
        <stp/>
        <stp>##V3_BDPV12</stp>
        <stp>9128274B Govt</stp>
        <stp>MTY_TYP</stp>
        <stp>[TREASURY.xlsx]Sheet1!R1362C6</stp>
        <tr r="F1362" s="1"/>
      </tp>
      <tp t="s">
        <v>NORMAL</v>
        <stp/>
        <stp>##V3_BDPV12</stp>
        <stp>9128272L Govt</stp>
        <stp>MTY_TYP</stp>
        <stp>[TREASURY.xlsx]Sheet1!R1452C6</stp>
        <tr r="F1452" s="1"/>
      </tp>
      <tp t="s">
        <v>NORMAL</v>
        <stp/>
        <stp>##V3_BDPV12</stp>
        <stp>9128276C Govt</stp>
        <stp>MTY_TYP</stp>
        <stp>[TREASURY.xlsx]Sheet1!R1022C6</stp>
        <tr r="F1022" s="1"/>
      </tp>
      <tp t="s">
        <v>NORMAL</v>
        <stp/>
        <stp>##V3_BDPV12</stp>
        <stp>9128274U Govt</stp>
        <stp>MTY_TYP</stp>
        <stp>[TREASURY.xlsx]Sheet1!R1012C6</stp>
        <tr r="F1012" s="1"/>
      </tp>
      <tp t="s">
        <v>NORMAL</v>
        <stp/>
        <stp>##V3_BDPV12</stp>
        <stp>912827KX Govt</stp>
        <stp>MTY_TYP</stp>
        <stp>[TREASURY.xlsx]Sheet1!R1162C6</stp>
        <tr r="F1162" s="1"/>
      </tp>
      <tp t="s">
        <v>NORMAL</v>
        <stp/>
        <stp>##V3_BDPV12</stp>
        <stp>912827LQ Govt</stp>
        <stp>MTY_TYP</stp>
        <stp>[TREASURY.xlsx]Sheet1!R1322C6</stp>
        <tr r="F1322" s="1"/>
      </tp>
      <tp t="s">
        <v>NORMAL</v>
        <stp/>
        <stp>##V3_BDPV12</stp>
        <stp>912827J7 Govt</stp>
        <stp>MTY_TYP</stp>
        <stp>[TREASURY.xlsx]Sheet1!R1562C6</stp>
        <tr r="F1562" s="1"/>
      </tp>
      <tp t="s">
        <v>NORMAL</v>
        <stp/>
        <stp>##V3_BDPV12</stp>
        <stp>912827MX Govt</stp>
        <stp>MTY_TYP</stp>
        <stp>[TREASURY.xlsx]Sheet1!R1382C6</stp>
        <tr r="F1382" s="1"/>
      </tp>
      <tp t="s">
        <v>NORMAL</v>
        <stp/>
        <stp>##V3_BDPV12</stp>
        <stp>912827NR Govt</stp>
        <stp>MTY_TYP</stp>
        <stp>[TREASURY.xlsx]Sheet1!R1052C6</stp>
        <tr r="F1052" s="1"/>
      </tp>
      <tp t="s">
        <v>NORMAL</v>
        <stp/>
        <stp>##V3_BDPV12</stp>
        <stp>912827NE Govt</stp>
        <stp>MTY_TYP</stp>
        <stp>[TREASURY.xlsx]Sheet1!R1332C6</stp>
        <tr r="F1332" s="1"/>
      </tp>
      <tp t="s">
        <v>NORMAL</v>
        <stp/>
        <stp>##V3_BDPV12</stp>
        <stp>912827LK Govt</stp>
        <stp>MTY_TYP</stp>
        <stp>[TREASURY.xlsx]Sheet1!R1042C6</stp>
        <tr r="F1042" s="1"/>
      </tp>
      <tp t="s">
        <v>NORMAL</v>
        <stp/>
        <stp>##V3_BDPV12</stp>
        <stp>912827A8 Govt</stp>
        <stp>MTY_TYP</stp>
        <stp>[TREASURY.xlsx]Sheet1!R1032C6</stp>
        <tr r="F1032" s="1"/>
      </tp>
      <tp t="s">
        <v>NORMAL</v>
        <stp/>
        <stp>##V3_BDPV12</stp>
        <stp>912827B9 Govt</stp>
        <stp>MTY_TYP</stp>
        <stp>[TREASURY.xlsx]Sheet1!R1552C6</stp>
        <tr r="F1552" s="1"/>
      </tp>
      <tp t="s">
        <v>NORMAL</v>
        <stp/>
        <stp>##V3_BDPV12</stp>
        <stp>912827C8 Govt</stp>
        <stp>MTY_TYP</stp>
        <stp>[TREASURY.xlsx]Sheet1!R1482C6</stp>
        <tr r="F1482" s="1"/>
      </tp>
      <tp t="s">
        <v>NORMAL</v>
        <stp/>
        <stp>##V3_BDPV12</stp>
        <stp>912827E9 Govt</stp>
        <stp>MTY_TYP</stp>
        <stp>[TREASURY.xlsx]Sheet1!R1372C6</stp>
        <tr r="F1372" s="1"/>
      </tp>
      <tp t="s">
        <v>NORMAL</v>
        <stp/>
        <stp>##V3_BDPV12</stp>
        <stp>912827YK Govt</stp>
        <stp>MTY_TYP</stp>
        <stp>[TREASURY.xlsx]Sheet1!R1222C6</stp>
        <tr r="F1222" s="1"/>
      </tp>
      <tp t="s">
        <v>NORMAL</v>
        <stp/>
        <stp>##V3_BDPV12</stp>
        <stp>912827Z8 Govt</stp>
        <stp>MTY_TYP</stp>
        <stp>[TREASURY.xlsx]Sheet1!R1102C6</stp>
        <tr r="F1102" s="1"/>
      </tp>
      <tp t="s">
        <v>NORMAL</v>
        <stp/>
        <stp>##V3_BDPV12</stp>
        <stp>912827X6 Govt</stp>
        <stp>MTY_TYP</stp>
        <stp>[TREASURY.xlsx]Sheet1!R1212C6</stp>
        <tr r="F1212" s="1"/>
      </tp>
      <tp t="s">
        <v>NORMAL</v>
        <stp/>
        <stp>##V3_BDPV12</stp>
        <stp>912827Y4 Govt</stp>
        <stp>MTY_TYP</stp>
        <stp>[TREASURY.xlsx]Sheet1!R1602C6</stp>
        <tr r="F1602" s="1"/>
      </tp>
      <tp t="s">
        <v>NORMAL</v>
        <stp/>
        <stp>##V3_BDPV12</stp>
        <stp>912827ZT Govt</stp>
        <stp>MTY_TYP</stp>
        <stp>[TREASURY.xlsx]Sheet1!R1612C6</stp>
        <tr r="F1612" s="1"/>
      </tp>
      <tp t="s">
        <v>NORMAL</v>
        <stp/>
        <stp>##V3_BDPV12</stp>
        <stp>912827PT Govt</stp>
        <stp>MTY_TYP</stp>
        <stp>[TREASURY.xlsx]Sheet1!R1342C6</stp>
        <tr r="F1342" s="1"/>
      </tp>
      <tp t="s">
        <v>NORMAL</v>
        <stp/>
        <stp>##V3_BDPV12</stp>
        <stp>912827WU Govt</stp>
        <stp>MTY_TYP</stp>
        <stp>[TREASURY.xlsx]Sheet1!R1422C6</stp>
        <tr r="F1422" s="1"/>
      </tp>
      <tp t="s">
        <v>NORMAL</v>
        <stp/>
        <stp>##V3_BDPV12</stp>
        <stp>912827WW Govt</stp>
        <stp>MTY_TYP</stp>
        <stp>[TREASURY.xlsx]Sheet1!R1592C6</stp>
        <tr r="F1592" s="1"/>
      </tp>
      <tp t="s">
        <v>NORMAL</v>
        <stp/>
        <stp>##V3_BDPV12</stp>
        <stp>912827VU Govt</stp>
        <stp>MTY_TYP</stp>
        <stp>[TREASURY.xlsx]Sheet1!R1412C6</stp>
        <tr r="F1412" s="1"/>
      </tp>
      <tp t="s">
        <v>NORMAL</v>
        <stp/>
        <stp>##V3_BDPV12</stp>
        <stp>912827QA Govt</stp>
        <stp>MTY_TYP</stp>
        <stp>[TREASURY.xlsx]Sheet1!R1392C6</stp>
        <tr r="F1392" s="1"/>
      </tp>
      <tp t="s">
        <v>NORMAL</v>
        <stp/>
        <stp>##V3_BDPV12</stp>
        <stp>912827RC Govt</stp>
        <stp>MTY_TYP</stp>
        <stp>[TREASURY.xlsx]Sheet1!R1062C6</stp>
        <tr r="F1062" s="1"/>
      </tp>
      <tp t="s">
        <v>NORMAL</v>
        <stp/>
        <stp>##V3_BDPV12</stp>
        <stp>912827S6 Govt</stp>
        <stp>MTY_TYP</stp>
        <stp>[TREASURY.xlsx]Sheet1!R1182C6</stp>
        <tr r="F1182" s="1"/>
      </tp>
      <tp t="s">
        <v>NORMAL</v>
        <stp/>
        <stp>##V3_BDPV12</stp>
        <stp>912827PA Govt</stp>
        <stp>MTY_TYP</stp>
        <stp>[TREASURY.xlsx]Sheet1!R1172C6</stp>
        <tr r="F1172" s="1"/>
      </tp>
      <tp t="s">
        <v>NORMAL</v>
        <stp/>
        <stp>##V3_BDPV12</stp>
        <stp>912827TW Govt</stp>
        <stp>MTY_TYP</stp>
        <stp>[TREASURY.xlsx]Sheet1!R1402C6</stp>
        <tr r="F1402" s="1"/>
      </tp>
      <tp t="s">
        <v>NORMAL</v>
        <stp/>
        <stp>##V3_BDPV12</stp>
        <stp>912827UD Govt</stp>
        <stp>MTY_TYP</stp>
        <stp>[TREASURY.xlsx]Sheet1!R1512C6</stp>
        <tr r="F1512" s="1"/>
      </tp>
      <tp t="s">
        <v>NORMAL</v>
        <stp/>
        <stp>##V3_BDPV12</stp>
        <stp>912827RV Govt</stp>
        <stp>MTY_TYP</stp>
        <stp>[TREASURY.xlsx]Sheet1!R1582C6</stp>
        <tr r="F1582" s="1"/>
      </tp>
      <tp t="s">
        <v>NORMAL</v>
        <stp/>
        <stp>##V3_BDPV12</stp>
        <stp>912827UP Govt</stp>
        <stp>MTY_TYP</stp>
        <stp>[TREASURY.xlsx]Sheet1!R1202C6</stp>
        <tr r="F1202" s="1"/>
      </tp>
      <tp t="s">
        <v>NORMAL</v>
        <stp/>
        <stp>##V3_BDPV12</stp>
        <stp>912827RH Govt</stp>
        <stp>MTY_TYP</stp>
        <stp>[TREASURY.xlsx]Sheet1!R1502C6</stp>
        <tr r="F1502" s="1"/>
      </tp>
      <tp t="s">
        <v>NORMAL</v>
        <stp/>
        <stp>##V3_BDPV12</stp>
        <stp>912827WN Govt</stp>
        <stp>MTY_TYP</stp>
        <stp>[TREASURY.xlsx]Sheet1!R1092C6</stp>
        <tr r="F1092" s="1"/>
      </tp>
      <tp t="s">
        <v>NORMAL</v>
        <stp/>
        <stp>##V3_BDPV12</stp>
        <stp>912827V2 Govt</stp>
        <stp>MTY_TYP</stp>
        <stp>[TREASURY.xlsx]Sheet1!R1082C6</stp>
        <tr r="F1082" s="1"/>
      </tp>
      <tp t="s">
        <v>NORMAL</v>
        <stp/>
        <stp>##V3_BDPV12</stp>
        <stp>912827TH Govt</stp>
        <stp>MTY_TYP</stp>
        <stp>[TREASURY.xlsx]Sheet1!R1192C6</stp>
        <tr r="F1192" s="1"/>
      </tp>
      <tp t="s">
        <v>NORMAL</v>
        <stp/>
        <stp>##V3_BDPV12</stp>
        <stp>912827TB Govt</stp>
        <stp>MTY_TYP</stp>
        <stp>[TREASURY.xlsx]Sheet1!R1072C6</stp>
        <tr r="F1072" s="1"/>
      </tp>
      <tp t="s">
        <v>NORMAL</v>
        <stp/>
        <stp>##V3_BDPV12</stp>
        <stp>912827Q8 Govt</stp>
        <stp>MTY_TYP</stp>
        <stp>[TREASURY.xlsx]Sheet1!R1572C6</stp>
        <tr r="F1572" s="1"/>
      </tp>
      <tp t="s">
        <v>NORMAL</v>
        <stp/>
        <stp>##V3_BDPV12</stp>
        <stp>912827P8 Govt</stp>
        <stp>MTY_TYP</stp>
        <stp>[TREASURY.xlsx]Sheet1!R1492C6</stp>
        <tr r="F1492" s="1"/>
      </tp>
      <tp t="s">
        <v>#N/A Field Not Applicable</v>
        <stp/>
        <stp>##V3_BDPV12</stp>
        <stp>912827NY Govt</stp>
        <stp>IDX_RATIO</stp>
        <stp>[TREASURY.xlsx]Sheet1!R1170C20</stp>
        <tr r="T1170" s="1"/>
      </tp>
      <tp t="s">
        <v>912827NX6</v>
        <stp/>
        <stp>##V3_BDPV12</stp>
        <stp>912827NX Govt</stp>
        <stp>ID_CUSIP</stp>
        <stp>[TREASURY.xlsx]Sheet1!R1385C19</stp>
        <tr r="S1385" s="1"/>
      </tp>
      <tp t="s">
        <v>#N/A Field Not Applicable</v>
        <stp/>
        <stp>##V3_BDPV12</stp>
        <stp>912828GY Govt</stp>
        <stp>IDX_RATIO</stp>
        <stp>[TREASURY.xlsx]Sheet1!R1120C20</stp>
        <tr r="T1120" s="1"/>
      </tp>
      <tp t="s">
        <v>#N/A Field Not Applicable</v>
        <stp/>
        <stp>##V3_BDPV12</stp>
        <stp>912828UY Govt</stp>
        <stp>IDX_RATIO</stp>
        <stp>[TREASURY.xlsx]Sheet1!R1138C20</stp>
        <tr r="T1138" s="1"/>
      </tp>
      <tp t="s">
        <v>#N/A Field Not Applicable</v>
        <stp/>
        <stp>##V3_BDPV12</stp>
        <stp>912828SY Govt</stp>
        <stp>IDX_RATIO</stp>
        <stp>[TREASURY.xlsx]Sheet1!R1133C20</stp>
        <tr r="T1133" s="1"/>
      </tp>
      <tp t="s">
        <v>912828NY2</v>
        <stp/>
        <stp>##V3_BDPV12</stp>
        <stp>912828NY Govt</stp>
        <stp>ID_CUSIP</stp>
        <stp>[TREASURY.xlsx]Sheet1!R1258C19</stp>
        <tr r="S1258" s="1"/>
      </tp>
      <tp t="s">
        <v>#N/A Field Not Applicable</v>
        <stp/>
        <stp>##V3_BDPV12</stp>
        <stp>912827SY Govt</stp>
        <stp>IDX_RATIO</stp>
        <stp>[TREASURY.xlsx]Sheet1!R1190C20</stp>
        <tr r="T1190" s="1"/>
      </tp>
      <tp t="s">
        <v>UNITED STATES</v>
        <stp/>
        <stp>##V3_BDPV12</stp>
        <stp>9128287F Govt</stp>
        <stp>COUNTRY_FULL_NAME</stp>
        <stp>[TREASURY.xlsx]Sheet1!R329C8</stp>
        <tr r="H329" s="1"/>
      </tp>
      <tp t="s">
        <v>UNITED STATES</v>
        <stp/>
        <stp>##V3_BDPV12</stp>
        <stp>9128287C Govt</stp>
        <stp>COUNTRY_FULL_NAME</stp>
        <stp>[TREASURY.xlsx]Sheet1!R219C8</stp>
        <tr r="H219" s="1"/>
      </tp>
      <tp t="s">
        <v>UNITED STATES</v>
        <stp/>
        <stp>##V3_BDPV12</stp>
        <stp>9128287A Govt</stp>
        <stp>COUNTRY_FULL_NAME</stp>
        <stp>[TREASURY.xlsx]Sheet1!R339C8</stp>
        <tr r="H339" s="1"/>
      </tp>
      <tp t="s">
        <v>912828NW6</v>
        <stp/>
        <stp>##V3_BDPV12</stp>
        <stp>912828NW Govt</stp>
        <stp>ID_CUSIP</stp>
        <stp>[TREASURY.xlsx]Sheet1!R1294C19</stp>
        <tr r="S1294" s="1"/>
      </tp>
      <tp t="s">
        <v>NORMAL</v>
        <stp/>
        <stp>##V3_BDPV12</stp>
        <stp>912828JL Govt</stp>
        <stp>MTY_TYP</stp>
        <stp>[TREASURY.xlsx]Sheet1!R1122C6</stp>
        <tr r="F1122" s="1"/>
      </tp>
      <tp t="s">
        <v>NORMAL</v>
        <stp/>
        <stp>##V3_BDPV12</stp>
        <stp>912828MA Govt</stp>
        <stp>MTY_TYP</stp>
        <stp>[TREASURY.xlsx]Sheet1!R1252C6</stp>
        <tr r="F1252" s="1"/>
      </tp>
      <tp t="s">
        <v>NORMAL</v>
        <stp/>
        <stp>##V3_BDPV12</stp>
        <stp>912828NA Govt</stp>
        <stp>MTY_TYP</stp>
        <stp>[TREASURY.xlsx]Sheet1!R1292C6</stp>
        <tr r="F1292" s="1"/>
      </tp>
      <tp t="s">
        <v>NORMAL</v>
        <stp/>
        <stp>##V3_BDPV12</stp>
        <stp>912828A2 Govt</stp>
        <stp>MTY_TYP</stp>
        <stp>[TREASURY.xlsx]Sheet1!R1232C6</stp>
        <tr r="F1232" s="1"/>
      </tp>
      <tp t="s">
        <v>NORMAL</v>
        <stp/>
        <stp>##V3_BDPV12</stp>
        <stp>912828FA Govt</stp>
        <stp>MTY_TYP</stp>
        <stp>[TREASURY.xlsx]Sheet1!R1432C6</stp>
        <tr r="F1432" s="1"/>
      </tp>
      <tp t="s">
        <v>NORMAL</v>
        <stp/>
        <stp>##V3_BDPV12</stp>
        <stp>912828DT Govt</stp>
        <stp>MTY_TYP</stp>
        <stp>[TREASURY.xlsx]Sheet1!R1272C6</stp>
        <tr r="F1272" s="1"/>
      </tp>
      <tp t="s">
        <v>NORMAL</v>
        <stp/>
        <stp>##V3_BDPV12</stp>
        <stp>912828DQ Govt</stp>
        <stp>MTY_TYP</stp>
        <stp>[TREASURY.xlsx]Sheet1!R1112C6</stp>
        <tr r="F1112" s="1"/>
      </tp>
      <tp t="s">
        <v>NORMAL</v>
        <stp/>
        <stp>##V3_BDPV12</stp>
        <stp>912828GC Govt</stp>
        <stp>MTY_TYP</stp>
        <stp>[TREASURY.xlsx]Sheet1!R1282C6</stp>
        <tr r="F1282" s="1"/>
      </tp>
      <tp t="s">
        <v>NORMAL</v>
        <stp/>
        <stp>##V3_BDPV12</stp>
        <stp>912828GE Govt</stp>
        <stp>MTY_TYP</stp>
        <stp>[TREASURY.xlsx]Sheet1!R1242C6</stp>
        <tr r="F1242" s="1"/>
      </tp>
      <tp t="s">
        <v>NORMAL</v>
        <stp/>
        <stp>##V3_BDPV12</stp>
        <stp>912828XJ Govt</stp>
        <stp>MTY_TYP</stp>
        <stp>[TREASURY.xlsx]Sheet1!R1152C6</stp>
        <tr r="F1152" s="1"/>
      </tp>
      <tp t="s">
        <v>NORMAL</v>
        <stp/>
        <stp>##V3_BDPV12</stp>
        <stp>912828Q5 Govt</stp>
        <stp>MTY_TYP</stp>
        <stp>[TREASURY.xlsx]Sheet1!R1262C6</stp>
        <tr r="F1262" s="1"/>
      </tp>
      <tp t="s">
        <v>NORMAL</v>
        <stp/>
        <stp>##V3_BDPV12</stp>
        <stp>912828SR Govt</stp>
        <stp>MTY_TYP</stp>
        <stp>[TREASURY.xlsx]Sheet1!R1142C6</stp>
        <tr r="F1142" s="1"/>
      </tp>
      <tp t="s">
        <v>NORMAL</v>
        <stp/>
        <stp>##V3_BDPV12</stp>
        <stp>912828SK Govt</stp>
        <stp>MTY_TYP</stp>
        <stp>[TREASURY.xlsx]Sheet1!R1132C6</stp>
        <tr r="F1132" s="1"/>
      </tp>
      <tp t="s">
        <v>NORMAL</v>
        <stp/>
        <stp>##V3_BDPV12</stp>
        <stp>912828RU Govt</stp>
        <stp>MTY_TYP</stp>
        <stp>[TREASURY.xlsx]Sheet1!R1302C6</stp>
        <tr r="F1302" s="1"/>
      </tp>
      <tp t="s">
        <v>NORMAL</v>
        <stp/>
        <stp>##V3_BDPV12</stp>
        <stp>912828UW Govt</stp>
        <stp>MTY_TYP</stp>
        <stp>[TREASURY.xlsx]Sheet1!R1002C6</stp>
        <tr r="F1002" s="1"/>
      </tp>
      <tp t="s">
        <v>912827NU2</v>
        <stp/>
        <stp>##V3_BDPV12</stp>
        <stp>912827NU Govt</stp>
        <stp>ID_CUSIP</stp>
        <stp>[TREASURY.xlsx]Sheet1!R1335C19</stp>
        <tr r="S1335" s="1"/>
      </tp>
      <tp t="s">
        <v>USD</v>
        <stp/>
        <stp>##V3_BDPV12</stp>
        <stp>912827UH Govt</stp>
        <stp>CRNCY</stp>
        <stp>[TREASURY.xlsx]Sheet1!R1078C7</stp>
        <tr r="G1078" s="1"/>
      </tp>
      <tp t="s">
        <v>912827NT5</v>
        <stp/>
        <stp>##V3_BDPV12</stp>
        <stp>912827NT Govt</stp>
        <stp>ID_CUSIP</stp>
        <stp>[TREASURY.xlsx]Sheet1!R1384C19</stp>
        <tr r="S1384" s="1"/>
      </tp>
      <tp t="s">
        <v>912827NW8</v>
        <stp/>
        <stp>##V3_BDPV12</stp>
        <stp>912827NW Govt</stp>
        <stp>ID_CUSIP</stp>
        <stp>[TREASURY.xlsx]Sheet1!R1053C19</stp>
        <tr r="S1053" s="1"/>
      </tp>
      <tp t="s">
        <v>912827NS7</v>
        <stp/>
        <stp>##V3_BDPV12</stp>
        <stp>912827NS Govt</stp>
        <stp>ID_CUSIP</stp>
        <stp>[TREASURY.xlsx]Sheet1!R1334C19</stp>
        <tr r="S1334" s="1"/>
      </tp>
      <tp t="s">
        <v>912828NR7</v>
        <stp/>
        <stp>##V3_BDPV12</stp>
        <stp>912828NR Govt</stp>
        <stp>ID_CUSIP</stp>
        <stp>[TREASURY.xlsx]Sheet1!R1257C19</stp>
        <tr r="S1257" s="1"/>
      </tp>
      <tp t="s">
        <v>912827NR9</v>
        <stp/>
        <stp>##V3_BDPV12</stp>
        <stp>912827NR Govt</stp>
        <stp>ID_CUSIP</stp>
        <stp>[TREASURY.xlsx]Sheet1!R1052C19</stp>
        <tr r="S1052" s="1"/>
      </tp>
      <tp t="s">
        <v>USD</v>
        <stp/>
        <stp>##V3_BDPV12</stp>
        <stp>912827TL Govt</stp>
        <stp>CRNCY</stp>
        <stp>[TREASURY.xlsx]Sheet1!R1509C7</stp>
        <tr r="G1509" s="1"/>
      </tp>
      <tp t="s">
        <v>912828NQ9</v>
        <stp/>
        <stp>##V3_BDPV12</stp>
        <stp>912828NQ Govt</stp>
        <stp>ID_CUSIP</stp>
        <stp>[TREASURY.xlsx]Sheet1!R1293C19</stp>
        <tr r="S1293" s="1"/>
      </tp>
      <tp t="s">
        <v>USD</v>
        <stp/>
        <stp>##V3_BDPV12</stp>
        <stp>912827XM Govt</stp>
        <stp>CRNCY</stp>
        <stp>[TREASURY.xlsx]Sheet1!R1215C7</stp>
        <tr r="G1215" s="1"/>
      </tp>
      <tp t="s">
        <v>T 10 5/8 08/31/85</v>
        <stp/>
        <stp>##V3_BDPV12</stp>
        <stp>912827PW Govt</stp>
        <stp>SECURITY_NAME</stp>
        <stp>[TREASURY.xlsx]Sheet1!R739C16</stp>
        <tr r="P739" s="1"/>
      </tp>
      <tp t="s">
        <v>T 0 1/2 11/30/12</v>
        <stp/>
        <stp>##V3_BDPV12</stp>
        <stp>912828PV Govt</stp>
        <stp>SECURITY_NAME</stp>
        <stp>[TREASURY.xlsx]Sheet1!R652C16</stp>
        <tr r="P652" s="1"/>
      </tp>
      <tp t="s">
        <v>T 4 3/8 02/15/38</v>
        <stp/>
        <stp>##V3_BDPV12</stp>
        <stp>912810PW Govt</stp>
        <stp>SECURITY_NAME</stp>
        <stp>[TREASURY.xlsx]Sheet1!R289C16</stp>
        <tr r="P289" s="1"/>
      </tp>
      <tp t="s">
        <v>T 10 06/30/85</v>
        <stp/>
        <stp>##V3_BDPV12</stp>
        <stp>912827PQ Govt</stp>
        <stp>SECURITY_NAME</stp>
        <stp>[TREASURY.xlsx]Sheet1!R665C16</stp>
        <tr r="P665" s="1"/>
      </tp>
      <tp t="s">
        <v>T 4 3/4 02/15/37</v>
        <stp/>
        <stp>##V3_BDPV12</stp>
        <stp>912810PT Govt</stp>
        <stp>SECURITY_NAME</stp>
        <stp>[TREASURY.xlsx]Sheet1!R226C16</stp>
        <tr r="P226" s="1"/>
      </tp>
      <tp t="s">
        <v>T 10 1/2 08/15/88</v>
        <stp/>
        <stp>##V3_BDPV12</stp>
        <stp>912827PP Govt</stp>
        <stp>SECURITY_NAME</stp>
        <stp>[TREASURY.xlsx]Sheet1!R904C16</stp>
        <tr r="P904" s="1"/>
      </tp>
      <tp t="s">
        <v>T 1 01/15/14</v>
        <stp/>
        <stp>##V3_BDPV12</stp>
        <stp>912828PQ Govt</stp>
        <stp>SECURITY_NAME</stp>
        <stp>[TREASURY.xlsx]Sheet1!R985C16</stp>
        <tr r="P985" s="1"/>
      </tp>
      <tp t="s">
        <v>T 3 5/8 02/15/21</v>
        <stp/>
        <stp>##V3_BDPV12</stp>
        <stp>912828PX Govt</stp>
        <stp>SECURITY_NAME</stp>
        <stp>[TREASURY.xlsx]Sheet1!R355C16</stp>
        <tr r="P355" s="1"/>
      </tp>
      <tp t="s">
        <v>T 2 01/31/16</v>
        <stp/>
        <stp>##V3_BDPV12</stp>
        <stp>912828PS Govt</stp>
        <stp>SECURITY_NAME</stp>
        <stp>[TREASURY.xlsx]Sheet1!R986C16</stp>
        <tr r="P986" s="1"/>
      </tp>
      <tp t="s">
        <v>T 4 1/2 05/15/38</v>
        <stp/>
        <stp>##V3_BDPV12</stp>
        <stp>912810PX Govt</stp>
        <stp>SECURITY_NAME</stp>
        <stp>[TREASURY.xlsx]Sheet1!R282C16</stp>
        <tr r="P282" s="1"/>
      </tp>
      <tp t="s">
        <v>T 2 3/4 02/28/18</v>
        <stp/>
        <stp>##V3_BDPV12</stp>
        <stp>912828PY Govt</stp>
        <stp>SECURITY_NAME</stp>
        <stp>[TREASURY.xlsx]Sheet1!R594C16</stp>
        <tr r="P594" s="1"/>
      </tp>
      <tp t="s">
        <v>T 1 1/4 03/15/14</v>
        <stp/>
        <stp>##V3_BDPV12</stp>
        <stp>912828PZ Govt</stp>
        <stp>SECURITY_NAME</stp>
        <stp>[TREASURY.xlsx]Sheet1!R575C16</stp>
        <tr r="P575" s="1"/>
      </tp>
      <tp t="s">
        <v>T 0 5/8 12/31/12</v>
        <stp/>
        <stp>##V3_BDPV12</stp>
        <stp>912828PW Govt</stp>
        <stp>SECURITY_NAME</stp>
        <stp>[TREASURY.xlsx]Sheet1!R987C16</stp>
        <tr r="P987" s="1"/>
      </tp>
      <tp t="s">
        <v>T 9 7/8 05/15/88</v>
        <stp/>
        <stp>##V3_BDPV12</stp>
        <stp>912827PF Govt</stp>
        <stp>SECURITY_NAME</stp>
        <stp>[TREASURY.xlsx]Sheet1!R737C16</stp>
        <tr r="P737" s="1"/>
      </tp>
      <tp t="s">
        <v>T 1 1/4 10/31/15</v>
        <stp/>
        <stp>##V3_BDPV12</stp>
        <stp>912828PE Govt</stp>
        <stp>SECURITY_NAME</stp>
        <stp>[TREASURY.xlsx]Sheet1!R548C16</stp>
        <tr r="P548" s="1"/>
      </tp>
      <tp t="s">
        <v>T 2 5/8 11/15/20</v>
        <stp/>
        <stp>##V3_BDPV12</stp>
        <stp>912828PC Govt</stp>
        <stp>SECURITY_NAME</stp>
        <stp>[TREASURY.xlsx]Sheet1!R365C16</stp>
        <tr r="P365" s="1"/>
      </tp>
      <tp t="s">
        <v>T 2 1/4 11/30/17</v>
        <stp/>
        <stp>##V3_BDPV12</stp>
        <stp>912828PK Govt</stp>
        <stp>SECURITY_NAME</stp>
        <stp>[TREASURY.xlsx]Sheet1!R982C16</stp>
        <tr r="P982" s="1"/>
      </tp>
      <tp t="s">
        <v>T 0 3/4 12/15/13</v>
        <stp/>
        <stp>##V3_BDPV12</stp>
        <stp>912828PL Govt</stp>
        <stp>SECURITY_NAME</stp>
        <stp>[TREASURY.xlsx]Sheet1!R983C16</stp>
        <tr r="P983" s="1"/>
      </tp>
      <tp t="s">
        <v>T 9 7/8 02/15/86</v>
        <stp/>
        <stp>##V3_BDPV12</stp>
        <stp>912827PC Govt</stp>
        <stp>SECURITY_NAME</stp>
        <stp>[TREASURY.xlsx]Sheet1!R736C16</stp>
        <tr r="P736" s="1"/>
      </tp>
      <tp t="s">
        <v>T 2 3/4 12/31/17</v>
        <stp/>
        <stp>##V3_BDPV12</stp>
        <stp>912828PN Govt</stp>
        <stp>SECURITY_NAME</stp>
        <stp>[TREASURY.xlsx]Sheet1!R984C16</stp>
        <tr r="P984" s="1"/>
      </tp>
      <tp t="s">
        <v>T 9 7/8 05/31/85</v>
        <stp/>
        <stp>##V3_BDPV12</stp>
        <stp>912827PN Govt</stp>
        <stp>SECURITY_NAME</stp>
        <stp>[TREASURY.xlsx]Sheet1!R903C16</stp>
        <tr r="P903" s="1"/>
      </tp>
      <tp t="s">
        <v>T 2 1/8 12/31/15</v>
        <stp/>
        <stp>##V3_BDPV12</stp>
        <stp>912828PM Govt</stp>
        <stp>SECURITY_NAME</stp>
        <stp>[TREASURY.xlsx]Sheet1!R593C16</stp>
        <tr r="P593" s="1"/>
      </tp>
      <tp t="s">
        <v>T 9 3/8 05/15/86</v>
        <stp/>
        <stp>##V3_BDPV12</stp>
        <stp>912827PL Govt</stp>
        <stp>SECURITY_NAME</stp>
        <stp>[TREASURY.xlsx]Sheet1!R738C16</stp>
        <tr r="P738" s="1"/>
      </tp>
      <tp t="s">
        <v>T 10 1/4 03/31/87</v>
        <stp/>
        <stp>##V3_BDPV12</stp>
        <stp>912827PH Govt</stp>
        <stp>SECURITY_NAME</stp>
        <stp>[TREASURY.xlsx]Sheet1!R499C16</stp>
        <tr r="P499" s="1"/>
      </tp>
      <tp t="s">
        <v>T 1 3/8 11/30/15</v>
        <stp/>
        <stp>##V3_BDPV12</stp>
        <stp>912828PJ Govt</stp>
        <stp>SECURITY_NAME</stp>
        <stp>[TREASURY.xlsx]Sheet1!R630C16</stp>
        <tr r="P630" s="1"/>
      </tp>
      <tp t="s">
        <v>T 0 3/8 08/31/12</v>
        <stp/>
        <stp>##V3_BDPV12</stp>
        <stp>912828PH Govt</stp>
        <stp>SECURITY_NAME</stp>
        <stp>[TREASURY.xlsx]Sheet1!R464C16</stp>
        <tr r="P464" s="1"/>
      </tp>
      <tp t="s">
        <v>US91282CBH34</v>
        <stp/>
        <stp>##V3_BDPV12</stp>
        <stp>91282CBH Govt</stp>
        <stp>ID_ISIN</stp>
        <stp>[TREASURY.xlsx]Sheet1!R59C12</stp>
        <tr r="L59" s="1"/>
      </tp>
      <tp t="s">
        <v>US91282CCH25</v>
        <stp/>
        <stp>##V3_BDPV12</stp>
        <stp>91282CCH Govt</stp>
        <stp>ID_ISIN</stp>
        <stp>[TREASURY.xlsx]Sheet1!R36C12</stp>
        <tr r="L36" s="1"/>
      </tp>
      <tp t="s">
        <v>FIXED</v>
        <stp/>
        <stp>##V3_BDPV12</stp>
        <stp>912810SL Govt</stp>
        <stp>CPN_TYP</stp>
        <stp>[TREASURY.xlsx]Sheet1!R40C11</stp>
        <tr r="K40" s="1"/>
      </tp>
      <tp t="s">
        <v>FIXED</v>
        <stp/>
        <stp>##V3_BDPV12</stp>
        <stp>912828ZL Govt</stp>
        <stp>CPN_TYP</stp>
        <stp>[TREASURY.xlsx]Sheet1!R66C11</stp>
        <tr r="K66" s="1"/>
      </tp>
      <tp t="s">
        <v>FIXED</v>
        <stp/>
        <stp>##V3_BDPV12</stp>
        <stp>91282CBL Govt</stp>
        <stp>CPN_TYP</stp>
        <stp>[TREASURY.xlsx]Sheet1!R14C11</stp>
        <tr r="K14" s="1"/>
      </tp>
      <tp t="s">
        <v>FIXED</v>
        <stp/>
        <stp>##V3_BDPV12</stp>
        <stp>91282CCL Govt</stp>
        <stp>CPN_TYP</stp>
        <stp>[TREASURY.xlsx]Sheet1!R32C11</stp>
        <tr r="K32" s="1"/>
      </tp>
      <tp t="s">
        <v>NORMAL</v>
        <stp/>
        <stp>##V3_BDPV12</stp>
        <stp>91282CCZ Govt</stp>
        <stp>MTY_TYP</stp>
        <stp>[TREASURY.xlsx]Sheet1!R7C6</stp>
        <tr r="F7" s="1"/>
      </tp>
      <tp t="s">
        <v>UNITED STATES</v>
        <stp/>
        <stp>##V3_BDPV12</stp>
        <stp>91282CCP Govt</stp>
        <stp>COUNTRY_FULL_NAME</stp>
        <stp>[TREASURY.xlsx]Sheet1!R19C8</stp>
        <tr r="H19" s="1"/>
      </tp>
      <tp t="s">
        <v>UNITED STATES</v>
        <stp/>
        <stp>##V3_BDPV12</stp>
        <stp>91282CBH Govt</stp>
        <stp>COUNTRY_FULL_NAME</stp>
        <stp>[TREASURY.xlsx]Sheet1!R59C8</stp>
        <tr r="H59" s="1"/>
      </tp>
      <tp t="s">
        <v>UNITED STATES</v>
        <stp/>
        <stp>##V3_BDPV12</stp>
        <stp>91282CBW Govt</stp>
        <stp>COUNTRY_FULL_NAME</stp>
        <stp>[TREASURY.xlsx]Sheet1!R29C8</stp>
        <tr r="H29" s="1"/>
      </tp>
      <tp t="s">
        <v>UNITED STATES</v>
        <stp/>
        <stp>##V3_BDPV12</stp>
        <stp>91282CBV Govt</stp>
        <stp>COUNTRY_FULL_NAME</stp>
        <stp>[TREASURY.xlsx]Sheet1!R89C8</stp>
        <tr r="H89" s="1"/>
      </tp>
      <tp t="s">
        <v>UNITED STATES</v>
        <stp/>
        <stp>##V3_BDPV12</stp>
        <stp>91282CAB Govt</stp>
        <stp>COUNTRY_FULL_NAME</stp>
        <stp>[TREASURY.xlsx]Sheet1!R99C8</stp>
        <tr r="H99" s="1"/>
      </tp>
      <tp t="s">
        <v>UNITED STATES</v>
        <stp/>
        <stp>##V3_BDPV12</stp>
        <stp>91282CAJ Govt</stp>
        <stp>COUNTRY_FULL_NAME</stp>
        <stp>[TREASURY.xlsx]Sheet1!R49C8</stp>
        <tr r="H49" s="1"/>
      </tp>
      <tp t="s">
        <v>UNITED STATES</v>
        <stp/>
        <stp>##V3_BDPV12</stp>
        <stp>91282CAT Govt</stp>
        <stp>COUNTRY_FULL_NAME</stp>
        <stp>[TREASURY.xlsx]Sheet1!R39C8</stp>
        <tr r="H39" s="1"/>
      </tp>
      <tp t="s">
        <v>UNITED STATES</v>
        <stp/>
        <stp>##V3_BDPV12</stp>
        <stp>912828YG Govt</stp>
        <stp>COUNTRY_FULL_NAME</stp>
        <stp>[TREASURY.xlsx]Sheet1!R69C8</stp>
        <tr r="H69" s="1"/>
      </tp>
      <tp t="s">
        <v>5/31/2028</v>
        <stp/>
        <stp>##V3_BDPV12</stp>
        <stp>91282CCE Govt</stp>
        <stp>MATURITY</stp>
        <stp>[TREASURY.xlsx]Sheet1!R77C5</stp>
        <tr r="E77" s="1"/>
      </tp>
      <tp t="s">
        <v>12/31/2025</v>
        <stp/>
        <stp>##V3_BDPV12</stp>
        <stp>91282CBC Govt</stp>
        <stp>MATURITY</stp>
        <stp>[TREASURY.xlsx]Sheet1!R41C5</stp>
        <tr r="E41" s="1"/>
      </tp>
      <tp t="s">
        <v>5/31/2026</v>
        <stp/>
        <stp>##V3_BDPV12</stp>
        <stp>91282CCF Govt</stp>
        <stp>MATURITY</stp>
        <stp>[TREASURY.xlsx]Sheet1!R34C5</stp>
        <tr r="E34" s="1"/>
      </tp>
      <tp t="s">
        <v>NORMAL</v>
        <stp/>
        <stp>##V3_BDPV12</stp>
        <stp>912827U9 Govt</stp>
        <stp>MTY_TYP</stp>
        <stp>[TREASURY.xlsx]Sheet1!R752C6</stp>
        <tr r="F752" s="1"/>
      </tp>
      <tp t="s">
        <v>NORMAL</v>
        <stp/>
        <stp>##V3_BDPV12</stp>
        <stp>912828X9 Govt</stp>
        <stp>MTY_TYP</stp>
        <stp>[TREASURY.xlsx]Sheet1!R882C6</stp>
        <tr r="F882" s="1"/>
      </tp>
      <tp t="s">
        <v>NORMAL</v>
        <stp/>
        <stp>##V3_BDPV12</stp>
        <stp>912828J9 Govt</stp>
        <stp>MTY_TYP</stp>
        <stp>[TREASURY.xlsx]Sheet1!R852C6</stp>
        <tr r="F852" s="1"/>
      </tp>
      <tp t="s">
        <v>NORMAL</v>
        <stp/>
        <stp>##V3_BDPV12</stp>
        <stp>912827D9 Govt</stp>
        <stp>MTY_TYP</stp>
        <stp>[TREASURY.xlsx]Sheet1!R702C6</stp>
        <tr r="F702" s="1"/>
      </tp>
      <tp t="s">
        <v>NORMAL</v>
        <stp/>
        <stp>##V3_BDPV12</stp>
        <stp>912828C3 Govt</stp>
        <stp>MTY_TYP</stp>
        <stp>[TREASURY.xlsx]Sheet1!R838C6</stp>
        <tr r="F838" s="1"/>
      </tp>
      <tp t="s">
        <v>NORMAL</v>
        <stp/>
        <stp>##V3_BDPV12</stp>
        <stp>912828H3 Govt</stp>
        <stp>MTY_TYP</stp>
        <stp>[TREASURY.xlsx]Sheet1!R968C6</stp>
        <tr r="F968" s="1"/>
      </tp>
      <tp t="s">
        <v>NORMAL</v>
        <stp/>
        <stp>##V3_BDPV12</stp>
        <stp>912828G9 Govt</stp>
        <stp>MTY_TYP</stp>
        <stp>[TREASURY.xlsx]Sheet1!R422C6</stp>
        <tr r="F422" s="1"/>
      </tp>
      <tp t="s">
        <v>NORMAL</v>
        <stp/>
        <stp>##V3_BDPV12</stp>
        <stp>912828M9 Govt</stp>
        <stp>MTY_TYP</stp>
        <stp>[TREASURY.xlsx]Sheet1!R592C6</stp>
        <tr r="F592" s="1"/>
      </tp>
      <tp t="s">
        <v>NORMAL</v>
        <stp/>
        <stp>##V3_BDPV12</stp>
        <stp>912827W3 Govt</stp>
        <stp>MTY_TYP</stp>
        <stp>[TREASURY.xlsx]Sheet1!R928C6</stp>
        <tr r="F928" s="1"/>
      </tp>
      <tp t="s">
        <v>NORMAL</v>
        <stp/>
        <stp>##V3_BDPV12</stp>
        <stp>912828W2 Govt</stp>
        <stp>MTY_TYP</stp>
        <stp>[TREASURY.xlsx]Sheet1!R679C6</stp>
        <tr r="F679" s="1"/>
      </tp>
      <tp t="s">
        <v>NORMAL</v>
        <stp/>
        <stp>##V3_BDPV12</stp>
        <stp>912828D2 Govt</stp>
        <stp>MTY_TYP</stp>
        <stp>[TREASURY.xlsx]Sheet1!R619C6</stp>
        <tr r="F619" s="1"/>
      </tp>
      <tp t="s">
        <v>NORMAL</v>
        <stp/>
        <stp>##V3_BDPV12</stp>
        <stp>912828U8 Govt</stp>
        <stp>MTY_TYP</stp>
        <stp>[TREASURY.xlsx]Sheet1!R213C6</stp>
        <tr r="F213" s="1"/>
      </tp>
      <tp t="s">
        <v>NORMAL</v>
        <stp/>
        <stp>##V3_BDPV12</stp>
        <stp>912828N8 Govt</stp>
        <stp>MTY_TYP</stp>
        <stp>[TREASURY.xlsx]Sheet1!R343C6</stp>
        <tr r="F343" s="1"/>
      </tp>
      <tp t="s">
        <v>T 1 3/4 01/31/23</v>
        <stp/>
        <stp>##V3_BDPV12</stp>
        <stp>912828P3 Govt</stp>
        <stp>SECURITY_NAME</stp>
        <stp>[TREASURY.xlsx]Sheet1!R222C16</stp>
        <tr r="P222" s="1"/>
      </tp>
      <tp t="s">
        <v>T 5 1/2 02/28/99</v>
        <stp/>
        <stp>##V3_BDPV12</stp>
        <stp>912827P2 Govt</stp>
        <stp>SECURITY_NAME</stp>
        <stp>[TREASURY.xlsx]Sheet1!R735C16</stp>
        <tr r="P735" s="1"/>
      </tp>
      <tp t="s">
        <v>T 1 1/2 02/28/23</v>
        <stp/>
        <stp>##V3_BDPV12</stp>
        <stp>912828P7 Govt</stp>
        <stp>SECURITY_NAME</stp>
        <stp>[TREASURY.xlsx]Sheet1!R309C16</stp>
        <tr r="P309" s="1"/>
      </tp>
      <tp t="s">
        <v>T 1 1/8 02/28/21</v>
        <stp/>
        <stp>##V3_BDPV12</stp>
        <stp>912828P8 Govt</stp>
        <stp>SECURITY_NAME</stp>
        <stp>[TREASURY.xlsx]Sheet1!R389C16</stp>
        <tr r="P389" s="1"/>
      </tp>
      <tp t="s">
        <v>T 0 3/4 01/31/18</v>
        <stp/>
        <stp>##V3_BDPV12</stp>
        <stp>912828P2 Govt</stp>
        <stp>SECURITY_NAME</stp>
        <stp>[TREASURY.xlsx]Sheet1!R981C16</stp>
        <tr r="P981" s="1"/>
      </tp>
      <tp t="s">
        <v>T 1 03/15/19</v>
        <stp/>
        <stp>##V3_BDPV12</stp>
        <stp>912828P9 Govt</stp>
        <stp>SECURITY_NAME</stp>
        <stp>[TREASURY.xlsx]Sheet1!R431C16</stp>
        <tr r="P431" s="1"/>
      </tp>
      <tp t="s">
        <v>T 2 1/4 07/31/18</v>
        <stp/>
        <stp>##V3_BDPV12</stp>
        <stp>912828QY Govt</stp>
        <stp>SECURITY_NAME</stp>
        <stp>[TREASURY.xlsx]Sheet1!R827C16</stp>
        <tr r="P827" s="1"/>
      </tp>
      <tp t="s">
        <v>T 0 3/8 07/31/13</v>
        <stp/>
        <stp>##V3_BDPV12</stp>
        <stp>912828QW Govt</stp>
        <stp>SECURITY_NAME</stp>
        <stp>[TREASURY.xlsx]Sheet1!R646C16</stp>
        <tr r="P646" s="1"/>
      </tp>
      <tp t="s">
        <v>T 3 3/4 08/15/41</v>
        <stp/>
        <stp>##V3_BDPV12</stp>
        <stp>912810QS Govt</stp>
        <stp>SECURITY_NAME</stp>
        <stp>[TREASURY.xlsx]Sheet1!R303C16</stp>
        <tr r="P303" s="1"/>
      </tp>
      <tp t="s">
        <v>T 4 3/8 05/15/41</v>
        <stp/>
        <stp>##V3_BDPV12</stp>
        <stp>912810QQ Govt</stp>
        <stp>SECURITY_NAME</stp>
        <stp>[TREASURY.xlsx]Sheet1!R315C16</stp>
        <tr r="P315" s="1"/>
      </tp>
      <tp t="s">
        <v>T 3 05/15/42</v>
        <stp/>
        <stp>##V3_BDPV12</stp>
        <stp>912810QW Govt</stp>
        <stp>SECURITY_NAME</stp>
        <stp>[TREASURY.xlsx]Sheet1!R286C16</stp>
        <tr r="P286" s="1"/>
      </tp>
      <tp t="s">
        <v>T 1 3/4 05/31/16</v>
        <stp/>
        <stp>##V3_BDPV12</stp>
        <stp>912828QP Govt</stp>
        <stp>SECURITY_NAME</stp>
        <stp>[TREASURY.xlsx]Sheet1!R550C16</stp>
        <tr r="P550" s="1"/>
      </tp>
      <tp t="s">
        <v>T 3 1/8 02/15/42</v>
        <stp/>
        <stp>##V3_BDPV12</stp>
        <stp>912810QU Govt</stp>
        <stp>SECURITY_NAME</stp>
        <stp>[TREASURY.xlsx]Sheet1!R287C16</stp>
        <tr r="P287" s="1"/>
      </tp>
      <tp t="s">
        <v>T 11 1/2 03/31/86</v>
        <stp/>
        <stp>##V3_BDPV12</stp>
        <stp>912827QP Govt</stp>
        <stp>SECURITY_NAME</stp>
        <stp>[TREASURY.xlsx]Sheet1!R742C16</stp>
        <tr r="P742" s="1"/>
      </tp>
      <tp t="s">
        <v>T 3 1/8 11/15/41</v>
        <stp/>
        <stp>##V3_BDPV12</stp>
        <stp>912810QT Govt</stp>
        <stp>SECURITY_NAME</stp>
        <stp>[TREASURY.xlsx]Sheet1!R237C16</stp>
        <tr r="P237" s="1"/>
      </tp>
      <tp t="s">
        <v>T 3 1/8 02/15/43</v>
        <stp/>
        <stp>##V3_BDPV12</stp>
        <stp>912810QZ Govt</stp>
        <stp>SECURITY_NAME</stp>
        <stp>[TREASURY.xlsx]Sheet1!R310C16</stp>
        <tr r="P310" s="1"/>
      </tp>
      <tp t="s">
        <v>T 2 3/8 05/31/18</v>
        <stp/>
        <stp>##V3_BDPV12</stp>
        <stp>912828QQ Govt</stp>
        <stp>SECURITY_NAME</stp>
        <stp>[TREASURY.xlsx]Sheet1!R991C16</stp>
        <tr r="P991" s="1"/>
      </tp>
      <tp t="s">
        <v>T 12 3/8 04/15/91</v>
        <stp/>
        <stp>##V3_BDPV12</stp>
        <stp>912827QR Govt</stp>
        <stp>SECURITY_NAME</stp>
        <stp>[TREASURY.xlsx]Sheet1!R908C16</stp>
        <tr r="P908" s="1"/>
      </tp>
      <tp t="s">
        <v>T 2 3/4 11/15/42</v>
        <stp/>
        <stp>##V3_BDPV12</stp>
        <stp>912810QY Govt</stp>
        <stp>SECURITY_NAME</stp>
        <stp>[TREASURY.xlsx]Sheet1!R270C16</stp>
        <tr r="P270" s="1"/>
      </tp>
      <tp t="s">
        <v>T 0 3/4 06/15/14</v>
        <stp/>
        <stp>##V3_BDPV12</stp>
        <stp>912828QS Govt</stp>
        <stp>SECURITY_NAME</stp>
        <stp>[TREASURY.xlsx]Sheet1!R992C16</stp>
        <tr r="P992" s="1"/>
      </tp>
      <tp t="s">
        <v>T 2 3/4 08/15/42</v>
        <stp/>
        <stp>##V3_BDPV12</stp>
        <stp>912810QX Govt</stp>
        <stp>SECURITY_NAME</stp>
        <stp>[TREASURY.xlsx]Sheet1!R275C16</stp>
        <tr r="P275" s="1"/>
      </tp>
      <tp t="s">
        <v>T 1 1/2 06/30/16</v>
        <stp/>
        <stp>##V3_BDPV12</stp>
        <stp>912828QR Govt</stp>
        <stp>SECURITY_NAME</stp>
        <stp>[TREASURY.xlsx]Sheet1!R866C16</stp>
        <tr r="P866" s="1"/>
      </tp>
      <tp t="s">
        <v>T 1 1/2 07/31/16</v>
        <stp/>
        <stp>##V3_BDPV12</stp>
        <stp>912828QX Govt</stp>
        <stp>SECURITY_NAME</stp>
        <stp>[TREASURY.xlsx]Sheet1!R519C16</stp>
        <tr r="P519" s="1"/>
      </tp>
      <tp t="s">
        <v>T 0 5/8 07/15/14</v>
        <stp/>
        <stp>##V3_BDPV12</stp>
        <stp>912828QU Govt</stp>
        <stp>SECURITY_NAME</stp>
        <stp>[TREASURY.xlsx]Sheet1!R826C16</stp>
        <tr r="P826" s="1"/>
      </tp>
      <tp t="s">
        <v>T 2 3/8 06/30/18</v>
        <stp/>
        <stp>##V3_BDPV12</stp>
        <stp>912828QT Govt</stp>
        <stp>SECURITY_NAME</stp>
        <stp>[TREASURY.xlsx]Sheet1!R867C16</stp>
        <tr r="P867" s="1"/>
      </tp>
      <tp t="s">
        <v>T 0 1/2 05/31/13</v>
        <stp/>
        <stp>##V3_BDPV12</stp>
        <stp>912828QZ Govt</stp>
        <stp>SECURITY_NAME</stp>
        <stp>[TREASURY.xlsx]Sheet1!R449C16</stp>
        <tr r="P449" s="1"/>
      </tp>
      <tp t="s">
        <v>T 4 1/2 08/15/39</v>
        <stp/>
        <stp>##V3_BDPV12</stp>
        <stp>912810QC Govt</stp>
        <stp>SECURITY_NAME</stp>
        <stp>[TREASURY.xlsx]Sheet1!R318C16</stp>
        <tr r="P318" s="1"/>
      </tp>
      <tp t="s">
        <v>T 4 1/4 05/15/39</v>
        <stp/>
        <stp>##V3_BDPV12</stp>
        <stp>912810QB Govt</stp>
        <stp>SECURITY_NAME</stp>
        <stp>[TREASURY.xlsx]Sheet1!R274C16</stp>
        <tr r="P274" s="1"/>
      </tp>
      <tp t="s">
        <v>T 3 1/2 02/15/39</v>
        <stp/>
        <stp>##V3_BDPV12</stp>
        <stp>912810QA Govt</stp>
        <stp>SECURITY_NAME</stp>
        <stp>[TREASURY.xlsx]Sheet1!R280C16</stp>
        <tr r="P280" s="1"/>
      </tp>
      <tp t="s">
        <v>T 11 3/4 01/15/91</v>
        <stp/>
        <stp>##V3_BDPV12</stp>
        <stp>912827QJ Govt</stp>
        <stp>SECURITY_NAME</stp>
        <stp>[TREASURY.xlsx]Sheet1!R907C16</stp>
        <tr r="P907" s="1"/>
      </tp>
      <tp t="s">
        <v>T 2 04/30/16</v>
        <stp/>
        <stp>##V3_BDPV12</stp>
        <stp>912828QF Govt</stp>
        <stp>SECURITY_NAME</stp>
        <stp>[TREASURY.xlsx]Sheet1!R576C16</stp>
        <tr r="P576" s="1"/>
      </tp>
      <tp t="s">
        <v>T 10 1/2 11/30/85</v>
        <stp/>
        <stp>##V3_BDPV12</stp>
        <stp>912827QE Govt</stp>
        <stp>SECURITY_NAME</stp>
        <stp>[TREASURY.xlsx]Sheet1!R740C16</stp>
        <tr r="P740" s="1"/>
      </tp>
      <tp t="s">
        <v>T 2 1/4 03/31/16</v>
        <stp/>
        <stp>##V3_BDPV12</stp>
        <stp>912828QA Govt</stp>
        <stp>SECURITY_NAME</stp>
        <stp>[TREASURY.xlsx]Sheet1!R509C16</stp>
        <tr r="P509" s="1"/>
      </tp>
      <tp t="s">
        <v>T 4 3/8 11/15/39</v>
        <stp/>
        <stp>##V3_BDPV12</stp>
        <stp>912810QD Govt</stp>
        <stp>SECURITY_NAME</stp>
        <stp>[TREASURY.xlsx]Sheet1!R311C16</stp>
        <tr r="P311" s="1"/>
      </tp>
      <tp t="s">
        <v>T 4 5/8 02/15/40</v>
        <stp/>
        <stp>##V3_BDPV12</stp>
        <stp>912810QE Govt</stp>
        <stp>SECURITY_NAME</stp>
        <stp>[TREASURY.xlsx]Sheet1!R302C16</stp>
        <tr r="P302" s="1"/>
      </tp>
      <tp t="s">
        <v>T 3 7/8 08/15/40</v>
        <stp/>
        <stp>##V3_BDPV12</stp>
        <stp>912810QK Govt</stp>
        <stp>SECURITY_NAME</stp>
        <stp>[TREASURY.xlsx]Sheet1!R238C16</stp>
        <tr r="P238" s="1"/>
      </tp>
      <tp t="s">
        <v>T 0 3/4 03/31/13</v>
        <stp/>
        <stp>##V3_BDPV12</stp>
        <stp>912828QL Govt</stp>
        <stp>SECURITY_NAME</stp>
        <stp>[TREASURY.xlsx]Sheet1!R401C16</stp>
        <tr r="P401" s="1"/>
      </tp>
      <tp t="s">
        <v>T 2 7/8 03/31/18</v>
        <stp/>
        <stp>##V3_BDPV12</stp>
        <stp>912828QB Govt</stp>
        <stp>SECURITY_NAME</stp>
        <stp>[TREASURY.xlsx]Sheet1!R988C16</stp>
        <tr r="P988" s="1"/>
      </tp>
      <tp t="s">
        <v>T 4 3/8 05/15/40</v>
        <stp/>
        <stp>##V3_BDPV12</stp>
        <stp>912810QH Govt</stp>
        <stp>SECURITY_NAME</stp>
        <stp>[TREASURY.xlsx]Sheet1!R316C16</stp>
        <tr r="P316" s="1"/>
      </tp>
      <tp t="s">
        <v>T 10 7/8 02/15/87</v>
        <stp/>
        <stp>##V3_BDPV12</stp>
        <stp>912827QL Govt</stp>
        <stp>SECURITY_NAME</stp>
        <stp>[TREASURY.xlsx]Sheet1!R741C16</stp>
        <tr r="P741" s="1"/>
      </tp>
      <tp t="s">
        <v>T 1 1/4 02/15/14</v>
        <stp/>
        <stp>##V3_BDPV12</stp>
        <stp>912828QH Govt</stp>
        <stp>SECURITY_NAME</stp>
        <stp>[TREASURY.xlsx]Sheet1!R595C16</stp>
        <tr r="P595" s="1"/>
      </tp>
      <tp t="s">
        <v>T 3 1/8 05/15/21</v>
        <stp/>
        <stp>##V3_BDPV12</stp>
        <stp>912828QN Govt</stp>
        <stp>SECURITY_NAME</stp>
        <stp>[TREASURY.xlsx]Sheet1!R334C16</stp>
        <tr r="P334" s="1"/>
      </tp>
      <tp t="s">
        <v>T 0 5/8 04/30/13</v>
        <stp/>
        <stp>##V3_BDPV12</stp>
        <stp>912828QE Govt</stp>
        <stp>SECURITY_NAME</stp>
        <stp>[TREASURY.xlsx]Sheet1!R989C16</stp>
        <tr r="P989" s="1"/>
      </tp>
      <tp t="s">
        <v>T 4 3/4 02/15/41</v>
        <stp/>
        <stp>##V3_BDPV12</stp>
        <stp>912810QN Govt</stp>
        <stp>SECURITY_NAME</stp>
        <stp>[TREASURY.xlsx]Sheet1!R291C16</stp>
        <tr r="P291" s="1"/>
      </tp>
      <tp t="s">
        <v>T 4 1/4 11/15/40</v>
        <stp/>
        <stp>##V3_BDPV12</stp>
        <stp>912810QL Govt</stp>
        <stp>SECURITY_NAME</stp>
        <stp>[TREASURY.xlsx]Sheet1!R321C16</stp>
        <tr r="P321" s="1"/>
      </tp>
      <tp t="s">
        <v>T 2 5/8 04/30/18</v>
        <stp/>
        <stp>##V3_BDPV12</stp>
        <stp>912828QG Govt</stp>
        <stp>SECURITY_NAME</stp>
        <stp>[TREASURY.xlsx]Sheet1!R990C16</stp>
        <tr r="P990" s="1"/>
      </tp>
      <tp t="s">
        <v>T 10 7/8 12/31/85</v>
        <stp/>
        <stp>##V3_BDPV12</stp>
        <stp>912827QG Govt</stp>
        <stp>SECURITY_NAME</stp>
        <stp>[TREASURY.xlsx]Sheet1!R906C16</stp>
        <tr r="P906" s="1"/>
      </tp>
      <tp t="s">
        <v>T 2 1/8 02/29/16</v>
        <stp/>
        <stp>##V3_BDPV12</stp>
        <stp>912828QJ Govt</stp>
        <stp>SECURITY_NAME</stp>
        <stp>[TREASURY.xlsx]Sheet1!R407C16</stp>
        <tr r="P407" s="1"/>
      </tp>
      <tp t="s">
        <v>FIXED</v>
        <stp/>
        <stp>##V3_BDPV12</stp>
        <stp>9128285M Govt</stp>
        <stp>CPN_TYP</stp>
        <stp>[TREASURY.xlsx]Sheet1!R51C11</stp>
        <tr r="K51" s="1"/>
      </tp>
      <tp t="s">
        <v>FIXED</v>
        <stp/>
        <stp>##V3_BDPV12</stp>
        <stp>91282CAM Govt</stp>
        <stp>CPN_TYP</stp>
        <stp>[TREASURY.xlsx]Sheet1!R42C11</stp>
        <tr r="K42" s="1"/>
      </tp>
      <tp t="s">
        <v>NORMAL</v>
        <stp/>
        <stp>##V3_BDPV12</stp>
        <stp>91282CCU Govt</stp>
        <stp>MTY_TYP</stp>
        <stp>[TREASURY.xlsx]Sheet1!R6C6</stp>
        <tr r="F6" s="1"/>
      </tp>
      <tp t="s">
        <v>UNITED STATES</v>
        <stp/>
        <stp>##V3_BDPV12</stp>
        <stp>91282CCD Govt</stp>
        <stp>COUNTRY_FULL_NAME</stp>
        <stp>[TREASURY.xlsx]Sheet1!R58C8</stp>
        <tr r="H58" s="1"/>
      </tp>
      <tp t="s">
        <v>UNITED STATES</v>
        <stp/>
        <stp>##V3_BDPV12</stp>
        <stp>91282CCC Govt</stp>
        <stp>COUNTRY_FULL_NAME</stp>
        <stp>[TREASURY.xlsx]Sheet1!R88C8</stp>
        <tr r="H88" s="1"/>
      </tp>
      <tp t="s">
        <v>UNITED STATES</v>
        <stp/>
        <stp>##V3_BDPV12</stp>
        <stp>91282CBA Govt</stp>
        <stp>COUNTRY_FULL_NAME</stp>
        <stp>[TREASURY.xlsx]Sheet1!R78C8</stp>
        <tr r="H78" s="1"/>
      </tp>
      <tp t="s">
        <v>UNITED STATES</v>
        <stp/>
        <stp>##V3_BDPV12</stp>
        <stp>91282CAE Govt</stp>
        <stp>COUNTRY_FULL_NAME</stp>
        <stp>[TREASURY.xlsx]Sheet1!R18C8</stp>
        <tr r="H18" s="1"/>
      </tp>
      <tp t="s">
        <v>NORMAL</v>
        <stp/>
        <stp>##V3_BDPV12</stp>
        <stp>912828ZL Govt</stp>
        <stp>MTY_TYP</stp>
        <stp>[TREASURY.xlsx]Sheet1!R66C6</stp>
        <tr r="F66" s="1"/>
      </tp>
      <tp t="s">
        <v>UNITED STATES</v>
        <stp/>
        <stp>##V3_BDPV12</stp>
        <stp>9128283W Govt</stp>
        <stp>COUNTRY_FULL_NAME</stp>
        <stp>[TREASURY.xlsx]Sheet1!R68C8</stp>
        <tr r="H68" s="1"/>
      </tp>
      <tp t="s">
        <v>UNITED STATES</v>
        <stp/>
        <stp>##V3_BDPV12</stp>
        <stp>9128282R Govt</stp>
        <stp>COUNTRY_FULL_NAME</stp>
        <stp>[TREASURY.xlsx]Sheet1!R98C8</stp>
        <tr r="H98" s="1"/>
      </tp>
      <tp t="s">
        <v>UNITED STATES</v>
        <stp/>
        <stp>##V3_BDPV12</stp>
        <stp>9128286T Govt</stp>
        <stp>COUNTRY_FULL_NAME</stp>
        <stp>[TREASURY.xlsx]Sheet1!R48C8</stp>
        <tr r="H48" s="1"/>
      </tp>
      <tp t="s">
        <v>UNITED STATES</v>
        <stp/>
        <stp>##V3_BDPV12</stp>
        <stp>912828YS Govt</stp>
        <stp>COUNTRY_FULL_NAME</stp>
        <stp>[TREASURY.xlsx]Sheet1!R38C8</stp>
        <tr r="H38" s="1"/>
      </tp>
      <tp t="s">
        <v>11/15/2027</v>
        <stp/>
        <stp>##V3_BDPV12</stp>
        <stp>9128283F Govt</stp>
        <stp>MATURITY</stp>
        <stp>[TREASURY.xlsx]Sheet1!R65C5</stp>
        <tr r="E65" s="1"/>
      </tp>
      <tp t="s">
        <v>8/31/2025</v>
        <stp/>
        <stp>##V3_BDPV12</stp>
        <stp>91282CAJ Govt</stp>
        <stp>MATURITY</stp>
        <stp>[TREASURY.xlsx]Sheet1!R49C5</stp>
        <tr r="E49" s="1"/>
      </tp>
      <tp t="s">
        <v>NORMAL</v>
        <stp/>
        <stp>##V3_BDPV12</stp>
        <stp>912827V9 Govt</stp>
        <stp>MTY_TYP</stp>
        <stp>[TREASURY.xlsx]Sheet1!R923C6</stp>
        <tr r="F923" s="1"/>
      </tp>
      <tp t="s">
        <v>NORMAL</v>
        <stp/>
        <stp>##V3_BDPV12</stp>
        <stp>912828C2 Govt</stp>
        <stp>MTY_TYP</stp>
        <stp>[TREASURY.xlsx]Sheet1!R688C6</stp>
        <tr r="F688" s="1"/>
      </tp>
      <tp t="s">
        <v>NORMAL</v>
        <stp/>
        <stp>##V3_BDPV12</stp>
        <stp>912828N3 Govt</stp>
        <stp>MTY_TYP</stp>
        <stp>[TREASURY.xlsx]Sheet1!R129C6</stp>
        <tr r="F129" s="1"/>
      </tp>
      <tp t="s">
        <v>NORMAL</v>
        <stp/>
        <stp>##V3_BDPV12</stp>
        <stp>912828W9 Govt</stp>
        <stp>MTY_TYP</stp>
        <stp>[TREASURY.xlsx]Sheet1!R363C6</stp>
        <tr r="F363" s="1"/>
      </tp>
      <tp t="s">
        <v>T 0 7/8 03/31/18</v>
        <stp/>
        <stp>##V3_BDPV12</stp>
        <stp>912828Q4 Govt</stp>
        <stp>SECURITY_NAME</stp>
        <stp>[TREASURY.xlsx]Sheet1!R423C16</stp>
        <tr r="P423" s="1"/>
      </tp>
      <tp t="s">
        <v>T 1 1/2 03/31/23</v>
        <stp/>
        <stp>##V3_BDPV12</stp>
        <stp>912828Q2 Govt</stp>
        <stp>SECURITY_NAME</stp>
        <stp>[TREASURY.xlsx]Sheet1!R187C16</stp>
        <tr r="P187" s="1"/>
      </tp>
      <tp t="s">
        <v>T 1 3/8 04/30/21</v>
        <stp/>
        <stp>##V3_BDPV12</stp>
        <stp>912828Q7 Govt</stp>
        <stp>SECURITY_NAME</stp>
        <stp>[TREASURY.xlsx]Sheet1!R378C16</stp>
        <tr r="P378" s="1"/>
      </tp>
      <tp t="s">
        <v>T 1 1/4 03/31/21</v>
        <stp/>
        <stp>##V3_BDPV12</stp>
        <stp>912828Q3 Govt</stp>
        <stp>SECURITY_NAME</stp>
        <stp>[TREASURY.xlsx]Sheet1!R413C16</stp>
        <tr r="P413" s="1"/>
      </tp>
      <tp t="s">
        <v>T 0 3/4 04/30/18</v>
        <stp/>
        <stp>##V3_BDPV12</stp>
        <stp>912828Q9 Govt</stp>
        <stp>SECURITY_NAME</stp>
        <stp>[TREASURY.xlsx]Sheet1!R425C16</stp>
        <tr r="P425" s="1"/>
      </tp>
      <tp t="s">
        <v>T 6 1/8 07/31/96</v>
        <stp/>
        <stp>##V3_BDPV12</stp>
        <stp>912827Q5 Govt</stp>
        <stp>SECURITY_NAME</stp>
        <stp>[TREASURY.xlsx]Sheet1!R905C16</stp>
        <tr r="P905" s="1"/>
      </tp>
      <tp t="s">
        <v>T 10 02/28/87</v>
        <stp/>
        <stp>##V3_BDPV12</stp>
        <stp>912827RX Govt</stp>
        <stp>SECURITY_NAME</stp>
        <stp>[TREASURY.xlsx]Sheet1!R915C16</stp>
        <tr r="P915" s="1"/>
      </tp>
      <tp t="s">
        <v>T 0 1/4 12/15/14</v>
        <stp/>
        <stp>##V3_BDPV12</stp>
        <stp>912828RV Govt</stp>
        <stp>SECURITY_NAME</stp>
        <stp>[TREASURY.xlsx]Sheet1!R687C16</stp>
        <tr r="P687" s="1"/>
      </tp>
      <tp t="s">
        <v>T 1 3/8 11/30/18</v>
        <stp/>
        <stp>##V3_BDPV12</stp>
        <stp>912828RT Govt</stp>
        <stp>SECURITY_NAME</stp>
        <stp>[TREASURY.xlsx]Sheet1!R420C16</stp>
        <tr r="P420" s="1"/>
      </tp>
      <tp t="s">
        <v>T 2 1/2 02/15/46</v>
        <stp/>
        <stp>##V3_BDPV12</stp>
        <stp>912810RQ Govt</stp>
        <stp>SECURITY_NAME</stp>
        <stp>[TREASURY.xlsx]Sheet1!R172C16</stp>
        <tr r="P172" s="1"/>
      </tp>
      <tp t="s">
        <v>T 2 11/15/21</v>
        <stp/>
        <stp>##V3_BDPV12</stp>
        <stp>912828RR Govt</stp>
        <stp>SECURITY_NAME</stp>
        <stp>[TREASURY.xlsx]Sheet1!R119C16</stp>
        <tr r="P119" s="1"/>
      </tp>
      <tp t="s">
        <v>T 3 11/15/45</v>
        <stp/>
        <stp>##V3_BDPV12</stp>
        <stp>912810RP Govt</stp>
        <stp>SECURITY_NAME</stp>
        <stp>[TREASURY.xlsx]Sheet1!R278C16</stp>
        <tr r="P278" s="1"/>
      </tp>
      <tp t="s">
        <v>T 2 1/2 05/15/46</v>
        <stp/>
        <stp>##V3_BDPV12</stp>
        <stp>912810RS Govt</stp>
        <stp>SECURITY_NAME</stp>
        <stp>[TREASURY.xlsx]Sheet1!R163C16</stp>
        <tr r="P163" s="1"/>
      </tp>
      <tp t="s">
        <v>T 1 3/4 10/31/18</v>
        <stp/>
        <stp>##V3_BDPV12</stp>
        <stp>912828RP Govt</stp>
        <stp>SECURITY_NAME</stp>
        <stp>[TREASURY.xlsx]Sheet1!R549C16</stp>
        <tr r="P549" s="1"/>
      </tp>
      <tp t="s">
        <v>T 2 7/8 11/15/46</v>
        <stp/>
        <stp>##V3_BDPV12</stp>
        <stp>912810RU Govt</stp>
        <stp>SECURITY_NAME</stp>
        <stp>[TREASURY.xlsx]Sheet1!R154C16</stp>
        <tr r="P154" s="1"/>
      </tp>
      <tp t="s">
        <v>T 0 1/4 11/30/13</v>
        <stp/>
        <stp>##V3_BDPV12</stp>
        <stp>912828RS Govt</stp>
        <stp>SECURITY_NAME</stp>
        <stp>[TREASURY.xlsx]Sheet1!R444C16</stp>
        <tr r="P444" s="1"/>
      </tp>
      <tp t="s">
        <v>T 3 05/15/47</v>
        <stp/>
        <stp>##V3_BDPV12</stp>
        <stp>912810RX Govt</stp>
        <stp>SECURITY_NAME</stp>
        <stp>[TREASURY.xlsx]Sheet1!R197C16</stp>
        <tr r="P197" s="1"/>
      </tp>
      <tp t="s">
        <v>T 11 02/15/90</v>
        <stp/>
        <stp>##V3_BDPV12</stp>
        <stp>912827RP Govt</stp>
        <stp>SECURITY_NAME</stp>
        <stp>[TREASURY.xlsx]Sheet1!R912C16</stp>
        <tr r="P912" s="1"/>
      </tp>
      <tp t="s">
        <v>T 0 3/8 11/15/14</v>
        <stp/>
        <stp>##V3_BDPV12</stp>
        <stp>912828RQ Govt</stp>
        <stp>SECURITY_NAME</stp>
        <stp>[TREASURY.xlsx]Sheet1!R994C16</stp>
        <tr r="P994" s="1"/>
      </tp>
      <tp t="s">
        <v>T 2 3/4 08/15/47</v>
        <stp/>
        <stp>##V3_BDPV12</stp>
        <stp>912810RY Govt</stp>
        <stp>SECURITY_NAME</stp>
        <stp>[TREASURY.xlsx]Sheet1!R191C16</stp>
        <tr r="P191" s="1"/>
      </tp>
      <tp t="s">
        <v>T 2 3/4 11/15/47</v>
        <stp/>
        <stp>##V3_BDPV12</stp>
        <stp>912810RZ Govt</stp>
        <stp>SECURITY_NAME</stp>
        <stp>[TREASURY.xlsx]Sheet1!R273C16</stp>
        <tr r="P273" s="1"/>
      </tp>
      <tp t="s">
        <v>T 0 7/8 12/31/16</v>
        <stp/>
        <stp>##V3_BDPV12</stp>
        <stp>912828RX Govt</stp>
        <stp>SECURITY_NAME</stp>
        <stp>[TREASURY.xlsx]Sheet1!R374C16</stp>
        <tr r="P374" s="1"/>
      </tp>
      <tp t="s">
        <v>T 10 5/8 12/31/88</v>
        <stp/>
        <stp>##V3_BDPV12</stp>
        <stp>912827RS Govt</stp>
        <stp>SECURITY_NAME</stp>
        <stp>[TREASURY.xlsx]Sheet1!R913C16</stp>
        <tr r="P913" s="1"/>
      </tp>
      <tp t="s">
        <v>T 9 7/8 12/31/86</v>
        <stp/>
        <stp>##V3_BDPV12</stp>
        <stp>912827RR Govt</stp>
        <stp>SECURITY_NAME</stp>
        <stp>[TREASURY.xlsx]Sheet1!R829C16</stp>
        <tr r="P829" s="1"/>
      </tp>
      <tp t="s">
        <v>T 9 3/4 01/31/87</v>
        <stp/>
        <stp>##V3_BDPV12</stp>
        <stp>912827RU Govt</stp>
        <stp>SECURITY_NAME</stp>
        <stp>[TREASURY.xlsx]Sheet1!R914C16</stp>
        <tr r="P914" s="1"/>
      </tp>
      <tp t="s">
        <v>T 11 1/4 02/15/95</v>
        <stp/>
        <stp>##V3_BDPV12</stp>
        <stp>912827RW Govt</stp>
        <stp>SECURITY_NAME</stp>
        <stp>[TREASURY.xlsx]Sheet1!R830C16</stp>
        <tr r="P830" s="1"/>
      </tp>
      <tp t="s">
        <v>T 3 5/8 08/15/43</v>
        <stp/>
        <stp>##V3_BDPV12</stp>
        <stp>912810RC Govt</stp>
        <stp>SECURITY_NAME</stp>
        <stp>[TREASURY.xlsx]Sheet1!R263C16</stp>
        <tr r="P263" s="1"/>
      </tp>
      <tp t="s">
        <v>T 2 1/8 08/15/21</v>
        <stp/>
        <stp>##V3_BDPV12</stp>
        <stp>912828RC Govt</stp>
        <stp>SECURITY_NAME</stp>
        <stp>[TREASURY.xlsx]Sheet1!R333C16</stp>
        <tr r="P333" s="1"/>
      </tp>
      <tp t="s">
        <v>T 2 7/8 05/15/43</v>
        <stp/>
        <stp>##V3_BDPV12</stp>
        <stp>912810RB Govt</stp>
        <stp>SECURITY_NAME</stp>
        <stp>[TREASURY.xlsx]Sheet1!R269C16</stp>
        <tr r="P269" s="1"/>
      </tp>
      <tp t="s">
        <v>T 1 09/30/16</v>
        <stp/>
        <stp>##V3_BDPV12</stp>
        <stp>912828RJ Govt</stp>
        <stp>SECURITY_NAME</stp>
        <stp>[TREASURY.xlsx]Sheet1!R993C16</stp>
        <tr r="P993" s="1"/>
      </tp>
      <tp t="s">
        <v>T 11 5/8 10/31/86</v>
        <stp/>
        <stp>##V3_BDPV12</stp>
        <stp>912827RK Govt</stp>
        <stp>SECURITY_NAME</stp>
        <stp>[TREASURY.xlsx]Sheet1!R911C16</stp>
        <tr r="P911" s="1"/>
      </tp>
      <tp t="s">
        <v>T 3 3/8 05/15/44</v>
        <stp/>
        <stp>##V3_BDPV12</stp>
        <stp>912810RG Govt</stp>
        <stp>SECURITY_NAME</stp>
        <stp>[TREASURY.xlsx]Sheet1!R284C16</stp>
        <tr r="P284" s="1"/>
      </tp>
      <tp t="s">
        <v>T 12 3/8 08/15/87</v>
        <stp/>
        <stp>##V3_BDPV12</stp>
        <stp>912827RB Govt</stp>
        <stp>SECURITY_NAME</stp>
        <stp>[TREASURY.xlsx]Sheet1!R744C16</stp>
        <tr r="P744" s="1"/>
      </tp>
      <tp t="s">
        <v>T 3 5/8 02/15/44</v>
        <stp/>
        <stp>##V3_BDPV12</stp>
        <stp>912810RE Govt</stp>
        <stp>SECURITY_NAME</stp>
        <stp>[TREASURY.xlsx]Sheet1!R295C16</stp>
        <tr r="P295" s="1"/>
      </tp>
      <tp t="s">
        <v>T 0 3/8 06/30/13</v>
        <stp/>
        <stp>##V3_BDPV12</stp>
        <stp>912828RA Govt</stp>
        <stp>SECURITY_NAME</stp>
        <stp>[TREASURY.xlsx]Sheet1!R677C16</stp>
        <tr r="P677" s="1"/>
      </tp>
      <tp t="s">
        <v>T 3 3/4 11/15/43</v>
        <stp/>
        <stp>##V3_BDPV12</stp>
        <stp>912810RD Govt</stp>
        <stp>SECURITY_NAME</stp>
        <stp>[TREASURY.xlsx]Sheet1!R235C16</stp>
        <tr r="P235" s="1"/>
      </tp>
      <tp t="s">
        <v>T 0 1/2 08/15/14</v>
        <stp/>
        <stp>##V3_BDPV12</stp>
        <stp>912828RB Govt</stp>
        <stp>SECURITY_NAME</stp>
        <stp>[TREASURY.xlsx]Sheet1!R459C16</stp>
        <tr r="P459" s="1"/>
      </tp>
      <tp t="s">
        <v>T 1 10/31/16</v>
        <stp/>
        <stp>##V3_BDPV12</stp>
        <stp>912828RM Govt</stp>
        <stp>SECURITY_NAME</stp>
        <stp>[TREASURY.xlsx]Sheet1!R563C16</stp>
        <tr r="P563" s="1"/>
      </tp>
      <tp t="s">
        <v>T 3 11/15/44</v>
        <stp/>
        <stp>##V3_BDPV12</stp>
        <stp>912810RJ Govt</stp>
        <stp>SECURITY_NAME</stp>
        <stp>[TREASURY.xlsx]Sheet1!R180C16</stp>
        <tr r="P180" s="1"/>
      </tp>
      <tp t="s">
        <v>T 2 1/2 02/15/45</v>
        <stp/>
        <stp>##V3_BDPV12</stp>
        <stp>912810RK Govt</stp>
        <stp>SECURITY_NAME</stp>
        <stp>[TREASURY.xlsx]Sheet1!R103C16</stp>
        <tr r="P103" s="1"/>
      </tp>
      <tp t="s">
        <v>T 3 1/8 08/15/44</v>
        <stp/>
        <stp>##V3_BDPV12</stp>
        <stp>912810RH Govt</stp>
        <stp>SECURITY_NAME</stp>
        <stp>[TREASURY.xlsx]Sheet1!R259C16</stp>
        <tr r="P259" s="1"/>
      </tp>
      <tp t="s">
        <v>T 12 3/8 08/31/86</v>
        <stp/>
        <stp>##V3_BDPV12</stp>
        <stp>912827RD Govt</stp>
        <stp>SECURITY_NAME</stp>
        <stp>[TREASURY.xlsx]Sheet1!R910C16</stp>
        <tr r="P910" s="1"/>
      </tp>
      <tp t="s">
        <v>T 1 1/2 08/31/18</v>
        <stp/>
        <stp>##V3_BDPV12</stp>
        <stp>912828RE Govt</stp>
        <stp>SECURITY_NAME</stp>
        <stp>[TREASURY.xlsx]Sheet1!R868C16</stp>
        <tr r="P868" s="1"/>
      </tp>
      <tp t="s">
        <v>T 2 7/8 08/15/45</v>
        <stp/>
        <stp>##V3_BDPV12</stp>
        <stp>912810RN Govt</stp>
        <stp>SECURITY_NAME</stp>
        <stp>[TREASURY.xlsx]Sheet1!R293C16</stp>
        <tr r="P293" s="1"/>
      </tp>
      <tp t="s">
        <v>T 3 05/15/45</v>
        <stp/>
        <stp>##V3_BDPV12</stp>
        <stp>912810RM Govt</stp>
        <stp>SECURITY_NAME</stp>
        <stp>[TREASURY.xlsx]Sheet1!R176C16</stp>
        <tr r="P176" s="1"/>
      </tp>
      <tp t="s">
        <v>T 1 3/8 09/30/18</v>
        <stp/>
        <stp>##V3_BDPV12</stp>
        <stp>912828RH Govt</stp>
        <stp>SECURITY_NAME</stp>
        <stp>[TREASURY.xlsx]Sheet1!R456C16</stp>
        <tr r="P456" s="1"/>
      </tp>
      <tp t="s">
        <v>T 0 1/4 09/15/14</v>
        <stp/>
        <stp>##V3_BDPV12</stp>
        <stp>912828RG Govt</stp>
        <stp>SECURITY_NAME</stp>
        <stp>[TREASURY.xlsx]Sheet1!R869C16</stp>
        <tr r="P869" s="1"/>
      </tp>
      <tp t="s">
        <v>T 1 08/31/16</v>
        <stp/>
        <stp>##V3_BDPV12</stp>
        <stp>912828RF Govt</stp>
        <stp>SECURITY_NAME</stp>
        <stp>[TREASURY.xlsx]Sheet1!R828C16</stp>
        <tr r="P828" s="1"/>
      </tp>
      <tp t="s">
        <v>11/30/1998</v>
        <stp/>
        <stp>##V3_BDPV12</stp>
        <stp>9128274W Govt</stp>
        <stp>ISSUE_DT</stp>
        <stp>[TREASURY.xlsx]Sheet1!R522C15</stp>
        <tr r="O522" s="1"/>
      </tp>
      <tp t="s">
        <v>2/15/2000</v>
        <stp/>
        <stp>##V3_BDPV12</stp>
        <stp>9128275Z Govt</stp>
        <stp>ISSUE_DT</stp>
        <stp>[TREASURY.xlsx]Sheet1!R428C15</stp>
        <tr r="O428" s="1"/>
      </tp>
      <tp t="s">
        <v>5/15/1998</v>
        <stp/>
        <stp>##V3_BDPV12</stp>
        <stp>9128274F Govt</stp>
        <stp>ISSUE_DT</stp>
        <stp>[TREASURY.xlsx]Sheet1!R578C15</stp>
        <tr r="O578" s="1"/>
      </tp>
      <tp t="s">
        <v>4/30/1999</v>
        <stp/>
        <stp>##V3_BDPV12</stp>
        <stp>9128275E Govt</stp>
        <stp>ISSUE_DT</stp>
        <stp>[TREASURY.xlsx]Sheet1!R553C15</stp>
        <tr r="O553" s="1"/>
      </tp>
      <tp t="s">
        <v>1/31/2000</v>
        <stp/>
        <stp>##V3_BDPV12</stp>
        <stp>9128275X Govt</stp>
        <stp>ISSUE_DT</stp>
        <stp>[TREASURY.xlsx]Sheet1!R633C15</stp>
        <tr r="O633" s="1"/>
      </tp>
      <tp t="s">
        <v>5/17/1999</v>
        <stp/>
        <stp>##V3_BDPV12</stp>
        <stp>9128275F Govt</stp>
        <stp>ISSUE_DT</stp>
        <stp>[TREASURY.xlsx]Sheet1!R662C15</stp>
        <tr r="O662" s="1"/>
      </tp>
      <tp t="s">
        <v>8/16/1999</v>
        <stp/>
        <stp>##V3_BDPV12</stp>
        <stp>9128275N Govt</stp>
        <stp>ISSUE_DT</stp>
        <stp>[TREASURY.xlsx]Sheet1!R674C15</stp>
        <tr r="O674" s="1"/>
      </tp>
      <tp t="s">
        <v>11/2/1998</v>
        <stp/>
        <stp>##V3_BDPV12</stp>
        <stp>9128274T Govt</stp>
        <stp>ISSUE_DT</stp>
        <stp>[TREASURY.xlsx]Sheet1!R610C15</stp>
        <tr r="O610" s="1"/>
      </tp>
      <tp t="s">
        <v>11/30/2000</v>
        <stp/>
        <stp>##V3_BDPV12</stp>
        <stp>9128276P Govt</stp>
        <stp>ISSUE_DT</stp>
        <stp>[TREASURY.xlsx]Sheet1!R441C15</stp>
        <tr r="O441" s="1"/>
      </tp>
      <tp t="s">
        <v>8/15/2000</v>
        <stp/>
        <stp>##V3_BDPV12</stp>
        <stp>9128276J Govt</stp>
        <stp>ISSUE_DT</stp>
        <stp>[TREASURY.xlsx]Sheet1!R438C15</stp>
        <tr r="O438" s="1"/>
      </tp>
      <tp t="s">
        <v>1/31/2002</v>
        <stp/>
        <stp>##V3_BDPV12</stp>
        <stp>9128277K Govt</stp>
        <stp>ISSUE_DT</stp>
        <stp>[TREASURY.xlsx]Sheet1!R528C15</stp>
        <tr r="O528" s="1"/>
      </tp>
      <tp t="s">
        <v>US912828YJ31</v>
        <stp/>
        <stp>##V3_BDPV12</stp>
        <stp>912828YJ Govt</stp>
        <stp>ID_ISIN</stp>
        <stp>[TREASURY.xlsx]Sheet1!R80C12</stp>
        <tr r="L80" s="1"/>
      </tp>
      <tp t="s">
        <v>US91282CAJ09</v>
        <stp/>
        <stp>##V3_BDPV12</stp>
        <stp>91282CAJ Govt</stp>
        <stp>ID_ISIN</stp>
        <stp>[TREASURY.xlsx]Sheet1!R49C12</stp>
        <tr r="L49" s="1"/>
      </tp>
      <tp t="s">
        <v>US91282CCJ80</v>
        <stp/>
        <stp>##V3_BDPV12</stp>
        <stp>91282CCJ Govt</stp>
        <stp>ID_ISIN</stp>
        <stp>[TREASURY.xlsx]Sheet1!R22C12</stp>
        <tr r="L22" s="1"/>
      </tp>
      <tp t="s">
        <v>3/2/1998</v>
        <stp/>
        <stp>##V3_BDPV12</stp>
        <stp>9128273Y Govt</stp>
        <stp>ISSUE_DT</stp>
        <stp>[TREASURY.xlsx]Sheet1!R607C15</stp>
        <tr r="O607" s="1"/>
      </tp>
      <tp t="s">
        <v>8/15/2001</v>
        <stp/>
        <stp>##V3_BDPV12</stp>
        <stp>9128277B Govt</stp>
        <stp>ISSUE_DT</stp>
        <stp>[TREASURY.xlsx]Sheet1!R354C15</stp>
        <tr r="O354" s="1"/>
      </tp>
      <tp t="s">
        <v>US912810SJ88</v>
        <stp/>
        <stp>##V3_BDPV12</stp>
        <stp>912810SJ Govt</stp>
        <stp>ID_ISIN</stp>
        <stp>[TREASURY.xlsx]Sheet1!R73C12</stp>
        <tr r="L73" s="1"/>
      </tp>
      <tp t="s">
        <v>2/17/1998</v>
        <stp/>
        <stp>##V3_BDPV12</stp>
        <stp>9128273X Govt</stp>
        <stp>ISSUE_DT</stp>
        <stp>[TREASURY.xlsx]Sheet1!R500C15</stp>
        <tr r="O500" s="1"/>
      </tp>
      <tp t="s">
        <v>FIXED</v>
        <stp/>
        <stp>##V3_BDPV12</stp>
        <stp>912810SN Govt</stp>
        <stp>CPN_TYP</stp>
        <stp>[TREASURY.xlsx]Sheet1!R27C11</stp>
        <tr r="K27" s="1"/>
      </tp>
      <tp t="s">
        <v>FIXED</v>
        <stp/>
        <stp>##V3_BDPV12</stp>
        <stp>9128284N Govt</stp>
        <stp>CPN_TYP</stp>
        <stp>[TREASURY.xlsx]Sheet1!R71C11</stp>
        <tr r="K71" s="1"/>
      </tp>
      <tp t="s">
        <v>FIXED</v>
        <stp/>
        <stp>##V3_BDPV12</stp>
        <stp>91282CCN Govt</stp>
        <stp>CPN_TYP</stp>
        <stp>[TREASURY.xlsx]Sheet1!R24C11</stp>
        <tr r="K24" s="1"/>
      </tp>
      <tp t="s">
        <v>FIXED</v>
        <stp/>
        <stp>##V3_BDPV12</stp>
        <stp>91282CAN Govt</stp>
        <stp>CPN_TYP</stp>
        <stp>[TREASURY.xlsx]Sheet1!R46C11</stp>
        <tr r="K46" s="1"/>
      </tp>
      <tp t="s">
        <v>FIXED</v>
        <stp/>
        <stp>##V3_BDPV12</stp>
        <stp>91282CBN Govt</stp>
        <stp>CPN_TYP</stp>
        <stp>[TREASURY.xlsx]Sheet1!R82C11</stp>
        <tr r="K82" s="1"/>
      </tp>
      <tp t="s">
        <v>NORMAL</v>
        <stp/>
        <stp>##V3_BDPV12</stp>
        <stp>91282CCX Govt</stp>
        <stp>MTY_TYP</stp>
        <stp>[TREASURY.xlsx]Sheet1!R5C6</stp>
        <tr r="F5" s="1"/>
      </tp>
      <tp t="s">
        <v>NORMAL</v>
        <stp/>
        <stp>##V3_BDPV12</stp>
        <stp>912828X8 Govt</stp>
        <stp>MTY_TYP</stp>
        <stp>[TREASURY.xlsx]Sheet1!R97C6</stp>
        <tr r="F97" s="1"/>
      </tp>
      <tp t="s">
        <v>NORMAL</v>
        <stp/>
        <stp>##V3_BDPV12</stp>
        <stp>912828Z9 Govt</stp>
        <stp>MTY_TYP</stp>
        <stp>[TREASURY.xlsx]Sheet1!R25C6</stp>
        <tr r="F25" s="1"/>
      </tp>
      <tp t="s">
        <v>10/2/1995</v>
        <stp/>
        <stp>##V3_BDPV12</stp>
        <stp>912827V4 Govt</stp>
        <stp>ISSUE_DT</stp>
        <stp>[TREASURY.xlsx]Sheet1!R757C15</stp>
        <tr r="O757" s="1"/>
      </tp>
      <tp t="s">
        <v>4/30/1996</v>
        <stp/>
        <stp>##V3_BDPV12</stp>
        <stp>912827X5 Govt</stp>
        <stp>ISSUE_DT</stp>
        <stp>[TREASURY.xlsx]Sheet1!R934C15</stp>
        <tr r="O934" s="1"/>
      </tp>
      <tp t="s">
        <v>11/24/1995</v>
        <stp/>
        <stp>##V3_BDPV12</stp>
        <stp>912827V8 Govt</stp>
        <stp>ISSUE_DT</stp>
        <stp>[TREASURY.xlsx]Sheet1!R758C15</stp>
        <tr r="O758" s="1"/>
      </tp>
      <tp t="s">
        <v>5/31/1989</v>
        <stp/>
        <stp>##V3_BDPV12</stp>
        <stp>912827XP Govt</stp>
        <stp>ISSUE_DT</stp>
        <stp>[TREASURY.xlsx]Sheet1!R937C15</stp>
        <tr r="O937" s="1"/>
      </tp>
      <tp t="s">
        <v>1/15/1988</v>
        <stp/>
        <stp>##V3_BDPV12</stp>
        <stp>912827VT Govt</stp>
        <stp>ISSUE_DT</stp>
        <stp>[TREASURY.xlsx]Sheet1!R765C15</stp>
        <tr r="O765" s="1"/>
      </tp>
      <tp t="s">
        <v>5/15/1987</v>
        <stp/>
        <stp>##V3_BDPV12</stp>
        <stp>912827UW Govt</stp>
        <stp>ISSUE_DT</stp>
        <stp>[TREASURY.xlsx]Sheet1!R460C15</stp>
        <tr r="O460" s="1"/>
      </tp>
      <tp t="s">
        <v>6/30/1989</v>
        <stp/>
        <stp>##V3_BDPV12</stp>
        <stp>912827XS Govt</stp>
        <stp>ISSUE_DT</stp>
        <stp>[TREASURY.xlsx]Sheet1!R938C15</stp>
        <tr r="O938" s="1"/>
      </tp>
      <tp t="s">
        <v>12/1/1987</v>
        <stp/>
        <stp>##V3_BDPV12</stp>
        <stp>912827VQ Govt</stp>
        <stp>ISSUE_DT</stp>
        <stp>[TREASURY.xlsx]Sheet1!R763C15</stp>
        <tr r="O763" s="1"/>
      </tp>
      <tp t="s">
        <v>12/31/1987</v>
        <stp/>
        <stp>##V3_BDPV12</stp>
        <stp>912827VR Govt</stp>
        <stp>ISSUE_DT</stp>
        <stp>[TREASURY.xlsx]Sheet1!R764C15</stp>
        <tr r="O764" s="1"/>
      </tp>
      <tp t="s">
        <v>8/31/1989</v>
        <stp/>
        <stp>##V3_BDPV12</stp>
        <stp>912827XX Govt</stp>
        <stp>ISSUE_DT</stp>
        <stp>[TREASURY.xlsx]Sheet1!R939C15</stp>
        <tr r="O939" s="1"/>
      </tp>
      <tp t="s">
        <v>3/3/1988</v>
        <stp/>
        <stp>##V3_BDPV12</stp>
        <stp>912827VY Govt</stp>
        <stp>ISSUE_DT</stp>
        <stp>[TREASURY.xlsx]Sheet1!R766C15</stp>
        <tr r="O766" s="1"/>
      </tp>
      <tp t="s">
        <v>9/3/1987</v>
        <stp/>
        <stp>##V3_BDPV12</stp>
        <stp>912827VG Govt</stp>
        <stp>ISSUE_DT</stp>
        <stp>[TREASURY.xlsx]Sheet1!R761C15</stp>
        <tr r="O761" s="1"/>
      </tp>
      <tp t="s">
        <v>2/15/1989</v>
        <stp/>
        <stp>##V3_BDPV12</stp>
        <stp>912827XD Govt</stp>
        <stp>ISSUE_DT</stp>
        <stp>[TREASURY.xlsx]Sheet1!R935C15</stp>
        <tr r="O935" s="1"/>
      </tp>
      <tp t="s">
        <v>5/15/1988</v>
        <stp/>
        <stp>##V3_BDPV12</stp>
        <stp>912827WE Govt</stp>
        <stp>ISSUE_DT</stp>
        <stp>[TREASURY.xlsx]Sheet1!R601C15</stp>
        <tr r="O601" s="1"/>
      </tp>
      <tp t="s">
        <v>7/31/1987</v>
        <stp/>
        <stp>##V3_BDPV12</stp>
        <stp>912827VC Govt</stp>
        <stp>ISSUE_DT</stp>
        <stp>[TREASURY.xlsx]Sheet1!R760C15</stp>
        <tr r="O760" s="1"/>
      </tp>
      <tp t="s">
        <v>6/30/1987</v>
        <stp/>
        <stp>##V3_BDPV12</stp>
        <stp>912827VA Govt</stp>
        <stp>ISSUE_DT</stp>
        <stp>[TREASURY.xlsx]Sheet1!R759C15</stp>
        <tr r="O759" s="1"/>
      </tp>
      <tp t="s">
        <v>3/31/1989</v>
        <stp/>
        <stp>##V3_BDPV12</stp>
        <stp>912827XJ Govt</stp>
        <stp>ISSUE_DT</stp>
        <stp>[TREASURY.xlsx]Sheet1!R936C15</stp>
        <tr r="O936" s="1"/>
      </tp>
      <tp t="s">
        <v>10/15/1987</v>
        <stp/>
        <stp>##V3_BDPV12</stp>
        <stp>912827VK Govt</stp>
        <stp>ISSUE_DT</stp>
        <stp>[TREASURY.xlsx]Sheet1!R762C15</stp>
        <tr r="O762" s="1"/>
      </tp>
      <tp t="s">
        <v>7/15/1996</v>
        <stp/>
        <stp>##V3_BDPV12</stp>
        <stp>912827Y5 Govt</stp>
        <stp>ISSUE_DT</stp>
        <stp>[TREASURY.xlsx]Sheet1!R940C15</stp>
        <tr r="O940" s="1"/>
      </tp>
      <tp t="s">
        <v>11/30/1995</v>
        <stp/>
        <stp>##V3_BDPV12</stp>
        <stp>912827W2 Govt</stp>
        <stp>ISSUE_DT</stp>
        <stp>[TREASURY.xlsx]Sheet1!R767C15</stp>
        <tr r="O767" s="1"/>
      </tp>
      <tp t="s">
        <v>8/15/1996</v>
        <stp/>
        <stp>##V3_BDPV12</stp>
        <stp>912827Y8 Govt</stp>
        <stp>ISSUE_DT</stp>
        <stp>[TREASURY.xlsx]Sheet1!R941C15</stp>
        <tr r="O941" s="1"/>
      </tp>
      <tp t="s">
        <v>5/15/1990</v>
        <stp/>
        <stp>##V3_BDPV12</stp>
        <stp>912827YV Govt</stp>
        <stp>ISSUE_DT</stp>
        <stp>[TREASURY.xlsx]Sheet1!R947C15</stp>
        <tr r="O947" s="1"/>
      </tp>
      <tp t="s">
        <v>4/2/1990</v>
        <stp/>
        <stp>##V3_BDPV12</stp>
        <stp>912827YS Govt</stp>
        <stp>ISSUE_DT</stp>
        <stp>[TREASURY.xlsx]Sheet1!R946C15</stp>
        <tr r="O946" s="1"/>
      </tp>
      <tp t="s">
        <v>7/2/1990</v>
        <stp/>
        <stp>##V3_BDPV12</stp>
        <stp>912827YZ Govt</stp>
        <stp>ISSUE_DT</stp>
        <stp>[TREASURY.xlsx]Sheet1!R950C15</stp>
        <tr r="O950" s="1"/>
      </tp>
      <tp t="s">
        <v>6/1/1990</v>
        <stp/>
        <stp>##V3_BDPV12</stp>
        <stp>912827YY Govt</stp>
        <stp>ISSUE_DT</stp>
        <stp>[TREASURY.xlsx]Sheet1!R949C15</stp>
        <tr r="O949" s="1"/>
      </tp>
      <tp t="s">
        <v>5/31/1990</v>
        <stp/>
        <stp>##V3_BDPV12</stp>
        <stp>912827YX Govt</stp>
        <stp>ISSUE_DT</stp>
        <stp>[TREASURY.xlsx]Sheet1!R948C15</stp>
        <tr r="O948" s="1"/>
      </tp>
      <tp t="s">
        <v>12/1/1989</v>
        <stp/>
        <stp>##V3_BDPV12</stp>
        <stp>912827YG Govt</stp>
        <stp>ISSUE_DT</stp>
        <stp>[TREASURY.xlsx]Sheet1!R944C15</stp>
        <tr r="O944" s="1"/>
      </tp>
      <tp t="s">
        <v>11/15/1989</v>
        <stp/>
        <stp>##V3_BDPV12</stp>
        <stp>912827YE Govt</stp>
        <stp>ISSUE_DT</stp>
        <stp>[TREASURY.xlsx]Sheet1!R943C15</stp>
        <tr r="O943" s="1"/>
      </tp>
      <tp t="s">
        <v>8/15/1987</v>
        <stp/>
        <stp>##V3_BDPV12</stp>
        <stp>912827VE Govt</stp>
        <stp>ISSUE_DT</stp>
        <stp>[TREASURY.xlsx]Sheet1!R626C15</stp>
        <tr r="O626" s="1"/>
      </tp>
      <tp t="s">
        <v>10/2/1989</v>
        <stp/>
        <stp>##V3_BDPV12</stp>
        <stp>912827YA Govt</stp>
        <stp>ISSUE_DT</stp>
        <stp>[TREASURY.xlsx]Sheet1!R942C15</stp>
        <tr r="O942" s="1"/>
      </tp>
      <tp t="s">
        <v>5/2/1988</v>
        <stp/>
        <stp>##V3_BDPV12</stp>
        <stp>912827WC Govt</stp>
        <stp>ISSUE_DT</stp>
        <stp>[TREASURY.xlsx]Sheet1!R768C15</stp>
        <tr r="O768" s="1"/>
      </tp>
      <tp t="s">
        <v>2/15/1990</v>
        <stp/>
        <stp>##V3_BDPV12</stp>
        <stp>912827YM Govt</stp>
        <stp>ISSUE_DT</stp>
        <stp>[TREASURY.xlsx]Sheet1!R945C15</stp>
        <tr r="O945" s="1"/>
      </tp>
      <tp t="s">
        <v>9/3/1996</v>
        <stp/>
        <stp>##V3_BDPV12</stp>
        <stp>912827Z2 Govt</stp>
        <stp>ISSUE_DT</stp>
        <stp>[TREASURY.xlsx]Sheet1!R951C15</stp>
        <tr r="O951" s="1"/>
      </tp>
      <tp t="s">
        <v>1/31/1991</v>
        <stp/>
        <stp>##V3_BDPV12</stp>
        <stp>912827ZU Govt</stp>
        <stp>ISSUE_DT</stp>
        <stp>[TREASURY.xlsx]Sheet1!R955C15</stp>
        <tr r="O955" s="1"/>
      </tp>
      <tp t="s">
        <v>6/3/1986</v>
        <stp/>
        <stp>##V3_BDPV12</stp>
        <stp>912827TS Govt</stp>
        <stp>ISSUE_DT</stp>
        <stp>[TREASURY.xlsx]Sheet1!R750C15</stp>
        <tr r="O750" s="1"/>
      </tp>
      <tp t="s">
        <v>12/31/1990</v>
        <stp/>
        <stp>##V3_BDPV12</stp>
        <stp>912827ZS Govt</stp>
        <stp>ISSUE_DT</stp>
        <stp>[TREASURY.xlsx]Sheet1!R954C15</stp>
        <tr r="O954" s="1"/>
      </tp>
      <tp t="s">
        <v>11/30/1990</v>
        <stp/>
        <stp>##V3_BDPV12</stp>
        <stp>912827ZP Govt</stp>
        <stp>ISSUE_DT</stp>
        <stp>[TREASURY.xlsx]Sheet1!R953C15</stp>
        <tr r="O953" s="1"/>
      </tp>
      <tp t="s">
        <v>2/15/1991</v>
        <stp/>
        <stp>##V3_BDPV12</stp>
        <stp>912827ZX Govt</stp>
        <stp>ISSUE_DT</stp>
        <stp>[TREASURY.xlsx]Sheet1!R956C15</stp>
        <tr r="O956" s="1"/>
      </tp>
      <tp t="s">
        <v>10/15/1990</v>
        <stp/>
        <stp>##V3_BDPV12</stp>
        <stp>912827ZK Govt</stp>
        <stp>ISSUE_DT</stp>
        <stp>[TREASURY.xlsx]Sheet1!R952C15</stp>
        <tr r="O952" s="1"/>
      </tp>
      <tp t="s">
        <v>7/31/1995</v>
        <stp/>
        <stp>##V3_BDPV12</stp>
        <stp>912827U6 Govt</stp>
        <stp>ISSUE_DT</stp>
        <stp>[TREASURY.xlsx]Sheet1!R751C15</stp>
        <tr r="O751" s="1"/>
      </tp>
      <tp t="s">
        <v>8/31/1995</v>
        <stp/>
        <stp>##V3_BDPV12</stp>
        <stp>912827U9 Govt</stp>
        <stp>ISSUE_DT</stp>
        <stp>[TREASURY.xlsx]Sheet1!R752C15</stp>
        <tr r="O752" s="1"/>
      </tp>
      <tp t="s">
        <v>4/1/1987</v>
        <stp/>
        <stp>##V3_BDPV12</stp>
        <stp>912827UT Govt</stp>
        <stp>ISSUE_DT</stp>
        <stp>[TREASURY.xlsx]Sheet1!R756C15</stp>
        <tr r="O756" s="1"/>
      </tp>
      <tp t="s">
        <v>9/30/1986</v>
        <stp/>
        <stp>##V3_BDPV12</stp>
        <stp>912827UB Govt</stp>
        <stp>ISSUE_DT</stp>
        <stp>[TREASURY.xlsx]Sheet1!R753C15</stp>
        <tr r="O753" s="1"/>
      </tp>
      <tp t="s">
        <v>10/31/1986</v>
        <stp/>
        <stp>##V3_BDPV12</stp>
        <stp>912827UC Govt</stp>
        <stp>ISSUE_DT</stp>
        <stp>[TREASURY.xlsx]Sheet1!R754C15</stp>
        <tr r="O754" s="1"/>
      </tp>
      <tp t="s">
        <v>12/31/1986</v>
        <stp/>
        <stp>##V3_BDPV12</stp>
        <stp>912827UJ Govt</stp>
        <stp>ISSUE_DT</stp>
        <stp>[TREASURY.xlsx]Sheet1!R755C15</stp>
        <tr r="O755" s="1"/>
      </tp>
      <tp t="s">
        <v>8/31/1994</v>
        <stp/>
        <stp>##V3_BDPV12</stp>
        <stp>912827R2 Govt</stp>
        <stp>ISSUE_DT</stp>
        <stp>[TREASURY.xlsx]Sheet1!R743C15</stp>
        <tr r="O743" s="1"/>
      </tp>
      <tp t="s">
        <v>8/15/1984</v>
        <stp/>
        <stp>##V3_BDPV12</stp>
        <stp>912827RB Govt</stp>
        <stp>ISSUE_DT</stp>
        <stp>[TREASURY.xlsx]Sheet1!R744C15</stp>
        <tr r="O744" s="1"/>
      </tp>
      <tp t="s">
        <v>1/3/1995</v>
        <stp/>
        <stp>##V3_BDPV12</stp>
        <stp>912827S4 Govt</stp>
        <stp>ISSUE_DT</stp>
        <stp>[TREASURY.xlsx]Sheet1!R745C15</stp>
        <tr r="O745" s="1"/>
      </tp>
      <tp t="s">
        <v>2/28/1995</v>
        <stp/>
        <stp>##V3_BDPV12</stp>
        <stp>912827S9 Govt</stp>
        <stp>ISSUE_DT</stp>
        <stp>[TREASURY.xlsx]Sheet1!R746C15</stp>
        <tr r="O746" s="1"/>
      </tp>
      <tp t="s">
        <v>11/26/1985</v>
        <stp/>
        <stp>##V3_BDPV12</stp>
        <stp>912827SX Govt</stp>
        <stp>ISSUE_DT</stp>
        <stp>[TREASURY.xlsx]Sheet1!R749C15</stp>
        <tr r="O749" s="1"/>
      </tp>
      <tp t="s">
        <v>3/31/1983</v>
        <stp/>
        <stp>##V3_BDPV12</stp>
        <stp>912827PH Govt</stp>
        <stp>ISSUE_DT</stp>
        <stp>[TREASURY.xlsx]Sheet1!R499C15</stp>
        <tr r="O499" s="1"/>
      </tp>
      <tp t="s">
        <v>4/30/1985</v>
        <stp/>
        <stp>##V3_BDPV12</stp>
        <stp>912827SC Govt</stp>
        <stp>ISSUE_DT</stp>
        <stp>[TREASURY.xlsx]Sheet1!R747C15</stp>
        <tr r="O747" s="1"/>
      </tp>
      <tp t="s">
        <v>7/31/1985</v>
        <stp/>
        <stp>##V3_BDPV12</stp>
        <stp>912827SM Govt</stp>
        <stp>ISSUE_DT</stp>
        <stp>[TREASURY.xlsx]Sheet1!R748C15</stp>
        <tr r="O748" s="1"/>
      </tp>
      <tp t="s">
        <v>2/28/1994</v>
        <stp/>
        <stp>##V3_BDPV12</stp>
        <stp>912827P2 Govt</stp>
        <stp>ISSUE_DT</stp>
        <stp>[TREASURY.xlsx]Sheet1!R735C15</stp>
        <tr r="O735" s="1"/>
      </tp>
      <tp t="s">
        <v>8/31/1983</v>
        <stp/>
        <stp>##V3_BDPV12</stp>
        <stp>912827PW Govt</stp>
        <stp>ISSUE_DT</stp>
        <stp>[TREASURY.xlsx]Sheet1!R739C15</stp>
        <tr r="O739" s="1"/>
      </tp>
      <tp t="s">
        <v>2/15/1983</v>
        <stp/>
        <stp>##V3_BDPV12</stp>
        <stp>912827PC Govt</stp>
        <stp>ISSUE_DT</stp>
        <stp>[TREASURY.xlsx]Sheet1!R736C15</stp>
        <tr r="O736" s="1"/>
      </tp>
      <tp t="s">
        <v>3/1/1983</v>
        <stp/>
        <stp>##V3_BDPV12</stp>
        <stp>912827PF Govt</stp>
        <stp>ISSUE_DT</stp>
        <stp>[TREASURY.xlsx]Sheet1!R737C15</stp>
        <tr r="O737" s="1"/>
      </tp>
      <tp t="s">
        <v>5/16/1983</v>
        <stp/>
        <stp>##V3_BDPV12</stp>
        <stp>912827PL Govt</stp>
        <stp>ISSUE_DT</stp>
        <stp>[TREASURY.xlsx]Sheet1!R738C15</stp>
        <tr r="O738" s="1"/>
      </tp>
      <tp t="s">
        <v>9/30/2023</v>
        <stp/>
        <stp>##V3_BDPV12</stp>
        <stp>9128285D Govt</stp>
        <stp>MATURITY</stp>
        <stp>[TREASURY.xlsx]Sheet1!R54C5</stp>
        <tr r="E54" s="1"/>
      </tp>
      <tp t="s">
        <v>9/15/2022</v>
        <stp/>
        <stp>##V3_BDPV12</stp>
        <stp>912828YF Govt</stp>
        <stp>MATURITY</stp>
        <stp>[TREASURY.xlsx]Sheet1!R76C5</stp>
        <tr r="E76" s="1"/>
      </tp>
      <tp t="s">
        <v>9/30/2023</v>
        <stp/>
        <stp>##V3_BDPV12</stp>
        <stp>91282CDA Govt</stp>
        <stp>MATURITY</stp>
        <stp>[TREASURY.xlsx]Sheet1!R11C5</stp>
        <tr r="E11" s="1"/>
      </tp>
      <tp t="s">
        <v>1/31/2023</v>
        <stp/>
        <stp>##V3_BDPV12</stp>
        <stp>91282CBG Govt</stp>
        <stp>MATURITY</stp>
        <stp>[TREASURY.xlsx]Sheet1!R57C5</stp>
        <tr r="E57" s="1"/>
      </tp>
      <tp t="s">
        <v>6/15/2024</v>
        <stp/>
        <stp>##V3_BDPV12</stp>
        <stp>91282CCG Govt</stp>
        <stp>MATURITY</stp>
        <stp>[TREASURY.xlsx]Sheet1!R47C5</stp>
        <tr r="E47" s="1"/>
      </tp>
      <tp t="s">
        <v>5/15/2031</v>
        <stp/>
        <stp>##V3_BDPV12</stp>
        <stp>91282CCB Govt</stp>
        <stp>MATURITY</stp>
        <stp>[TREASURY.xlsx]Sheet1!R12C5</stp>
        <tr r="E12" s="1"/>
      </tp>
      <tp t="s">
        <v>6/30/1983</v>
        <stp/>
        <stp>##V3_BDPV12</stp>
        <stp>912827PQ Govt</stp>
        <stp>ISSUE_DT</stp>
        <stp>[TREASURY.xlsx]Sheet1!R665C15</stp>
        <tr r="O665" s="1"/>
      </tp>
      <tp t="s">
        <v>4/2/1984</v>
        <stp/>
        <stp>##V3_BDPV12</stp>
        <stp>912827QP Govt</stp>
        <stp>ISSUE_DT</stp>
        <stp>[TREASURY.xlsx]Sheet1!R742C15</stp>
        <tr r="O742" s="1"/>
      </tp>
      <tp t="s">
        <v>11/30/1983</v>
        <stp/>
        <stp>##V3_BDPV12</stp>
        <stp>912827QE Govt</stp>
        <stp>ISSUE_DT</stp>
        <stp>[TREASURY.xlsx]Sheet1!R740C15</stp>
        <tr r="O740" s="1"/>
      </tp>
      <tp t="s">
        <v>2/15/1984</v>
        <stp/>
        <stp>##V3_BDPV12</stp>
        <stp>912827QL Govt</stp>
        <stp>ISSUE_DT</stp>
        <stp>[TREASURY.xlsx]Sheet1!R741C15</stp>
        <tr r="O741" s="1"/>
      </tp>
      <tp t="s">
        <v>6/3/1983</v>
        <stp/>
        <stp>##V3_BDPV12</stp>
        <stp>912827PP Govt</stp>
        <stp>ISSUE_DT</stp>
        <stp>[TREASURY.xlsx]Sheet1!R904C15</stp>
        <tr r="O904" s="1"/>
      </tp>
      <tp t="s">
        <v>5/31/1983</v>
        <stp/>
        <stp>##V3_BDPV12</stp>
        <stp>912827PN Govt</stp>
        <stp>ISSUE_DT</stp>
        <stp>[TREASURY.xlsx]Sheet1!R903C15</stp>
        <tr r="O903" s="1"/>
      </tp>
      <tp t="s">
        <v>8/1/1994</v>
        <stp/>
        <stp>##V3_BDPV12</stp>
        <stp>912827Q5 Govt</stp>
        <stp>ISSUE_DT</stp>
        <stp>[TREASURY.xlsx]Sheet1!R905C15</stp>
        <tr r="O905" s="1"/>
      </tp>
      <tp t="s">
        <v>4/4/1984</v>
        <stp/>
        <stp>##V3_BDPV12</stp>
        <stp>912827QR Govt</stp>
        <stp>ISSUE_DT</stp>
        <stp>[TREASURY.xlsx]Sheet1!R908C15</stp>
        <tr r="O908" s="1"/>
      </tp>
      <tp t="s">
        <v>1/3/1984</v>
        <stp/>
        <stp>##V3_BDPV12</stp>
        <stp>912827QG Govt</stp>
        <stp>ISSUE_DT</stp>
        <stp>[TREASURY.xlsx]Sheet1!R906C15</stp>
        <tr r="O906" s="1"/>
      </tp>
      <tp t="s">
        <v>1/4/1984</v>
        <stp/>
        <stp>##V3_BDPV12</stp>
        <stp>912827QJ Govt</stp>
        <stp>ISSUE_DT</stp>
        <stp>[TREASURY.xlsx]Sheet1!R907C15</stp>
        <tr r="O907" s="1"/>
      </tp>
      <tp t="s">
        <v>1/31/1995</v>
        <stp/>
        <stp>##V3_BDPV12</stp>
        <stp>912827S5 Govt</stp>
        <stp>ISSUE_DT</stp>
        <stp>[TREASURY.xlsx]Sheet1!R831C15</stp>
        <tr r="O831" s="1"/>
      </tp>
      <tp t="s">
        <v>11/15/1994</v>
        <stp/>
        <stp>##V3_BDPV12</stp>
        <stp>912827R8 Govt</stp>
        <stp>ISSUE_DT</stp>
        <stp>[TREASURY.xlsx]Sheet1!R909C15</stp>
        <tr r="O909" s="1"/>
      </tp>
      <tp t="s">
        <v>NORMAL</v>
        <stp/>
        <stp>##V3_BDPV12</stp>
        <stp>912828YB Govt</stp>
        <stp>MTY_TYP</stp>
        <stp>[TREASURY.xlsx]Sheet1!R26C6</stp>
        <tr r="F26" s="1"/>
      </tp>
      <tp t="s">
        <v>12/31/1984</v>
        <stp/>
        <stp>##V3_BDPV12</stp>
        <stp>912827RS Govt</stp>
        <stp>ISSUE_DT</stp>
        <stp>[TREASURY.xlsx]Sheet1!R913C15</stp>
        <tr r="O913" s="1"/>
      </tp>
      <tp t="s">
        <v>12/3/1984</v>
        <stp/>
        <stp>##V3_BDPV12</stp>
        <stp>912827RP Govt</stp>
        <stp>ISSUE_DT</stp>
        <stp>[TREASURY.xlsx]Sheet1!R912C15</stp>
        <tr r="O912" s="1"/>
      </tp>
      <tp t="s">
        <v>11/1/1985</v>
        <stp/>
        <stp>##V3_BDPV12</stp>
        <stp>912827SU Govt</stp>
        <stp>ISSUE_DT</stp>
        <stp>[TREASURY.xlsx]Sheet1!R832C15</stp>
        <tr r="O832" s="1"/>
      </tp>
      <tp t="s">
        <v>1/31/1985</v>
        <stp/>
        <stp>##V3_BDPV12</stp>
        <stp>912827RU Govt</stp>
        <stp>ISSUE_DT</stp>
        <stp>[TREASURY.xlsx]Sheet1!R914C15</stp>
        <tr r="O914" s="1"/>
      </tp>
      <tp t="s">
        <v>2/28/1985</v>
        <stp/>
        <stp>##V3_BDPV12</stp>
        <stp>912827RX Govt</stp>
        <stp>ISSUE_DT</stp>
        <stp>[TREASURY.xlsx]Sheet1!R915C15</stp>
        <tr r="O915" s="1"/>
      </tp>
      <tp t="s">
        <v>8/31/1984</v>
        <stp/>
        <stp>##V3_BDPV12</stp>
        <stp>912827RD Govt</stp>
        <stp>ISSUE_DT</stp>
        <stp>[TREASURY.xlsx]Sheet1!R910C15</stp>
        <tr r="O910" s="1"/>
      </tp>
      <tp t="s">
        <v>10/31/1984</v>
        <stp/>
        <stp>##V3_BDPV12</stp>
        <stp>912827RK Govt</stp>
        <stp>ISSUE_DT</stp>
        <stp>[TREASURY.xlsx]Sheet1!R911C15</stp>
        <tr r="O911" s="1"/>
      </tp>
      <tp t="s">
        <v>12/31/1984</v>
        <stp/>
        <stp>##V3_BDPV12</stp>
        <stp>912827RR Govt</stp>
        <stp>ISSUE_DT</stp>
        <stp>[TREASURY.xlsx]Sheet1!R829C15</stp>
        <tr r="O829" s="1"/>
      </tp>
      <tp t="s">
        <v>11/1/1985</v>
        <stp/>
        <stp>##V3_BDPV12</stp>
        <stp>912827SV Govt</stp>
        <stp>ISSUE_DT</stp>
        <stp>[TREASURY.xlsx]Sheet1!R918C15</stp>
        <tr r="O918" s="1"/>
      </tp>
      <tp t="s">
        <v>2/15/1985</v>
        <stp/>
        <stp>##V3_BDPV12</stp>
        <stp>912827RW Govt</stp>
        <stp>ISSUE_DT</stp>
        <stp>[TREASURY.xlsx]Sheet1!R830C15</stp>
        <tr r="O830" s="1"/>
      </tp>
      <tp t="s">
        <v>5/15/1985</v>
        <stp/>
        <stp>##V3_BDPV12</stp>
        <stp>912827SD Govt</stp>
        <stp>ISSUE_DT</stp>
        <stp>[TREASURY.xlsx]Sheet1!R916C15</stp>
        <tr r="O916" s="1"/>
      </tp>
      <tp t="s">
        <v>7/2/1985</v>
        <stp/>
        <stp>##V3_BDPV12</stp>
        <stp>912827SL Govt</stp>
        <stp>ISSUE_DT</stp>
        <stp>[TREASURY.xlsx]Sheet1!R917C15</stp>
        <tr r="O917" s="1"/>
      </tp>
      <tp t="s">
        <v>5/31/1995</v>
        <stp/>
        <stp>##V3_BDPV12</stp>
        <stp>912827U2 Govt</stp>
        <stp>ISSUE_DT</stp>
        <stp>[TREASURY.xlsx]Sheet1!R835C15</stp>
        <tr r="O835" s="1"/>
      </tp>
      <tp t="s">
        <v>10/31/1996</v>
        <stp/>
        <stp>##V3_BDPV12</stp>
        <stp>912827Z7 Govt</stp>
        <stp>ISSUE_DT</stp>
        <stp>[TREASURY.xlsx]Sheet1!R777C15</stp>
        <tr r="O777" s="1"/>
      </tp>
      <tp t="s">
        <v>5/1/1995</v>
        <stp/>
        <stp>##V3_BDPV12</stp>
        <stp>912827T5 Govt</stp>
        <stp>ISSUE_DT</stp>
        <stp>[TREASURY.xlsx]Sheet1!R919C15</stp>
        <tr r="O919" s="1"/>
      </tp>
      <tp t="s">
        <v>11/15/1996</v>
        <stp/>
        <stp>##V3_BDPV12</stp>
        <stp>912827Z9 Govt</stp>
        <stp>ISSUE_DT</stp>
        <stp>[TREASURY.xlsx]Sheet1!R778C15</stp>
        <tr r="O778" s="1"/>
      </tp>
      <tp t="s">
        <v>12/31/1990</v>
        <stp/>
        <stp>##V3_BDPV12</stp>
        <stp>912827ZR Govt</stp>
        <stp>ISSUE_DT</stp>
        <stp>[TREASURY.xlsx]Sheet1!R783C15</stp>
        <tr r="O783" s="1"/>
      </tp>
      <tp t="s">
        <v>9/3/1986</v>
        <stp/>
        <stp>##V3_BDPV12</stp>
        <stp>912827TZ Govt</stp>
        <stp>ISSUE_DT</stp>
        <stp>[TREASURY.xlsx]Sheet1!R920C15</stp>
        <tr r="O920" s="1"/>
      </tp>
      <tp t="s">
        <v>10/1/1990</v>
        <stp/>
        <stp>##V3_BDPV12</stp>
        <stp>912827ZJ Govt</stp>
        <stp>ISSUE_DT</stp>
        <stp>[TREASURY.xlsx]Sheet1!R781C15</stp>
        <tr r="O781" s="1"/>
      </tp>
      <tp t="s">
        <v>2/15/1989</v>
        <stp/>
        <stp>##V3_BDPV12</stp>
        <stp>912827XE Govt</stp>
        <stp>ISSUE_DT</stp>
        <stp>[TREASURY.xlsx]Sheet1!R570C15</stp>
        <tr r="O570" s="1"/>
      </tp>
      <tp t="s">
        <v>9/30/1986</v>
        <stp/>
        <stp>##V3_BDPV12</stp>
        <stp>912827UA Govt</stp>
        <stp>ISSUE_DT</stp>
        <stp>[TREASURY.xlsx]Sheet1!R836C15</stp>
        <tr r="O836" s="1"/>
      </tp>
      <tp t="s">
        <v>10/31/1990</v>
        <stp/>
        <stp>##V3_BDPV12</stp>
        <stp>912827ZL Govt</stp>
        <stp>ISSUE_DT</stp>
        <stp>[TREASURY.xlsx]Sheet1!R782C15</stp>
        <tr r="O782" s="1"/>
      </tp>
      <tp t="s">
        <v>7/31/1990</v>
        <stp/>
        <stp>##V3_BDPV12</stp>
        <stp>912827ZC Govt</stp>
        <stp>ISSUE_DT</stp>
        <stp>[TREASURY.xlsx]Sheet1!R779C15</stp>
        <tr r="O779" s="1"/>
      </tp>
      <tp t="s">
        <v>8/15/1990</v>
        <stp/>
        <stp>##V3_BDPV12</stp>
        <stp>912827ZE Govt</stp>
        <stp>ISSUE_DT</stp>
        <stp>[TREASURY.xlsx]Sheet1!R780C15</stp>
        <tr r="O780" s="1"/>
      </tp>
      <tp t="s">
        <v>2/28/1995</v>
        <stp/>
        <stp>##V3_BDPV12</stp>
        <stp>912827T2 Govt</stp>
        <stp>ISSUE_DT</stp>
        <stp>[TREASURY.xlsx]Sheet1!R833C15</stp>
        <tr r="O833" s="1"/>
      </tp>
      <tp t="s">
        <v>6/30/1995</v>
        <stp/>
        <stp>##V3_BDPV12</stp>
        <stp>912827U3 Govt</stp>
        <stp>ISSUE_DT</stp>
        <stp>[TREASURY.xlsx]Sheet1!R921C15</stp>
        <tr r="O921" s="1"/>
      </tp>
      <tp t="s">
        <v>5/15/1987</v>
        <stp/>
        <stp>##V3_BDPV12</stp>
        <stp>912827UV Govt</stp>
        <stp>ISSUE_DT</stp>
        <stp>[TREASURY.xlsx]Sheet1!R922C15</stp>
        <tr r="O922" s="1"/>
      </tp>
      <tp t="s">
        <v>UNITED STATES</v>
        <stp/>
        <stp>##V3_BDPV12</stp>
        <stp>912810RV Govt</stp>
        <stp>COUNTRY_FULL_NAME</stp>
        <stp>[TREASURY.xlsx]Sheet1!R28C8</stp>
        <tr r="H28" s="1"/>
      </tp>
      <tp t="s">
        <v>12/31/1985</v>
        <stp/>
        <stp>##V3_BDPV12</stp>
        <stp>912827TA Govt</stp>
        <stp>ISSUE_DT</stp>
        <stp>[TREASURY.xlsx]Sheet1!R834C15</stp>
        <tr r="O834" s="1"/>
      </tp>
      <tp t="s">
        <v>11/15/1990</v>
        <stp/>
        <stp>##V3_BDPV12</stp>
        <stp>912827ZN Govt</stp>
        <stp>ISSUE_DT</stp>
        <stp>[TREASURY.xlsx]Sheet1!R685C15</stp>
        <tr r="O685" s="1"/>
      </tp>
      <tp t="s">
        <v>10/1/1990</v>
        <stp/>
        <stp>##V3_BDPV12</stp>
        <stp>912827ZH Govt</stp>
        <stp>ISSUE_DT</stp>
        <stp>[TREASURY.xlsx]Sheet1!R634C15</stp>
        <tr r="O634" s="1"/>
      </tp>
      <tp t="s">
        <v>4/10/1996</v>
        <stp/>
        <stp>##V3_BDPV12</stp>
        <stp>912827X4 Govt</stp>
        <stp>ISSUE_DT</stp>
        <stp>[TREASURY.xlsx]Sheet1!R769C15</stp>
        <tr r="O769" s="1"/>
      </tp>
      <tp t="s">
        <v>NORMAL</v>
        <stp/>
        <stp>##V3_BDPV12</stp>
        <stp>912827X9 Govt</stp>
        <stp>MTY_TYP</stp>
        <stp>[TREASURY.xlsx]Sheet1!R770C6</stp>
        <tr r="F770" s="1"/>
      </tp>
      <tp t="s">
        <v>11/30/1995</v>
        <stp/>
        <stp>##V3_BDPV12</stp>
        <stp>912827V9 Govt</stp>
        <stp>ISSUE_DT</stp>
        <stp>[TREASURY.xlsx]Sheet1!R923C15</stp>
        <tr r="O923" s="1"/>
      </tp>
      <tp t="s">
        <v>NORMAL</v>
        <stp/>
        <stp>##V3_BDPV12</stp>
        <stp>912828J8 Govt</stp>
        <stp>MTY_TYP</stp>
        <stp>[TREASURY.xlsx]Sheet1!R451C6</stp>
        <tr r="F451" s="1"/>
      </tp>
      <tp t="s">
        <v>NORMAL</v>
        <stp/>
        <stp>##V3_BDPV12</stp>
        <stp>912828B8 Govt</stp>
        <stp>MTY_TYP</stp>
        <stp>[TREASURY.xlsx]Sheet1!R571C6</stp>
        <tr r="F571" s="1"/>
      </tp>
      <tp t="s">
        <v>NORMAL</v>
        <stp/>
        <stp>##V3_BDPV12</stp>
        <stp>912827Y8 Govt</stp>
        <stp>MTY_TYP</stp>
        <stp>[TREASURY.xlsx]Sheet1!R941C6</stp>
        <tr r="F941" s="1"/>
      </tp>
      <tp t="s">
        <v>NORMAL</v>
        <stp/>
        <stp>##V3_BDPV12</stp>
        <stp>912828A9 Govt</stp>
        <stp>MTY_TYP</stp>
        <stp>[TREASURY.xlsx]Sheet1!R640C6</stp>
        <tr r="F640" s="1"/>
      </tp>
      <tp t="s">
        <v>5/31/1996</v>
        <stp/>
        <stp>##V3_BDPV12</stp>
        <stp>912827X9 Govt</stp>
        <stp>ISSUE_DT</stp>
        <stp>[TREASURY.xlsx]Sheet1!R770C15</stp>
        <tr r="O770" s="1"/>
      </tp>
      <tp t="s">
        <v>NORMAL</v>
        <stp/>
        <stp>##V3_BDPV12</stp>
        <stp>912828W8 Govt</stp>
        <stp>MTY_TYP</stp>
        <stp>[TREASURY.xlsx]Sheet1!R221C6</stp>
        <tr r="F221" s="1"/>
      </tp>
      <tp t="s">
        <v>NORMAL</v>
        <stp/>
        <stp>##V3_BDPV12</stp>
        <stp>912828YF Govt</stp>
        <stp>MTY_TYP</stp>
        <stp>[TREASURY.xlsx]Sheet1!R76C6</stp>
        <tr r="F76" s="1"/>
      </tp>
      <tp t="s">
        <v>7/17/1989</v>
        <stp/>
        <stp>##V3_BDPV12</stp>
        <stp>912827XT Govt</stp>
        <stp>ISSUE_DT</stp>
        <stp>[TREASURY.xlsx]Sheet1!R774C15</stp>
        <tr r="O774" s="1"/>
      </tp>
      <tp t="s">
        <v>2/16/1988</v>
        <stp/>
        <stp>##V3_BDPV12</stp>
        <stp>912827VV Govt</stp>
        <stp>ISSUE_DT</stp>
        <stp>[TREASURY.xlsx]Sheet1!R926C15</stp>
        <tr r="O926" s="1"/>
      </tp>
      <tp t="s">
        <v>2/29/1988</v>
        <stp/>
        <stp>##V3_BDPV12</stp>
        <stp>912827VX Govt</stp>
        <stp>ISSUE_DT</stp>
        <stp>[TREASURY.xlsx]Sheet1!R927C15</stp>
        <tr r="O927" s="1"/>
      </tp>
      <tp t="s">
        <v>4/2/1990</v>
        <stp/>
        <stp>##V3_BDPV12</stp>
        <stp>912827YR Govt</stp>
        <stp>ISSUE_DT</stp>
        <stp>[TREASURY.xlsx]Sheet1!R684C15</stp>
        <tr r="O684" s="1"/>
      </tp>
      <tp t="s">
        <v>1/31/1989</v>
        <stp/>
        <stp>##V3_BDPV12</stp>
        <stp>912827XC Govt</stp>
        <stp>ISSUE_DT</stp>
        <stp>[TREASURY.xlsx]Sheet1!R771C15</stp>
        <tr r="O771" s="1"/>
      </tp>
      <tp t="s">
        <v>9/30/1987</v>
        <stp/>
        <stp>##V3_BDPV12</stp>
        <stp>912827VH Govt</stp>
        <stp>ISSUE_DT</stp>
        <stp>[TREASURY.xlsx]Sheet1!R924C15</stp>
        <tr r="O924" s="1"/>
      </tp>
      <tp t="s">
        <v>3/31/1989</v>
        <stp/>
        <stp>##V3_BDPV12</stp>
        <stp>912827XH Govt</stp>
        <stp>ISSUE_DT</stp>
        <stp>[TREASURY.xlsx]Sheet1!R772C15</stp>
        <tr r="O772" s="1"/>
      </tp>
      <tp t="s">
        <v>4/17/1989</v>
        <stp/>
        <stp>##V3_BDPV12</stp>
        <stp>912827XK Govt</stp>
        <stp>ISSUE_DT</stp>
        <stp>[TREASURY.xlsx]Sheet1!R773C15</stp>
        <tr r="O773" s="1"/>
      </tp>
      <tp t="s">
        <v>11/15/1987</v>
        <stp/>
        <stp>##V3_BDPV12</stp>
        <stp>912827VN Govt</stp>
        <stp>ISSUE_DT</stp>
        <stp>[TREASURY.xlsx]Sheet1!R925C15</stp>
        <tr r="O925" s="1"/>
      </tp>
      <tp t="s">
        <v>1/2/1996</v>
        <stp/>
        <stp>##V3_BDPV12</stp>
        <stp>912827W3 Govt</stp>
        <stp>ISSUE_DT</stp>
        <stp>[TREASURY.xlsx]Sheet1!R928C15</stp>
        <tr r="O928" s="1"/>
      </tp>
      <tp t="s">
        <v>1/2/1996</v>
        <stp/>
        <stp>##V3_BDPV12</stp>
        <stp>912827W4 Govt</stp>
        <stp>ISSUE_DT</stp>
        <stp>[TREASURY.xlsx]Sheet1!R929C15</stp>
        <tr r="O929" s="1"/>
      </tp>
      <tp t="s">
        <v>2/15/1996</v>
        <stp/>
        <stp>##V3_BDPV12</stp>
        <stp>912827W8 Govt</stp>
        <stp>ISSUE_DT</stp>
        <stp>[TREASURY.xlsx]Sheet1!R930C15</stp>
        <tr r="O930" s="1"/>
      </tp>
      <tp t="s">
        <v>9/30/1988</v>
        <stp/>
        <stp>##V3_BDPV12</stp>
        <stp>912827WR Govt</stp>
        <stp>ISSUE_DT</stp>
        <stp>[TREASURY.xlsx]Sheet1!R933C15</stp>
        <tr r="O933" s="1"/>
      </tp>
      <tp t="s">
        <v>4/15/1988</v>
        <stp/>
        <stp>##V3_BDPV12</stp>
        <stp>912827WB Govt</stp>
        <stp>ISSUE_DT</stp>
        <stp>[TREASURY.xlsx]Sheet1!R931C15</stp>
        <tr r="O931" s="1"/>
      </tp>
      <tp t="s">
        <v>2/15/1990</v>
        <stp/>
        <stp>##V3_BDPV12</stp>
        <stp>912827YN Govt</stp>
        <stp>ISSUE_DT</stp>
        <stp>[TREASURY.xlsx]Sheet1!R776C15</stp>
        <tr r="O776" s="1"/>
      </tp>
      <tp t="s">
        <v>7/15/1988</v>
        <stp/>
        <stp>##V3_BDPV12</stp>
        <stp>912827WK Govt</stp>
        <stp>ISSUE_DT</stp>
        <stp>[TREASURY.xlsx]Sheet1!R932C15</stp>
        <tr r="O932" s="1"/>
      </tp>
      <tp t="s">
        <v>1/2/1990</v>
        <stp/>
        <stp>##V3_BDPV12</stp>
        <stp>912827YJ Govt</stp>
        <stp>ISSUE_DT</stp>
        <stp>[TREASURY.xlsx]Sheet1!R775C15</stp>
        <tr r="O775" s="1"/>
      </tp>
      <tp t="s">
        <v>7/31/1992</v>
        <stp/>
        <stp>##V3_BDPV12</stp>
        <stp>912827G3 Govt</stp>
        <stp>ISSUE_DT</stp>
        <stp>[TREASURY.xlsx]Sheet1!R703C15</stp>
        <tr r="O703" s="1"/>
      </tp>
      <tp t="s">
        <v>3/2/1992</v>
        <stp/>
        <stp>##V3_BDPV12</stp>
        <stp>912827E5 Govt</stp>
        <stp>ISSUE_DT</stp>
        <stp>[TREASURY.xlsx]Sheet1!R579C15</stp>
        <tr r="O579" s="1"/>
      </tp>
      <tp t="s">
        <v>4/30/1992</v>
        <stp/>
        <stp>##V3_BDPV12</stp>
        <stp>912827F2 Govt</stp>
        <stp>ISSUE_DT</stp>
        <stp>[TREASURY.xlsx]Sheet1!R663C15</stp>
        <tr r="O663" s="1"/>
      </tp>
      <tp t="s">
        <v>3/31/1992</v>
        <stp/>
        <stp>##V3_BDPV12</stp>
        <stp>912827E7 Govt</stp>
        <stp>ISSUE_DT</stp>
        <stp>[TREASURY.xlsx]Sheet1!R590C15</stp>
        <tr r="O590" s="1"/>
      </tp>
      <tp t="s">
        <v>1/15/1992</v>
        <stp/>
        <stp>##V3_BDPV12</stp>
        <stp>912827D7 Govt</stp>
        <stp>ISSUE_DT</stp>
        <stp>[TREASURY.xlsx]Sheet1!R701C15</stp>
        <tr r="O701" s="1"/>
      </tp>
      <tp t="s">
        <v>12/31/1991</v>
        <stp/>
        <stp>##V3_BDPV12</stp>
        <stp>912827D6 Govt</stp>
        <stp>ISSUE_DT</stp>
        <stp>[TREASURY.xlsx]Sheet1!R700C15</stp>
        <tr r="O700" s="1"/>
      </tp>
      <tp t="s">
        <v>1/31/1992</v>
        <stp/>
        <stp>##V3_BDPV12</stp>
        <stp>912827D9 Govt</stp>
        <stp>ISSUE_DT</stp>
        <stp>[TREASURY.xlsx]Sheet1!R702C15</stp>
        <tr r="O702" s="1"/>
      </tp>
      <tp t="s">
        <v>3/31/1980</v>
        <stp/>
        <stp>##V3_BDPV12</stp>
        <stp>912827KP Govt</stp>
        <stp>ISSUE_DT</stp>
        <stp>[TREASURY.xlsx]Sheet1!R885C15</stp>
        <tr r="O885" s="1"/>
      </tp>
      <tp t="s">
        <v>2/15/1980</v>
        <stp/>
        <stp>##V3_BDPV12</stp>
        <stp>912827KJ Govt</stp>
        <stp>ISSUE_DT</stp>
        <stp>[TREASURY.xlsx]Sheet1!R884C15</stp>
        <tr r="O884" s="1"/>
      </tp>
      <tp t="s">
        <v>11/30/1981</v>
        <stp/>
        <stp>##V3_BDPV12</stp>
        <stp>912827MP Govt</stp>
        <stp>ISSUE_DT</stp>
        <stp>[TREASURY.xlsx]Sheet1!R899C15</stp>
        <tr r="O899" s="1"/>
      </tp>
      <tp t="s">
        <v>9/30/1981</v>
        <stp/>
        <stp>##V3_BDPV12</stp>
        <stp>912827MJ Govt</stp>
        <stp>ISSUE_DT</stp>
        <stp>[TREASURY.xlsx]Sheet1!R897C15</stp>
        <tr r="O897" s="1"/>
      </tp>
      <tp t="s">
        <v>10/14/1981</v>
        <stp/>
        <stp>##V3_BDPV12</stp>
        <stp>912827MK Govt</stp>
        <stp>ISSUE_DT</stp>
        <stp>[TREASURY.xlsx]Sheet1!R898C15</stp>
        <tr r="O898" s="1"/>
      </tp>
      <tp t="s">
        <v>9/8/1981</v>
        <stp/>
        <stp>##V3_BDPV12</stp>
        <stp>912827MG Govt</stp>
        <stp>ISSUE_DT</stp>
        <stp>[TREASURY.xlsx]Sheet1!R896C15</stp>
        <tr r="O896" s="1"/>
      </tp>
      <tp t="s">
        <v>8/17/1981</v>
        <stp/>
        <stp>##V3_BDPV12</stp>
        <stp>912827ME Govt</stp>
        <stp>ISSUE_DT</stp>
        <stp>[TREASURY.xlsx]Sheet1!R895C15</stp>
        <tr r="O895" s="1"/>
      </tp>
      <tp t="s">
        <v>8/2/1993</v>
        <stp/>
        <stp>##V3_BDPV12</stp>
        <stp>912827L5 Govt</stp>
        <stp>ISSUE_DT</stp>
        <stp>[TREASURY.xlsx]Sheet1!R886C15</stp>
        <tr r="O886" s="1"/>
      </tp>
      <tp t="s">
        <v>6/1/1981</v>
        <stp/>
        <stp>##V3_BDPV12</stp>
        <stp>912827LX Govt</stp>
        <stp>ISSUE_DT</stp>
        <stp>[TREASURY.xlsx]Sheet1!R893C15</stp>
        <tr r="O893" s="1"/>
      </tp>
      <tp t="s">
        <v>6/3/1981</v>
        <stp/>
        <stp>##V3_BDPV12</stp>
        <stp>912827LY Govt</stp>
        <stp>ISSUE_DT</stp>
        <stp>[TREASURY.xlsx]Sheet1!R894C15</stp>
        <tr r="O894" s="1"/>
      </tp>
      <tp t="s">
        <v>4/30/1981</v>
        <stp/>
        <stp>##V3_BDPV12</stp>
        <stp>912827LU Govt</stp>
        <stp>ISSUE_DT</stp>
        <stp>[TREASURY.xlsx]Sheet1!R892C15</stp>
        <tr r="O892" s="1"/>
      </tp>
      <tp t="s">
        <v>12/31/1980</v>
        <stp/>
        <stp>##V3_BDPV12</stp>
        <stp>912827LJ Govt</stp>
        <stp>ISSUE_DT</stp>
        <stp>[TREASURY.xlsx]Sheet1!R890C15</stp>
        <tr r="O890" s="1"/>
      </tp>
      <tp t="s">
        <v>1/5/1981</v>
        <stp/>
        <stp>##V3_BDPV12</stp>
        <stp>912827LL Govt</stp>
        <stp>ISSUE_DT</stp>
        <stp>[TREASURY.xlsx]Sheet1!R891C15</stp>
        <tr r="O891" s="1"/>
      </tp>
      <tp t="s">
        <v>9/30/1980</v>
        <stp/>
        <stp>##V3_BDPV12</stp>
        <stp>912827LC Govt</stp>
        <stp>ISSUE_DT</stp>
        <stp>[TREASURY.xlsx]Sheet1!R888C15</stp>
        <tr r="O888" s="1"/>
      </tp>
      <tp t="s">
        <v>9/3/1980</v>
        <stp/>
        <stp>##V3_BDPV12</stp>
        <stp>912827LA Govt</stp>
        <stp>ISSUE_DT</stp>
        <stp>[TREASURY.xlsx]Sheet1!R887C15</stp>
        <tr r="O887" s="1"/>
      </tp>
      <tp t="s">
        <v>11/17/1980</v>
        <stp/>
        <stp>##V3_BDPV12</stp>
        <stp>912827LE Govt</stp>
        <stp>ISSUE_DT</stp>
        <stp>[TREASURY.xlsx]Sheet1!R889C15</stp>
        <tr r="O889" s="1"/>
      </tp>
      <tp t="s">
        <v>2/15/1994</v>
        <stp/>
        <stp>##V3_BDPV12</stp>
        <stp>912827N7 Govt</stp>
        <stp>ISSUE_DT</stp>
        <stp>[TREASURY.xlsx]Sheet1!R900C15</stp>
        <tr r="O900" s="1"/>
      </tp>
      <tp t="s">
        <v>7/8/1982</v>
        <stp/>
        <stp>##V3_BDPV12</stp>
        <stp>912827NK Govt</stp>
        <stp>ISSUE_DT</stp>
        <stp>[TREASURY.xlsx]Sheet1!R901C15</stp>
        <tr r="O901" s="1"/>
      </tp>
      <tp t="s">
        <v>8/2/1982</v>
        <stp/>
        <stp>##V3_BDPV12</stp>
        <stp>912827NL Govt</stp>
        <stp>ISSUE_DT</stp>
        <stp>[TREASURY.xlsx]Sheet1!R902C15</stp>
        <tr r="O902" s="1"/>
      </tp>
      <tp t="s">
        <v>12/31/1993</v>
        <stp/>
        <stp>##V3_BDPV12</stp>
        <stp>912827N3 Govt</stp>
        <stp>ISSUE_DT</stp>
        <stp>[TREASURY.xlsx]Sheet1!R726C15</stp>
        <tr r="O726" s="1"/>
      </tp>
      <tp t="s">
        <v>1/31/1994</v>
        <stp/>
        <stp>##V3_BDPV12</stp>
        <stp>912827N5 Govt</stp>
        <stp>ISSUE_DT</stp>
        <stp>[TREASURY.xlsx]Sheet1!R727C15</stp>
        <tr r="O727" s="1"/>
      </tp>
      <tp t="s">
        <v>1/31/1994</v>
        <stp/>
        <stp>##V3_BDPV12</stp>
        <stp>912827N6 Govt</stp>
        <stp>ISSUE_DT</stp>
        <stp>[TREASURY.xlsx]Sheet1!R728C15</stp>
        <tr r="O728" s="1"/>
      </tp>
      <tp t="s">
        <v>2/15/1994</v>
        <stp/>
        <stp>##V3_BDPV12</stp>
        <stp>912827N8 Govt</stp>
        <stp>ISSUE_DT</stp>
        <stp>[TREASURY.xlsx]Sheet1!R729C15</stp>
        <tr r="O729" s="1"/>
      </tp>
      <tp t="s">
        <v>9/7/1982</v>
        <stp/>
        <stp>##V3_BDPV12</stp>
        <stp>912827NP Govt</stp>
        <stp>ISSUE_DT</stp>
        <stp>[TREASURY.xlsx]Sheet1!R733C15</stp>
        <tr r="O733" s="1"/>
      </tp>
      <tp t="s">
        <v>11/15/1982</v>
        <stp/>
        <stp>##V3_BDPV12</stp>
        <stp>912827NV Govt</stp>
        <stp>ISSUE_DT</stp>
        <stp>[TREASURY.xlsx]Sheet1!R734C15</stp>
        <tr r="O734" s="1"/>
      </tp>
      <tp t="s">
        <v>4/30/1982</v>
        <stp/>
        <stp>##V3_BDPV12</stp>
        <stp>912827NC Govt</stp>
        <stp>ISSUE_DT</stp>
        <stp>[TREASURY.xlsx]Sheet1!R730C15</stp>
        <tr r="O730" s="1"/>
      </tp>
      <tp t="s">
        <v>5/17/1982</v>
        <stp/>
        <stp>##V3_BDPV12</stp>
        <stp>912827ND Govt</stp>
        <stp>ISSUE_DT</stp>
        <stp>[TREASURY.xlsx]Sheet1!R731C15</stp>
        <tr r="O731" s="1"/>
      </tp>
      <tp t="s">
        <v>8/16/1982</v>
        <stp/>
        <stp>##V3_BDPV12</stp>
        <stp>912827NM Govt</stp>
        <stp>ISSUE_DT</stp>
        <stp>[TREASURY.xlsx]Sheet1!R732C15</stp>
        <tr r="O732" s="1"/>
      </tp>
      <tp t="s">
        <v>7/31/1980</v>
        <stp/>
        <stp>##V3_BDPV12</stp>
        <stp>912827KW Govt</stp>
        <stp>ISSUE_DT</stp>
        <stp>[TREASURY.xlsx]Sheet1!R392C15</stp>
        <tr r="O392" s="1"/>
      </tp>
      <tp t="s">
        <v>9/30/1981</v>
        <stp/>
        <stp>##V3_BDPV12</stp>
        <stp>912827MH Govt</stp>
        <stp>ISSUE_DT</stp>
        <stp>[TREASURY.xlsx]Sheet1!R544C15</stp>
        <tr r="O544" s="1"/>
      </tp>
      <tp t="s">
        <v>8/31/1993</v>
        <stp/>
        <stp>##V3_BDPV12</stp>
        <stp>912827L9 Govt</stp>
        <stp>ISSUE_DT</stp>
        <stp>[TREASURY.xlsx]Sheet1!R714C15</stp>
        <tr r="O714" s="1"/>
      </tp>
      <tp t="s">
        <v>5/15/1981</v>
        <stp/>
        <stp>##V3_BDPV12</stp>
        <stp>912827LV Govt</stp>
        <stp>ISSUE_DT</stp>
        <stp>[TREASURY.xlsx]Sheet1!R717C15</stp>
        <tr r="O717" s="1"/>
      </tp>
      <tp t="s">
        <v>2/17/1981</v>
        <stp/>
        <stp>##V3_BDPV12</stp>
        <stp>912827LN Govt</stp>
        <stp>ISSUE_DT</stp>
        <stp>[TREASURY.xlsx]Sheet1!R716C15</stp>
        <tr r="O716" s="1"/>
      </tp>
      <tp t="s">
        <v>2/2/1981</v>
        <stp/>
        <stp>##V3_BDPV12</stp>
        <stp>912827LM Govt</stp>
        <stp>ISSUE_DT</stp>
        <stp>[TREASURY.xlsx]Sheet1!R715C15</stp>
        <tr r="O715" s="1"/>
      </tp>
      <tp t="s">
        <v>11/1/1993</v>
        <stp/>
        <stp>##V3_BDPV12</stp>
        <stp>912827M6 Govt</stp>
        <stp>ISSUE_DT</stp>
        <stp>[TREASURY.xlsx]Sheet1!R719C15</stp>
        <tr r="O719" s="1"/>
      </tp>
      <tp t="s">
        <v>11/1/1993</v>
        <stp/>
        <stp>##V3_BDPV12</stp>
        <stp>912827M5 Govt</stp>
        <stp>ISSUE_DT</stp>
        <stp>[TREASURY.xlsx]Sheet1!R718C15</stp>
        <tr r="O718" s="1"/>
      </tp>
      <tp t="s">
        <v>12/2/1981</v>
        <stp/>
        <stp>##V3_BDPV12</stp>
        <stp>912827MQ Govt</stp>
        <stp>ISSUE_DT</stp>
        <stp>[TREASURY.xlsx]Sheet1!R723C15</stp>
        <tr r="O723" s="1"/>
      </tp>
      <tp t="s">
        <v>1/13/1982</v>
        <stp/>
        <stp>##V3_BDPV12</stp>
        <stp>912827MT Govt</stp>
        <stp>ISSUE_DT</stp>
        <stp>[TREASURY.xlsx]Sheet1!R724C15</stp>
        <tr r="O724" s="1"/>
      </tp>
      <tp t="s">
        <v>3/3/1982</v>
        <stp/>
        <stp>##V3_BDPV12</stp>
        <stp>912827MY Govt</stp>
        <stp>ISSUE_DT</stp>
        <stp>[TREASURY.xlsx]Sheet1!R725C15</stp>
        <tr r="O725" s="1"/>
      </tp>
      <tp t="s">
        <v>6/30/1981</v>
        <stp/>
        <stp>##V3_BDPV12</stp>
        <stp>912827MA Govt</stp>
        <stp>ISSUE_DT</stp>
        <stp>[TREASURY.xlsx]Sheet1!R720C15</stp>
        <tr r="O720" s="1"/>
      </tp>
      <tp t="s">
        <v>11/17/1980</v>
        <stp/>
        <stp>##V3_BDPV12</stp>
        <stp>912827LF Govt</stp>
        <stp>ISSUE_DT</stp>
        <stp>[TREASURY.xlsx]Sheet1!R656C15</stp>
        <tr r="O656" s="1"/>
      </tp>
      <tp t="s">
        <v>7/7/1981</v>
        <stp/>
        <stp>##V3_BDPV12</stp>
        <stp>912827MB Govt</stp>
        <stp>ISSUE_DT</stp>
        <stp>[TREASURY.xlsx]Sheet1!R721C15</stp>
        <tr r="O721" s="1"/>
      </tp>
      <tp t="s">
        <v>8/31/1981</v>
        <stp/>
        <stp>##V3_BDPV12</stp>
        <stp>912827MF Govt</stp>
        <stp>ISSUE_DT</stp>
        <stp>[TREASURY.xlsx]Sheet1!R722C15</stp>
        <tr r="O722" s="1"/>
      </tp>
      <tp t="s">
        <v>1/15/1993</v>
        <stp/>
        <stp>##V3_BDPV12</stp>
        <stp>912827J3 Govt</stp>
        <stp>ISSUE_DT</stp>
        <stp>[TREASURY.xlsx]Sheet1!R707C15</stp>
        <tr r="O707" s="1"/>
      </tp>
      <tp t="s">
        <v>12/31/1992</v>
        <stp/>
        <stp>##V3_BDPV12</stp>
        <stp>912827J2 Govt</stp>
        <stp>ISSUE_DT</stp>
        <stp>[TREASURY.xlsx]Sheet1!R706C15</stp>
        <tr r="O706" s="1"/>
      </tp>
      <tp t="s">
        <v>NORMAL</v>
        <stp/>
        <stp>##V3_BDPV12</stp>
        <stp>912828ZT Govt</stp>
        <stp>MTY_TYP</stp>
        <stp>[TREASURY.xlsx]Sheet1!R85C6</stp>
        <tr r="F85" s="1"/>
      </tp>
      <tp t="s">
        <v>6/4/1980</v>
        <stp/>
        <stp>##V3_BDPV12</stp>
        <stp>912827KS Govt</stp>
        <stp>ISSUE_DT</stp>
        <stp>[TREASURY.xlsx]Sheet1!R668C15</stp>
        <tr r="O668" s="1"/>
      </tp>
      <tp t="s">
        <v>6/30/1980</v>
        <stp/>
        <stp>##V3_BDPV12</stp>
        <stp>912827KU Govt</stp>
        <stp>ISSUE_DT</stp>
        <stp>[TREASURY.xlsx]Sheet1!R683C15</stp>
        <tr r="O683" s="1"/>
      </tp>
      <tp t="s">
        <v>5/15/1980</v>
        <stp/>
        <stp>##V3_BDPV12</stp>
        <stp>912827KC Govt</stp>
        <stp>ISSUE_DT</stp>
        <stp>[TREASURY.xlsx]Sheet1!R608C15</stp>
        <tr r="O608" s="1"/>
      </tp>
      <tp t="s">
        <v>4/30/1980</v>
        <stp/>
        <stp>##V3_BDPV12</stp>
        <stp>912827KQ Govt</stp>
        <stp>ISSUE_DT</stp>
        <stp>[TREASURY.xlsx]Sheet1!R710C15</stp>
        <tr r="O710" s="1"/>
      </tp>
      <tp t="s">
        <v>6/30/1980</v>
        <stp/>
        <stp>##V3_BDPV12</stp>
        <stp>912827KV Govt</stp>
        <stp>ISSUE_DT</stp>
        <stp>[TREASURY.xlsx]Sheet1!R711C15</stp>
        <tr r="O711" s="1"/>
      </tp>
      <tp t="s">
        <v>9/2/1980</v>
        <stp/>
        <stp>##V3_BDPV12</stp>
        <stp>912827KZ Govt</stp>
        <stp>ISSUE_DT</stp>
        <stp>[TREASURY.xlsx]Sheet1!R713C15</stp>
        <tr r="O713" s="1"/>
      </tp>
      <tp t="s">
        <v>8/15/1980</v>
        <stp/>
        <stp>##V3_BDPV12</stp>
        <stp>912827KY Govt</stp>
        <stp>ISSUE_DT</stp>
        <stp>[TREASURY.xlsx]Sheet1!R712C15</stp>
        <tr r="O712" s="1"/>
      </tp>
      <tp t="s">
        <v>2/15/1980</v>
        <stp/>
        <stp>##V3_BDPV12</stp>
        <stp>912827KK Govt</stp>
        <stp>ISSUE_DT</stp>
        <stp>[TREASURY.xlsx]Sheet1!R708C15</stp>
        <tr r="O708" s="1"/>
      </tp>
      <tp t="s">
        <v>3/3/1980</v>
        <stp/>
        <stp>##V3_BDPV12</stp>
        <stp>912827KM Govt</stp>
        <stp>ISSUE_DT</stp>
        <stp>[TREASURY.xlsx]Sheet1!R709C15</stp>
        <tr r="O709" s="1"/>
      </tp>
      <tp t="s">
        <v>10/15/1992</v>
        <stp/>
        <stp>##V3_BDPV12</stp>
        <stp>912827H2 Govt</stp>
        <stp>ISSUE_DT</stp>
        <stp>[TREASURY.xlsx]Sheet1!R704C15</stp>
        <tr r="O704" s="1"/>
      </tp>
      <tp t="s">
        <v>11/16/1992</v>
        <stp/>
        <stp>##V3_BDPV12</stp>
        <stp>912827H5 Govt</stp>
        <stp>ISSUE_DT</stp>
        <stp>[TREASURY.xlsx]Sheet1!R705C15</stp>
        <tr r="O705" s="1"/>
      </tp>
      <tp t="s">
        <v>1/31/1980</v>
        <stp/>
        <stp>##V3_BDPV12</stp>
        <stp>912827KH Govt</stp>
        <stp>ISSUE_DT</stp>
        <stp>[TREASURY.xlsx]Sheet1!R455C15</stp>
        <tr r="O455" s="1"/>
      </tp>
      <tp t="s">
        <v>4/15/1993</v>
        <stp/>
        <stp>##V3_BDPV12</stp>
        <stp>912827K4 Govt</stp>
        <stp>ISSUE_DT</stp>
        <stp>[TREASURY.xlsx]Sheet1!R568C15</stp>
        <tr r="O568" s="1"/>
      </tp>
      <tp t="s">
        <v>3/31/1980</v>
        <stp/>
        <stp>##V3_BDPV12</stp>
        <stp>912827KN Govt</stp>
        <stp>ISSUE_DT</stp>
        <stp>[TREASURY.xlsx]Sheet1!R569C15</stp>
        <tr r="O569" s="1"/>
      </tp>
      <tp t="s">
        <v>T 7 7/8 11/15/04</v>
        <stp/>
        <stp>##V3_BDPV12</stp>
        <stp>912827R8 Govt</stp>
        <stp>SECURITY_NAME</stp>
        <stp>[TREASURY.xlsx]Sheet1!R909C16</stp>
        <tr r="P909" s="1"/>
      </tp>
      <tp t="s">
        <v>9128273H3</v>
        <stp/>
        <stp>##V3_BDPV12</stp>
        <stp>9128273H Govt</stp>
        <stp>ID_CUSIP</stp>
        <stp>[TREASURY.xlsx]Sheet1!R1527C19</stp>
        <tr r="S1527" s="1"/>
      </tp>
      <tp t="s">
        <v>T 1 5/8 04/30/23</v>
        <stp/>
        <stp>##V3_BDPV12</stp>
        <stp>912828R2 Govt</stp>
        <stp>SECURITY_NAME</stp>
        <stp>[TREASURY.xlsx]Sheet1!R245C16</stp>
        <tr r="P245" s="1"/>
      </tp>
      <tp t="s">
        <v>9128273M2</v>
        <stp/>
        <stp>##V3_BDPV12</stp>
        <stp>9128273M Govt</stp>
        <stp>ID_CUSIP</stp>
        <stp>[TREASURY.xlsx]Sheet1!R1357C19</stp>
        <tr r="S1357" s="1"/>
      </tp>
      <tp t="s">
        <v>9128273J9</v>
        <stp/>
        <stp>##V3_BDPV12</stp>
        <stp>9128273J Govt</stp>
        <stp>ID_CUSIP</stp>
        <stp>[TREASURY.xlsx]Sheet1!R1528C19</stp>
        <tr r="S1528" s="1"/>
      </tp>
      <tp t="s">
        <v>T 1 5/8 05/15/26</v>
        <stp/>
        <stp>##V3_BDPV12</stp>
        <stp>912828R3 Govt</stp>
        <stp>SECURITY_NAME</stp>
        <stp>[TREASURY.xlsx]Sheet1!R130C16</stp>
        <tr r="P130" s="1"/>
      </tp>
      <tp t="s">
        <v>9128273K6</v>
        <stp/>
        <stp>##V3_BDPV12</stp>
        <stp>9128273K Govt</stp>
        <stp>ID_CUSIP</stp>
        <stp>[TREASURY.xlsx]Sheet1!R1356C19</stp>
        <tr r="S1356" s="1"/>
      </tp>
      <tp t="s">
        <v>T 6 7/8 08/31/99</v>
        <stp/>
        <stp>##V3_BDPV12</stp>
        <stp>912827R2 Govt</stp>
        <stp>SECURITY_NAME</stp>
        <stp>[TREASURY.xlsx]Sheet1!R743C16</stp>
        <tr r="P743" s="1"/>
      </tp>
      <tp t="s">
        <v>9128273L4</v>
        <stp/>
        <stp>##V3_BDPV12</stp>
        <stp>9128273L Govt</stp>
        <stp>ID_CUSIP</stp>
        <stp>[TREASURY.xlsx]Sheet1!R1529C19</stp>
        <tr r="S1529" s="1"/>
      </tp>
      <tp t="s">
        <v>T 1 3/8 05/31/21</v>
        <stp/>
        <stp>##V3_BDPV12</stp>
        <stp>912828R7 Govt</stp>
        <stp>SECURITY_NAME</stp>
        <stp>[TREASURY.xlsx]Sheet1!R383C16</stp>
        <tr r="P383" s="1"/>
      </tp>
      <tp t="s">
        <v>T 1 5/8 05/31/23</v>
        <stp/>
        <stp>##V3_BDPV12</stp>
        <stp>912828R6 Govt</stp>
        <stp>SECURITY_NAME</stp>
        <stp>[TREASURY.xlsx]Sheet1!R266C16</stp>
        <tr r="P266" s="1"/>
      </tp>
      <tp t="s">
        <v>9128273F7</v>
        <stp/>
        <stp>##V3_BDPV12</stp>
        <stp>9128273F Govt</stp>
        <stp>ID_CUSIP</stp>
        <stp>[TREASURY.xlsx]Sheet1!R1355C19</stp>
        <tr r="S1355" s="1"/>
      </tp>
      <tp t="s">
        <v>9128273G5</v>
        <stp/>
        <stp>##V3_BDPV12</stp>
        <stp>9128273G Govt</stp>
        <stp>ID_CUSIP</stp>
        <stp>[TREASURY.xlsx]Sheet1!R1011C19</stp>
        <tr r="S1011" s="1"/>
      </tp>
      <tp t="s">
        <v>9128273D2</v>
        <stp/>
        <stp>##V3_BDPV12</stp>
        <stp>9128273D Govt</stp>
        <stp>ID_CUSIP</stp>
        <stp>[TREASURY.xlsx]Sheet1!R1354C19</stp>
        <tr r="S1354" s="1"/>
      </tp>
      <tp t="s">
        <v>9128273E0</v>
        <stp/>
        <stp>##V3_BDPV12</stp>
        <stp>9128273E Govt</stp>
        <stp>ID_CUSIP</stp>
        <stp>[TREASURY.xlsx]Sheet1!R1526C19</stp>
        <tr r="S1526" s="1"/>
      </tp>
      <tp t="s">
        <v>T 0 5/8 06/30/18</v>
        <stp/>
        <stp>##V3_BDPV12</stp>
        <stp>912828R9 Govt</stp>
        <stp>SECURITY_NAME</stp>
        <stp>[TREASURY.xlsx]Sheet1!R437C16</stp>
        <tr r="P437" s="1"/>
      </tp>
      <tp t="s">
        <v>9128273B6</v>
        <stp/>
        <stp>##V3_BDPV12</stp>
        <stp>9128273B Govt</stp>
        <stp>ID_CUSIP</stp>
        <stp>[TREASURY.xlsx]Sheet1!R1353C19</stp>
        <tr r="S1353" s="1"/>
      </tp>
      <tp t="s">
        <v>9128273C4</v>
        <stp/>
        <stp>##V3_BDPV12</stp>
        <stp>9128273C Govt</stp>
        <stp>ID_CUSIP</stp>
        <stp>[TREASURY.xlsx]Sheet1!R1010C19</stp>
        <tr r="S1010" s="1"/>
      </tp>
      <tp t="s">
        <v>T 0 7/8 06/15/19</v>
        <stp/>
        <stp>##V3_BDPV12</stp>
        <stp>912828R8 Govt</stp>
        <stp>SECURITY_NAME</stp>
        <stp>[TREASURY.xlsx]Sheet1!R689C16</stp>
        <tr r="P689" s="1"/>
      </tp>
      <tp t="s">
        <v>9128273Z3</v>
        <stp/>
        <stp>##V3_BDPV12</stp>
        <stp>9128273Z Govt</stp>
        <stp>ID_CUSIP</stp>
        <stp>[TREASURY.xlsx]Sheet1!R1361C19</stp>
        <tr r="S1361" s="1"/>
      </tp>
      <tp t="s">
        <v>9128283X6</v>
        <stp/>
        <stp>##V3_BDPV12</stp>
        <stp>9128283X Govt</stp>
        <stp>ID_CUSIP</stp>
        <stp>[TREASURY.xlsx]Sheet1!R1269C19</stp>
        <tr r="S1269" s="1"/>
      </tp>
      <tp t="s">
        <v>9128273P5</v>
        <stp/>
        <stp>##V3_BDPV12</stp>
        <stp>9128273P Govt</stp>
        <stp>ID_CUSIP</stp>
        <stp>[TREASURY.xlsx]Sheet1!R1530C19</stp>
        <tr r="S1530" s="1"/>
      </tp>
      <tp t="s">
        <v>9128273V2</v>
        <stp/>
        <stp>##V3_BDPV12</stp>
        <stp>9128273V Govt</stp>
        <stp>ID_CUSIP</stp>
        <stp>[TREASURY.xlsx]Sheet1!R1360C19</stp>
        <tr r="S1360" s="1"/>
      </tp>
      <tp t="s">
        <v>9128273S9</v>
        <stp/>
        <stp>##V3_BDPV12</stp>
        <stp>9128273S Govt</stp>
        <stp>ID_CUSIP</stp>
        <stp>[TREASURY.xlsx]Sheet1!R1531C19</stp>
        <tr r="S1531" s="1"/>
      </tp>
      <tp t="s">
        <v>9128273U4</v>
        <stp/>
        <stp>##V3_BDPV12</stp>
        <stp>9128273U Govt</stp>
        <stp>ID_CUSIP</stp>
        <stp>[TREASURY.xlsx]Sheet1!R1455C19</stp>
        <tr r="S1455" s="1"/>
      </tp>
      <tp t="s">
        <v>9128273R1</v>
        <stp/>
        <stp>##V3_BDPV12</stp>
        <stp>9128273R Govt</stp>
        <stp>ID_CUSIP</stp>
        <stp>[TREASURY.xlsx]Sheet1!R1359C19</stp>
        <tr r="S1359" s="1"/>
      </tp>
      <tp t="s">
        <v>9128273Q3</v>
        <stp/>
        <stp>##V3_BDPV12</stp>
        <stp>9128273Q Govt</stp>
        <stp>ID_CUSIP</stp>
        <stp>[TREASURY.xlsx]Sheet1!R1358C19</stp>
        <tr r="S1358" s="1"/>
      </tp>
      <tp t="s">
        <v>9128273W0</v>
        <stp/>
        <stp>##V3_BDPV12</stp>
        <stp>9128273W Govt</stp>
        <stp>ID_CUSIP</stp>
        <stp>[TREASURY.xlsx]Sheet1!R1456C19</stp>
        <tr r="S1456" s="1"/>
      </tp>
      <tp t="s">
        <v>T 0 1/4 05/15/15</v>
        <stp/>
        <stp>##V3_BDPV12</stp>
        <stp>912828SU Govt</stp>
        <stp>SECURITY_NAME</stp>
        <stp>[TREASURY.xlsx]Sheet1!R404C16</stp>
        <tr r="P404" s="1"/>
      </tp>
      <tp t="s">
        <v>T 0 1/4 05/31/14</v>
        <stp/>
        <stp>##V3_BDPV12</stp>
        <stp>912828SW Govt</stp>
        <stp>SECURITY_NAME</stp>
        <stp>[TREASURY.xlsx]Sheet1!R653C16</stp>
        <tr r="P653" s="1"/>
      </tp>
      <tp t="s">
        <v>T 1 1/4 04/30/19</v>
        <stp/>
        <stp>##V3_BDPV12</stp>
        <stp>912828ST Govt</stp>
        <stp>SECURITY_NAME</stp>
        <stp>[TREASURY.xlsx]Sheet1!R497C16</stp>
        <tr r="P497" s="1"/>
      </tp>
      <tp t="s">
        <v>T 1 1/8 05/31/19</v>
        <stp/>
        <stp>##V3_BDPV12</stp>
        <stp>912828SX Govt</stp>
        <stp>SECURITY_NAME</stp>
        <stp>[TREASURY.xlsx]Sheet1!R870C16</stp>
        <tr r="P870" s="1"/>
      </tp>
      <tp t="s">
        <v>T 1 1/8 05/15/40</v>
        <stp/>
        <stp>##V3_BDPV12</stp>
        <stp>912810SR Govt</stp>
        <stp>SECURITY_NAME</stp>
        <stp>[TREASURY.xlsx]Sheet1!R100C16</stp>
        <tr r="P100" s="1"/>
      </tp>
      <tp t="s">
        <v>T 1 3/4 05/15/22</v>
        <stp/>
        <stp>##V3_BDPV12</stp>
        <stp>912828SV Govt</stp>
        <stp>SECURITY_NAME</stp>
        <stp>[TREASURY.xlsx]Sheet1!R164C16</stp>
        <tr r="P164" s="1"/>
      </tp>
      <tp t="s">
        <v>T 0 3/8 04/15/15</v>
        <stp/>
        <stp>##V3_BDPV12</stp>
        <stp>912828SP Govt</stp>
        <stp>SECURITY_NAME</stp>
        <stp>[TREASURY.xlsx]Sheet1!R995C16</stp>
        <tr r="P995" s="1"/>
      </tp>
      <tp t="s">
        <v>T 0 7/8 04/30/17</v>
        <stp/>
        <stp>##V3_BDPV12</stp>
        <stp>912828SS Govt</stp>
        <stp>SECURITY_NAME</stp>
        <stp>[TREASURY.xlsx]Sheet1!R996C16</stp>
        <tr r="P996" s="1"/>
      </tp>
      <tp t="s">
        <v>T 9 3/8 09/30/89</v>
        <stp/>
        <stp>##V3_BDPV12</stp>
        <stp>912827SU Govt</stp>
        <stp>SECURITY_NAME</stp>
        <stp>[TREASURY.xlsx]Sheet1!R832C16</stp>
        <tr r="P832" s="1"/>
      </tp>
      <tp t="s">
        <v>T 9 3/4 10/15/92</v>
        <stp/>
        <stp>##V3_BDPV12</stp>
        <stp>912827SV Govt</stp>
        <stp>SECURITY_NAME</stp>
        <stp>[TREASURY.xlsx]Sheet1!R918C16</stp>
        <tr r="P918" s="1"/>
      </tp>
      <tp t="s">
        <v>T 8 5/8 11/15/88</v>
        <stp/>
        <stp>##V3_BDPV12</stp>
        <stp>912827SX Govt</stp>
        <stp>SECURITY_NAME</stp>
        <stp>[TREASURY.xlsx]Sheet1!R749C16</stp>
        <tr r="P749" s="1"/>
      </tp>
      <tp t="s">
        <v>T 0 3/8 06/15/15</v>
        <stp/>
        <stp>##V3_BDPV12</stp>
        <stp>912828SZ Govt</stp>
        <stp>SECURITY_NAME</stp>
        <stp>[TREASURY.xlsx]Sheet1!R551C16</stp>
        <tr r="P551" s="1"/>
      </tp>
      <tp t="s">
        <v>T 3 1/8 05/15/48</v>
        <stp/>
        <stp>##V3_BDPV12</stp>
        <stp>912810SC Govt</stp>
        <stp>SECURITY_NAME</stp>
        <stp>[TREASURY.xlsx]Sheet1!R243C16</stp>
        <tr r="P243" s="1"/>
      </tp>
      <tp t="s">
        <v>T 3 02/15/48</v>
        <stp/>
        <stp>##V3_BDPV12</stp>
        <stp>912810SA Govt</stp>
        <stp>SECURITY_NAME</stp>
        <stp>[TREASURY.xlsx]Sheet1!R146C16</stp>
        <tr r="P146" s="1"/>
      </tp>
      <tp t="s">
        <v>T 0 1/4 02/28/14</v>
        <stp/>
        <stp>##V3_BDPV12</stp>
        <stp>912828SG Govt</stp>
        <stp>SECURITY_NAME</stp>
        <stp>[TREASURY.xlsx]Sheet1!R496C16</stp>
        <tr r="P496" s="1"/>
      </tp>
      <tp t="s">
        <v>T 0 1/4 02/15/15</v>
        <stp/>
        <stp>##V3_BDPV12</stp>
        <stp>912828SE Govt</stp>
        <stp>SECURITY_NAME</stp>
        <stp>[TREASURY.xlsx]Sheet1!R618C16</stp>
        <tr r="P618" s="1"/>
      </tp>
      <tp t="s">
        <v>T 1 1/4 01/31/19</v>
        <stp/>
        <stp>##V3_BDPV12</stp>
        <stp>912828SD Govt</stp>
        <stp>SECURITY_NAME</stp>
        <stp>[TREASURY.xlsx]Sheet1!R623C16</stp>
        <tr r="P623" s="1"/>
      </tp>
      <tp t="s">
        <v>T 3 08/15/48</v>
        <stp/>
        <stp>##V3_BDPV12</stp>
        <stp>912810SD Govt</stp>
        <stp>SECURITY_NAME</stp>
        <stp>[TREASURY.xlsx]Sheet1!R181C16</stp>
        <tr r="P181" s="1"/>
      </tp>
      <tp t="s">
        <v>T 10 3/8 07/15/92</v>
        <stp/>
        <stp>##V3_BDPV12</stp>
        <stp>912827SL Govt</stp>
        <stp>SECURITY_NAME</stp>
        <stp>[TREASURY.xlsx]Sheet1!R917C16</stp>
        <tr r="P917" s="1"/>
      </tp>
      <tp t="s">
        <v>T 9 3/4 04/30/87</v>
        <stp/>
        <stp>##V3_BDPV12</stp>
        <stp>912827SC Govt</stp>
        <stp>SECURITY_NAME</stp>
        <stp>[TREASURY.xlsx]Sheet1!R747C16</stp>
        <tr r="P747" s="1"/>
      </tp>
      <tp t="s">
        <v>T 3 3/8 11/15/48</v>
        <stp/>
        <stp>##V3_BDPV12</stp>
        <stp>912810SE Govt</stp>
        <stp>SECURITY_NAME</stp>
        <stp>[TREASURY.xlsx]Sheet1!R152C16</stp>
        <tr r="P152" s="1"/>
      </tp>
      <tp t="s">
        <v>T 2 02/15/22</v>
        <stp/>
        <stp>##V3_BDPV12</stp>
        <stp>912828SF Govt</stp>
        <stp>SECURITY_NAME</stp>
        <stp>[TREASURY.xlsx]Sheet1!R138C16</stp>
        <tr r="P138" s="1"/>
      </tp>
      <tp t="s">
        <v>T 3 02/15/49</v>
        <stp/>
        <stp>##V3_BDPV12</stp>
        <stp>912810SF Govt</stp>
        <stp>SECURITY_NAME</stp>
        <stp>[TREASURY.xlsx]Sheet1!R177C16</stp>
        <tr r="P177" s="1"/>
      </tp>
      <tp t="s">
        <v>T 0 1/4 01/31/14</v>
        <stp/>
        <stp>##V3_BDPV12</stp>
        <stp>912828SB Govt</stp>
        <stp>SECURITY_NAME</stp>
        <stp>[TREASURY.xlsx]Sheet1!R564C16</stp>
        <tr r="P564" s="1"/>
      </tp>
      <tp t="s">
        <v>T 0 1/4 03/31/14</v>
        <stp/>
        <stp>##V3_BDPV12</stp>
        <stp>912828SL Govt</stp>
        <stp>SECURITY_NAME</stp>
        <stp>[TREASURY.xlsx]Sheet1!R511C16</stp>
        <tr r="P511" s="1"/>
      </tp>
      <tp t="s">
        <v>T 2 7/8 05/15/49</v>
        <stp/>
        <stp>##V3_BDPV12</stp>
        <stp>912810SH Govt</stp>
        <stp>SECURITY_NAME</stp>
        <stp>[TREASURY.xlsx]Sheet1!R156C16</stp>
        <tr r="P156" s="1"/>
      </tp>
      <tp t="s">
        <v>T 1 03/31/17</v>
        <stp/>
        <stp>##V3_BDPV12</stp>
        <stp>912828SM Govt</stp>
        <stp>SECURITY_NAME</stp>
        <stp>[TREASURY.xlsx]Sheet1!R516C16</stp>
        <tr r="P516" s="1"/>
      </tp>
      <tp t="s">
        <v>T 1 1/2 03/31/19</v>
        <stp/>
        <stp>##V3_BDPV12</stp>
        <stp>912828SN Govt</stp>
        <stp>SECURITY_NAME</stp>
        <stp>[TREASURY.xlsx]Sheet1!R670C16</stp>
        <tr r="P670" s="1"/>
      </tp>
      <tp t="s">
        <v>T 1 3/8 02/28/19</v>
        <stp/>
        <stp>##V3_BDPV12</stp>
        <stp>912828SH Govt</stp>
        <stp>SECURITY_NAME</stp>
        <stp>[TREASURY.xlsx]Sheet1!R360C16</stp>
        <tr r="P360" s="1"/>
      </tp>
      <tp t="s">
        <v>T 8 7/8 07/31/87</v>
        <stp/>
        <stp>##V3_BDPV12</stp>
        <stp>912827SM Govt</stp>
        <stp>SECURITY_NAME</stp>
        <stp>[TREASURY.xlsx]Sheet1!R748C16</stp>
        <tr r="P748" s="1"/>
      </tp>
      <tp t="s">
        <v>T 10 05/15/88</v>
        <stp/>
        <stp>##V3_BDPV12</stp>
        <stp>912827SD Govt</stp>
        <stp>SECURITY_NAME</stp>
        <stp>[TREASURY.xlsx]Sheet1!R916C16</stp>
        <tr r="P916" s="1"/>
      </tp>
      <tp t="s">
        <v>T 0 7/8 02/28/17</v>
        <stp/>
        <stp>##V3_BDPV12</stp>
        <stp>912828SJ Govt</stp>
        <stp>SECURITY_NAME</stp>
        <stp>[TREASURY.xlsx]Sheet1!R489C16</stp>
        <tr r="P489" s="1"/>
      </tp>
      <tp t="s">
        <v>US91282CAK71</v>
        <stp/>
        <stp>##V3_BDPV12</stp>
        <stp>91282CAK Govt</stp>
        <stp>ID_ISIN</stp>
        <stp>[TREASURY.xlsx]Sheet1!R60C12</stp>
        <tr r="L60" s="1"/>
      </tp>
      <tp t="s">
        <v>US91282CCK53</v>
        <stp/>
        <stp>##V3_BDPV12</stp>
        <stp>91282CCK Govt</stp>
        <stp>ID_ISIN</stp>
        <stp>[TREASURY.xlsx]Sheet1!R33C12</stp>
        <tr r="L33" s="1"/>
      </tp>
      <tp t="s">
        <v>US912810SK51</v>
        <stp/>
        <stp>##V3_BDPV12</stp>
        <stp>912810SK Govt</stp>
        <stp>ID_ISIN</stp>
        <stp>[TREASURY.xlsx]Sheet1!R95C12</stp>
        <tr r="L95" s="1"/>
      </tp>
      <tp t="s">
        <v>NORMAL</v>
        <stp/>
        <stp>##V3_BDPV12</stp>
        <stp>91282CCW Govt</stp>
        <stp>MTY_TYP</stp>
        <stp>[TREASURY.xlsx]Sheet1!R4C6</stp>
        <tr r="F4" s="1"/>
      </tp>
      <tp t="s">
        <v>8/15/2041</v>
        <stp/>
        <stp>##V3_BDPV12</stp>
        <stp>912810TA Govt</stp>
        <stp>MATURITY</stp>
        <stp>[TREASURY.xlsx]Sheet1!R10C5</stp>
        <tr r="E10" s="1"/>
      </tp>
      <tp t="s">
        <v>2/15/2029</v>
        <stp/>
        <stp>##V3_BDPV12</stp>
        <stp>9128286B Govt</stp>
        <stp>MATURITY</stp>
        <stp>[TREASURY.xlsx]Sheet1!R43C5</stp>
        <tr r="E43" s="1"/>
      </tp>
      <tp t="s">
        <v>1/31/2026</v>
        <stp/>
        <stp>##V3_BDPV12</stp>
        <stp>91282CBH Govt</stp>
        <stp>MATURITY</stp>
        <stp>[TREASURY.xlsx]Sheet1!R59C5</stp>
        <tr r="E59" s="1"/>
      </tp>
      <tp t="s">
        <v>NORMAL</v>
        <stp/>
        <stp>##V3_BDPV12</stp>
        <stp>912828ZC Govt</stp>
        <stp>MTY_TYP</stp>
        <stp>[TREASURY.xlsx]Sheet1!R74C6</stp>
        <tr r="F74" s="1"/>
      </tp>
      <tp t="s">
        <v>UNITED STATES</v>
        <stp/>
        <stp>##V3_BDPV12</stp>
        <stp>912810FT Govt</stp>
        <stp>COUNTRY_FULL_NAME</stp>
        <stp>[TREASURY.xlsx]Sheet1!R79C8</stp>
        <tr r="H79" s="1"/>
      </tp>
      <tp t="s">
        <v>NORMAL</v>
        <stp/>
        <stp>##V3_BDPV12</stp>
        <stp>912828P9 Govt</stp>
        <stp>MTY_TYP</stp>
        <stp>[TREASURY.xlsx]Sheet1!R431C6</stp>
        <tr r="F431" s="1"/>
      </tp>
      <tp t="s">
        <v>NORMAL</v>
        <stp/>
        <stp>##V3_BDPV12</stp>
        <stp>912827W8 Govt</stp>
        <stp>MTY_TYP</stp>
        <stp>[TREASURY.xlsx]Sheet1!R930C6</stp>
        <tr r="F930" s="1"/>
      </tp>
      <tp t="s">
        <v>NORMAL</v>
        <stp/>
        <stp>##V3_BDPV12</stp>
        <stp>912828M8 Govt</stp>
        <stp>MTY_TYP</stp>
        <stp>[TREASURY.xlsx]Sheet1!R150C6</stp>
        <tr r="F150" s="1"/>
      </tp>
      <tp t="s">
        <v>NORMAL</v>
        <stp/>
        <stp>##V3_BDPV12</stp>
        <stp>912828S9 Govt</stp>
        <stp>MTY_TYP</stp>
        <stp>[TREASURY.xlsx]Sheet1!R301C6</stp>
        <tr r="F301" s="1"/>
      </tp>
      <tp t="s">
        <v>NORMAL</v>
        <stp/>
        <stp>##V3_BDPV12</stp>
        <stp>912828B9 Govt</stp>
        <stp>MTY_TYP</stp>
        <stp>[TREASURY.xlsx]Sheet1!R371C6</stp>
        <tr r="F371" s="1"/>
      </tp>
      <tp t="s">
        <v>NORMAL</v>
        <stp/>
        <stp>##V3_BDPV12</stp>
        <stp>912828YQ Govt</stp>
        <stp>MTY_TYP</stp>
        <stp>[TREASURY.xlsx]Sheet1!R87C6</stp>
        <tr r="F87" s="1"/>
      </tp>
      <tp t="s">
        <v>9128272H4</v>
        <stp/>
        <stp>##V3_BDPV12</stp>
        <stp>9128272H Govt</stp>
        <stp>ID_CUSIP</stp>
        <stp>[TREASURY.xlsx]Sheet1!R1450C19</stp>
        <tr r="S1450" s="1"/>
      </tp>
      <tp t="s">
        <v>T 1 1/8 06/30/21</v>
        <stp/>
        <stp>##V3_BDPV12</stp>
        <stp>912828S2 Govt</stp>
        <stp>SECURITY_NAME</stp>
        <stp>[TREASURY.xlsx]Sheet1!R391C16</stp>
        <tr r="P391" s="1"/>
      </tp>
      <tp t="s">
        <v>9128272N1</v>
        <stp/>
        <stp>##V3_BDPV12</stp>
        <stp>9128272N Govt</stp>
        <stp>ID_CUSIP</stp>
        <stp>[TREASURY.xlsx]Sheet1!R1352C19</stp>
        <tr r="S1352" s="1"/>
      </tp>
      <tp t="s">
        <v>T 0 3/4 07/15/19</v>
        <stp/>
        <stp>##V3_BDPV12</stp>
        <stp>912828S4 Govt</stp>
        <stp>SECURITY_NAME</stp>
        <stp>[TREASURY.xlsx]Sheet1!R487C16</stp>
        <tr r="P487" s="1"/>
      </tp>
      <tp t="s">
        <v>T 0 3/4 07/31/18</v>
        <stp/>
        <stp>##V3_BDPV12</stp>
        <stp>912828S6 Govt</stp>
        <stp>SECURITY_NAME</stp>
        <stp>[TREASURY.xlsx]Sheet1!R692C16</stp>
        <tr r="P692" s="1"/>
      </tp>
      <tp t="s">
        <v>T 1 3/8 06/30/23</v>
        <stp/>
        <stp>##V3_BDPV12</stp>
        <stp>912828S3 Govt</stp>
        <stp>SECURITY_NAME</stp>
        <stp>[TREASURY.xlsx]Sheet1!R305C16</stp>
        <tr r="P305" s="1"/>
      </tp>
      <tp t="s">
        <v>9128272K7</v>
        <stp/>
        <stp>##V3_BDPV12</stp>
        <stp>9128272K Govt</stp>
        <stp>ID_CUSIP</stp>
        <stp>[TREASURY.xlsx]Sheet1!R1518C19</stp>
        <tr r="S1518" s="1"/>
      </tp>
      <tp t="s">
        <v>9128272J0</v>
        <stp/>
        <stp>##V3_BDPV12</stp>
        <stp>9128272J Govt</stp>
        <stp>ID_CUSIP</stp>
        <stp>[TREASURY.xlsx]Sheet1!R1451C19</stp>
        <tr r="S1451" s="1"/>
      </tp>
      <tp t="s">
        <v>T 7 3/4 12/31/99</v>
        <stp/>
        <stp>##V3_BDPV12</stp>
        <stp>912827S4 Govt</stp>
        <stp>SECURITY_NAME</stp>
        <stp>[TREASURY.xlsx]Sheet1!R745C16</stp>
        <tr r="P745" s="1"/>
      </tp>
      <tp t="s">
        <v>9128272L5</v>
        <stp/>
        <stp>##V3_BDPV12</stp>
        <stp>9128272L Govt</stp>
        <stp>ID_CUSIP</stp>
        <stp>[TREASURY.xlsx]Sheet1!R1452C19</stp>
        <tr r="S1452" s="1"/>
      </tp>
      <tp t="s">
        <v>T 1 1/8 07/31/21</v>
        <stp/>
        <stp>##V3_BDPV12</stp>
        <stp>912828S7 Govt</stp>
        <stp>SECURITY_NAME</stp>
        <stp>[TREASURY.xlsx]Sheet1!R346C16</stp>
        <tr r="P346" s="1"/>
      </tp>
      <tp t="s">
        <v>9128272E1</v>
        <stp/>
        <stp>##V3_BDPV12</stp>
        <stp>9128272E Govt</stp>
        <stp>ID_CUSIP</stp>
        <stp>[TREASURY.xlsx]Sheet1!R1009C19</stp>
        <tr r="S1009" s="1"/>
      </tp>
      <tp t="s">
        <v>9128272F8</v>
        <stp/>
        <stp>##V3_BDPV12</stp>
        <stp>9128272F Govt</stp>
        <stp>ID_CUSIP</stp>
        <stp>[TREASURY.xlsx]Sheet1!R1351C19</stp>
        <tr r="S1351" s="1"/>
      </tp>
      <tp t="s">
        <v>9128282G4</v>
        <stp/>
        <stp>##V3_BDPV12</stp>
        <stp>9128282G Govt</stp>
        <stp>ID_CUSIP</stp>
        <stp>[TREASURY.xlsx]Sheet1!R1105C19</stp>
        <tr r="S1105" s="1"/>
      </tp>
      <tp t="s">
        <v>9128272D3</v>
        <stp/>
        <stp>##V3_BDPV12</stp>
        <stp>9128272D Govt</stp>
        <stp>ID_CUSIP</stp>
        <stp>[TREASURY.xlsx]Sheet1!R1350C19</stp>
        <tr r="S1350" s="1"/>
      </tp>
      <tp t="s">
        <v>9128272C5</v>
        <stp/>
        <stp>##V3_BDPV12</stp>
        <stp>9128272C Govt</stp>
        <stp>ID_CUSIP</stp>
        <stp>[TREASURY.xlsx]Sheet1!R1449C19</stp>
        <tr r="S1449" s="1"/>
      </tp>
      <tp t="s">
        <v>T 1 1/4 07/31/23</v>
        <stp/>
        <stp>##V3_BDPV12</stp>
        <stp>912828S9 Govt</stp>
        <stp>SECURITY_NAME</stp>
        <stp>[TREASURY.xlsx]Sheet1!R301C16</stp>
        <tr r="P301" s="1"/>
      </tp>
      <tp t="s">
        <v>T 7 1/2 01/31/97</v>
        <stp/>
        <stp>##V3_BDPV12</stp>
        <stp>912827S5 Govt</stp>
        <stp>SECURITY_NAME</stp>
        <stp>[TREASURY.xlsx]Sheet1!R831C16</stp>
        <tr r="P831" s="1"/>
      </tp>
      <tp t="s">
        <v>9128272G6</v>
        <stp/>
        <stp>##V3_BDPV12</stp>
        <stp>9128272G Govt</stp>
        <stp>ID_CUSIP</stp>
        <stp>[TREASURY.xlsx]Sheet1!R1517C19</stp>
        <tr r="S1517" s="1"/>
      </tp>
      <tp t="s">
        <v>9128272B7</v>
        <stp/>
        <stp>##V3_BDPV12</stp>
        <stp>9128272B Govt</stp>
        <stp>ID_CUSIP</stp>
        <stp>[TREASURY.xlsx]Sheet1!R1008C19</stp>
        <tr r="S1008" s="1"/>
      </tp>
      <tp t="s">
        <v>T 6 7/8 02/28/97</v>
        <stp/>
        <stp>##V3_BDPV12</stp>
        <stp>912827S9 Govt</stp>
        <stp>SECURITY_NAME</stp>
        <stp>[TREASURY.xlsx]Sheet1!R746C16</stp>
        <tr r="P746" s="1"/>
      </tp>
      <tp t="s">
        <v>9128272Y7</v>
        <stp/>
        <stp>##V3_BDPV12</stp>
        <stp>9128272Y Govt</stp>
        <stp>ID_CUSIP</stp>
        <stp>[TREASURY.xlsx]Sheet1!R1525C19</stp>
        <tr r="S1525" s="1"/>
      </tp>
      <tp t="s">
        <v>9128282Z2</v>
        <stp/>
        <stp>##V3_BDPV12</stp>
        <stp>9128282Z Govt</stp>
        <stp>ID_CUSIP</stp>
        <stp>[TREASURY.xlsx]Sheet1!R1615C19</stp>
        <tr r="S1615" s="1"/>
      </tp>
      <tp t="s">
        <v>9128272X9</v>
        <stp/>
        <stp>##V3_BDPV12</stp>
        <stp>9128272X Govt</stp>
        <stp>ID_CUSIP</stp>
        <stp>[TREASURY.xlsx]Sheet1!R1524C19</stp>
        <tr r="S1524" s="1"/>
      </tp>
      <tp t="s">
        <v>9128272P6</v>
        <stp/>
        <stp>##V3_BDPV12</stp>
        <stp>9128272P Govt</stp>
        <stp>ID_CUSIP</stp>
        <stp>[TREASURY.xlsx]Sheet1!R1519C19</stp>
        <tr r="S1519" s="1"/>
      </tp>
      <tp t="s">
        <v>9128272S0</v>
        <stp/>
        <stp>##V3_BDPV12</stp>
        <stp>9128272S Govt</stp>
        <stp>ID_CUSIP</stp>
        <stp>[TREASURY.xlsx]Sheet1!R1520C19</stp>
        <tr r="S1520" s="1"/>
      </tp>
      <tp t="s">
        <v>9128272R2</v>
        <stp/>
        <stp>##V3_BDPV12</stp>
        <stp>9128272R Govt</stp>
        <stp>ID_CUSIP</stp>
        <stp>[TREASURY.xlsx]Sheet1!R1453C19</stp>
        <tr r="S1453" s="1"/>
      </tp>
      <tp t="s">
        <v>9128272T8</v>
        <stp/>
        <stp>##V3_BDPV12</stp>
        <stp>9128272T Govt</stp>
        <stp>ID_CUSIP</stp>
        <stp>[TREASURY.xlsx]Sheet1!R1521C19</stp>
        <tr r="S1521" s="1"/>
      </tp>
      <tp t="s">
        <v>9128272U5</v>
        <stp/>
        <stp>##V3_BDPV12</stp>
        <stp>9128272U Govt</stp>
        <stp>ID_CUSIP</stp>
        <stp>[TREASURY.xlsx]Sheet1!R1454C19</stp>
        <tr r="S1454" s="1"/>
      </tp>
      <tp t="s">
        <v>9128272W1</v>
        <stp/>
        <stp>##V3_BDPV12</stp>
        <stp>9128272W Govt</stp>
        <stp>ID_CUSIP</stp>
        <stp>[TREASURY.xlsx]Sheet1!R1523C19</stp>
        <tr r="S1523" s="1"/>
      </tp>
      <tp t="s">
        <v>9128272V3</v>
        <stp/>
        <stp>##V3_BDPV12</stp>
        <stp>9128272V Govt</stp>
        <stp>ID_CUSIP</stp>
        <stp>[TREASURY.xlsx]Sheet1!R1522C19</stp>
        <tr r="S1522" s="1"/>
      </tp>
      <tp t="s">
        <v>T 0 1/4 10/31/14</v>
        <stp/>
        <stp>##V3_BDPV12</stp>
        <stp>912828TU Govt</stp>
        <stp>SECURITY_NAME</stp>
        <stp>[TREASURY.xlsx]Sheet1!R539C16</stp>
        <tr r="P539" s="1"/>
      </tp>
      <tp t="s">
        <v>UNITED STATES</v>
        <stp/>
        <stp>##V3_BDPV12</stp>
        <stp>91282CAW Govt</stp>
        <stp>COUNTRY_FULL_NAME</stp>
        <stp>[TREASURY.xlsx]Sheet1!R109C8</stp>
        <tr r="H109" s="1"/>
      </tp>
      <tp t="s">
        <v>T 6 1/2 11/15/91</v>
        <stp/>
        <stp>##V3_BDPV12</stp>
        <stp>912827TZ Govt</stp>
        <stp>SECURITY_NAME</stp>
        <stp>[TREASURY.xlsx]Sheet1!R920C16</stp>
        <tr r="P920" s="1"/>
      </tp>
      <tp t="s">
        <v>T 1 1/4 10/31/19</v>
        <stp/>
        <stp>##V3_BDPV12</stp>
        <stp>912828TV Govt</stp>
        <stp>SECURITY_NAME</stp>
        <stp>[TREASURY.xlsx]Sheet1!R498C16</stp>
        <tr r="P498" s="1"/>
      </tp>
      <tp t="s">
        <v>T 0 1/4 11/30/14</v>
        <stp/>
        <stp>##V3_BDPV12</stp>
        <stp>912828TZ Govt</stp>
        <stp>SECURITY_NAME</stp>
        <stp>[TREASURY.xlsx]Sheet1!R875C16</stp>
        <tr r="P875" s="1"/>
      </tp>
      <tp t="s">
        <v>T 7 1/2 08/15/91</v>
        <stp/>
        <stp>##V3_BDPV12</stp>
        <stp>912827TS Govt</stp>
        <stp>SECURITY_NAME</stp>
        <stp>[TREASURY.xlsx]Sheet1!R750C16</stp>
        <tr r="P750" s="1"/>
      </tp>
      <tp t="s">
        <v>T 0 3/4 10/31/17</v>
        <stp/>
        <stp>##V3_BDPV12</stp>
        <stp>912828TW Govt</stp>
        <stp>SECURITY_NAME</stp>
        <stp>[TREASURY.xlsx]Sheet1!R361C16</stp>
        <tr r="P361" s="1"/>
      </tp>
      <tp t="s">
        <v>T 0 5/8 09/30/17</v>
        <stp/>
        <stp>##V3_BDPV12</stp>
        <stp>912828TS Govt</stp>
        <stp>SECURITY_NAME</stp>
        <stp>[TREASURY.xlsx]Sheet1!R490C16</stp>
        <tr r="P490" s="1"/>
      </tp>
      <tp t="s">
        <v>T 1 09/30/19</v>
        <stp/>
        <stp>##V3_BDPV12</stp>
        <stp>912828TR Govt</stp>
        <stp>SECURITY_NAME</stp>
        <stp>[TREASURY.xlsx]Sheet1!R402C16</stp>
        <tr r="P402" s="1"/>
      </tp>
      <tp t="s">
        <v>T 0 1/4 09/15/15</v>
        <stp/>
        <stp>##V3_BDPV12</stp>
        <stp>912828TP Govt</stp>
        <stp>SECURITY_NAME</stp>
        <stp>[TREASURY.xlsx]Sheet1!R998C16</stp>
        <tr r="P998" s="1"/>
      </tp>
      <tp t="s">
        <v>T 0 1/4 09/30/14</v>
        <stp/>
        <stp>##V3_BDPV12</stp>
        <stp>912828TQ Govt</stp>
        <stp>SECURITY_NAME</stp>
        <stp>[TREASURY.xlsx]Sheet1!R874C16</stp>
        <tr r="P874" s="1"/>
      </tp>
      <tp t="s">
        <v>T 1 5/8 11/15/22</v>
        <stp/>
        <stp>##V3_BDPV12</stp>
        <stp>912828TY Govt</stp>
        <stp>SECURITY_NAME</stp>
        <stp>[TREASURY.xlsx]Sheet1!R118C16</stp>
        <tr r="P118" s="1"/>
      </tp>
      <tp t="s">
        <v>T 0 3/8 11/15/15</v>
        <stp/>
        <stp>##V3_BDPV12</stp>
        <stp>912828TX Govt</stp>
        <stp>SECURITY_NAME</stp>
        <stp>[TREASURY.xlsx]Sheet1!R467C16</stp>
        <tr r="P467" s="1"/>
      </tp>
      <tp t="s">
        <v>T 0 1/2 07/31/17</v>
        <stp/>
        <stp>##V3_BDPV12</stp>
        <stp>912828TG Govt</stp>
        <stp>SECURITY_NAME</stp>
        <stp>[TREASURY.xlsx]Sheet1!R654C16</stp>
        <tr r="P654" s="1"/>
      </tp>
      <tp t="s">
        <v>T 1 06/30/19</v>
        <stp/>
        <stp>##V3_BDPV12</stp>
        <stp>912828TC Govt</stp>
        <stp>SECURITY_NAME</stp>
        <stp>[TREASURY.xlsx]Sheet1!R385C16</stp>
        <tr r="P385" s="1"/>
      </tp>
      <tp t="s">
        <v>T 0 5/8 08/31/17</v>
        <stp/>
        <stp>##V3_BDPV12</stp>
        <stp>912828TM Govt</stp>
        <stp>SECURITY_NAME</stp>
        <stp>[TREASURY.xlsx]Sheet1!R873C16</stp>
        <tr r="P873" s="1"/>
      </tp>
      <tp t="s">
        <v>T 0 1/4 06/30/14</v>
        <stp/>
        <stp>##V3_BDPV12</stp>
        <stp>912828TA Govt</stp>
        <stp>SECURITY_NAME</stp>
        <stp>[TREASURY.xlsx]Sheet1!R520C16</stp>
        <tr r="P520" s="1"/>
      </tp>
      <tp t="s">
        <v>T 0 3/4 06/30/17</v>
        <stp/>
        <stp>##V3_BDPV12</stp>
        <stp>912828TB Govt</stp>
        <stp>SECURITY_NAME</stp>
        <stp>[TREASURY.xlsx]Sheet1!R637C16</stp>
        <tr r="P637" s="1"/>
      </tp>
      <tp t="s">
        <v>T 7 7/8 12/31/87</v>
        <stp/>
        <stp>##V3_BDPV12</stp>
        <stp>912827TA Govt</stp>
        <stp>SECURITY_NAME</stp>
        <stp>[TREASURY.xlsx]Sheet1!R834C16</stp>
        <tr r="P834" s="1"/>
      </tp>
      <tp t="s">
        <v>T 0 1/4 08/31/14</v>
        <stp/>
        <stp>##V3_BDPV12</stp>
        <stp>912828TL Govt</stp>
        <stp>SECURITY_NAME</stp>
        <stp>[TREASURY.xlsx]Sheet1!R409C16</stp>
        <tr r="P409" s="1"/>
      </tp>
      <tp t="s">
        <v>T 1 5/8 08/15/22</v>
        <stp/>
        <stp>##V3_BDPV12</stp>
        <stp>912828TJ Govt</stp>
        <stp>SECURITY_NAME</stp>
        <stp>[TREASURY.xlsx]Sheet1!R194C16</stp>
        <tr r="P194" s="1"/>
      </tp>
      <tp t="s">
        <v>T 0 7/8 07/31/19</v>
        <stp/>
        <stp>##V3_BDPV12</stp>
        <stp>912828TH Govt</stp>
        <stp>SECURITY_NAME</stp>
        <stp>[TREASURY.xlsx]Sheet1!R585C16</stp>
        <tr r="P585" s="1"/>
      </tp>
      <tp t="s">
        <v>T 0 1/4 07/15/15</v>
        <stp/>
        <stp>##V3_BDPV12</stp>
        <stp>912828TD Govt</stp>
        <stp>SECURITY_NAME</stp>
        <stp>[TREASURY.xlsx]Sheet1!R872C16</stp>
        <tr r="P872" s="1"/>
      </tp>
      <tp t="s">
        <v>T 0 1/8 07/31/14</v>
        <stp/>
        <stp>##V3_BDPV12</stp>
        <stp>912828TF Govt</stp>
        <stp>SECURITY_NAME</stp>
        <stp>[TREASURY.xlsx]Sheet1!R997C16</stp>
        <tr r="P997" s="1"/>
      </tp>
      <tp t="s">
        <v>T 0 1/4 08/15/15</v>
        <stp/>
        <stp>##V3_BDPV12</stp>
        <stp>912828TK Govt</stp>
        <stp>SECURITY_NAME</stp>
        <stp>[TREASURY.xlsx]Sheet1!R565C16</stp>
        <tr r="P565" s="1"/>
      </tp>
      <tp t="s">
        <v>US912828ZL77</v>
        <stp/>
        <stp>##V3_BDPV12</stp>
        <stp>912828ZL Govt</stp>
        <stp>ID_ISIN</stp>
        <stp>[TREASURY.xlsx]Sheet1!R66C12</stp>
        <tr r="L66" s="1"/>
      </tp>
      <tp t="s">
        <v>US91282CBL46</v>
        <stp/>
        <stp>##V3_BDPV12</stp>
        <stp>91282CBL Govt</stp>
        <stp>ID_ISIN</stp>
        <stp>[TREASURY.xlsx]Sheet1!R14C12</stp>
        <tr r="L14" s="1"/>
      </tp>
      <tp t="s">
        <v>US91282CCL37</v>
        <stp/>
        <stp>##V3_BDPV12</stp>
        <stp>91282CCL Govt</stp>
        <stp>ID_ISIN</stp>
        <stp>[TREASURY.xlsx]Sheet1!R32C12</stp>
        <tr r="L32" s="1"/>
      </tp>
      <tp t="s">
        <v>US912810SL35</v>
        <stp/>
        <stp>##V3_BDPV12</stp>
        <stp>912810SL Govt</stp>
        <stp>ID_ISIN</stp>
        <stp>[TREASURY.xlsx]Sheet1!R40C12</stp>
        <tr r="L40" s="1"/>
      </tp>
      <tp t="s">
        <v>FIXED</v>
        <stp/>
        <stp>##V3_BDPV12</stp>
        <stp>91282CCH Govt</stp>
        <stp>CPN_TYP</stp>
        <stp>[TREASURY.xlsx]Sheet1!R36C11</stp>
        <tr r="K36" s="1"/>
      </tp>
      <tp t="s">
        <v>FIXED</v>
        <stp/>
        <stp>##V3_BDPV12</stp>
        <stp>91282CBH Govt</stp>
        <stp>CPN_TYP</stp>
        <stp>[TREASURY.xlsx]Sheet1!R59C11</stp>
        <tr r="K59" s="1"/>
      </tp>
      <tp t="s">
        <v>NORMAL</v>
        <stp/>
        <stp>##V3_BDPV12</stp>
        <stp>912828Z5 Govt</stp>
        <stp>MTY_TYP</stp>
        <stp>[TREASURY.xlsx]Sheet1!R83C6</stp>
        <tr r="F83" s="1"/>
      </tp>
      <tp t="s">
        <v>NORMAL</v>
        <stp/>
        <stp>##V3_BDPV12</stp>
        <stp>912828YJ Govt</stp>
        <stp>MTY_TYP</stp>
        <stp>[TREASURY.xlsx]Sheet1!R80C6</stp>
        <tr r="F80" s="1"/>
      </tp>
      <tp t="s">
        <v>NORMAL</v>
        <stp/>
        <stp>##V3_BDPV12</stp>
        <stp>912827S9 Govt</stp>
        <stp>MTY_TYP</stp>
        <stp>[TREASURY.xlsx]Sheet1!R746C6</stp>
        <tr r="F746" s="1"/>
      </tp>
      <tp t="s">
        <v>NORMAL</v>
        <stp/>
        <stp>##V3_BDPV12</stp>
        <stp>912827M6 Govt</stp>
        <stp>MTY_TYP</stp>
        <stp>[TREASURY.xlsx]Sheet1!R719C6</stp>
        <tr r="F719" s="1"/>
      </tp>
      <tp t="s">
        <v>NORMAL</v>
        <stp/>
        <stp>##V3_BDPV12</stp>
        <stp>912828H8 Govt</stp>
        <stp>MTY_TYP</stp>
        <stp>[TREASURY.xlsx]Sheet1!R247C6</stp>
        <tr r="F247" s="1"/>
      </tp>
      <tp t="s">
        <v>NORMAL</v>
        <stp/>
        <stp>##V3_BDPV12</stp>
        <stp>912828Q7 Govt</stp>
        <stp>MTY_TYP</stp>
        <stp>[TREASURY.xlsx]Sheet1!R378C6</stp>
        <tr r="F378" s="1"/>
      </tp>
      <tp t="s">
        <v>NORMAL</v>
        <stp/>
        <stp>##V3_BDPV12</stp>
        <stp>912828V8 Govt</stp>
        <stp>MTY_TYP</stp>
        <stp>[TREASURY.xlsx]Sheet1!R307C6</stp>
        <tr r="F307" s="1"/>
      </tp>
      <tp t="s">
        <v>NORMAL</v>
        <stp/>
        <stp>##V3_BDPV12</stp>
        <stp>912828C6 Govt</stp>
        <stp>MTY_TYP</stp>
        <stp>[TREASURY.xlsx]Sheet1!R349C6</stp>
        <tr r="F349" s="1"/>
      </tp>
      <tp t="s">
        <v>9128275M0</v>
        <stp/>
        <stp>##V3_BDPV12</stp>
        <stp>9128275M Govt</stp>
        <stp>ID_CUSIP</stp>
        <stp>[TREASURY.xlsx]Sheet1!R1015C19</stp>
        <tr r="S1015" s="1"/>
      </tp>
      <tp t="s">
        <v>T 1 3/8 09/30/23</v>
        <stp/>
        <stp>##V3_BDPV12</stp>
        <stp>912828T2 Govt</stp>
        <stp>SECURITY_NAME</stp>
        <stp>[TREASURY.xlsx]Sheet1!R192C16</stp>
        <tr r="P192" s="1"/>
      </tp>
      <tp t="s">
        <v>T 1 10/15/19</v>
        <stp/>
        <stp>##V3_BDPV12</stp>
        <stp>912828T5 Govt</stp>
        <stp>SECURITY_NAME</stp>
        <stp>[TREASURY.xlsx]Sheet1!R631C16</stp>
        <tr r="P631" s="1"/>
      </tp>
      <tp t="s">
        <v>T 1 1/8 09/30/21</v>
        <stp/>
        <stp>##V3_BDPV12</stp>
        <stp>912828T3 Govt</stp>
        <stp>SECURITY_NAME</stp>
        <stp>[TREASURY.xlsx]Sheet1!R124C16</stp>
        <tr r="P124" s="1"/>
      </tp>
      <tp t="s">
        <v>9128275L2</v>
        <stp/>
        <stp>##V3_BDPV12</stp>
        <stp>9128275L Govt</stp>
        <stp>ID_CUSIP</stp>
        <stp>[TREASURY.xlsx]Sheet1!R1464C19</stp>
        <tr r="S1464" s="1"/>
      </tp>
      <tp t="s">
        <v>9128275J7</v>
        <stp/>
        <stp>##V3_BDPV12</stp>
        <stp>9128275J Govt</stp>
        <stp>ID_CUSIP</stp>
        <stp>[TREASURY.xlsx]Sheet1!R1014C19</stp>
        <tr r="S1014" s="1"/>
      </tp>
      <tp t="s">
        <v>T 1 1/4 10/31/21</v>
        <stp/>
        <stp>##V3_BDPV12</stp>
        <stp>912828T6 Govt</stp>
        <stp>SECURITY_NAME</stp>
        <stp>[TREASURY.xlsx]Sheet1!R105C16</stp>
        <tr r="P105" s="1"/>
      </tp>
      <tp t="s">
        <v>9128275H1</v>
        <stp/>
        <stp>##V3_BDPV12</stp>
        <stp>9128275H Govt</stp>
        <stp>ID_CUSIP</stp>
        <stp>[TREASURY.xlsx]Sheet1!R1370C19</stp>
        <tr r="S1370" s="1"/>
      </tp>
      <tp t="s">
        <v>9128275D0</v>
        <stp/>
        <stp>##V3_BDPV12</stp>
        <stp>9128275D Govt</stp>
        <stp>ID_CUSIP</stp>
        <stp>[TREASURY.xlsx]Sheet1!R1013C19</stp>
        <tr r="S1013" s="1"/>
      </tp>
      <tp t="s">
        <v>9128275G3</v>
        <stp/>
        <stp>##V3_BDPV12</stp>
        <stp>9128275G Govt</stp>
        <stp>ID_CUSIP</stp>
        <stp>[TREASURY.xlsx]Sheet1!R1369C19</stp>
        <tr r="S1369" s="1"/>
      </tp>
      <tp t="s">
        <v>9128275A6</v>
        <stp/>
        <stp>##V3_BDPV12</stp>
        <stp>9128275A Govt</stp>
        <stp>ID_CUSIP</stp>
        <stp>[TREASURY.xlsx]Sheet1!R1463C19</stp>
        <tr r="S1463" s="1"/>
      </tp>
      <tp t="s">
        <v>9128275C2</v>
        <stp/>
        <stp>##V3_BDPV12</stp>
        <stp>9128275C Govt</stp>
        <stp>ID_CUSIP</stp>
        <stp>[TREASURY.xlsx]Sheet1!R1535C19</stp>
        <tr r="S1535" s="1"/>
      </tp>
      <tp t="s">
        <v>T 1 5/8 10/31/23</v>
        <stp/>
        <stp>##V3_BDPV12</stp>
        <stp>912828T9 Govt</stp>
        <stp>SECURITY_NAME</stp>
        <stp>[TREASURY.xlsx]Sheet1!R215C16</stp>
        <tr r="P215" s="1"/>
      </tp>
      <tp t="s">
        <v>T 7 1/8 02/29/00</v>
        <stp/>
        <stp>##V3_BDPV12</stp>
        <stp>912827T2 Govt</stp>
        <stp>SECURITY_NAME</stp>
        <stp>[TREASURY.xlsx]Sheet1!R833C16</stp>
        <tr r="P833" s="1"/>
      </tp>
      <tp t="s">
        <v>T 6 1/2 04/30/97</v>
        <stp/>
        <stp>##V3_BDPV12</stp>
        <stp>912827T5 Govt</stp>
        <stp>SECURITY_NAME</stp>
        <stp>[TREASURY.xlsx]Sheet1!R919C16</stp>
        <tr r="P919" s="1"/>
      </tp>
      <tp t="s">
        <v>T 0 3/4 09/30/18</v>
        <stp/>
        <stp>##V3_BDPV12</stp>
        <stp>912828T4 Govt</stp>
        <stp>SECURITY_NAME</stp>
        <stp>[TREASURY.xlsx]Sheet1!R871C16</stp>
        <tr r="P871" s="1"/>
      </tp>
      <tp t="s">
        <v>9128275P3</v>
        <stp/>
        <stp>##V3_BDPV12</stp>
        <stp>9128275P Govt</stp>
        <stp>ID_CUSIP</stp>
        <stp>[TREASURY.xlsx]Sheet1!R1016C19</stp>
        <tr r="S1016" s="1"/>
      </tp>
      <tp t="s">
        <v>9128275Q1</v>
        <stp/>
        <stp>##V3_BDPV12</stp>
        <stp>9128275Q Govt</stp>
        <stp>ID_CUSIP</stp>
        <stp>[TREASURY.xlsx]Sheet1!R1017C19</stp>
        <tr r="S1017" s="1"/>
      </tp>
      <tp t="s">
        <v>9128275R9</v>
        <stp/>
        <stp>##V3_BDPV12</stp>
        <stp>9128275R Govt</stp>
        <stp>ID_CUSIP</stp>
        <stp>[TREASURY.xlsx]Sheet1!R1018C19</stp>
        <tr r="S1018" s="1"/>
      </tp>
      <tp t="s">
        <v>9128275S7</v>
        <stp/>
        <stp>##V3_BDPV12</stp>
        <stp>9128275S Govt</stp>
        <stp>ID_CUSIP</stp>
        <stp>[TREASURY.xlsx]Sheet1!R1019C19</stp>
        <tr r="S1019" s="1"/>
      </tp>
      <tp t="s">
        <v>T 0 1/4 03/31/15</v>
        <stp/>
        <stp>##V3_BDPV12</stp>
        <stp>912828UT Govt</stp>
        <stp>SECURITY_NAME</stp>
        <stp>[TREASURY.xlsx]Sheet1!R552C16</stp>
        <tr r="P552" s="1"/>
      </tp>
      <tp t="s">
        <v>T 1 1/8 03/31/20</v>
        <stp/>
        <stp>##V3_BDPV12</stp>
        <stp>912828UV Govt</stp>
        <stp>SECURITY_NAME</stp>
        <stp>[TREASURY.xlsx]Sheet1!R693C16</stp>
        <tr r="P693" s="1"/>
      </tp>
      <tp t="s">
        <v>T 7 04/15/94</v>
        <stp/>
        <stp>##V3_BDPV12</stp>
        <stp>912827UT Govt</stp>
        <stp>SECURITY_NAME</stp>
        <stp>[TREASURY.xlsx]Sheet1!R756C16</stp>
        <tr r="P756" s="1"/>
      </tp>
      <tp t="s">
        <v>T 8 1/2 05/15/97</v>
        <stp/>
        <stp>##V3_BDPV12</stp>
        <stp>912827UW Govt</stp>
        <stp>SECURITY_NAME</stp>
        <stp>[TREASURY.xlsx]Sheet1!R460C16</stp>
        <tr r="P460" s="1"/>
      </tp>
      <tp t="s">
        <v>T 1 1/4 02/29/20</v>
        <stp/>
        <stp>##V3_BDPV12</stp>
        <stp>912828UQ Govt</stp>
        <stp>SECURITY_NAME</stp>
        <stp>[TREASURY.xlsx]Sheet1!R421C16</stp>
        <tr r="P421" s="1"/>
      </tp>
      <tp t="s">
        <v>T 7 7/8 05/15/90</v>
        <stp/>
        <stp>##V3_BDPV12</stp>
        <stp>912827UV Govt</stp>
        <stp>SECURITY_NAME</stp>
        <stp>[TREASURY.xlsx]Sheet1!R922C16</stp>
        <tr r="P922" s="1"/>
      </tp>
      <tp t="s">
        <v>T 0 5/8 04/30/18</v>
        <stp/>
        <stp>##V3_BDPV12</stp>
        <stp>912828UZ Govt</stp>
        <stp>SECURITY_NAME</stp>
        <stp>[TREASURY.xlsx]Sheet1!R445C16</stp>
        <tr r="P445" s="1"/>
      </tp>
      <tp t="s">
        <v>T 0 1/8 12/31/14</v>
        <stp/>
        <stp>##V3_BDPV12</stp>
        <stp>912828UD Govt</stp>
        <stp>SECURITY_NAME</stp>
        <stp>[TREASURY.xlsx]Sheet1!R586C16</stp>
        <tr r="P586" s="1"/>
      </tp>
      <tp t="s">
        <v>T 0 3/4 12/31/17</v>
        <stp/>
        <stp>##V3_BDPV12</stp>
        <stp>912828UE Govt</stp>
        <stp>SECURITY_NAME</stp>
        <stp>[TREASURY.xlsx]Sheet1!R446C16</stp>
        <tr r="P446" s="1"/>
      </tp>
      <tp t="s">
        <v>T 1 1/8 12/31/19</v>
        <stp/>
        <stp>##V3_BDPV12</stp>
        <stp>912828UF Govt</stp>
        <stp>SECURITY_NAME</stp>
        <stp>[TREASURY.xlsx]Sheet1!R671C16</stp>
        <tr r="P671" s="1"/>
      </tp>
      <tp t="s">
        <v>T 0 7/8 01/31/18</v>
        <stp/>
        <stp>##V3_BDPV12</stp>
        <stp>912828UJ Govt</stp>
        <stp>SECURITY_NAME</stp>
        <stp>[TREASURY.xlsx]Sheet1!R999C16</stp>
        <tr r="P999" s="1"/>
      </tp>
      <tp t="s">
        <v>T 0 5/8 11/30/17</v>
        <stp/>
        <stp>##V3_BDPV12</stp>
        <stp>912828UA Govt</stp>
        <stp>SECURITY_NAME</stp>
        <stp>[TREASURY.xlsx]Sheet1!R387C16</stp>
        <tr r="P387" s="1"/>
      </tp>
      <tp t="s">
        <v>T 6 3/4 09/30/90</v>
        <stp/>
        <stp>##V3_BDPV12</stp>
        <stp>912827UB Govt</stp>
        <stp>SECURITY_NAME</stp>
        <stp>[TREASURY.xlsx]Sheet1!R753C16</stp>
        <tr r="P753" s="1"/>
      </tp>
      <tp t="s">
        <v>T 6 3/8 10/31/88</v>
        <stp/>
        <stp>##V3_BDPV12</stp>
        <stp>912827UC Govt</stp>
        <stp>SECURITY_NAME</stp>
        <stp>[TREASURY.xlsx]Sheet1!R754C16</stp>
        <tr r="P754" s="1"/>
      </tp>
      <tp t="s">
        <v>T 1 11/30/19</v>
        <stp/>
        <stp>##V3_BDPV12</stp>
        <stp>912828UB Govt</stp>
        <stp>SECURITY_NAME</stp>
        <stp>[TREASURY.xlsx]Sheet1!R540C16</stp>
        <tr r="P540" s="1"/>
      </tp>
      <tp t="s">
        <v>T 6 3/8 09/30/88</v>
        <stp/>
        <stp>##V3_BDPV12</stp>
        <stp>912827UA Govt</stp>
        <stp>SECURITY_NAME</stp>
        <stp>[TREASURY.xlsx]Sheet1!R836C16</stp>
        <tr r="P836" s="1"/>
      </tp>
      <tp t="s">
        <v>T 0 3/8 02/15/16</v>
        <stp/>
        <stp>##V3_BDPV12</stp>
        <stp>912828UM Govt</stp>
        <stp>SECURITY_NAME</stp>
        <stp>[TREASURY.xlsx]Sheet1!R472C16</stp>
        <tr r="P472" s="1"/>
      </tp>
      <tp t="s">
        <v>T 6 1/4 12/31/88</v>
        <stp/>
        <stp>##V3_BDPV12</stp>
        <stp>912827UJ Govt</stp>
        <stp>SECURITY_NAME</stp>
        <stp>[TREASURY.xlsx]Sheet1!R755C16</stp>
        <tr r="P755" s="1"/>
      </tp>
      <tp t="s">
        <v>T 2 02/15/23</v>
        <stp/>
        <stp>##V3_BDPV12</stp>
        <stp>912828UN Govt</stp>
        <stp>SECURITY_NAME</stp>
        <stp>[TREASURY.xlsx]Sheet1!R147C16</stp>
        <tr r="P147" s="1"/>
      </tp>
      <tp t="s">
        <v>US9128285M81</v>
        <stp/>
        <stp>##V3_BDPV12</stp>
        <stp>9128285M Govt</stp>
        <stp>ID_ISIN</stp>
        <stp>[TREASURY.xlsx]Sheet1!R51C12</stp>
        <tr r="L51" s="1"/>
      </tp>
      <tp t="s">
        <v>US91282CAM38</v>
        <stp/>
        <stp>##V3_BDPV12</stp>
        <stp>91282CAM Govt</stp>
        <stp>ID_ISIN</stp>
        <stp>[TREASURY.xlsx]Sheet1!R42C12</stp>
        <tr r="L42" s="1"/>
      </tp>
      <tp t="s">
        <v>NORMAL</v>
        <stp/>
        <stp>##V3_BDPV12</stp>
        <stp>91282CCS Govt</stp>
        <stp>MTY_TYP</stp>
        <stp>[TREASURY.xlsx]Sheet1!R2C6</stp>
        <tr r="F2" s="1"/>
      </tp>
      <tp t="s">
        <v>5/15/2018</v>
        <stp/>
        <stp>##V3_BDPV12</stp>
        <stp>912810SC Govt</stp>
        <stp>ISSUE_DT</stp>
        <stp>[TREASURY.xlsx]Sheet1!R243C15</stp>
        <tr r="O243" s="1"/>
      </tp>
      <tp t="s">
        <v>11/16/2015</v>
        <stp/>
        <stp>##V3_BDPV12</stp>
        <stp>912810RP Govt</stp>
        <stp>ISSUE_DT</stp>
        <stp>[TREASURY.xlsx]Sheet1!R278C15</stp>
        <tr r="O278" s="1"/>
      </tp>
      <tp t="s">
        <v>11/15/2017</v>
        <stp/>
        <stp>##V3_BDPV12</stp>
        <stp>912810RZ Govt</stp>
        <stp>ISSUE_DT</stp>
        <stp>[TREASURY.xlsx]Sheet1!R273C15</stp>
        <tr r="O273" s="1"/>
      </tp>
      <tp t="s">
        <v>8/17/2015</v>
        <stp/>
        <stp>##V3_BDPV12</stp>
        <stp>912810RN Govt</stp>
        <stp>ISSUE_DT</stp>
        <stp>[TREASURY.xlsx]Sheet1!R293C15</stp>
        <tr r="O293" s="1"/>
      </tp>
      <tp t="s">
        <v>11/15/2013</v>
        <stp/>
        <stp>##V3_BDPV12</stp>
        <stp>912810RD Govt</stp>
        <stp>ISSUE_DT</stp>
        <stp>[TREASURY.xlsx]Sheet1!R235C15</stp>
        <tr r="O235" s="1"/>
      </tp>
      <tp t="s">
        <v>8/15/2013</v>
        <stp/>
        <stp>##V3_BDPV12</stp>
        <stp>912810RC Govt</stp>
        <stp>ISSUE_DT</stp>
        <stp>[TREASURY.xlsx]Sheet1!R263C15</stp>
        <tr r="O263" s="1"/>
      </tp>
      <tp t="s">
        <v>5/15/2013</v>
        <stp/>
        <stp>##V3_BDPV12</stp>
        <stp>912810RB Govt</stp>
        <stp>ISSUE_DT</stp>
        <stp>[TREASURY.xlsx]Sheet1!R269C15</stp>
        <tr r="O269" s="1"/>
      </tp>
      <tp t="s">
        <v>5/15/2014</v>
        <stp/>
        <stp>##V3_BDPV12</stp>
        <stp>912810RG Govt</stp>
        <stp>ISSUE_DT</stp>
        <stp>[TREASURY.xlsx]Sheet1!R284C15</stp>
        <tr r="O284" s="1"/>
      </tp>
      <tp t="s">
        <v>8/15/2014</v>
        <stp/>
        <stp>##V3_BDPV12</stp>
        <stp>912810RH Govt</stp>
        <stp>ISSUE_DT</stp>
        <stp>[TREASURY.xlsx]Sheet1!R259C15</stp>
        <tr r="O259" s="1"/>
      </tp>
      <tp t="s">
        <v>2/18/2014</v>
        <stp/>
        <stp>##V3_BDPV12</stp>
        <stp>912810RE Govt</stp>
        <stp>ISSUE_DT</stp>
        <stp>[TREASURY.xlsx]Sheet1!R295C15</stp>
        <tr r="O295" s="1"/>
      </tp>
      <tp t="s">
        <v>5/15/2017</v>
        <stp/>
        <stp>##V3_BDPV12</stp>
        <stp>912810RX Govt</stp>
        <stp>ISSUE_DT</stp>
        <stp>[TREASURY.xlsx]Sheet1!R197C15</stp>
        <tr r="O197" s="1"/>
      </tp>
      <tp t="s">
        <v>8/15/2017</v>
        <stp/>
        <stp>##V3_BDPV12</stp>
        <stp>912810RY Govt</stp>
        <stp>ISSUE_DT</stp>
        <stp>[TREASURY.xlsx]Sheet1!R191C15</stp>
        <tr r="O191" s="1"/>
      </tp>
      <tp t="s">
        <v>11/15/2016</v>
        <stp/>
        <stp>##V3_BDPV12</stp>
        <stp>912810RU Govt</stp>
        <stp>ISSUE_DT</stp>
        <stp>[TREASURY.xlsx]Sheet1!R154C15</stp>
        <tr r="O154" s="1"/>
      </tp>
      <tp t="s">
        <v>11/15/2011</v>
        <stp/>
        <stp>##V3_BDPV12</stp>
        <stp>912810QT Govt</stp>
        <stp>ISSUE_DT</stp>
        <stp>[TREASURY.xlsx]Sheet1!R237C15</stp>
        <tr r="O237" s="1"/>
      </tp>
      <tp t="s">
        <v>2/16/2016</v>
        <stp/>
        <stp>##V3_BDPV12</stp>
        <stp>912810RQ Govt</stp>
        <stp>ISSUE_DT</stp>
        <stp>[TREASURY.xlsx]Sheet1!R172C15</stp>
        <tr r="O172" s="1"/>
      </tp>
      <tp t="s">
        <v>5/16/2016</v>
        <stp/>
        <stp>##V3_BDPV12</stp>
        <stp>912810RS Govt</stp>
        <stp>ISSUE_DT</stp>
        <stp>[TREASURY.xlsx]Sheet1!R163C15</stp>
        <tr r="O163" s="1"/>
      </tp>
      <tp t="s">
        <v>8/15/2012</v>
        <stp/>
        <stp>##V3_BDPV12</stp>
        <stp>912810QX Govt</stp>
        <stp>ISSUE_DT</stp>
        <stp>[TREASURY.xlsx]Sheet1!R275C15</stp>
        <tr r="O275" s="1"/>
      </tp>
      <tp t="s">
        <v>5/15/2012</v>
        <stp/>
        <stp>##V3_BDPV12</stp>
        <stp>912810QW Govt</stp>
        <stp>ISSUE_DT</stp>
        <stp>[TREASURY.xlsx]Sheet1!R286C15</stp>
        <tr r="O286" s="1"/>
      </tp>
      <tp t="s">
        <v>11/15/2012</v>
        <stp/>
        <stp>##V3_BDPV12</stp>
        <stp>912810QY Govt</stp>
        <stp>ISSUE_DT</stp>
        <stp>[TREASURY.xlsx]Sheet1!R270C15</stp>
        <tr r="O270" s="1"/>
      </tp>
      <tp t="s">
        <v>2/15/2012</v>
        <stp/>
        <stp>##V3_BDPV12</stp>
        <stp>912810QU Govt</stp>
        <stp>ISSUE_DT</stp>
        <stp>[TREASURY.xlsx]Sheet1!R287C15</stp>
        <tr r="O287" s="1"/>
      </tp>
      <tp t="s">
        <v>11/17/2014</v>
        <stp/>
        <stp>##V3_BDPV12</stp>
        <stp>912810RJ Govt</stp>
        <stp>ISSUE_DT</stp>
        <stp>[TREASURY.xlsx]Sheet1!R180C15</stp>
        <tr r="O180" s="1"/>
      </tp>
      <tp t="s">
        <v>2/15/2011</v>
        <stp/>
        <stp>##V3_BDPV12</stp>
        <stp>912810QN Govt</stp>
        <stp>ISSUE_DT</stp>
        <stp>[TREASURY.xlsx]Sheet1!R291C15</stp>
        <tr r="O291" s="1"/>
      </tp>
      <tp t="s">
        <v>5/15/2009</v>
        <stp/>
        <stp>##V3_BDPV12</stp>
        <stp>912810QB Govt</stp>
        <stp>ISSUE_DT</stp>
        <stp>[TREASURY.xlsx]Sheet1!R274C15</stp>
        <tr r="O274" s="1"/>
      </tp>
      <tp t="s">
        <v>2/17/2015</v>
        <stp/>
        <stp>##V3_BDPV12</stp>
        <stp>912810RK Govt</stp>
        <stp>ISSUE_DT</stp>
        <stp>[TREASURY.xlsx]Sheet1!R103C15</stp>
        <tr r="O103" s="1"/>
      </tp>
      <tp t="s">
        <v>5/15/2015</v>
        <stp/>
        <stp>##V3_BDPV12</stp>
        <stp>912810RM Govt</stp>
        <stp>ISSUE_DT</stp>
        <stp>[TREASURY.xlsx]Sheet1!R176C15</stp>
        <tr r="O176" s="1"/>
      </tp>
      <tp t="s">
        <v>2/17/2009</v>
        <stp/>
        <stp>##V3_BDPV12</stp>
        <stp>912810QA Govt</stp>
        <stp>ISSUE_DT</stp>
        <stp>[TREASURY.xlsx]Sheet1!R280C15</stp>
        <tr r="O280" s="1"/>
      </tp>
      <tp t="s">
        <v>8/16/2010</v>
        <stp/>
        <stp>##V3_BDPV12</stp>
        <stp>912810QK Govt</stp>
        <stp>ISSUE_DT</stp>
        <stp>[TREASURY.xlsx]Sheet1!R238C15</stp>
        <tr r="O238" s="1"/>
      </tp>
      <tp t="s">
        <v>8/15/2011</v>
        <stp/>
        <stp>##V3_BDPV12</stp>
        <stp>912810QS Govt</stp>
        <stp>ISSUE_DT</stp>
        <stp>[TREASURY.xlsx]Sheet1!R303C15</stp>
        <tr r="O303" s="1"/>
      </tp>
      <tp t="s">
        <v>6/1/2020</v>
        <stp/>
        <stp>##V3_BDPV12</stp>
        <stp>912810SR Govt</stp>
        <stp>ISSUE_DT</stp>
        <stp>[TREASURY.xlsx]Sheet1!R100C15</stp>
        <tr r="O100" s="1"/>
      </tp>
      <tp t="s">
        <v>8/15/2008</v>
        <stp/>
        <stp>##V3_BDPV12</stp>
        <stp>912810PX Govt</stp>
        <stp>ISSUE_DT</stp>
        <stp>[TREASURY.xlsx]Sheet1!R282C15</stp>
        <tr r="O282" s="1"/>
      </tp>
      <tp t="s">
        <v>5/16/2011</v>
        <stp/>
        <stp>##V3_BDPV12</stp>
        <stp>912810QQ Govt</stp>
        <stp>ISSUE_DT</stp>
        <stp>[TREASURY.xlsx]Sheet1!R315C15</stp>
        <tr r="O315" s="1"/>
      </tp>
      <tp t="s">
        <v>2/15/2007</v>
        <stp/>
        <stp>##V3_BDPV12</stp>
        <stp>912810PT Govt</stp>
        <stp>ISSUE_DT</stp>
        <stp>[TREASURY.xlsx]Sheet1!R226C15</stp>
        <tr r="O226" s="1"/>
      </tp>
      <tp t="s">
        <v>2/15/2013</v>
        <stp/>
        <stp>##V3_BDPV12</stp>
        <stp>912810QZ Govt</stp>
        <stp>ISSUE_DT</stp>
        <stp>[TREASURY.xlsx]Sheet1!R310C15</stp>
        <tr r="O310" s="1"/>
      </tp>
      <tp t="s">
        <v>2/15/2008</v>
        <stp/>
        <stp>##V3_BDPV12</stp>
        <stp>912810PW Govt</stp>
        <stp>ISSUE_DT</stp>
        <stp>[TREASURY.xlsx]Sheet1!R289C15</stp>
        <tr r="O289" s="1"/>
      </tp>
      <tp t="s">
        <v>8/17/2009</v>
        <stp/>
        <stp>##V3_BDPV12</stp>
        <stp>912810QC Govt</stp>
        <stp>ISSUE_DT</stp>
        <stp>[TREASURY.xlsx]Sheet1!R318C15</stp>
        <tr r="O318" s="1"/>
      </tp>
      <tp t="s">
        <v>2/15/2019</v>
        <stp/>
        <stp>##V3_BDPV12</stp>
        <stp>912810SF Govt</stp>
        <stp>ISSUE_DT</stp>
        <stp>[TREASURY.xlsx]Sheet1!R177C15</stp>
        <tr r="O177" s="1"/>
      </tp>
      <tp t="s">
        <v>11/15/2018</v>
        <stp/>
        <stp>##V3_BDPV12</stp>
        <stp>912810SE Govt</stp>
        <stp>ISSUE_DT</stp>
        <stp>[TREASURY.xlsx]Sheet1!R152C15</stp>
        <tr r="O152" s="1"/>
      </tp>
      <tp t="s">
        <v>11/16/2009</v>
        <stp/>
        <stp>##V3_BDPV12</stp>
        <stp>912810QD Govt</stp>
        <stp>ISSUE_DT</stp>
        <stp>[TREASURY.xlsx]Sheet1!R311C15</stp>
        <tr r="O311" s="1"/>
      </tp>
      <tp t="s">
        <v>2/16/2010</v>
        <stp/>
        <stp>##V3_BDPV12</stp>
        <stp>912810QE Govt</stp>
        <stp>ISSUE_DT</stp>
        <stp>[TREASURY.xlsx]Sheet1!R302C15</stp>
        <tr r="O302" s="1"/>
      </tp>
      <tp t="s">
        <v>2/15/2018</v>
        <stp/>
        <stp>##V3_BDPV12</stp>
        <stp>912810SA Govt</stp>
        <stp>ISSUE_DT</stp>
        <stp>[TREASURY.xlsx]Sheet1!R146C15</stp>
        <tr r="O146" s="1"/>
      </tp>
      <tp t="s">
        <v>5/17/2010</v>
        <stp/>
        <stp>##V3_BDPV12</stp>
        <stp>912810QH Govt</stp>
        <stp>ISSUE_DT</stp>
        <stp>[TREASURY.xlsx]Sheet1!R316C15</stp>
        <tr r="O316" s="1"/>
      </tp>
      <tp t="s">
        <v>11/15/2010</v>
        <stp/>
        <stp>##V3_BDPV12</stp>
        <stp>912810QL Govt</stp>
        <stp>ISSUE_DT</stp>
        <stp>[TREASURY.xlsx]Sheet1!R321C15</stp>
        <tr r="O321" s="1"/>
      </tp>
      <tp t="s">
        <v>5/15/2019</v>
        <stp/>
        <stp>##V3_BDPV12</stp>
        <stp>912810SH Govt</stp>
        <stp>ISSUE_DT</stp>
        <stp>[TREASURY.xlsx]Sheet1!R156C15</stp>
        <tr r="O156" s="1"/>
      </tp>
      <tp t="s">
        <v>8/15/2018</v>
        <stp/>
        <stp>##V3_BDPV12</stp>
        <stp>912810SD Govt</stp>
        <stp>ISSUE_DT</stp>
        <stp>[TREASURY.xlsx]Sheet1!R181C15</stp>
        <tr r="O181" s="1"/>
      </tp>
      <tp t="s">
        <v>8/15/2026</v>
        <stp/>
        <stp>##V3_BDPV12</stp>
        <stp>9128282A Govt</stp>
        <stp>MATURITY</stp>
        <stp>[TREASURY.xlsx]Sheet1!R56C5</stp>
        <tr r="E56" s="1"/>
      </tp>
      <tp t="s">
        <v>2/28/2025</v>
        <stp/>
        <stp>##V3_BDPV12</stp>
        <stp>912828ZC Govt</stp>
        <stp>MATURITY</stp>
        <stp>[TREASURY.xlsx]Sheet1!R74C5</stp>
        <tr r="E74" s="1"/>
      </tp>
      <tp t="s">
        <v>3/31/2025</v>
        <stp/>
        <stp>##V3_BDPV12</stp>
        <stp>912828ZF Govt</stp>
        <stp>MATURITY</stp>
        <stp>[TREASURY.xlsx]Sheet1!R61C5</stp>
        <tr r="E61" s="1"/>
      </tp>
      <tp t="s">
        <v>NORMAL</v>
        <stp/>
        <stp>##V3_BDPV12</stp>
        <stp>912827N6 Govt</stp>
        <stp>MTY_TYP</stp>
        <stp>[TREASURY.xlsx]Sheet1!R728C6</stp>
        <tr r="F728" s="1"/>
      </tp>
      <tp t="s">
        <v>NORMAL</v>
        <stp/>
        <stp>##V3_BDPV12</stp>
        <stp>912828R9 Govt</stp>
        <stp>MTY_TYP</stp>
        <stp>[TREASURY.xlsx]Sheet1!R437C6</stp>
        <tr r="F437" s="1"/>
      </tp>
      <tp t="s">
        <v>NORMAL</v>
        <stp/>
        <stp>##V3_BDPV12</stp>
        <stp>912828Y9 Govt</stp>
        <stp>MTY_TYP</stp>
        <stp>[TREASURY.xlsx]Sheet1!R157C6</stp>
        <tr r="F157" s="1"/>
      </tp>
      <tp t="s">
        <v>NORMAL</v>
        <stp/>
        <stp>##V3_BDPV12</stp>
        <stp>912828Z7 Govt</stp>
        <stp>MTY_TYP</stp>
        <stp>[TREASURY.xlsx]Sheet1!R169C6</stp>
        <tr r="F169" s="1"/>
      </tp>
      <tp t="s">
        <v>NORMAL</v>
        <stp/>
        <stp>##V3_BDPV12</stp>
        <stp>912828V9 Govt</stp>
        <stp>MTY_TYP</stp>
        <stp>[TREASURY.xlsx]Sheet1!R127C6</stp>
        <tr r="F127" s="1"/>
      </tp>
      <tp t="s">
        <v>NORMAL</v>
        <stp/>
        <stp>##V3_BDPV12</stp>
        <stp>912828Z8 Govt</stp>
        <stp>MTY_TYP</stp>
        <stp>[TREASURY.xlsx]Sheet1!R236C6</stp>
        <tr r="F236" s="1"/>
      </tp>
      <tp t="s">
        <v>NORMAL</v>
        <stp/>
        <stp>##V3_BDPV12</stp>
        <stp>912828P7 Govt</stp>
        <stp>MTY_TYP</stp>
        <stp>[TREASURY.xlsx]Sheet1!R309C6</stp>
        <tr r="F309" s="1"/>
      </tp>
      <tp t="s">
        <v>NORMAL</v>
        <stp/>
        <stp>##V3_BDPV12</stp>
        <stp>912828ZG Govt</stp>
        <stp>MTY_TYP</stp>
        <stp>[TREASURY.xlsx]Sheet1!R62C6</stp>
        <tr r="F62" s="1"/>
      </tp>
      <tp t="s">
        <v>2/18/1986</v>
        <stp/>
        <stp>##V3_BDPV12</stp>
        <stp>912810DV Govt</stp>
        <stp>ISSUE_DT</stp>
        <stp>[TREASURY.xlsx]Sheet1!R527C15</stp>
        <tr r="O527" s="1"/>
      </tp>
      <tp t="s">
        <v>9/29/1982</v>
        <stp/>
        <stp>##V3_BDPV12</stp>
        <stp>912810DA Govt</stp>
        <stp>ISSUE_DT</stp>
        <stp>[TREASURY.xlsx]Sheet1!R529C15</stp>
        <tr r="O529" s="1"/>
      </tp>
      <tp t="s">
        <v>2/15/1991</v>
        <stp/>
        <stp>##V3_BDPV12</stp>
        <stp>912810EH Govt</stp>
        <stp>ISSUE_DT</stp>
        <stp>[TREASURY.xlsx]Sheet1!R400C15</stp>
        <tr r="O400" s="1"/>
      </tp>
      <tp t="s">
        <v>1/15/1986</v>
        <stp/>
        <stp>##V3_BDPV12</stp>
        <stp>912810DU Govt</stp>
        <stp>ISSUE_DT</stp>
        <stp>[TREASURY.xlsx]Sheet1!R432C15</stp>
        <tr r="O432" s="1"/>
      </tp>
      <tp t="s">
        <v>8/15/1985</v>
        <stp/>
        <stp>##V3_BDPV12</stp>
        <stp>912810DS Govt</stp>
        <stp>ISSUE_DT</stp>
        <stp>[TREASURY.xlsx]Sheet1!R454C15</stp>
        <tr r="O454" s="1"/>
      </tp>
      <tp t="s">
        <v>11/17/1986</v>
        <stp/>
        <stp>##V3_BDPV12</stp>
        <stp>912810DX Govt</stp>
        <stp>ISSUE_DT</stp>
        <stp>[TREASURY.xlsx]Sheet1!R461C15</stp>
        <tr r="O461" s="1"/>
      </tp>
      <tp t="s">
        <v>2/15/1990</v>
        <stp/>
        <stp>##V3_BDPV12</stp>
        <stp>912810EE Govt</stp>
        <stp>ISSUE_DT</stp>
        <stp>[TREASURY.xlsx]Sheet1!R503C15</stp>
        <tr r="O503" s="1"/>
      </tp>
      <tp t="s">
        <v>5/15/1991</v>
        <stp/>
        <stp>##V3_BDPV12</stp>
        <stp>912810EJ Govt</stp>
        <stp>ISSUE_DT</stp>
        <stp>[TREASURY.xlsx]Sheet1!R521C15</stp>
        <tr r="O521" s="1"/>
      </tp>
      <tp t="s">
        <v>2/15/1989</v>
        <stp/>
        <stp>##V3_BDPV12</stp>
        <stp>912810EC Govt</stp>
        <stp>ISSUE_DT</stp>
        <stp>[TREASURY.xlsx]Sheet1!R612C15</stp>
        <tr r="O612" s="1"/>
      </tp>
      <tp t="s">
        <v>8/15/1989</v>
        <stp/>
        <stp>##V3_BDPV12</stp>
        <stp>912810ED Govt</stp>
        <stp>ISSUE_DT</stp>
        <stp>[TREASURY.xlsx]Sheet1!R664C15</stp>
        <tr r="O664" s="1"/>
      </tp>
      <tp t="s">
        <v>5/15/1990</v>
        <stp/>
        <stp>##V3_BDPV12</stp>
        <stp>912810EF Govt</stp>
        <stp>ISSUE_DT</stp>
        <stp>[TREASURY.xlsx]Sheet1!R606C15</stp>
        <tr r="O606" s="1"/>
      </tp>
      <tp t="s">
        <v>8/17/1987</v>
        <stp/>
        <stp>##V3_BDPV12</stp>
        <stp>912810DZ Govt</stp>
        <stp>ISSUE_DT</stp>
        <stp>[TREASURY.xlsx]Sheet1!R699C15</stp>
        <tr r="O699" s="1"/>
      </tp>
      <tp t="s">
        <v>5/15/1986</v>
        <stp/>
        <stp>##V3_BDPV12</stp>
        <stp>912810DW Govt</stp>
        <stp>ISSUE_DT</stp>
        <stp>[TREASURY.xlsx]Sheet1!R609C15</stp>
        <tr r="O609" s="1"/>
      </tp>
      <tp t="s">
        <v>2/15/1985</v>
        <stp/>
        <stp>##V3_BDPV12</stp>
        <stp>912810DP Govt</stp>
        <stp>ISSUE_DT</stp>
        <stp>[TREASURY.xlsx]Sheet1!R698C15</stp>
        <tr r="O698" s="1"/>
      </tp>
      <tp t="s">
        <v>10/30/1984</v>
        <stp/>
        <stp>##V3_BDPV12</stp>
        <stp>912810DM Govt</stp>
        <stp>ISSUE_DT</stp>
        <stp>[TREASURY.xlsx]Sheet1!R697C15</stp>
        <tr r="O697" s="1"/>
      </tp>
      <tp t="s">
        <v>11/17/1980</v>
        <stp/>
        <stp>##V3_BDPV12</stp>
        <stp>912810CS Govt</stp>
        <stp>ISSUE_DT</stp>
        <stp>[TREASURY.xlsx]Sheet1!R660C15</stp>
        <tr r="O660" s="1"/>
      </tp>
      <tp t="s">
        <v>10/7/1981</v>
        <stp/>
        <stp>##V3_BDPV12</stp>
        <stp>912810CX Govt</stp>
        <stp>ISSUE_DT</stp>
        <stp>[TREASURY.xlsx]Sheet1!R661C15</stp>
        <tr r="O661" s="1"/>
      </tp>
      <tp t="s">
        <v>11/17/1997</v>
        <stp/>
        <stp>##V3_BDPV12</stp>
        <stp>912810FB Govt</stp>
        <stp>ISSUE_DT</stp>
        <stp>[TREASURY.xlsx]Sheet1!R320C15</stp>
        <tr r="O320" s="1"/>
      </tp>
      <tp t="s">
        <v>8/15/1997</v>
        <stp/>
        <stp>##V3_BDPV12</stp>
        <stp>912810FA Govt</stp>
        <stp>ISSUE_DT</stp>
        <stp>[TREASURY.xlsx]Sheet1!R314C15</stp>
        <tr r="O314" s="1"/>
      </tp>
      <tp t="s">
        <v>8/17/1998</v>
        <stp/>
        <stp>##V3_BDPV12</stp>
        <stp>912810FE Govt</stp>
        <stp>ISSUE_DT</stp>
        <stp>[TREASURY.xlsx]Sheet1!R253C15</stp>
        <tr r="O253" s="1"/>
      </tp>
      <tp t="s">
        <v>2/16/1999</v>
        <stp/>
        <stp>##V3_BDPV12</stp>
        <stp>912810FG Govt</stp>
        <stp>ISSUE_DT</stp>
        <stp>[TREASURY.xlsx]Sheet1!R223C15</stp>
        <tr r="O223" s="1"/>
      </tp>
      <tp t="s">
        <v>11/16/1998</v>
        <stp/>
        <stp>##V3_BDPV12</stp>
        <stp>912810FF Govt</stp>
        <stp>ISSUE_DT</stp>
        <stp>[TREASURY.xlsx]Sheet1!R292C15</stp>
        <tr r="O292" s="1"/>
      </tp>
      <tp t="s">
        <v>8/16/1999</v>
        <stp/>
        <stp>##V3_BDPV12</stp>
        <stp>912810FJ Govt</stp>
        <stp>ISSUE_DT</stp>
        <stp>[TREASURY.xlsx]Sheet1!R267C15</stp>
        <tr r="O267" s="1"/>
      </tp>
      <tp t="s">
        <v>5/15/1980</v>
        <stp/>
        <stp>##V3_BDPV12</stp>
        <stp>912810CP Govt</stp>
        <stp>ISSUE_DT</stp>
        <stp>[TREASURY.xlsx]Sheet1!R405C15</stp>
        <tr r="O405" s="1"/>
      </tp>
      <tp t="s">
        <v>2/15/1996</v>
        <stp/>
        <stp>##V3_BDPV12</stp>
        <stp>912810EW Govt</stp>
        <stp>ISSUE_DT</stp>
        <stp>[TREASURY.xlsx]Sheet1!R277C15</stp>
        <tr r="O277" s="1"/>
      </tp>
      <tp t="s">
        <v>11/16/1981</v>
        <stp/>
        <stp>##V3_BDPV12</stp>
        <stp>912810CY Govt</stp>
        <stp>ISSUE_DT</stp>
        <stp>[TREASURY.xlsx]Sheet1!R414C15</stp>
        <tr r="O414" s="1"/>
      </tp>
      <tp t="s">
        <v>8/16/1993</v>
        <stp/>
        <stp>##V3_BDPV12</stp>
        <stp>912810EQ Govt</stp>
        <stp>ISSUE_DT</stp>
        <stp>[TREASURY.xlsx]Sheet1!R298C15</stp>
        <tr r="O298" s="1"/>
      </tp>
      <tp t="s">
        <v>5/15/1984</v>
        <stp/>
        <stp>##V3_BDPV12</stp>
        <stp>912810DJ Govt</stp>
        <stp>ISSUE_DT</stp>
        <stp>[TREASURY.xlsx]Sheet1!R399C15</stp>
        <tr r="O399" s="1"/>
      </tp>
      <tp t="s">
        <v>2/15/2000</v>
        <stp/>
        <stp>##V3_BDPV12</stp>
        <stp>912810FM Govt</stp>
        <stp>ISSUE_DT</stp>
        <stp>[TREASURY.xlsx]Sheet1!R188C15</stp>
        <tr r="O188" s="1"/>
      </tp>
      <tp t="s">
        <v>11/15/1991</v>
        <stp/>
        <stp>##V3_BDPV12</stp>
        <stp>912810EL Govt</stp>
        <stp>ISSUE_DT</stp>
        <stp>[TREASURY.xlsx]Sheet1!R211C15</stp>
        <tr r="O211" s="1"/>
      </tp>
      <tp t="s">
        <v>8/15/1994</v>
        <stp/>
        <stp>##V3_BDPV12</stp>
        <stp>912810ES Govt</stp>
        <stp>ISSUE_DT</stp>
        <stp>[TREASURY.xlsx]Sheet1!R312C15</stp>
        <tr r="O312" s="1"/>
      </tp>
      <tp t="s">
        <v>2/16/1993</v>
        <stp/>
        <stp>##V3_BDPV12</stp>
        <stp>912810EP Govt</stp>
        <stp>ISSUE_DT</stp>
        <stp>[TREASURY.xlsx]Sheet1!R317C15</stp>
        <tr r="O317" s="1"/>
      </tp>
      <tp t="s">
        <v>2/15/1995</v>
        <stp/>
        <stp>##V3_BDPV12</stp>
        <stp>912810ET Govt</stp>
        <stp>ISSUE_DT</stp>
        <stp>[TREASURY.xlsx]Sheet1!R313C15</stp>
        <tr r="O313" s="1"/>
      </tp>
      <tp t="s">
        <v>1/12/1981</v>
        <stp/>
        <stp>##V3_BDPV12</stp>
        <stp>912810CT Govt</stp>
        <stp>ISSUE_DT</stp>
        <stp>[TREASURY.xlsx]Sheet1!R501C15</stp>
        <tr r="O501" s="1"/>
      </tp>
      <tp t="s">
        <v>8/15/1995</v>
        <stp/>
        <stp>##V3_BDPV12</stp>
        <stp>912810EV Govt</stp>
        <stp>ISSUE_DT</stp>
        <stp>[TREASURY.xlsx]Sheet1!R326C15</stp>
        <tr r="O326" s="1"/>
      </tp>
      <tp t="s">
        <v>11/15/1996</v>
        <stp/>
        <stp>##V3_BDPV12</stp>
        <stp>912810EY Govt</stp>
        <stp>ISSUE_DT</stp>
        <stp>[TREASURY.xlsx]Sheet1!R328C15</stp>
        <tr r="O328" s="1"/>
      </tp>
      <tp t="s">
        <v>8/15/1996</v>
        <stp/>
        <stp>##V3_BDPV12</stp>
        <stp>912810EX Govt</stp>
        <stp>ISSUE_DT</stp>
        <stp>[TREASURY.xlsx]Sheet1!R324C15</stp>
        <tr r="O324" s="1"/>
      </tp>
      <tp t="s">
        <v>2/18/1997</v>
        <stp/>
        <stp>##V3_BDPV12</stp>
        <stp>912810EZ Govt</stp>
        <stp>ISSUE_DT</stp>
        <stp>[TREASURY.xlsx]Sheet1!R323C15</stp>
        <tr r="O323" s="1"/>
      </tp>
      <tp t="s">
        <v>8/15/1978</v>
        <stp/>
        <stp>##V3_BDPV12</stp>
        <stp>912810CC Govt</stp>
        <stp>ISSUE_DT</stp>
        <stp>[TREASURY.xlsx]Sheet1!R526C15</stp>
        <tr r="O526" s="1"/>
      </tp>
      <tp t="s">
        <v>11/16/1992</v>
        <stp/>
        <stp>##V3_BDPV12</stp>
        <stp>912810EN Govt</stp>
        <stp>ISSUE_DT</stp>
        <stp>[TREASURY.xlsx]Sheet1!R319C15</stp>
        <tr r="O319" s="1"/>
      </tp>
      <tp t="s">
        <v>8/15/1991</v>
        <stp/>
        <stp>##V3_BDPV12</stp>
        <stp>912810EK Govt</stp>
        <stp>ISSUE_DT</stp>
        <stp>[TREASURY.xlsx]Sheet1!R357C15</stp>
        <tr r="O357" s="1"/>
      </tp>
      <tp t="s">
        <v>8/17/1992</v>
        <stp/>
        <stp>##V3_BDPV12</stp>
        <stp>912810EM Govt</stp>
        <stp>ISSUE_DT</stp>
        <stp>[TREASURY.xlsx]Sheet1!R304C15</stp>
        <tr r="O304" s="1"/>
      </tp>
      <tp t="s">
        <v>9128274H2</v>
        <stp/>
        <stp>##V3_BDPV12</stp>
        <stp>9128274H Govt</stp>
        <stp>ID_CUSIP</stp>
        <stp>[TREASURY.xlsx]Sheet1!R1460C19</stp>
        <tr r="S1460" s="1"/>
      </tp>
      <tp t="s">
        <v>T 6 1/8 07/31/00</v>
        <stp/>
        <stp>##V3_BDPV12</stp>
        <stp>912827U6 Govt</stp>
        <stp>SECURITY_NAME</stp>
        <stp>[TREASURY.xlsx]Sheet1!R751C16</stp>
        <tr r="P751" s="1"/>
      </tp>
      <tp t="s">
        <v>T 1 3/8 12/15/19</v>
        <stp/>
        <stp>##V3_BDPV12</stp>
        <stp>912828U7 Govt</stp>
        <stp>SECURITY_NAME</stp>
        <stp>[TREASURY.xlsx]Sheet1!R484C16</stp>
        <tr r="P484" s="1"/>
      </tp>
      <tp t="s">
        <v>9128274K5</v>
        <stp/>
        <stp>##V3_BDPV12</stp>
        <stp>9128274K Govt</stp>
        <stp>ID_CUSIP</stp>
        <stp>[TREASURY.xlsx]Sheet1!R1366C19</stp>
        <tr r="S1366" s="1"/>
      </tp>
      <tp t="s">
        <v>9128274M1</v>
        <stp/>
        <stp>##V3_BDPV12</stp>
        <stp>9128274M Govt</stp>
        <stp>ID_CUSIP</stp>
        <stp>[TREASURY.xlsx]Sheet1!R1461C19</stp>
        <tr r="S1461" s="1"/>
      </tp>
      <tp t="s">
        <v>9128274J8</v>
        <stp/>
        <stp>##V3_BDPV12</stp>
        <stp>9128274J Govt</stp>
        <stp>ID_CUSIP</stp>
        <stp>[TREASURY.xlsx]Sheet1!R1365C19</stp>
        <tr r="S1365" s="1"/>
      </tp>
      <tp t="s">
        <v>T 1 3/4 11/30/21</v>
        <stp/>
        <stp>##V3_BDPV12</stp>
        <stp>912828U6 Govt</stp>
        <stp>SECURITY_NAME</stp>
        <stp>[TREASURY.xlsx]Sheet1!R232C16</stp>
        <tr r="P232" s="1"/>
      </tp>
      <tp t="s">
        <v>9128274N9</v>
        <stp/>
        <stp>##V3_BDPV12</stp>
        <stp>9128274N Govt</stp>
        <stp>ID_CUSIP</stp>
        <stp>[TREASURY.xlsx]Sheet1!R1462C19</stp>
        <tr r="S1462" s="1"/>
      </tp>
      <tp t="s">
        <v>T 1 11/15/19</v>
        <stp/>
        <stp>##V3_BDPV12</stp>
        <stp>912828U3 Govt</stp>
        <stp>SECURITY_NAME</stp>
        <stp>[TREASURY.xlsx]Sheet1!R491C16</stp>
        <tr r="P491" s="1"/>
      </tp>
      <tp t="s">
        <v>T 2 1/8 11/30/23</v>
        <stp/>
        <stp>##V3_BDPV12</stp>
        <stp>912828U5 Govt</stp>
        <stp>SECURITY_NAME</stp>
        <stp>[TREASURY.xlsx]Sheet1!R246C16</stp>
        <tr r="P246" s="1"/>
      </tp>
      <tp t="s">
        <v>9128274G4</v>
        <stp/>
        <stp>##V3_BDPV12</stp>
        <stp>9128274G Govt</stp>
        <stp>ID_CUSIP</stp>
        <stp>[TREASURY.xlsx]Sheet1!R1364C19</stp>
        <tr r="S1364" s="1"/>
      </tp>
      <tp t="s">
        <v>9128274A7</v>
        <stp/>
        <stp>##V3_BDPV12</stp>
        <stp>9128274A Govt</stp>
        <stp>ID_CUSIP</stp>
        <stp>[TREASURY.xlsx]Sheet1!R1457C19</stp>
        <tr r="S1457" s="1"/>
      </tp>
      <tp t="s">
        <v>9128274E9</v>
        <stp/>
        <stp>##V3_BDPV12</stp>
        <stp>9128274E Govt</stp>
        <stp>ID_CUSIP</stp>
        <stp>[TREASURY.xlsx]Sheet1!R1363C19</stp>
        <tr r="S1363" s="1"/>
      </tp>
      <tp t="s">
        <v>9128274C3</v>
        <stp/>
        <stp>##V3_BDPV12</stp>
        <stp>9128274C Govt</stp>
        <stp>ID_CUSIP</stp>
        <stp>[TREASURY.xlsx]Sheet1!R1458C19</stp>
        <tr r="S1458" s="1"/>
      </tp>
      <tp t="s">
        <v>T 2 12/31/21</v>
        <stp/>
        <stp>##V3_BDPV12</stp>
        <stp>912828U8 Govt</stp>
        <stp>SECURITY_NAME</stp>
        <stp>[TREASURY.xlsx]Sheet1!R213C16</stp>
        <tr r="P213" s="1"/>
      </tp>
      <tp t="s">
        <v>T 5 5/8 06/30/97</v>
        <stp/>
        <stp>##V3_BDPV12</stp>
        <stp>912827U3 Govt</stp>
        <stp>SECURITY_NAME</stp>
        <stp>[TREASURY.xlsx]Sheet1!R921C16</stp>
        <tr r="P921" s="1"/>
      </tp>
      <tp t="s">
        <v>T 6 1/4 05/31/00</v>
        <stp/>
        <stp>##V3_BDPV12</stp>
        <stp>912827U2 Govt</stp>
        <stp>SECURITY_NAME</stp>
        <stp>[TREASURY.xlsx]Sheet1!R835C16</stp>
        <tr r="P835" s="1"/>
      </tp>
      <tp t="s">
        <v>9128274D1</v>
        <stp/>
        <stp>##V3_BDPV12</stp>
        <stp>9128274D Govt</stp>
        <stp>ID_CUSIP</stp>
        <stp>[TREASURY.xlsx]Sheet1!R1459C19</stp>
        <tr r="S1459" s="1"/>
      </tp>
      <tp t="s">
        <v>9128274B5</v>
        <stp/>
        <stp>##V3_BDPV12</stp>
        <stp>9128274B Govt</stp>
        <stp>ID_CUSIP</stp>
        <stp>[TREASURY.xlsx]Sheet1!R1362C19</stp>
        <tr r="S1362" s="1"/>
      </tp>
      <tp t="s">
        <v>T 1 11/30/18</v>
        <stp/>
        <stp>##V3_BDPV12</stp>
        <stp>912828U4 Govt</stp>
        <stp>SECURITY_NAME</stp>
        <stp>[TREASURY.xlsx]Sheet1!R876C16</stp>
        <tr r="P876" s="1"/>
      </tp>
      <tp t="s">
        <v>T 1 1/4 12/31/18</v>
        <stp/>
        <stp>##V3_BDPV12</stp>
        <stp>912828U9 Govt</stp>
        <stp>SECURITY_NAME</stp>
        <stp>[TREASURY.xlsx]Sheet1!R678C16</stp>
        <tr r="P678" s="1"/>
      </tp>
      <tp t="s">
        <v>9128284B3</v>
        <stp/>
        <stp>##V3_BDPV12</stp>
        <stp>9128284B Govt</stp>
        <stp>ID_CUSIP</stp>
        <stp>[TREASURY.xlsx]Sheet1!R1106C19</stp>
        <tr r="S1106" s="1"/>
      </tp>
      <tp t="s">
        <v>T 6 08/31/97</v>
        <stp/>
        <stp>##V3_BDPV12</stp>
        <stp>912827U9 Govt</stp>
        <stp>SECURITY_NAME</stp>
        <stp>[TREASURY.xlsx]Sheet1!R752C16</stp>
        <tr r="P752" s="1"/>
      </tp>
      <tp t="s">
        <v>9128274Z2</v>
        <stp/>
        <stp>##V3_BDPV12</stp>
        <stp>9128274Z Govt</stp>
        <stp>ID_CUSIP</stp>
        <stp>[TREASURY.xlsx]Sheet1!R1534C19</stp>
        <tr r="S1534" s="1"/>
      </tp>
      <tp t="s">
        <v>9128274X7</v>
        <stp/>
        <stp>##V3_BDPV12</stp>
        <stp>9128274X Govt</stp>
        <stp>ID_CUSIP</stp>
        <stp>[TREASURY.xlsx]Sheet1!R1368C19</stp>
        <tr r="S1368" s="1"/>
      </tp>
      <tp t="s">
        <v>9128274U3</v>
        <stp/>
        <stp>##V3_BDPV12</stp>
        <stp>9128274U Govt</stp>
        <stp>ID_CUSIP</stp>
        <stp>[TREASURY.xlsx]Sheet1!R1012C19</stp>
        <tr r="S1012" s="1"/>
      </tp>
      <tp t="s">
        <v>9128274R0</v>
        <stp/>
        <stp>##V3_BDPV12</stp>
        <stp>9128274R Govt</stp>
        <stp>ID_CUSIP</stp>
        <stp>[TREASURY.xlsx]Sheet1!R1532C19</stp>
        <tr r="S1532" s="1"/>
      </tp>
      <tp t="s">
        <v>9128274Q2</v>
        <stp/>
        <stp>##V3_BDPV12</stp>
        <stp>9128274Q Govt</stp>
        <stp>ID_CUSIP</stp>
        <stp>[TREASURY.xlsx]Sheet1!R1367C19</stp>
        <tr r="S1367" s="1"/>
      </tp>
      <tp t="s">
        <v>9128274V1</v>
        <stp/>
        <stp>##V3_BDPV12</stp>
        <stp>9128274V Govt</stp>
        <stp>ID_CUSIP</stp>
        <stp>[TREASURY.xlsx]Sheet1!R1533C19</stp>
        <tr r="S1533" s="1"/>
      </tp>
      <tp t="s">
        <v>T 7 1/8 02/28/90</v>
        <stp/>
        <stp>##V3_BDPV12</stp>
        <stp>912827VX Govt</stp>
        <stp>SECURITY_NAME</stp>
        <stp>[TREASURY.xlsx]Sheet1!R927C16</stp>
        <tr r="P927" s="1"/>
      </tp>
      <tp t="s">
        <v>T 8 5/8 01/15/95</v>
        <stp/>
        <stp>##V3_BDPV12</stp>
        <stp>912827VT Govt</stp>
        <stp>SECURITY_NAME</stp>
        <stp>[TREASURY.xlsx]Sheet1!R765C16</stp>
        <tr r="P765" s="1"/>
      </tp>
      <tp t="s">
        <v>T 2 1/2 08/15/23</v>
        <stp/>
        <stp>##V3_BDPV12</stp>
        <stp>912828VS Govt</stp>
        <stp>SECURITY_NAME</stp>
        <stp>[TREASURY.xlsx]Sheet1!R134C16</stp>
        <tr r="P134" s="1"/>
      </tp>
      <tp t="s">
        <v>T 7 7/8 12/31/89</v>
        <stp/>
        <stp>##V3_BDPV12</stp>
        <stp>912827VR Govt</stp>
        <stp>SECURITY_NAME</stp>
        <stp>[TREASURY.xlsx]Sheet1!R764C16</stp>
        <tr r="P764" s="1"/>
      </tp>
      <tp t="s">
        <v>T 2 07/31/20</v>
        <stp/>
        <stp>##V3_BDPV12</stp>
        <stp>912828VP Govt</stp>
        <stp>SECURITY_NAME</stp>
        <stp>[TREASURY.xlsx]Sheet1!R479C16</stp>
        <tr r="P479" s="1"/>
      </tp>
      <tp t="s">
        <v>T 0 5/8 08/15/16</v>
        <stp/>
        <stp>##V3_BDPV12</stp>
        <stp>912828VR Govt</stp>
        <stp>SECURITY_NAME</stp>
        <stp>[TREASURY.xlsx]Sheet1!R566C16</stp>
        <tr r="P566" s="1"/>
      </tp>
      <tp t="s">
        <v>T 8 1/4 02/15/93</v>
        <stp/>
        <stp>##V3_BDPV12</stp>
        <stp>912827VQ Govt</stp>
        <stp>SECURITY_NAME</stp>
        <stp>[TREASURY.xlsx]Sheet1!R763C16</stp>
        <tr r="P763" s="1"/>
      </tp>
      <tp t="s">
        <v>T 1 3/8 07/31/18</v>
        <stp/>
        <stp>##V3_BDPV12</stp>
        <stp>912828VQ Govt</stp>
        <stp>SECURITY_NAME</stp>
        <stp>[TREASURY.xlsx]Sheet1!R880C16</stp>
        <tr r="P880" s="1"/>
      </tp>
      <tp t="s">
        <v>T 2 09/30/20</v>
        <stp/>
        <stp>##V3_BDPV12</stp>
        <stp>912828VZ Govt</stp>
        <stp>SECURITY_NAME</stp>
        <stp>[TREASURY.xlsx]Sheet1!R695C16</stp>
        <tr r="P695" s="1"/>
      </tp>
      <tp t="s">
        <v>T 7 3/8 02/15/91</v>
        <stp/>
        <stp>##V3_BDPV12</stp>
        <stp>912827VV Govt</stp>
        <stp>SECURITY_NAME</stp>
        <stp>[TREASURY.xlsx]Sheet1!R926C16</stp>
        <tr r="P926" s="1"/>
      </tp>
      <tp t="s">
        <v>T 7 5/8 05/15/93</v>
        <stp/>
        <stp>##V3_BDPV12</stp>
        <stp>912827VY Govt</stp>
        <stp>SECURITY_NAME</stp>
        <stp>[TREASURY.xlsx]Sheet1!R766C16</stp>
        <tr r="P766" s="1"/>
      </tp>
      <tp t="s">
        <v>T 8 1/2 09/30/89</v>
        <stp/>
        <stp>##V3_BDPV12</stp>
        <stp>912827VH Govt</stp>
        <stp>SECURITY_NAME</stp>
        <stp>[TREASURY.xlsx]Sheet1!R924C16</stp>
        <tr r="P924" s="1"/>
      </tp>
      <tp t="s">
        <v>T 1 3/8 05/31/20</v>
        <stp/>
        <stp>##V3_BDPV12</stp>
        <stp>912828VF Govt</stp>
        <stp>SECURITY_NAME</stp>
        <stp>[TREASURY.xlsx]Sheet1!R694C16</stp>
        <tr r="P694" s="1"/>
      </tp>
      <tp t="s">
        <v>T 8 3/8 11/15/92</v>
        <stp/>
        <stp>##V3_BDPV12</stp>
        <stp>912827VG Govt</stp>
        <stp>SECURITY_NAME</stp>
        <stp>[TREASURY.xlsx]Sheet1!R761C16</stp>
        <tr r="P761" s="1"/>
      </tp>
      <tp t="s">
        <v>T 8 5/8 08/15/97</v>
        <stp/>
        <stp>##V3_BDPV12</stp>
        <stp>912827VE Govt</stp>
        <stp>SECURITY_NAME</stp>
        <stp>[TREASURY.xlsx]Sheet1!R626C16</stp>
        <tr r="P626" s="1"/>
      </tp>
      <tp t="s">
        <v>T 1 3/4 05/15/23</v>
        <stp/>
        <stp>##V3_BDPV12</stp>
        <stp>912828VB Govt</stp>
        <stp>SECURITY_NAME</stp>
        <stp>[TREASURY.xlsx]Sheet1!R168C16</stp>
        <tr r="P168" s="1"/>
      </tp>
      <tp t="s">
        <v>T 1 05/31/18</v>
        <stp/>
        <stp>##V3_BDPV12</stp>
        <stp>912828VE Govt</stp>
        <stp>SECURITY_NAME</stp>
        <stp>[TREASURY.xlsx]Sheet1!R673C16</stp>
        <tr r="P673" s="1"/>
      </tp>
      <tp t="s">
        <v>T 0 1/2 06/15/16</v>
        <stp/>
        <stp>##V3_BDPV12</stp>
        <stp>912828VG Govt</stp>
        <stp>SECURITY_NAME</stp>
        <stp>[TREASURY.xlsx]Sheet1!R587C16</stp>
        <tr r="P587" s="1"/>
      </tp>
      <tp t="s">
        <v>T 7 5/8 07/31/89</v>
        <stp/>
        <stp>##V3_BDPV12</stp>
        <stp>912827VC Govt</stp>
        <stp>SECURITY_NAME</stp>
        <stp>[TREASURY.xlsx]Sheet1!R760C16</stp>
        <tr r="P760" s="1"/>
      </tp>
      <tp t="s">
        <v>T 0 5/8 07/15/16</v>
        <stp/>
        <stp>##V3_BDPV12</stp>
        <stp>912828VL Govt</stp>
        <stp>SECURITY_NAME</stp>
        <stp>[TREASURY.xlsx]Sheet1!R878C16</stp>
        <tr r="P878" s="1"/>
      </tp>
      <tp t="s">
        <v>T 8 7/8 11/15/97</v>
        <stp/>
        <stp>##V3_BDPV12</stp>
        <stp>912827VN Govt</stp>
        <stp>SECURITY_NAME</stp>
        <stp>[TREASURY.xlsx]Sheet1!R925C16</stp>
        <tr r="P925" s="1"/>
      </tp>
      <tp t="s">
        <v>T 1 1/8 04/30/20</v>
        <stp/>
        <stp>##V3_BDPV12</stp>
        <stp>912828VA Govt</stp>
        <stp>SECURITY_NAME</stp>
        <stp>[TREASURY.xlsx]Sheet1!R638C16</stp>
        <tr r="P638" s="1"/>
      </tp>
      <tp t="s">
        <v>T 7 7/8 06/30/91</v>
        <stp/>
        <stp>##V3_BDPV12</stp>
        <stp>912827VA Govt</stp>
        <stp>SECURITY_NAME</stp>
        <stp>[TREASURY.xlsx]Sheet1!R759C16</stp>
        <tr r="P759" s="1"/>
      </tp>
      <tp t="s">
        <v>T 0 1/4 07/31/15</v>
        <stp/>
        <stp>##V3_BDPV12</stp>
        <stp>912828VN Govt</stp>
        <stp>SECURITY_NAME</stp>
        <stp>[TREASURY.xlsx]Sheet1!R879C16</stp>
        <tr r="P879" s="1"/>
      </tp>
      <tp t="s">
        <v>T 0 1/4 05/15/16</v>
        <stp/>
        <stp>##V3_BDPV12</stp>
        <stp>912828VC Govt</stp>
        <stp>SECURITY_NAME</stp>
        <stp>[TREASURY.xlsx]Sheet1!R577C16</stp>
        <tr r="P577" s="1"/>
      </tp>
      <tp t="s">
        <v>T 9 1/2 10/15/94</v>
        <stp/>
        <stp>##V3_BDPV12</stp>
        <stp>912827VK Govt</stp>
        <stp>SECURITY_NAME</stp>
        <stp>[TREASURY.xlsx]Sheet1!R762C16</stp>
        <tr r="P762" s="1"/>
      </tp>
      <tp t="s">
        <v>T 0 3/8 06/30/15</v>
        <stp/>
        <stp>##V3_BDPV12</stp>
        <stp>912828VH Govt</stp>
        <stp>SECURITY_NAME</stp>
        <stp>[TREASURY.xlsx]Sheet1!R632C16</stp>
        <tr r="P632" s="1"/>
      </tp>
      <tp t="s">
        <v>T 1 7/8 06/30/20</v>
        <stp/>
        <stp>##V3_BDPV12</stp>
        <stp>912828VJ Govt</stp>
        <stp>SECURITY_NAME</stp>
        <stp>[TREASURY.xlsx]Sheet1!R447C16</stp>
        <tr r="P447" s="1"/>
      </tp>
      <tp t="s">
        <v>US9128284N73</v>
        <stp/>
        <stp>##V3_BDPV12</stp>
        <stp>9128284N Govt</stp>
        <stp>ID_ISIN</stp>
        <stp>[TREASURY.xlsx]Sheet1!R71C12</stp>
        <tr r="L71" s="1"/>
      </tp>
      <tp t="s">
        <v>US91282CAN11</v>
        <stp/>
        <stp>##V3_BDPV12</stp>
        <stp>91282CAN Govt</stp>
        <stp>ID_ISIN</stp>
        <stp>[TREASURY.xlsx]Sheet1!R46C12</stp>
        <tr r="L46" s="1"/>
      </tp>
      <tp t="s">
        <v>US91282CCN92</v>
        <stp/>
        <stp>##V3_BDPV12</stp>
        <stp>91282CCN Govt</stp>
        <stp>ID_ISIN</stp>
        <stp>[TREASURY.xlsx]Sheet1!R24C12</stp>
        <tr r="L24" s="1"/>
      </tp>
      <tp t="s">
        <v>US91282CBN02</v>
        <stp/>
        <stp>##V3_BDPV12</stp>
        <stp>91282CBN Govt</stp>
        <stp>ID_ISIN</stp>
        <stp>[TREASURY.xlsx]Sheet1!R82C12</stp>
        <tr r="L82" s="1"/>
      </tp>
      <tp t="s">
        <v>US912810SN90</v>
        <stp/>
        <stp>##V3_BDPV12</stp>
        <stp>912810SN Govt</stp>
        <stp>ID_ISIN</stp>
        <stp>[TREASURY.xlsx]Sheet1!R27C12</stp>
        <tr r="L27" s="1"/>
      </tp>
      <tp t="s">
        <v>FIXED</v>
        <stp/>
        <stp>##V3_BDPV12</stp>
        <stp>912810SJ Govt</stp>
        <stp>CPN_TYP</stp>
        <stp>[TREASURY.xlsx]Sheet1!R73C11</stp>
        <tr r="K73" s="1"/>
      </tp>
      <tp t="s">
        <v>FIXED</v>
        <stp/>
        <stp>##V3_BDPV12</stp>
        <stp>912828YJ Govt</stp>
        <stp>CPN_TYP</stp>
        <stp>[TREASURY.xlsx]Sheet1!R80C11</stp>
        <tr r="K80" s="1"/>
      </tp>
      <tp t="s">
        <v>FIXED</v>
        <stp/>
        <stp>##V3_BDPV12</stp>
        <stp>91282CCJ Govt</stp>
        <stp>CPN_TYP</stp>
        <stp>[TREASURY.xlsx]Sheet1!R22C11</stp>
        <tr r="K22" s="1"/>
      </tp>
      <tp t="s">
        <v>FIXED</v>
        <stp/>
        <stp>##V3_BDPV12</stp>
        <stp>91282CAJ Govt</stp>
        <stp>CPN_TYP</stp>
        <stp>[TREASURY.xlsx]Sheet1!R49C11</stp>
        <tr r="K49" s="1"/>
      </tp>
      <tp t="s">
        <v>8/15/2029</v>
        <stp/>
        <stp>##V3_BDPV12</stp>
        <stp>912828YB Govt</stp>
        <stp>MATURITY</stp>
        <stp>[TREASURY.xlsx]Sheet1!R26C5</stp>
        <tr r="E26" s="1"/>
      </tp>
      <tp t="s">
        <v>12/31/2022</v>
        <stp/>
        <stp>##V3_BDPV12</stp>
        <stp>91282CBD Govt</stp>
        <stp>MATURITY</stp>
        <stp>[TREASURY.xlsx]Sheet1!R50C5</stp>
        <tr r="E50" s="1"/>
      </tp>
      <tp t="s">
        <v>NORMAL</v>
        <stp/>
        <stp>##V3_BDPV12</stp>
        <stp>912827X4 Govt</stp>
        <stp>MTY_TYP</stp>
        <stp>[TREASURY.xlsx]Sheet1!R769C6</stp>
        <tr r="F769" s="1"/>
      </tp>
      <tp t="s">
        <v>NORMAL</v>
        <stp/>
        <stp>##V3_BDPV12</stp>
        <stp>912827L9 Govt</stp>
        <stp>MTY_TYP</stp>
        <stp>[TREASURY.xlsx]Sheet1!R714C6</stp>
        <tr r="F714" s="1"/>
      </tp>
      <tp t="s">
        <v>NORMAL</v>
        <stp/>
        <stp>##V3_BDPV12</stp>
        <stp>912827M5 Govt</stp>
        <stp>MTY_TYP</stp>
        <stp>[TREASURY.xlsx]Sheet1!R718C6</stp>
        <tr r="F718" s="1"/>
      </tp>
      <tp t="s">
        <v>NORMAL</v>
        <stp/>
        <stp>##V3_BDPV12</stp>
        <stp>912828Y4 Govt</stp>
        <stp>MTY_TYP</stp>
        <stp>[TREASURY.xlsx]Sheet1!R589C6</stp>
        <tr r="F589" s="1"/>
      </tp>
      <tp t="s">
        <v>NORMAL</v>
        <stp/>
        <stp>##V3_BDPV12</stp>
        <stp>912828K5 Govt</stp>
        <stp>MTY_TYP</stp>
        <stp>[TREASURY.xlsx]Sheet1!R518C6</stp>
        <tr r="F518" s="1"/>
      </tp>
      <tp t="s">
        <v>NORMAL</v>
        <stp/>
        <stp>##V3_BDPV12</stp>
        <stp>912828D8 Govt</stp>
        <stp>MTY_TYP</stp>
        <stp>[TREASURY.xlsx]Sheet1!R545C6</stp>
        <tr r="F545" s="1"/>
      </tp>
      <tp t="s">
        <v>NORMAL</v>
        <stp/>
        <stp>##V3_BDPV12</stp>
        <stp>912827W4 Govt</stp>
        <stp>MTY_TYP</stp>
        <stp>[TREASURY.xlsx]Sheet1!R929C6</stp>
        <tr r="F929" s="1"/>
      </tp>
      <tp t="s">
        <v>NORMAL</v>
        <stp/>
        <stp>##V3_BDPV12</stp>
        <stp>912828L4 Govt</stp>
        <stp>MTY_TYP</stp>
        <stp>[TREASURY.xlsx]Sheet1!R669C6</stp>
        <tr r="F669" s="1"/>
      </tp>
      <tp t="s">
        <v>NORMAL</v>
        <stp/>
        <stp>##V3_BDPV12</stp>
        <stp>912828ZF Govt</stp>
        <stp>MTY_TYP</stp>
        <stp>[TREASURY.xlsx]Sheet1!R61C6</stp>
        <tr r="F61" s="1"/>
      </tp>
      <tp t="s">
        <v>NORMAL</v>
        <stp/>
        <stp>##V3_BDPV12</stp>
        <stp>912828ZQ Govt</stp>
        <stp>MTY_TYP</stp>
        <stp>[TREASURY.xlsx]Sheet1!R31C6</stp>
        <tr r="F31" s="1"/>
      </tp>
      <tp t="s">
        <v>T 5 3/8 11/30/97</v>
        <stp/>
        <stp>##V3_BDPV12</stp>
        <stp>912827V9 Govt</stp>
        <stp>SECURITY_NAME</stp>
        <stp>[TREASURY.xlsx]Sheet1!R923C16</stp>
        <tr r="P923" s="1"/>
      </tp>
      <tp t="s">
        <v>T 2 1/4 12/31/23</v>
        <stp/>
        <stp>##V3_BDPV12</stp>
        <stp>912828V2 Govt</stp>
        <stp>SECURITY_NAME</stp>
        <stp>[TREASURY.xlsx]Sheet1!R250C16</stp>
        <tr r="P250" s="1"/>
      </tp>
      <tp t="s">
        <v>T 6 1/8 09/30/00</v>
        <stp/>
        <stp>##V3_BDPV12</stp>
        <stp>912827V4 Govt</stp>
        <stp>SECURITY_NAME</stp>
        <stp>[TREASURY.xlsx]Sheet1!R757C16</stp>
        <tr r="P757" s="1"/>
      </tp>
      <tp t="s">
        <v>T 1 1/8 01/31/19</v>
        <stp/>
        <stp>##V3_BDPV12</stp>
        <stp>912828V5 Govt</stp>
        <stp>SECURITY_NAME</stp>
        <stp>[TREASURY.xlsx]Sheet1!R655C16</stp>
        <tr r="P655" s="1"/>
      </tp>
      <tp t="s">
        <v>9128277H9</v>
        <stp/>
        <stp>##V3_BDPV12</stp>
        <stp>9128277H Govt</stp>
        <stp>ID_CUSIP</stp>
        <stp>[TREASURY.xlsx]Sheet1!R1028C19</stp>
        <tr r="S1028" s="1"/>
      </tp>
      <tp t="s">
        <v>T 1 7/8 01/31/22</v>
        <stp/>
        <stp>##V3_BDPV12</stp>
        <stp>912828V7 Govt</stp>
        <stp>SECURITY_NAME</stp>
        <stp>[TREASURY.xlsx]Sheet1!R262C16</stp>
        <tr r="P262" s="1"/>
      </tp>
      <tp t="s">
        <v>9128277M8</v>
        <stp/>
        <stp>##V3_BDPV12</stp>
        <stp>9128277M Govt</stp>
        <stp>ID_CUSIP</stp>
        <stp>[TREASURY.xlsx]Sheet1!R1472C19</stp>
        <tr r="S1472" s="1"/>
      </tp>
      <tp t="s">
        <v>9128277L0</v>
        <stp/>
        <stp>##V3_BDPV12</stp>
        <stp>9128277L Govt</stp>
        <stp>ID_CUSIP</stp>
        <stp>[TREASURY.xlsx]Sheet1!R1546C19</stp>
        <tr r="S1546" s="1"/>
      </tp>
      <tp t="s">
        <v>9128277A4</v>
        <stp/>
        <stp>##V3_BDPV12</stp>
        <stp>9128277A Govt</stp>
        <stp>ID_CUSIP</stp>
        <stp>[TREASURY.xlsx]Sheet1!R1543C19</stp>
        <tr r="S1543" s="1"/>
      </tp>
      <tp t="s">
        <v>T 2 1/4 02/15/27</v>
        <stp/>
        <stp>##V3_BDPV12</stp>
        <stp>912828V9 Govt</stp>
        <stp>SECURITY_NAME</stp>
        <stp>[TREASURY.xlsx]Sheet1!R127C16</stp>
        <tr r="P127" s="1"/>
      </tp>
      <tp t="s">
        <v>9128277F3</v>
        <stp/>
        <stp>##V3_BDPV12</stp>
        <stp>9128277F Govt</stp>
        <stp>ID_CUSIP</stp>
        <stp>[TREASURY.xlsx]Sheet1!R1027C19</stp>
        <tr r="S1027" s="1"/>
      </tp>
      <tp t="s">
        <v>9128277C0</v>
        <stp/>
        <stp>##V3_BDPV12</stp>
        <stp>9128277C Govt</stp>
        <stp>ID_CUSIP</stp>
        <stp>[TREASURY.xlsx]Sheet1!R1544C19</stp>
        <tr r="S1544" s="1"/>
      </tp>
      <tp t="s">
        <v>T 2 1/4 01/31/24</v>
        <stp/>
        <stp>##V3_BDPV12</stp>
        <stp>912828V8 Govt</stp>
        <stp>SECURITY_NAME</stp>
        <stp>[TREASURY.xlsx]Sheet1!R307C16</stp>
        <tr r="P307" s="1"/>
      </tp>
      <tp t="s">
        <v>T 1 3/8 01/15/20</v>
        <stp/>
        <stp>##V3_BDPV12</stp>
        <stp>912828V3 Govt</stp>
        <stp>SECURITY_NAME</stp>
        <stp>[TREASURY.xlsx]Sheet1!R877C16</stp>
        <tr r="P877" s="1"/>
      </tp>
      <tp t="s">
        <v>9128277D8</v>
        <stp/>
        <stp>##V3_BDPV12</stp>
        <stp>9128277D Govt</stp>
        <stp>ID_CUSIP</stp>
        <stp>[TREASURY.xlsx]Sheet1!R1470C19</stp>
        <tr r="S1470" s="1"/>
      </tp>
      <tp t="s">
        <v>9128277E6</v>
        <stp/>
        <stp>##V3_BDPV12</stp>
        <stp>9128277E Govt</stp>
        <stp>ID_CUSIP</stp>
        <stp>[TREASURY.xlsx]Sheet1!R1545C19</stp>
        <tr r="S1545" s="1"/>
      </tp>
      <tp t="s">
        <v>T 5 7/8 11/15/05</v>
        <stp/>
        <stp>##V3_BDPV12</stp>
        <stp>912827V8 Govt</stp>
        <stp>SECURITY_NAME</stp>
        <stp>[TREASURY.xlsx]Sheet1!R758C16</stp>
        <tr r="P758" s="1"/>
      </tp>
      <tp t="s">
        <v>9128277G1</v>
        <stp/>
        <stp>##V3_BDPV12</stp>
        <stp>9128277G Govt</stp>
        <stp>ID_CUSIP</stp>
        <stp>[TREASURY.xlsx]Sheet1!R1471C19</stp>
        <tr r="S1471" s="1"/>
      </tp>
      <tp t="s">
        <v>T 2 1/8 06/30/21</v>
        <stp/>
        <stp>##V3_BDPV12</stp>
        <stp>912828WR Govt</stp>
        <stp>SECURITY_NAME</stp>
        <stp>[TREASURY.xlsx]Sheet1!R341C16</stp>
        <tr r="P341" s="1"/>
      </tp>
      <tp t="s">
        <v>T 0 1/2 07/31/16</v>
        <stp/>
        <stp>##V3_BDPV12</stp>
        <stp>912828WX Govt</stp>
        <stp>SECURITY_NAME</stp>
        <stp>[TREASURY.xlsx]Sheet1!R881C16</stp>
        <tr r="P881" s="1"/>
      </tp>
      <tp t="s">
        <v>T 0 7/8 06/15/17</v>
        <stp/>
        <stp>##V3_BDPV12</stp>
        <stp>912828WP Govt</stp>
        <stp>SECURITY_NAME</stp>
        <stp>[TREASURY.xlsx]Sheet1!R488C16</stp>
        <tr r="P488" s="1"/>
      </tp>
      <tp t="s">
        <v>T 1 5/8 07/31/19</v>
        <stp/>
        <stp>##V3_BDPV12</stp>
        <stp>912828WW Govt</stp>
        <stp>SECURITY_NAME</stp>
        <stp>[TREASURY.xlsx]Sheet1!R340C16</stp>
        <tr r="P340" s="1"/>
      </tp>
      <tp t="s">
        <v>T 1 5/8 06/30/19</v>
        <stp/>
        <stp>##V3_BDPV12</stp>
        <stp>912828WS Govt</stp>
        <stp>SECURITY_NAME</stp>
        <stp>[TREASURY.xlsx]Sheet1!R543C16</stp>
        <tr r="P543" s="1"/>
      </tp>
      <tp t="s">
        <v>T 1 3/4 04/30/22</v>
        <stp/>
        <stp>##V3_BDPV12</stp>
        <stp>912828WZ Govt</stp>
        <stp>SECURITY_NAME</stp>
        <stp>[TREASURY.xlsx]Sheet1!R244C16</stp>
        <tr r="P244" s="1"/>
      </tp>
      <tp t="s">
        <v>T 8 1/2 09/30/90</v>
        <stp/>
        <stp>##V3_BDPV12</stp>
        <stp>912827WR Govt</stp>
        <stp>SECURITY_NAME</stp>
        <stp>[TREASURY.xlsx]Sheet1!R933C16</stp>
        <tr r="P933" s="1"/>
      </tp>
      <tp t="s">
        <v>T 2 1/4 07/31/21</v>
        <stp/>
        <stp>##V3_BDPV12</stp>
        <stp>912828WY Govt</stp>
        <stp>SECURITY_NAME</stp>
        <stp>[TREASURY.xlsx]Sheet1!R359C16</stp>
        <tr r="P359" s="1"/>
      </tp>
      <tp t="s">
        <v>T 0 5/8 11/15/16</v>
        <stp/>
        <stp>##V3_BDPV12</stp>
        <stp>912828WF Govt</stp>
        <stp>SECURITY_NAME</stp>
        <stp>[TREASURY.xlsx]Sheet1!R680C16</stp>
        <tr r="P680" s="1"/>
      </tp>
      <tp t="s">
        <v>T 9 05/15/98</v>
        <stp/>
        <stp>##V3_BDPV12</stp>
        <stp>912827WE Govt</stp>
        <stp>SECURITY_NAME</stp>
        <stp>[TREASURY.xlsx]Sheet1!R601C16</stp>
        <tr r="P601" s="1"/>
      </tp>
      <tp t="s">
        <v>T 1 1/4 10/31/18</v>
        <stp/>
        <stp>##V3_BDPV12</stp>
        <stp>912828WD Govt</stp>
        <stp>SECURITY_NAME</stp>
        <stp>[TREASURY.xlsx]Sheet1!R682C16</stp>
        <tr r="P682" s="1"/>
      </tp>
      <tp t="s">
        <v>T 8 7/8 07/15/95</v>
        <stp/>
        <stp>##V3_BDPV12</stp>
        <stp>912827WK Govt</stp>
        <stp>SECURITY_NAME</stp>
        <stp>[TREASURY.xlsx]Sheet1!R932C16</stp>
        <tr r="P932" s="1"/>
      </tp>
      <tp t="s">
        <v>T 2 3/4 11/15/23</v>
        <stp/>
        <stp>##V3_BDPV12</stp>
        <stp>912828WE Govt</stp>
        <stp>SECURITY_NAME</stp>
        <stp>[TREASURY.xlsx]Sheet1!R108C16</stp>
        <tr r="P108" s="1"/>
      </tp>
      <tp t="s">
        <v>T 7 5/8 04/30/90</v>
        <stp/>
        <stp>##V3_BDPV12</stp>
        <stp>912827WC Govt</stp>
        <stp>SECURITY_NAME</stp>
        <stp>[TREASURY.xlsx]Sheet1!R768C16</stp>
        <tr r="P768" s="1"/>
      </tp>
      <tp t="s">
        <v>T 2 1/4 04/30/21</v>
        <stp/>
        <stp>##V3_BDPV12</stp>
        <stp>912828WG Govt</stp>
        <stp>SECURITY_NAME</stp>
        <stp>[TREASURY.xlsx]Sheet1!R370C16</stp>
        <tr r="P370" s="1"/>
      </tp>
      <tp t="s">
        <v>T 0 1/4 10/31/15</v>
        <stp/>
        <stp>##V3_BDPV12</stp>
        <stp>912828WB Govt</stp>
        <stp>SECURITY_NAME</stp>
        <stp>[TREASURY.xlsx]Sheet1!R457C16</stp>
        <tr r="P457" s="1"/>
      </tp>
      <tp t="s">
        <v>T 0 3/8 05/31/16</v>
        <stp/>
        <stp>##V3_BDPV12</stp>
        <stp>912828WM Govt</stp>
        <stp>SECURITY_NAME</stp>
        <stp>[TREASURY.xlsx]Sheet1!R567C16</stp>
        <tr r="P567" s="1"/>
      </tp>
      <tp t="s">
        <v>T 2 1/2 05/15/24</v>
        <stp/>
        <stp>##V3_BDPV12</stp>
        <stp>912828WJ Govt</stp>
        <stp>SECURITY_NAME</stp>
        <stp>[TREASURY.xlsx]Sheet1!R182C16</stp>
        <tr r="P182" s="1"/>
      </tp>
      <tp t="s">
        <v>T 8 3/8 04/15/95</v>
        <stp/>
        <stp>##V3_BDPV12</stp>
        <stp>912827WB Govt</stp>
        <stp>SECURITY_NAME</stp>
        <stp>[TREASURY.xlsx]Sheet1!R931C16</stp>
        <tr r="P931" s="1"/>
      </tp>
      <tp t="s">
        <v>T 2 05/31/21</v>
        <stp/>
        <stp>##V3_BDPV12</stp>
        <stp>912828WN Govt</stp>
        <stp>SECURITY_NAME</stp>
        <stp>[TREASURY.xlsx]Sheet1!R338C16</stp>
        <tr r="P338" s="1"/>
      </tp>
      <tp t="s">
        <v>FIXED</v>
        <stp/>
        <stp>##V3_BDPV12</stp>
        <stp>912810SK Govt</stp>
        <stp>CPN_TYP</stp>
        <stp>[TREASURY.xlsx]Sheet1!R95C11</stp>
        <tr r="K95" s="1"/>
      </tp>
      <tp t="s">
        <v>FIXED</v>
        <stp/>
        <stp>##V3_BDPV12</stp>
        <stp>91282CCK Govt</stp>
        <stp>CPN_TYP</stp>
        <stp>[TREASURY.xlsx]Sheet1!R33C11</stp>
        <tr r="K33" s="1"/>
      </tp>
      <tp t="s">
        <v>FIXED</v>
        <stp/>
        <stp>##V3_BDPV12</stp>
        <stp>91282CAK Govt</stp>
        <stp>CPN_TYP</stp>
        <stp>[TREASURY.xlsx]Sheet1!R60C11</stp>
        <tr r="K60" s="1"/>
      </tp>
      <tp t="s">
        <v>3/31/2022</v>
        <stp/>
        <stp>##V3_BDPV12</stp>
        <stp>912828ZG Govt</stp>
        <stp>MATURITY</stp>
        <stp>[TREASURY.xlsx]Sheet1!R62C5</stp>
        <tr r="E62" s="1"/>
      </tp>
      <tp t="s">
        <v>NORMAL</v>
        <stp/>
        <stp>##V3_BDPV12</stp>
        <stp>912827K4 Govt</stp>
        <stp>MTY_TYP</stp>
        <stp>[TREASURY.xlsx]Sheet1!R568C6</stp>
        <tr r="F568" s="1"/>
      </tp>
      <tp t="s">
        <v>NORMAL</v>
        <stp/>
        <stp>##V3_BDPV12</stp>
        <stp>912827E5 Govt</stp>
        <stp>MTY_TYP</stp>
        <stp>[TREASURY.xlsx]Sheet1!R579C6</stp>
        <tr r="F579" s="1"/>
      </tp>
      <tp t="s">
        <v>NORMAL</v>
        <stp/>
        <stp>##V3_BDPV12</stp>
        <stp>912828Q9 Govt</stp>
        <stp>MTY_TYP</stp>
        <stp>[TREASURY.xlsx]Sheet1!R425C6</stp>
        <tr r="F425" s="1"/>
      </tp>
      <tp t="s">
        <v>NORMAL</v>
        <stp/>
        <stp>##V3_BDPV12</stp>
        <stp>912828H5 Govt</stp>
        <stp>MTY_TYP</stp>
        <stp>[TREASURY.xlsx]Sheet1!R419C6</stp>
        <tr r="F419" s="1"/>
      </tp>
      <tp t="s">
        <v>NORMAL</v>
        <stp/>
        <stp>##V3_BDPV12</stp>
        <stp>912828B4 Govt</stp>
        <stp>MTY_TYP</stp>
        <stp>[TREASURY.xlsx]Sheet1!R458C6</stp>
        <tr r="F458" s="1"/>
      </tp>
      <tp t="s">
        <v>NORMAL</v>
        <stp/>
        <stp>##V3_BDPV12</stp>
        <stp>912828A8 Govt</stp>
        <stp>MTY_TYP</stp>
        <stp>[TREASURY.xlsx]Sheet1!R434C6</stp>
        <tr r="F434" s="1"/>
      </tp>
      <tp t="s">
        <v>NORMAL</v>
        <stp/>
        <stp>##V3_BDPV12</stp>
        <stp>912827T5 Govt</stp>
        <stp>MTY_TYP</stp>
        <stp>[TREASURY.xlsx]Sheet1!R919C6</stp>
        <tr r="F919" s="1"/>
      </tp>
      <tp t="s">
        <v>NORMAL</v>
        <stp/>
        <stp>##V3_BDPV12</stp>
        <stp>912828T9 Govt</stp>
        <stp>MTY_TYP</stp>
        <stp>[TREASURY.xlsx]Sheet1!R215C6</stp>
        <tr r="F215" s="1"/>
      </tp>
      <tp t="s">
        <v>NORMAL</v>
        <stp/>
        <stp>##V3_BDPV12</stp>
        <stp>912828J4 Govt</stp>
        <stp>MTY_TYP</stp>
        <stp>[TREASURY.xlsx]Sheet1!R308C6</stp>
        <tr r="F308" s="1"/>
      </tp>
      <tp t="s">
        <v>NORMAL</v>
        <stp/>
        <stp>##V3_BDPV12</stp>
        <stp>912810RV Govt</stp>
        <stp>MTY_TYP</stp>
        <stp>[TREASURY.xlsx]Sheet1!R28C6</stp>
        <tr r="F28" s="1"/>
      </tp>
      <tp t="s">
        <v>T 5 5/8 02/15/06</v>
        <stp/>
        <stp>##V3_BDPV12</stp>
        <stp>912827W8 Govt</stp>
        <stp>SECURITY_NAME</stp>
        <stp>[TREASURY.xlsx]Sheet1!R930C16</stp>
        <tr r="P930" s="1"/>
      </tp>
      <tp t="s">
        <v>9128276H0</v>
        <stp/>
        <stp>##V3_BDPV12</stp>
        <stp>9128276H Govt</stp>
        <stp>ID_CUSIP</stp>
        <stp>[TREASURY.xlsx]Sheet1!R1537C19</stp>
        <tr r="S1537" s="1"/>
      </tp>
      <tp t="s">
        <v>9128276N7</v>
        <stp/>
        <stp>##V3_BDPV12</stp>
        <stp>9128276N Govt</stp>
        <stp>ID_CUSIP</stp>
        <stp>[TREASURY.xlsx]Sheet1!R1024C19</stp>
        <tr r="S1024" s="1"/>
      </tp>
      <tp t="s">
        <v>T 1 5/8 03/15/20</v>
        <stp/>
        <stp>##V3_BDPV12</stp>
        <stp>912828W6 Govt</stp>
        <stp>SECURITY_NAME</stp>
        <stp>[TREASURY.xlsx]Sheet1!R480C16</stp>
        <tr r="P480" s="1"/>
      </tp>
      <tp t="s">
        <v>T 1 1/8 02/28/19</v>
        <stp/>
        <stp>##V3_BDPV12</stp>
        <stp>912828W3 Govt</stp>
        <stp>SECURITY_NAME</stp>
        <stp>[TREASURY.xlsx]Sheet1!R681C16</stp>
        <tr r="P681" s="1"/>
      </tp>
      <tp t="s">
        <v>T 5 5/8 11/30/00</v>
        <stp/>
        <stp>##V3_BDPV12</stp>
        <stp>912827W2 Govt</stp>
        <stp>SECURITY_NAME</stp>
        <stp>[TREASURY.xlsx]Sheet1!R767C16</stp>
        <tr r="P767" s="1"/>
      </tp>
      <tp t="s">
        <v>9128276L1</v>
        <stp/>
        <stp>##V3_BDPV12</stp>
        <stp>9128276L Govt</stp>
        <stp>ID_CUSIP</stp>
        <stp>[TREASURY.xlsx]Sheet1!R1538C19</stp>
        <tr r="S1538" s="1"/>
      </tp>
      <tp t="s">
        <v>T 1 3/8 02/15/20</v>
        <stp/>
        <stp>##V3_BDPV12</stp>
        <stp>912828W2 Govt</stp>
        <stp>SECURITY_NAME</stp>
        <stp>[TREASURY.xlsx]Sheet1!R679C16</stp>
        <tr r="P679" s="1"/>
      </tp>
      <tp t="s">
        <v>T 1 7/8 02/28/22</v>
        <stp/>
        <stp>##V3_BDPV12</stp>
        <stp>912828W5 Govt</stp>
        <stp>SECURITY_NAME</stp>
        <stp>[TREASURY.xlsx]Sheet1!R281C16</stp>
        <tr r="P281" s="1"/>
      </tp>
      <tp t="s">
        <v>9128276K3</v>
        <stp/>
        <stp>##V3_BDPV12</stp>
        <stp>9128276K Govt</stp>
        <stp>ID_CUSIP</stp>
        <stp>[TREASURY.xlsx]Sheet1!R1023C19</stp>
        <tr r="S1023" s="1"/>
      </tp>
      <tp t="s">
        <v>T 2 1/8 02/29/24</v>
        <stp/>
        <stp>##V3_BDPV12</stp>
        <stp>912828W4 Govt</stp>
        <stp>SECURITY_NAME</stp>
        <stp>[TREASURY.xlsx]Sheet1!R296C16</stp>
        <tr r="P296" s="1"/>
      </tp>
      <tp t="s">
        <v>T 2 1/8 03/31/24</v>
        <stp/>
        <stp>##V3_BDPV12</stp>
        <stp>912828W7 Govt</stp>
        <stp>SECURITY_NAME</stp>
        <stp>[TREASURY.xlsx]Sheet1!R125C16</stp>
        <tr r="P125" s="1"/>
      </tp>
      <tp t="s">
        <v>T 1 7/8 03/31/22</v>
        <stp/>
        <stp>##V3_BDPV12</stp>
        <stp>912828W8 Govt</stp>
        <stp>SECURITY_NAME</stp>
        <stp>[TREASURY.xlsx]Sheet1!R221C16</stp>
        <tr r="P221" s="1"/>
      </tp>
      <tp t="s">
        <v>T 5 1/4 12/31/97</v>
        <stp/>
        <stp>##V3_BDPV12</stp>
        <stp>912827W3 Govt</stp>
        <stp>SECURITY_NAME</stp>
        <stp>[TREASURY.xlsx]Sheet1!R928C16</stp>
        <tr r="P928" s="1"/>
      </tp>
      <tp t="s">
        <v>T 1 1/4 03/31/19</v>
        <stp/>
        <stp>##V3_BDPV12</stp>
        <stp>912828W9 Govt</stp>
        <stp>SECURITY_NAME</stp>
        <stp>[TREASURY.xlsx]Sheet1!R363C16</stp>
        <tr r="P363" s="1"/>
      </tp>
      <tp t="s">
        <v>9128276E7</v>
        <stp/>
        <stp>##V3_BDPV12</stp>
        <stp>9128276E Govt</stp>
        <stp>ID_CUSIP</stp>
        <stp>[TREASURY.xlsx]Sheet1!R1536C19</stp>
        <tr r="S1536" s="1"/>
      </tp>
      <tp t="s">
        <v>9128276D9</v>
        <stp/>
        <stp>##V3_BDPV12</stp>
        <stp>9128276D Govt</stp>
        <stp>ID_CUSIP</stp>
        <stp>[TREASURY.xlsx]Sheet1!R1465C19</stp>
        <tr r="S1465" s="1"/>
      </tp>
      <tp t="s">
        <v>T 5 1/2 12/31/00</v>
        <stp/>
        <stp>##V3_BDPV12</stp>
        <stp>912827W4 Govt</stp>
        <stp>SECURITY_NAME</stp>
        <stp>[TREASURY.xlsx]Sheet1!R929C16</stp>
        <tr r="P929" s="1"/>
      </tp>
      <tp t="s">
        <v>9128276A5</v>
        <stp/>
        <stp>##V3_BDPV12</stp>
        <stp>9128276A Govt</stp>
        <stp>ID_CUSIP</stp>
        <stp>[TREASURY.xlsx]Sheet1!R1020C19</stp>
        <tr r="S1020" s="1"/>
      </tp>
      <tp t="s">
        <v>9128276B3</v>
        <stp/>
        <stp>##V3_BDPV12</stp>
        <stp>9128276B Govt</stp>
        <stp>ID_CUSIP</stp>
        <stp>[TREASURY.xlsx]Sheet1!R1021C19</stp>
        <tr r="S1021" s="1"/>
      </tp>
      <tp t="s">
        <v>9128276F4</v>
        <stp/>
        <stp>##V3_BDPV12</stp>
        <stp>9128276F Govt</stp>
        <stp>ID_CUSIP</stp>
        <stp>[TREASURY.xlsx]Sheet1!R1466C19</stp>
        <tr r="S1466" s="1"/>
      </tp>
      <tp t="s">
        <v>9128276C1</v>
        <stp/>
        <stp>##V3_BDPV12</stp>
        <stp>9128276C Govt</stp>
        <stp>ID_CUSIP</stp>
        <stp>[TREASURY.xlsx]Sheet1!R1022C19</stp>
        <tr r="S1022" s="1"/>
      </tp>
      <tp t="s">
        <v>9128276X5</v>
        <stp/>
        <stp>##V3_BDPV12</stp>
        <stp>9128276X Govt</stp>
        <stp>ID_CUSIP</stp>
        <stp>[TREASURY.xlsx]Sheet1!R1469C19</stp>
        <tr r="S1469" s="1"/>
      </tp>
      <tp t="s">
        <v>9128276Y3</v>
        <stp/>
        <stp>##V3_BDPV12</stp>
        <stp>9128276Y Govt</stp>
        <stp>ID_CUSIP</stp>
        <stp>[TREASURY.xlsx]Sheet1!R1542C19</stp>
        <tr r="S1542" s="1"/>
      </tp>
      <tp t="s">
        <v>9128276Z0</v>
        <stp/>
        <stp>##V3_BDPV12</stp>
        <stp>9128276Z Govt</stp>
        <stp>ID_CUSIP</stp>
        <stp>[TREASURY.xlsx]Sheet1!R1026C19</stp>
        <tr r="S1026" s="1"/>
      </tp>
      <tp t="s">
        <v>9128276Q0</v>
        <stp/>
        <stp>##V3_BDPV12</stp>
        <stp>9128276Q Govt</stp>
        <stp>ID_CUSIP</stp>
        <stp>[TREASURY.xlsx]Sheet1!R1539C19</stp>
        <tr r="S1539" s="1"/>
      </tp>
      <tp t="s">
        <v>9128276T4</v>
        <stp/>
        <stp>##V3_BDPV12</stp>
        <stp>9128276T Govt</stp>
        <stp>ID_CUSIP</stp>
        <stp>[TREASURY.xlsx]Sheet1!R1025C19</stp>
        <tr r="S1025" s="1"/>
      </tp>
      <tp t="s">
        <v>9128276S6</v>
        <stp/>
        <stp>##V3_BDPV12</stp>
        <stp>9128276S Govt</stp>
        <stp>ID_CUSIP</stp>
        <stp>[TREASURY.xlsx]Sheet1!R1540C19</stp>
        <tr r="S1540" s="1"/>
      </tp>
      <tp t="s">
        <v>9128276U1</v>
        <stp/>
        <stp>##V3_BDPV12</stp>
        <stp>9128276U Govt</stp>
        <stp>ID_CUSIP</stp>
        <stp>[TREASURY.xlsx]Sheet1!R1467C19</stp>
        <tr r="S1467" s="1"/>
      </tp>
      <tp t="s">
        <v>9128276V9</v>
        <stp/>
        <stp>##V3_BDPV12</stp>
        <stp>9128276V Govt</stp>
        <stp>ID_CUSIP</stp>
        <stp>[TREASURY.xlsx]Sheet1!R1468C19</stp>
        <tr r="S1468" s="1"/>
      </tp>
      <tp t="s">
        <v>9128276W7</v>
        <stp/>
        <stp>##V3_BDPV12</stp>
        <stp>9128276W Govt</stp>
        <stp>ID_CUSIP</stp>
        <stp>[TREASURY.xlsx]Sheet1!R1541C19</stp>
        <tr r="S1541" s="1"/>
      </tp>
      <tp t="s">
        <v>T 8 1/4 08/31/91</v>
        <stp/>
        <stp>##V3_BDPV12</stp>
        <stp>912827XX Govt</stp>
        <stp>SECURITY_NAME</stp>
        <stp>[TREASURY.xlsx]Sheet1!R939C16</stp>
        <tr r="P939" s="1"/>
      </tp>
      <tp t="s">
        <v>T 1 3/4 05/31/22</v>
        <stp/>
        <stp>##V3_BDPV12</stp>
        <stp>912828XR Govt</stp>
        <stp>SECURITY_NAME</stp>
        <stp>[TREASURY.xlsx]Sheet1!R203C16</stp>
        <tr r="P203" s="1"/>
      </tp>
      <tp t="s">
        <v>UNITED STATES</v>
        <stp/>
        <stp>##V3_BDPV12</stp>
        <stp>91282CAF Govt</stp>
        <stp>COUNTRY_FULL_NAME</stp>
        <stp>[TREASURY.xlsx]Sheet1!R195C8</stp>
        <tr r="H195" s="1"/>
      </tp>
      <tp t="s">
        <v>T 2 07/31/22</v>
        <stp/>
        <stp>##V3_BDPV12</stp>
        <stp>912828XQ Govt</stp>
        <stp>SECURITY_NAME</stp>
        <stp>[TREASURY.xlsx]Sheet1!R206C16</stp>
        <tr r="P206" s="1"/>
      </tp>
      <tp t="s">
        <v>T 1 1/2 06/15/20</v>
        <stp/>
        <stp>##V3_BDPV12</stp>
        <stp>912828XU Govt</stp>
        <stp>SECURITY_NAME</stp>
        <stp>[TREASURY.xlsx]Sheet1!R639C16</stp>
        <tr r="P639" s="1"/>
      </tp>
      <tp t="s">
        <v>T 7 7/8 07/15/96</v>
        <stp/>
        <stp>##V3_BDPV12</stp>
        <stp>912827XT Govt</stp>
        <stp>SECURITY_NAME</stp>
        <stp>[TREASURY.xlsx]Sheet1!R774C16</stp>
        <tr r="P774" s="1"/>
      </tp>
      <tp t="s">
        <v>UNITED STATES</v>
        <stp/>
        <stp>##V3_BDPV12</stp>
        <stp>91282CBE Govt</stp>
        <stp>COUNTRY_FULL_NAME</stp>
        <stp>[TREASURY.xlsx]Sheet1!R115C8</stp>
        <tr r="H115" s="1"/>
      </tp>
      <tp t="s">
        <v>T 0 5/8 07/31/17</v>
        <stp/>
        <stp>##V3_BDPV12</stp>
        <stp>912828XP Govt</stp>
        <stp>SECURITY_NAME</stp>
        <stp>[TREASURY.xlsx]Sheet1!R588C16</stp>
        <tr r="P588" s="1"/>
      </tp>
      <tp t="s">
        <v>T 1 3/4 06/30/22</v>
        <stp/>
        <stp>##V3_BDPV12</stp>
        <stp>912828XW Govt</stp>
        <stp>SECURITY_NAME</stp>
        <stp>[TREASURY.xlsx]Sheet1!R217C16</stp>
        <tr r="P217" s="1"/>
      </tp>
      <tp t="s">
        <v>T 2 05/31/24</v>
        <stp/>
        <stp>##V3_BDPV12</stp>
        <stp>912828XT Govt</stp>
        <stp>SECURITY_NAME</stp>
        <stp>[TREASURY.xlsx]Sheet1!R155C16</stp>
        <tr r="P155" s="1"/>
      </tp>
      <tp t="s">
        <v>T 8 3/4 05/31/91</v>
        <stp/>
        <stp>##V3_BDPV12</stp>
        <stp>912827XP Govt</stp>
        <stp>SECURITY_NAME</stp>
        <stp>[TREASURY.xlsx]Sheet1!R937C16</stp>
        <tr r="P937" s="1"/>
      </tp>
      <tp t="s">
        <v>T 2 3/4 06/30/25</v>
        <stp/>
        <stp>##V3_BDPV12</stp>
        <stp>912828XZ Govt</stp>
        <stp>SECURITY_NAME</stp>
        <stp>[TREASURY.xlsx]Sheet1!R279C16</stp>
        <tr r="P279" s="1"/>
      </tp>
      <tp t="s">
        <v>T 8 1/8 06/30/93</v>
        <stp/>
        <stp>##V3_BDPV12</stp>
        <stp>912827XS Govt</stp>
        <stp>SECURITY_NAME</stp>
        <stp>[TREASURY.xlsx]Sheet1!R938C16</stp>
        <tr r="P938" s="1"/>
      </tp>
      <tp t="s">
        <v>T 2 06/30/24</v>
        <stp/>
        <stp>##V3_BDPV12</stp>
        <stp>912828XX Govt</stp>
        <stp>SECURITY_NAME</stp>
        <stp>[TREASURY.xlsx]Sheet1!R249C16</stp>
        <tr r="P249" s="1"/>
      </tp>
      <tp t="s">
        <v>T 2 1/2 06/30/20</v>
        <stp/>
        <stp>##V3_BDPV12</stp>
        <stp>912828XY Govt</stp>
        <stp>SECURITY_NAME</stp>
        <stp>[TREASURY.xlsx]Sheet1!R473C16</stp>
        <tr r="P473" s="1"/>
      </tp>
      <tp t="s">
        <v>T 1 1/4 06/30/19</v>
        <stp/>
        <stp>##V3_BDPV12</stp>
        <stp>912828XV Govt</stp>
        <stp>SECURITY_NAME</stp>
        <stp>[TREASURY.xlsx]Sheet1!R883C16</stp>
        <tr r="P883" s="1"/>
      </tp>
      <tp t="s">
        <v>T 1 1/2 05/31/20</v>
        <stp/>
        <stp>##V3_BDPV12</stp>
        <stp>912828XE Govt</stp>
        <stp>SECURITY_NAME</stp>
        <stp>[TREASURY.xlsx]Sheet1!R448C16</stp>
        <tr r="P448" s="1"/>
      </tp>
      <tp t="s">
        <v>T 8 7/8 02/15/99</v>
        <stp/>
        <stp>##V3_BDPV12</stp>
        <stp>912827XE Govt</stp>
        <stp>SECURITY_NAME</stp>
        <stp>[TREASURY.xlsx]Sheet1!R570C16</stp>
        <tr r="P570" s="1"/>
      </tp>
      <tp t="s">
        <v>T 2 1/8 05/15/25</v>
        <stp/>
        <stp>##V3_BDPV12</stp>
        <stp>912828XB Govt</stp>
        <stp>SECURITY_NAME</stp>
        <stp>[TREASURY.xlsx]Sheet1!R122C16</stp>
        <tr r="P122" s="1"/>
      </tp>
      <tp t="s">
        <v>T 9 5/8 03/31/93</v>
        <stp/>
        <stp>##V3_BDPV12</stp>
        <stp>912827XJ Govt</stp>
        <stp>SECURITY_NAME</stp>
        <stp>[TREASURY.xlsx]Sheet1!R936C16</stp>
        <tr r="P936" s="1"/>
      </tp>
      <tp t="s">
        <v>T 1 05/15/18</v>
        <stp/>
        <stp>##V3_BDPV12</stp>
        <stp>912828XA Govt</stp>
        <stp>SECURITY_NAME</stp>
        <stp>[TREASURY.xlsx]Sheet1!R377C16</stp>
        <tr r="P377" s="1"/>
      </tp>
      <tp t="s">
        <v>T 1 7/8 05/31/22</v>
        <stp/>
        <stp>##V3_BDPV12</stp>
        <stp>912828XD Govt</stp>
        <stp>SECURITY_NAME</stp>
        <stp>[TREASURY.xlsx]Sheet1!R189C16</stp>
        <tr r="P189" s="1"/>
      </tp>
      <tp t="s">
        <v>T 9 01/31/91</v>
        <stp/>
        <stp>##V3_BDPV12</stp>
        <stp>912827XC Govt</stp>
        <stp>SECURITY_NAME</stp>
        <stp>[TREASURY.xlsx]Sheet1!R771C16</stp>
        <tr r="P771" s="1"/>
      </tp>
      <tp t="s">
        <v>T 2 1/8 06/30/22</v>
        <stp/>
        <stp>##V3_BDPV12</stp>
        <stp>912828XG Govt</stp>
        <stp>SECURITY_NAME</stp>
        <stp>[TREASURY.xlsx]Sheet1!R196C16</stp>
        <tr r="P196" s="1"/>
      </tp>
      <tp t="s">
        <v>T 1 5/8 07/31/20</v>
        <stp/>
        <stp>##V3_BDPV12</stp>
        <stp>912828XM Govt</stp>
        <stp>SECURITY_NAME</stp>
        <stp>[TREASURY.xlsx]Sheet1!R536C16</stp>
        <tr r="P536" s="1"/>
      </tp>
      <tp t="s">
        <v>T 0 7/8 07/15/18</v>
        <stp/>
        <stp>##V3_BDPV12</stp>
        <stp>912828XK Govt</stp>
        <stp>SECURITY_NAME</stp>
        <stp>[TREASURY.xlsx]Sheet1!R625C16</stp>
        <tr r="P625" s="1"/>
      </tp>
      <tp t="s">
        <v>T 9 1/8 02/15/92</v>
        <stp/>
        <stp>##V3_BDPV12</stp>
        <stp>912827XD Govt</stp>
        <stp>SECURITY_NAME</stp>
        <stp>[TREASURY.xlsx]Sheet1!R935C16</stp>
        <tr r="P935" s="1"/>
      </tp>
      <tp t="s">
        <v>T 1 5/8 06/30/20</v>
        <stp/>
        <stp>##V3_BDPV12</stp>
        <stp>912828XH Govt</stp>
        <stp>SECURITY_NAME</stp>
        <stp>[TREASURY.xlsx]Sheet1!R468C16</stp>
        <tr r="P468" s="1"/>
      </tp>
      <tp t="s">
        <v>T 9 3/8 04/15/96</v>
        <stp/>
        <stp>##V3_BDPV12</stp>
        <stp>912827XK Govt</stp>
        <stp>SECURITY_NAME</stp>
        <stp>[TREASURY.xlsx]Sheet1!R773C16</stp>
        <tr r="P773" s="1"/>
      </tp>
      <tp t="s">
        <v>T 9 3/4 03/31/91</v>
        <stp/>
        <stp>##V3_BDPV12</stp>
        <stp>912827XH Govt</stp>
        <stp>SECURITY_NAME</stp>
        <stp>[TREASURY.xlsx]Sheet1!R772C16</stp>
        <tr r="P772" s="1"/>
      </tp>
      <tp t="s">
        <v>FIXED</v>
        <stp/>
        <stp>##V3_BDPV12</stp>
        <stp>9128285D Govt</stp>
        <stp>CPN_TYP</stp>
        <stp>[TREASURY.xlsx]Sheet1!R54C11</stp>
        <tr r="K54" s="1"/>
      </tp>
      <tp t="s">
        <v>FIXED</v>
        <stp/>
        <stp>##V3_BDPV12</stp>
        <stp>91282CBD Govt</stp>
        <stp>CPN_TYP</stp>
        <stp>[TREASURY.xlsx]Sheet1!R50C11</stp>
        <tr r="K50" s="1"/>
      </tp>
      <tp t="s">
        <v>FIXED</v>
        <stp/>
        <stp>##V3_BDPV12</stp>
        <stp>91282CCD Govt</stp>
        <stp>CPN_TYP</stp>
        <stp>[TREASURY.xlsx]Sheet1!R58C11</stp>
        <tr r="K58" s="1"/>
      </tp>
      <tp t="s">
        <v>UNITED STATES</v>
        <stp/>
        <stp>##V3_BDPV12</stp>
        <stp>91282CBC Govt</stp>
        <stp>COUNTRY_FULL_NAME</stp>
        <stp>[TREASURY.xlsx]Sheet1!R41C8</stp>
        <tr r="H41" s="1"/>
      </tp>
      <tp t="s">
        <v>UNITED STATES</v>
        <stp/>
        <stp>##V3_BDPV12</stp>
        <stp>91282CDA Govt</stp>
        <stp>COUNTRY_FULL_NAME</stp>
        <stp>[TREASURY.xlsx]Sheet1!R11C8</stp>
        <tr r="H11" s="1"/>
      </tp>
      <tp t="s">
        <v>UNITED STATES</v>
        <stp/>
        <stp>##V3_BDPV12</stp>
        <stp>9128285M Govt</stp>
        <stp>COUNTRY_FULL_NAME</stp>
        <stp>[TREASURY.xlsx]Sheet1!R51C8</stp>
        <tr r="H51" s="1"/>
      </tp>
      <tp t="s">
        <v>UNITED STATES</v>
        <stp/>
        <stp>##V3_BDPV12</stp>
        <stp>9128284N Govt</stp>
        <stp>COUNTRY_FULL_NAME</stp>
        <stp>[TREASURY.xlsx]Sheet1!R71C8</stp>
        <tr r="H71" s="1"/>
      </tp>
      <tp t="s">
        <v>UNITED STATES</v>
        <stp/>
        <stp>##V3_BDPV12</stp>
        <stp>912828ZF Govt</stp>
        <stp>COUNTRY_FULL_NAME</stp>
        <stp>[TREASURY.xlsx]Sheet1!R61C8</stp>
        <tr r="H61" s="1"/>
      </tp>
      <tp t="s">
        <v>UNITED STATES</v>
        <stp/>
        <stp>##V3_BDPV12</stp>
        <stp>912828ZQ Govt</stp>
        <stp>COUNTRY_FULL_NAME</stp>
        <stp>[TREASURY.xlsx]Sheet1!R31C8</stp>
        <tr r="H31" s="1"/>
      </tp>
      <tp t="s">
        <v>UNITED STATES</v>
        <stp/>
        <stp>##V3_BDPV12</stp>
        <stp>912828P4 Govt</stp>
        <stp>COUNTRY_FULL_NAME</stp>
        <stp>[TREASURY.xlsx]Sheet1!R91C8</stp>
        <tr r="H91" s="1"/>
      </tp>
      <tp t="s">
        <v>UNITED STATES</v>
        <stp/>
        <stp>##V3_BDPV12</stp>
        <stp>912828K7 Govt</stp>
        <stp>COUNTRY_FULL_NAME</stp>
        <stp>[TREASURY.xlsx]Sheet1!R81C8</stp>
        <tr r="H81" s="1"/>
      </tp>
      <tp t="s">
        <v>9/30/2021</v>
        <stp/>
        <stp>##V3_BDPV12</stp>
        <stp>912828YJ Govt</stp>
        <stp>MATURITY</stp>
        <stp>[TREASURY.xlsx]Sheet1!R80C5</stp>
        <tr r="E80" s="1"/>
      </tp>
      <tp t="s">
        <v>4/30/2025</v>
        <stp/>
        <stp>##V3_BDPV12</stp>
        <stp>912828ZL Govt</stp>
        <stp>MATURITY</stp>
        <stp>[TREASURY.xlsx]Sheet1!R66C5</stp>
        <tr r="E66" s="1"/>
      </tp>
      <tp t="s">
        <v>7/31/2023</v>
        <stp/>
        <stp>##V3_BDPV12</stp>
        <stp>91282CCN Govt</stp>
        <stp>MATURITY</stp>
        <stp>[TREASURY.xlsx]Sheet1!R24C5</stp>
        <tr r="E24" s="1"/>
      </tp>
      <tp t="s">
        <v>UNITED STATES</v>
        <stp/>
        <stp>##V3_BDPV12</stp>
        <stp>912810SQ Govt</stp>
        <stp>COUNTRY_FULL_NAME</stp>
        <stp>[TREASURY.xlsx]Sheet1!R92C8</stp>
        <tr r="H92" s="1"/>
      </tp>
      <tp t="s">
        <v>NORMAL</v>
        <stp/>
        <stp>##V3_BDPV12</stp>
        <stp>912827V4 Govt</stp>
        <stp>MTY_TYP</stp>
        <stp>[TREASURY.xlsx]Sheet1!R757C6</stp>
        <tr r="F757" s="1"/>
      </tp>
      <tp t="s">
        <v>NORMAL</v>
        <stp/>
        <stp>##V3_BDPV12</stp>
        <stp>912828P2 Govt</stp>
        <stp>MTY_TYP</stp>
        <stp>[TREASURY.xlsx]Sheet1!R981C6</stp>
        <tr r="F981" s="1"/>
      </tp>
      <tp t="s">
        <v>NORMAL</v>
        <stp/>
        <stp>##V3_BDPV12</stp>
        <stp>912828U7 Govt</stp>
        <stp>MTY_TYP</stp>
        <stp>[TREASURY.xlsx]Sheet1!R484C6</stp>
        <tr r="F484" s="1"/>
      </tp>
      <tp t="s">
        <v>NORMAL</v>
        <stp/>
        <stp>##V3_BDPV12</stp>
        <stp>912828S4 Govt</stp>
        <stp>MTY_TYP</stp>
        <stp>[TREASURY.xlsx]Sheet1!R487C6</stp>
        <tr r="F487" s="1"/>
      </tp>
      <tp t="s">
        <v>NORMAL</v>
        <stp/>
        <stp>##V3_BDPV12</stp>
        <stp>912828H2 Govt</stp>
        <stp>MTY_TYP</stp>
        <stp>[TREASURY.xlsx]Sheet1!R581C6</stp>
        <tr r="F581" s="1"/>
      </tp>
      <tp t="s">
        <v>NORMAL</v>
        <stp/>
        <stp>##V3_BDPV12</stp>
        <stp>912827Z2 Govt</stp>
        <stp>MTY_TYP</stp>
        <stp>[TREASURY.xlsx]Sheet1!R951C6</stp>
        <tr r="F951" s="1"/>
      </tp>
      <tp t="s">
        <v>NORMAL</v>
        <stp/>
        <stp>##V3_BDPV12</stp>
        <stp>912827L5 Govt</stp>
        <stp>MTY_TYP</stp>
        <stp>[TREASURY.xlsx]Sheet1!R886C6</stp>
        <tr r="F886" s="1"/>
      </tp>
      <tp t="s">
        <v>NORMAL</v>
        <stp/>
        <stp>##V3_BDPV12</stp>
        <stp>912828T6 Govt</stp>
        <stp>MTY_TYP</stp>
        <stp>[TREASURY.xlsx]Sheet1!R105C6</stp>
        <tr r="F105" s="1"/>
      </tp>
      <tp t="s">
        <v>NORMAL</v>
        <stp/>
        <stp>##V3_BDPV12</stp>
        <stp>912828R3 Govt</stp>
        <stp>MTY_TYP</stp>
        <stp>[TREASURY.xlsx]Sheet1!R130C6</stp>
        <tr r="F130" s="1"/>
      </tp>
      <tp t="s">
        <v>NORMAL</v>
        <stp/>
        <stp>##V3_BDPV12</stp>
        <stp>912828M5 Govt</stp>
        <stp>MTY_TYP</stp>
        <stp>[TREASURY.xlsx]Sheet1!R116C6</stp>
        <tr r="F116" s="1"/>
      </tp>
      <tp t="s">
        <v>NORMAL</v>
        <stp/>
        <stp>##V3_BDPV12</stp>
        <stp>912828U5 Govt</stp>
        <stp>MTY_TYP</stp>
        <stp>[TREASURY.xlsx]Sheet1!R246C6</stp>
        <tr r="F246" s="1"/>
      </tp>
      <tp t="s">
        <v>NORMAL</v>
        <stp/>
        <stp>##V3_BDPV12</stp>
        <stp>912828J7 Govt</stp>
        <stp>MTY_TYP</stp>
        <stp>[TREASURY.xlsx]Sheet1!R204C6</stp>
        <tr r="F204" s="1"/>
      </tp>
      <tp t="s">
        <v>NORMAL</v>
        <stp/>
        <stp>##V3_BDPV12</stp>
        <stp>912828S2 Govt</stp>
        <stp>MTY_TYP</stp>
        <stp>[TREASURY.xlsx]Sheet1!R391C6</stp>
        <tr r="F391" s="1"/>
      </tp>
      <tp t="s">
        <v>T 1 1/2 05/15/20</v>
        <stp/>
        <stp>##V3_BDPV12</stp>
        <stp>912828X9 Govt</stp>
        <stp>SECURITY_NAME</stp>
        <stp>[TREASURY.xlsx]Sheet1!R882C16</stp>
        <tr r="P882" s="1"/>
      </tp>
      <tp t="s">
        <v>T 6 3/8 03/31/01</v>
        <stp/>
        <stp>##V3_BDPV12</stp>
        <stp>912827X4 Govt</stp>
        <stp>SECURITY_NAME</stp>
        <stp>[TREASURY.xlsx]Sheet1!R769C16</stp>
        <tr r="P769" s="1"/>
      </tp>
      <tp t="s">
        <v>T 2 04/30/24</v>
        <stp/>
        <stp>##V3_BDPV12</stp>
        <stp>912828X7 Govt</stp>
        <stp>SECURITY_NAME</stp>
        <stp>[TREASURY.xlsx]Sheet1!R300C16</stp>
        <tr r="P300" s="1"/>
      </tp>
      <tp t="s">
        <v>T 1 1/2 04/15/20</v>
        <stp/>
        <stp>##V3_BDPV12</stp>
        <stp>912828X2 Govt</stp>
        <stp>SECURITY_NAME</stp>
        <stp>[TREASURY.xlsx]Sheet1!R624C16</stp>
        <tr r="P624" s="1"/>
      </tp>
      <tp t="s">
        <v>T 1 7/8 04/30/22</v>
        <stp/>
        <stp>##V3_BDPV12</stp>
        <stp>912828X4 Govt</stp>
        <stp>SECURITY_NAME</stp>
        <stp>[TREASURY.xlsx]Sheet1!R224C16</stp>
        <tr r="P224" s="1"/>
      </tp>
      <tp t="s">
        <v>T 5 7/8 04/30/98</v>
        <stp/>
        <stp>##V3_BDPV12</stp>
        <stp>912827X5 Govt</stp>
        <stp>SECURITY_NAME</stp>
        <stp>[TREASURY.xlsx]Sheet1!R934C16</stp>
        <tr r="P934" s="1"/>
      </tp>
      <tp t="s">
        <v>T 6 05/31/98</v>
        <stp/>
        <stp>##V3_BDPV12</stp>
        <stp>912827X9 Govt</stp>
        <stp>SECURITY_NAME</stp>
        <stp>[TREASURY.xlsx]Sheet1!R770C16</stp>
        <tr r="P770" s="1"/>
      </tp>
      <tp t="s">
        <v>T 1 1/2 10/31/21</v>
        <stp/>
        <stp>##V3_BDPV12</stp>
        <stp>912828YP Govt</stp>
        <stp>SECURITY_NAME</stp>
        <stp>[TREASURY.xlsx]Sheet1!R149C16</stp>
        <tr r="P149" s="1"/>
      </tp>
      <tp t="s">
        <v>T 8 1/2 05/31/92</v>
        <stp/>
        <stp>##V3_BDPV12</stp>
        <stp>912827YX Govt</stp>
        <stp>SECURITY_NAME</stp>
        <stp>[TREASURY.xlsx]Sheet1!R948C16</stp>
        <tr r="P948" s="1"/>
      </tp>
      <tp t="s">
        <v>T 8 1/2 08/15/95</v>
        <stp/>
        <stp>##V3_BDPV12</stp>
        <stp>912827YY Govt</stp>
        <stp>SECURITY_NAME</stp>
        <stp>[TREASURY.xlsx]Sheet1!R949C16</stp>
        <tr r="P949" s="1"/>
      </tp>
      <tp t="s">
        <v>UNITED STATES</v>
        <stp/>
        <stp>##V3_BDPV12</stp>
        <stp>91282CAY Govt</stp>
        <stp>COUNTRY_FULL_NAME</stp>
        <stp>[TREASURY.xlsx]Sheet1!R144C8</stp>
        <tr r="H144" s="1"/>
      </tp>
      <tp t="s">
        <v>T 8 3/8 06/30/92</v>
        <stp/>
        <stp>##V3_BDPV12</stp>
        <stp>912827YZ Govt</stp>
        <stp>SECURITY_NAME</stp>
        <stp>[TREASURY.xlsx]Sheet1!R950C16</stp>
        <tr r="P950" s="1"/>
      </tp>
      <tp t="s">
        <v>UNITED STATES</v>
        <stp/>
        <stp>##V3_BDPV12</stp>
        <stp>91282CBB Govt</stp>
        <stp>COUNTRY_FULL_NAME</stp>
        <stp>[TREASURY.xlsx]Sheet1!R114C8</stp>
        <tr r="H114" s="1"/>
      </tp>
      <tp t="s">
        <v>T 1 1/2 11/30/21</v>
        <stp/>
        <stp>##V3_BDPV12</stp>
        <stp>912828YT Govt</stp>
        <stp>SECURITY_NAME</stp>
        <stp>[TREASURY.xlsx]Sheet1!R198C16</stp>
        <tr r="P198" s="1"/>
      </tp>
      <tp t="s">
        <v>T 8 1/2 03/31/92</v>
        <stp/>
        <stp>##V3_BDPV12</stp>
        <stp>912827YR Govt</stp>
        <stp>SECURITY_NAME</stp>
        <stp>[TREASURY.xlsx]Sheet1!R684C16</stp>
        <tr r="P684" s="1"/>
      </tp>
      <tp t="s">
        <v>T 1 5/8 11/30/26</v>
        <stp/>
        <stp>##V3_BDPV12</stp>
        <stp>912828YU Govt</stp>
        <stp>SECURITY_NAME</stp>
        <stp>[TREASURY.xlsx]Sheet1!R174C16</stp>
        <tr r="P174" s="1"/>
      </tp>
      <tp t="s">
        <v>T 1 1/2 11/30/24</v>
        <stp/>
        <stp>##V3_BDPV12</stp>
        <stp>912828YV Govt</stp>
        <stp>SECURITY_NAME</stp>
        <stp>[TREASURY.xlsx]Sheet1!R139C16</stp>
        <tr r="P139" s="1"/>
      </tp>
      <tp t="s">
        <v>T 1 5/8 12/15/22</v>
        <stp/>
        <stp>##V3_BDPV12</stp>
        <stp>912828YW Govt</stp>
        <stp>SECURITY_NAME</stp>
        <stp>[TREASURY.xlsx]Sheet1!R141C16</stp>
        <tr r="P141" s="1"/>
      </tp>
      <tp t="s">
        <v>T 1 3/4 12/31/26</v>
        <stp/>
        <stp>##V3_BDPV12</stp>
        <stp>912828YX Govt</stp>
        <stp>SECURITY_NAME</stp>
        <stp>[TREASURY.xlsx]Sheet1!R104C16</stp>
        <tr r="P104" s="1"/>
      </tp>
      <tp t="s">
        <v>T 1 3/4 12/31/24</v>
        <stp/>
        <stp>##V3_BDPV12</stp>
        <stp>912828YY Govt</stp>
        <stp>SECURITY_NAME</stp>
        <stp>[TREASURY.xlsx]Sheet1!R158C16</stp>
        <tr r="P158" s="1"/>
      </tp>
      <tp t="s">
        <v>T 1 5/8 12/31/21</v>
        <stp/>
        <stp>##V3_BDPV12</stp>
        <stp>912828YZ Govt</stp>
        <stp>SECURITY_NAME</stp>
        <stp>[TREASURY.xlsx]Sheet1!R170C16</stp>
        <tr r="P170" s="1"/>
      </tp>
      <tp t="s">
        <v>T 8 1/2 03/31/94</v>
        <stp/>
        <stp>##V3_BDPV12</stp>
        <stp>912827YS Govt</stp>
        <stp>SECURITY_NAME</stp>
        <stp>[TREASURY.xlsx]Sheet1!R946C16</stp>
        <tr r="P946" s="1"/>
      </tp>
      <tp t="s">
        <v>T 8 5/8 05/15/93</v>
        <stp/>
        <stp>##V3_BDPV12</stp>
        <stp>912827YV Govt</stp>
        <stp>SECURITY_NAME</stp>
        <stp>[TREASURY.xlsx]Sheet1!R947C16</stp>
        <tr r="P947" s="1"/>
      </tp>
      <tp t="s">
        <v>T 1 1/2 08/15/22</v>
        <stp/>
        <stp>##V3_BDPV12</stp>
        <stp>912828YA Govt</stp>
        <stp>SECURITY_NAME</stp>
        <stp>[TREASURY.xlsx]Sheet1!R183C16</stp>
        <tr r="P183" s="1"/>
      </tp>
      <tp t="s">
        <v>T 1 1/2 08/31/21</v>
        <stp/>
        <stp>##V3_BDPV12</stp>
        <stp>912828YC Govt</stp>
        <stp>SECURITY_NAME</stp>
        <stp>[TREASURY.xlsx]Sheet1!R335C16</stp>
        <tr r="P335" s="1"/>
      </tp>
      <tp t="s">
        <v>T 1 3/8 08/31/26</v>
        <stp/>
        <stp>##V3_BDPV12</stp>
        <stp>912828YD Govt</stp>
        <stp>SECURITY_NAME</stp>
        <stp>[TREASURY.xlsx]Sheet1!R178C16</stp>
        <tr r="P178" s="1"/>
      </tp>
      <tp t="s">
        <v>T 8 3/8 02/15/93</v>
        <stp/>
        <stp>##V3_BDPV12</stp>
        <stp>912827YM Govt</stp>
        <stp>SECURITY_NAME</stp>
        <stp>[TREASURY.xlsx]Sheet1!R945C16</stp>
        <tr r="P945" s="1"/>
      </tp>
      <tp t="s">
        <v>T 1 1/4 08/31/24</v>
        <stp/>
        <stp>##V3_BDPV12</stp>
        <stp>912828YE Govt</stp>
        <stp>SECURITY_NAME</stp>
        <stp>[TREASURY.xlsx]Sheet1!R143C16</stp>
        <tr r="P143" s="1"/>
      </tp>
      <tp t="s">
        <v>T 1 1/2 09/30/24</v>
        <stp/>
        <stp>##V3_BDPV12</stp>
        <stp>912828YH Govt</stp>
        <stp>SECURITY_NAME</stp>
        <stp>[TREASURY.xlsx]Sheet1!R135C16</stp>
        <tr r="P135" s="1"/>
      </tp>
      <tp t="s">
        <v>T 8 1/2 02/15/00</v>
        <stp/>
        <stp>##V3_BDPV12</stp>
        <stp>912827YN Govt</stp>
        <stp>SECURITY_NAME</stp>
        <stp>[TREASURY.xlsx]Sheet1!R776C16</stp>
        <tr r="P776" s="1"/>
      </tp>
      <tp t="s">
        <v>T 8 1/4 09/30/93</v>
        <stp/>
        <stp>##V3_BDPV12</stp>
        <stp>912827YA Govt</stp>
        <stp>SECURITY_NAME</stp>
        <stp>[TREASURY.xlsx]Sheet1!R942C16</stp>
        <tr r="P942" s="1"/>
      </tp>
      <tp t="s">
        <v>T 1 3/8 10/15/22</v>
        <stp/>
        <stp>##V3_BDPV12</stp>
        <stp>912828YK Govt</stp>
        <stp>SECURITY_NAME</stp>
        <stp>[TREASURY.xlsx]Sheet1!R131C16</stp>
        <tr r="P131" s="1"/>
      </tp>
      <tp t="s">
        <v>T 7 5/8 12/31/93</v>
        <stp/>
        <stp>##V3_BDPV12</stp>
        <stp>912827YJ Govt</stp>
        <stp>SECURITY_NAME</stp>
        <stp>[TREASURY.xlsx]Sheet1!R775C16</stp>
        <tr r="P775" s="1"/>
      </tp>
      <tp t="s">
        <v>T 1 1/2 10/31/24</v>
        <stp/>
        <stp>##V3_BDPV12</stp>
        <stp>912828YM Govt</stp>
        <stp>SECURITY_NAME</stp>
        <stp>[TREASURY.xlsx]Sheet1!R113C16</stp>
        <tr r="P113" s="1"/>
      </tp>
      <tp t="s">
        <v>T 7 7/8 11/15/99</v>
        <stp/>
        <stp>##V3_BDPV12</stp>
        <stp>912827YE Govt</stp>
        <stp>SECURITY_NAME</stp>
        <stp>[TREASURY.xlsx]Sheet1!R943C16</stp>
        <tr r="P943" s="1"/>
      </tp>
      <tp t="s">
        <v>T 7 3/4 02/15/95</v>
        <stp/>
        <stp>##V3_BDPV12</stp>
        <stp>912827YG Govt</stp>
        <stp>SECURITY_NAME</stp>
        <stp>[TREASURY.xlsx]Sheet1!R944C16</stp>
        <tr r="P944" s="1"/>
      </tp>
      <tp t="s">
        <v>US9128282A70</v>
        <stp/>
        <stp>##V3_BDPV12</stp>
        <stp>9128282A Govt</stp>
        <stp>ID_ISIN</stp>
        <stp>[TREASURY.xlsx]Sheet1!R56C12</stp>
        <tr r="L56" s="1"/>
      </tp>
      <tp t="s">
        <v>US91282CBA80</v>
        <stp/>
        <stp>##V3_BDPV12</stp>
        <stp>91282CBA Govt</stp>
        <stp>ID_ISIN</stp>
        <stp>[TREASURY.xlsx]Sheet1!R78C12</stp>
        <tr r="L78" s="1"/>
      </tp>
      <tp t="s">
        <v>US91282CDA62</v>
        <stp/>
        <stp>##V3_BDPV12</stp>
        <stp>91282CDA Govt</stp>
        <stp>ID_ISIN</stp>
        <stp>[TREASURY.xlsx]Sheet1!R11C12</stp>
        <tr r="L11" s="1"/>
      </tp>
      <tp t="s">
        <v>US912810TA60</v>
        <stp/>
        <stp>##V3_BDPV12</stp>
        <stp>912810TA Govt</stp>
        <stp>ID_ISIN</stp>
        <stp>[TREASURY.xlsx]Sheet1!R10C12</stp>
        <tr r="L10" s="1"/>
      </tp>
      <tp t="s">
        <v>FIXED</v>
        <stp/>
        <stp>##V3_BDPV12</stp>
        <stp>91282CAE Govt</stp>
        <stp>CPN_TYP</stp>
        <stp>[TREASURY.xlsx]Sheet1!R18C11</stp>
        <tr r="K18" s="1"/>
      </tp>
      <tp t="s">
        <v>FIXED</v>
        <stp/>
        <stp>##V3_BDPV12</stp>
        <stp>91282CCE Govt</stp>
        <stp>CPN_TYP</stp>
        <stp>[TREASURY.xlsx]Sheet1!R77C11</stp>
        <tr r="K77" s="1"/>
      </tp>
      <tp t="s">
        <v>UNITED STATES</v>
        <stp/>
        <stp>##V3_BDPV12</stp>
        <stp>91282CCR Govt</stp>
        <stp>COUNTRY_FULL_NAME</stp>
        <stp>[TREASURY.xlsx]Sheet1!R20C8</stp>
        <tr r="H20" s="1"/>
      </tp>
      <tp t="s">
        <v>UNITED STATES</v>
        <stp/>
        <stp>##V3_BDPV12</stp>
        <stp>91282CBD Govt</stp>
        <stp>COUNTRY_FULL_NAME</stp>
        <stp>[TREASURY.xlsx]Sheet1!R50C8</stp>
        <tr r="H50" s="1"/>
      </tp>
      <tp t="s">
        <v>UNITED STATES</v>
        <stp/>
        <stp>##V3_BDPV12</stp>
        <stp>91282CBQ Govt</stp>
        <stp>COUNTRY_FULL_NAME</stp>
        <stp>[TREASURY.xlsx]Sheet1!R30C8</stp>
        <tr r="H30" s="1"/>
      </tp>
      <tp t="s">
        <v>UNITED STATES</v>
        <stp/>
        <stp>##V3_BDPV12</stp>
        <stp>91282CAK Govt</stp>
        <stp>COUNTRY_FULL_NAME</stp>
        <stp>[TREASURY.xlsx]Sheet1!R60C8</stp>
        <tr r="H60" s="1"/>
      </tp>
      <tp t="s">
        <v>UNITED STATES</v>
        <stp/>
        <stp>##V3_BDPV12</stp>
        <stp>912828YJ Govt</stp>
        <stp>COUNTRY_FULL_NAME</stp>
        <stp>[TREASURY.xlsx]Sheet1!R80C8</stp>
        <tr r="H80" s="1"/>
      </tp>
      <tp t="s">
        <v>UNITED STATES</v>
        <stp/>
        <stp>##V3_BDPV12</stp>
        <stp>912828D5 Govt</stp>
        <stp>COUNTRY_FULL_NAME</stp>
        <stp>[TREASURY.xlsx]Sheet1!R70C8</stp>
        <tr r="H70" s="1"/>
      </tp>
      <tp t="s">
        <v>NORMAL</v>
        <stp/>
        <stp>##V3_BDPV12</stp>
        <stp>912810SN Govt</stp>
        <stp>MTY_TYP</stp>
        <stp>[TREASURY.xlsx]Sheet1!R27C6</stp>
        <tr r="F27" s="1"/>
      </tp>
      <tp t="s">
        <v>9/15/2023</v>
        <stp/>
        <stp>##V3_BDPV12</stp>
        <stp>91282CAK Govt</stp>
        <stp>MATURITY</stp>
        <stp>[TREASURY.xlsx]Sheet1!R60C5</stp>
        <tr r="E60" s="1"/>
      </tp>
      <tp t="s">
        <v>7/31/2025</v>
        <stp/>
        <stp>##V3_BDPV12</stp>
        <stp>91282CAB Govt</stp>
        <stp>MATURITY</stp>
        <stp>[TREASURY.xlsx]Sheet1!R99C5</stp>
        <tr r="E99" s="1"/>
      </tp>
      <tp t="s">
        <v>5/15/2024</v>
        <stp/>
        <stp>##V3_BDPV12</stp>
        <stp>91282CCC Govt</stp>
        <stp>MATURITY</stp>
        <stp>[TREASURY.xlsx]Sheet1!R88C5</stp>
        <tr r="E88" s="1"/>
      </tp>
      <tp t="s">
        <v>NORMAL</v>
        <stp/>
        <stp>##V3_BDPV12</stp>
        <stp>912810TA Govt</stp>
        <stp>MTY_TYP</stp>
        <stp>[TREASURY.xlsx]Sheet1!R10C6</stp>
        <tr r="F10" s="1"/>
      </tp>
      <tp t="s">
        <v>UNITED STATES</v>
        <stp/>
        <stp>##V3_BDPV12</stp>
        <stp>912810SJ Govt</stp>
        <stp>COUNTRY_FULL_NAME</stp>
        <stp>[TREASURY.xlsx]Sheet1!R73C8</stp>
        <tr r="H73" s="1"/>
      </tp>
      <tp t="s">
        <v>UNITED STATES</v>
        <stp/>
        <stp>##V3_BDPV12</stp>
        <stp>912810PU Govt</stp>
        <stp>COUNTRY_FULL_NAME</stp>
        <stp>[TREASURY.xlsx]Sheet1!R63C8</stp>
        <tr r="H63" s="1"/>
      </tp>
      <tp t="s">
        <v>UNITED STATES</v>
        <stp/>
        <stp>##V3_BDPV12</stp>
        <stp>912810FP Govt</stp>
        <stp>COUNTRY_FULL_NAME</stp>
        <stp>[TREASURY.xlsx]Sheet1!R93C8</stp>
        <tr r="H93" s="1"/>
      </tp>
      <tp t="s">
        <v>NORMAL</v>
        <stp/>
        <stp>##V3_BDPV12</stp>
        <stp>912828U4 Govt</stp>
        <stp>MTY_TYP</stp>
        <stp>[TREASURY.xlsx]Sheet1!R876C6</stp>
        <tr r="F876" s="1"/>
      </tp>
      <tp t="s">
        <v>NORMAL</v>
        <stp/>
        <stp>##V3_BDPV12</stp>
        <stp>912827N5 Govt</stp>
        <stp>MTY_TYP</stp>
        <stp>[TREASURY.xlsx]Sheet1!R727C6</stp>
        <tr r="F727" s="1"/>
      </tp>
      <tp t="s">
        <v>NORMAL</v>
        <stp/>
        <stp>##V3_BDPV12</stp>
        <stp>912828U3 Govt</stp>
        <stp>MTY_TYP</stp>
        <stp>[TREASURY.xlsx]Sheet1!R491C6</stp>
        <tr r="F491" s="1"/>
      </tp>
      <tp t="s">
        <v>NORMAL</v>
        <stp/>
        <stp>##V3_BDPV12</stp>
        <stp>912828N2 Govt</stp>
        <stp>MTY_TYP</stp>
        <stp>[TREASURY.xlsx]Sheet1!R440C6</stp>
        <tr r="F440" s="1"/>
      </tp>
      <tp t="s">
        <v>NORMAL</v>
        <stp/>
        <stp>##V3_BDPV12</stp>
        <stp>912828W3 Govt</stp>
        <stp>MTY_TYP</stp>
        <stp>[TREASURY.xlsx]Sheet1!R681C6</stp>
        <tr r="F681" s="1"/>
      </tp>
      <tp t="s">
        <v>NORMAL</v>
        <stp/>
        <stp>##V3_BDPV12</stp>
        <stp>912827U3 Govt</stp>
        <stp>MTY_TYP</stp>
        <stp>[TREASURY.xlsx]Sheet1!R921C6</stp>
        <tr r="F921" s="1"/>
      </tp>
      <tp t="s">
        <v>NORMAL</v>
        <stp/>
        <stp>##V3_BDPV12</stp>
        <stp>912828H7 Govt</stp>
        <stp>MTY_TYP</stp>
        <stp>[TREASURY.xlsx]Sheet1!R605C6</stp>
        <tr r="F605" s="1"/>
      </tp>
      <tp t="s">
        <v>NORMAL</v>
        <stp/>
        <stp>##V3_BDPV12</stp>
        <stp>912828B5 Govt</stp>
        <stp>MTY_TYP</stp>
        <stp>[TREASURY.xlsx]Sheet1!R647C6</stp>
        <tr r="F647" s="1"/>
      </tp>
      <tp t="s">
        <v>NORMAL</v>
        <stp/>
        <stp>##V3_BDPV12</stp>
        <stp>912828W7 Govt</stp>
        <stp>MTY_TYP</stp>
        <stp>[TREASURY.xlsx]Sheet1!R125C6</stp>
        <tr r="F125" s="1"/>
      </tp>
      <tp t="s">
        <v>NORMAL</v>
        <stp/>
        <stp>##V3_BDPV12</stp>
        <stp>912828Y7 Govt</stp>
        <stp>MTY_TYP</stp>
        <stp>[TREASURY.xlsx]Sheet1!R255C6</stp>
        <tr r="F255" s="1"/>
      </tp>
      <tp t="s">
        <v>NORMAL</v>
        <stp/>
        <stp>##V3_BDPV12</stp>
        <stp>912828W4 Govt</stp>
        <stp>MTY_TYP</stp>
        <stp>[TREASURY.xlsx]Sheet1!R296C6</stp>
        <tr r="F296" s="1"/>
      </tp>
      <tp t="s">
        <v>NORMAL</v>
        <stp/>
        <stp>##V3_BDPV12</stp>
        <stp>912828Z6 Govt</stp>
        <stp>MTY_TYP</stp>
        <stp>[TREASURY.xlsx]Sheet1!R234C6</stp>
        <tr r="F234" s="1"/>
      </tp>
      <tp t="s">
        <v>NORMAL</v>
        <stp/>
        <stp>##V3_BDPV12</stp>
        <stp>912828Z2 Govt</stp>
        <stp>MTY_TYP</stp>
        <stp>[TREASURY.xlsx]Sheet1!R210C6</stp>
        <tr r="F210" s="1"/>
      </tp>
      <tp t="s">
        <v>NORMAL</v>
        <stp/>
        <stp>##V3_BDPV12</stp>
        <stp>912828V2 Govt</stp>
        <stp>MTY_TYP</stp>
        <stp>[TREASURY.xlsx]Sheet1!R250C6</stp>
        <tr r="F250" s="1"/>
      </tp>
      <tp t="s">
        <v>NORMAL</v>
        <stp/>
        <stp>##V3_BDPV12</stp>
        <stp>912810SS Govt</stp>
        <stp>MTY_TYP</stp>
        <stp>[TREASURY.xlsx]Sheet1!R37C6</stp>
        <tr r="F37" s="1"/>
      </tp>
      <tp t="s">
        <v>NORMAL</v>
        <stp/>
        <stp>##V3_BDPV12</stp>
        <stp>912810RT Govt</stp>
        <stp>MTY_TYP</stp>
        <stp>[TREASURY.xlsx]Sheet1!R96C6</stp>
        <tr r="F96" s="1"/>
      </tp>
      <tp t="s">
        <v>T 2 5/8 07/31/20</v>
        <stp/>
        <stp>##V3_BDPV12</stp>
        <stp>912828Y4 Govt</stp>
        <stp>SECURITY_NAME</stp>
        <stp>[TREASURY.xlsx]Sheet1!R589C16</stp>
        <tr r="P589" s="1"/>
      </tp>
      <tp t="s">
        <v>T 2 5/8 07/15/21</v>
        <stp/>
        <stp>##V3_BDPV12</stp>
        <stp>912828Y2 Govt</stp>
        <stp>SECURITY_NAME</stp>
        <stp>[TREASURY.xlsx]Sheet1!R336C16</stp>
        <tr r="P336" s="1"/>
      </tp>
      <tp t="s">
        <v>T 6 08/15/99</v>
        <stp/>
        <stp>##V3_BDPV12</stp>
        <stp>912827Y8 Govt</stp>
        <stp>SECURITY_NAME</stp>
        <stp>[TREASURY.xlsx]Sheet1!R941C16</stp>
        <tr r="P941" s="1"/>
      </tp>
      <tp t="s">
        <v>T 2 7/8 07/31/25</v>
        <stp/>
        <stp>##V3_BDPV12</stp>
        <stp>912828Y7 Govt</stp>
        <stp>SECURITY_NAME</stp>
        <stp>[TREASURY.xlsx]Sheet1!R255C16</stp>
        <tr r="P255" s="1"/>
      </tp>
      <tp t="s">
        <v>T 2 3/4 07/31/23</v>
        <stp/>
        <stp>##V3_BDPV12</stp>
        <stp>912828Y6 Govt</stp>
        <stp>SECURITY_NAME</stp>
        <stp>[TREASURY.xlsx]Sheet1!R297C16</stp>
        <tr r="P297" s="1"/>
      </tp>
      <tp t="s">
        <v>T 1 7/8 07/31/26</v>
        <stp/>
        <stp>##V3_BDPV12</stp>
        <stp>912828Y9 Govt</stp>
        <stp>SECURITY_NAME</stp>
        <stp>[TREASURY.xlsx]Sheet1!R157C16</stp>
        <tr r="P157" s="1"/>
      </tp>
      <tp t="s">
        <v>T 1 3/4 07/31/24</v>
        <stp/>
        <stp>##V3_BDPV12</stp>
        <stp>912828Y8 Govt</stp>
        <stp>SECURITY_NAME</stp>
        <stp>[TREASURY.xlsx]Sheet1!R208C16</stp>
        <tr r="P208" s="1"/>
      </tp>
      <tp t="s">
        <v>T 7 07/15/06</v>
        <stp/>
        <stp>##V3_BDPV12</stp>
        <stp>912827Y5 Govt</stp>
        <stp>SECURITY_NAME</stp>
        <stp>[TREASURY.xlsx]Sheet1!R940C16</stp>
        <tr r="P940" s="1"/>
      </tp>
      <tp t="s">
        <v>T 7 3/4 02/15/01</v>
        <stp/>
        <stp>##V3_BDPV12</stp>
        <stp>912827ZX Govt</stp>
        <stp>SECURITY_NAME</stp>
        <stp>[TREASURY.xlsx]Sheet1!R956C16</stp>
        <tr r="P956" s="1"/>
      </tp>
      <tp t="s">
        <v>T 0 1/8 05/15/23</v>
        <stp/>
        <stp>##V3_BDPV12</stp>
        <stp>912828ZP Govt</stp>
        <stp>SECURITY_NAME</stp>
        <stp>[TREASURY.xlsx]Sheet1!R153C16</stp>
        <tr r="P153" s="1"/>
      </tp>
      <tp t="s">
        <v>UNITED STATES</v>
        <stp/>
        <stp>##V3_BDPV12</stp>
        <stp>91282CAH Govt</stp>
        <stp>COUNTRY_FULL_NAME</stp>
        <stp>[TREASURY.xlsx]Sheet1!R167C8</stp>
        <tr r="H167" s="1"/>
      </tp>
      <tp t="s">
        <v>T 0 1/8 05/31/22</v>
        <stp/>
        <stp>##V3_BDPV12</stp>
        <stp>912828ZR Govt</stp>
        <stp>SECURITY_NAME</stp>
        <stp>[TREASURY.xlsx]Sheet1!R136C16</stp>
        <tr r="P136" s="1"/>
      </tp>
      <tp t="s">
        <v>UNITED STATES</v>
        <stp/>
        <stp>##V3_BDPV12</stp>
        <stp>91282CBM Govt</stp>
        <stp>COUNTRY_FULL_NAME</stp>
        <stp>[TREASURY.xlsx]Sheet1!R107C8</stp>
        <tr r="H107" s="1"/>
      </tp>
      <tp t="s">
        <v>T 0 1/2 05/31/27</v>
        <stp/>
        <stp>##V3_BDPV12</stp>
        <stp>912828ZS Govt</stp>
        <stp>SECURITY_NAME</stp>
        <stp>[TREASURY.xlsx]Sheet1!R171C16</stp>
        <tr r="P171" s="1"/>
      </tp>
      <tp t="s">
        <v>T 7 1/4 12/31/92</v>
        <stp/>
        <stp>##V3_BDPV12</stp>
        <stp>912827ZR Govt</stp>
        <stp>SECURITY_NAME</stp>
        <stp>[TREASURY.xlsx]Sheet1!R783C16</stp>
        <tr r="P783" s="1"/>
      </tp>
      <tp t="s">
        <v>T 0 1/4 06/15/23</v>
        <stp/>
        <stp>##V3_BDPV12</stp>
        <stp>912828ZU Govt</stp>
        <stp>SECURITY_NAME</stp>
        <stp>[TREASURY.xlsx]Sheet1!R162C16</stp>
        <tr r="P162" s="1"/>
      </tp>
      <tp t="s">
        <v>T 0 1/2 06/30/27</v>
        <stp/>
        <stp>##V3_BDPV12</stp>
        <stp>912828ZV Govt</stp>
        <stp>SECURITY_NAME</stp>
        <stp>[TREASURY.xlsx]Sheet1!R159C16</stp>
        <tr r="P159" s="1"/>
      </tp>
      <tp t="s">
        <v>T 0 1/4 06/30/25</v>
        <stp/>
        <stp>##V3_BDPV12</stp>
        <stp>912828ZW Govt</stp>
        <stp>SECURITY_NAME</stp>
        <stp>[TREASURY.xlsx]Sheet1!R101C16</stp>
        <tr r="P101" s="1"/>
      </tp>
      <tp t="s">
        <v>T 0 1/8 06/30/22</v>
        <stp/>
        <stp>##V3_BDPV12</stp>
        <stp>912828ZX Govt</stp>
        <stp>SECURITY_NAME</stp>
        <stp>[TREASURY.xlsx]Sheet1!R111C16</stp>
        <tr r="P111" s="1"/>
      </tp>
      <tp t="s">
        <v>T 7 3/8 11/30/92</v>
        <stp/>
        <stp>##V3_BDPV12</stp>
        <stp>912827ZP Govt</stp>
        <stp>SECURITY_NAME</stp>
        <stp>[TREASURY.xlsx]Sheet1!R953C16</stp>
        <tr r="P953" s="1"/>
      </tp>
      <tp t="s">
        <v>T 0 1/8 07/15/23</v>
        <stp/>
        <stp>##V3_BDPV12</stp>
        <stp>912828ZY Govt</stp>
        <stp>SECURITY_NAME</stp>
        <stp>[TREASURY.xlsx]Sheet1!R184C16</stp>
        <tr r="P184" s="1"/>
      </tp>
      <tp t="s">
        <v>T 7 5/8 12/31/94</v>
        <stp/>
        <stp>##V3_BDPV12</stp>
        <stp>912827ZS Govt</stp>
        <stp>SECURITY_NAME</stp>
        <stp>[TREASURY.xlsx]Sheet1!R954C16</stp>
        <tr r="P954" s="1"/>
      </tp>
      <tp t="s">
        <v>T 7 01/31/93</v>
        <stp/>
        <stp>##V3_BDPV12</stp>
        <stp>912827ZU Govt</stp>
        <stp>SECURITY_NAME</stp>
        <stp>[TREASURY.xlsx]Sheet1!R955C16</stp>
        <tr r="P955" s="1"/>
      </tp>
      <tp t="s">
        <v>T 1 1/8 02/28/22</v>
        <stp/>
        <stp>##V3_BDPV12</stp>
        <stp>912828ZA Govt</stp>
        <stp>SECURITY_NAME</stp>
        <stp>[TREASURY.xlsx]Sheet1!R190C16</stp>
        <tr r="P190" s="1"/>
      </tp>
      <tp t="s">
        <v>T 1 1/8 02/28/27</v>
        <stp/>
        <stp>##V3_BDPV12</stp>
        <stp>912828ZB Govt</stp>
        <stp>SECURITY_NAME</stp>
        <stp>[TREASURY.xlsx]Sheet1!R148C16</stp>
        <tr r="P148" s="1"/>
      </tp>
      <tp t="s">
        <v>T 8 3/4 08/15/00</v>
        <stp/>
        <stp>##V3_BDPV12</stp>
        <stp>912827ZE Govt</stp>
        <stp>SECURITY_NAME</stp>
        <stp>[TREASURY.xlsx]Sheet1!R780C16</stp>
        <tr r="P780" s="1"/>
      </tp>
      <tp t="s">
        <v>T 8 3/4 10/15/97</v>
        <stp/>
        <stp>##V3_BDPV12</stp>
        <stp>912827ZK Govt</stp>
        <stp>SECURITY_NAME</stp>
        <stp>[TREASURY.xlsx]Sheet1!R952C16</stp>
        <tr r="P952" s="1"/>
      </tp>
      <tp t="s">
        <v>T 0 1/2 03/15/23</v>
        <stp/>
        <stp>##V3_BDPV12</stp>
        <stp>912828ZD Govt</stp>
        <stp>SECURITY_NAME</stp>
        <stp>[TREASURY.xlsx]Sheet1!R121C16</stp>
        <tr r="P121" s="1"/>
      </tp>
      <tp t="s">
        <v>T 0 5/8 03/31/27</v>
        <stp/>
        <stp>##V3_BDPV12</stp>
        <stp>912828ZE Govt</stp>
        <stp>SECURITY_NAME</stp>
        <stp>[TREASURY.xlsx]Sheet1!R112C16</stp>
        <tr r="P112" s="1"/>
      </tp>
      <tp t="s">
        <v>T 8 07/31/92</v>
        <stp/>
        <stp>##V3_BDPV12</stp>
        <stp>912827ZC Govt</stp>
        <stp>SECURITY_NAME</stp>
        <stp>[TREASURY.xlsx]Sheet1!R779C16</stp>
        <tr r="P779" s="1"/>
      </tp>
      <tp t="s">
        <v>T 0 1/4 04/15/23</v>
        <stp/>
        <stp>##V3_BDPV12</stp>
        <stp>912828ZH Govt</stp>
        <stp>SECURITY_NAME</stp>
        <stp>[TREASURY.xlsx]Sheet1!R165C16</stp>
        <tr r="P165" s="1"/>
      </tp>
      <tp t="s">
        <v>T 8 1/2 11/15/00</v>
        <stp/>
        <stp>##V3_BDPV12</stp>
        <stp>912827ZN Govt</stp>
        <stp>SECURITY_NAME</stp>
        <stp>[TREASURY.xlsx]Sheet1!R685C16</stp>
        <tr r="P685" s="1"/>
      </tp>
      <tp t="s">
        <v>T 7 3/4 10/31/92</v>
        <stp/>
        <stp>##V3_BDPV12</stp>
        <stp>912827ZL Govt</stp>
        <stp>SECURITY_NAME</stp>
        <stp>[TREASURY.xlsx]Sheet1!R782C16</stp>
        <tr r="P782" s="1"/>
      </tp>
      <tp t="s">
        <v>T 8 1/2 09/30/94</v>
        <stp/>
        <stp>##V3_BDPV12</stp>
        <stp>912827ZJ Govt</stp>
        <stp>SECURITY_NAME</stp>
        <stp>[TREASURY.xlsx]Sheet1!R781C16</stp>
        <tr r="P781" s="1"/>
      </tp>
      <tp t="s">
        <v>T 0 1/8 04/30/22</v>
        <stp/>
        <stp>##V3_BDPV12</stp>
        <stp>912828ZM Govt</stp>
        <stp>SECURITY_NAME</stp>
        <stp>[TREASURY.xlsx]Sheet1!R175C16</stp>
        <tr r="P175" s="1"/>
      </tp>
      <tp t="s">
        <v>T 0 1/2 04/30/27</v>
        <stp/>
        <stp>##V3_BDPV12</stp>
        <stp>912828ZN Govt</stp>
        <stp>SECURITY_NAME</stp>
        <stp>[TREASURY.xlsx]Sheet1!R117C16</stp>
        <tr r="P117" s="1"/>
      </tp>
      <tp t="s">
        <v>T 8 1/8 09/30/92</v>
        <stp/>
        <stp>##V3_BDPV12</stp>
        <stp>912827ZH Govt</stp>
        <stp>SECURITY_NAME</stp>
        <stp>[TREASURY.xlsx]Sheet1!R634C16</stp>
        <tr r="P634" s="1"/>
      </tp>
      <tp t="s">
        <v>US9128286B18</v>
        <stp/>
        <stp>##V3_BDPV12</stp>
        <stp>9128286B Govt</stp>
        <stp>ID_ISIN</stp>
        <stp>[TREASURY.xlsx]Sheet1!R43C12</stp>
        <tr r="L43" s="1"/>
      </tp>
      <tp t="s">
        <v>US912828YB05</v>
        <stp/>
        <stp>##V3_BDPV12</stp>
        <stp>912828YB Govt</stp>
        <stp>ID_ISIN</stp>
        <stp>[TREASURY.xlsx]Sheet1!R26C12</stp>
        <tr r="L26" s="1"/>
      </tp>
      <tp t="s">
        <v>US91282CCB54</v>
        <stp/>
        <stp>##V3_BDPV12</stp>
        <stp>91282CCB Govt</stp>
        <stp>ID_ISIN</stp>
        <stp>[TREASURY.xlsx]Sheet1!R12C12</stp>
        <tr r="L12" s="1"/>
      </tp>
      <tp t="s">
        <v>US91282CAB72</v>
        <stp/>
        <stp>##V3_BDPV12</stp>
        <stp>91282CAB Govt</stp>
        <stp>ID_ISIN</stp>
        <stp>[TREASURY.xlsx]Sheet1!R99C12</stp>
        <tr r="L99" s="1"/>
      </tp>
      <tp t="s">
        <v>FIXED</v>
        <stp/>
        <stp>##V3_BDPV12</stp>
        <stp>912828YF Govt</stp>
        <stp>CPN_TYP</stp>
        <stp>[TREASURY.xlsx]Sheet1!R76C11</stp>
        <tr r="K76" s="1"/>
      </tp>
      <tp t="s">
        <v>FIXED</v>
        <stp/>
        <stp>##V3_BDPV12</stp>
        <stp>9128283F Govt</stp>
        <stp>CPN_TYP</stp>
        <stp>[TREASURY.xlsx]Sheet1!R65C11</stp>
        <tr r="K65" s="1"/>
      </tp>
      <tp t="s">
        <v>FIXED</v>
        <stp/>
        <stp>##V3_BDPV12</stp>
        <stp>912828ZF Govt</stp>
        <stp>CPN_TYP</stp>
        <stp>[TREASURY.xlsx]Sheet1!R61C11</stp>
        <tr r="K61" s="1"/>
      </tp>
      <tp t="s">
        <v>FIXED</v>
        <stp/>
        <stp>##V3_BDPV12</stp>
        <stp>91282CCF Govt</stp>
        <stp>CPN_TYP</stp>
        <stp>[TREASURY.xlsx]Sheet1!R34C11</stp>
        <tr r="K34" s="1"/>
      </tp>
      <tp t="s">
        <v>UNITED STATES</v>
        <stp/>
        <stp>##V3_BDPV12</stp>
        <stp>91282CCK Govt</stp>
        <stp>COUNTRY_FULL_NAME</stp>
        <stp>[TREASURY.xlsx]Sheet1!R33C8</stp>
        <tr r="H33" s="1"/>
      </tp>
      <tp t="s">
        <v>UNITED STATES</v>
        <stp/>
        <stp>##V3_BDPV12</stp>
        <stp>91282CCY Govt</stp>
        <stp>COUNTRY_FULL_NAME</stp>
        <stp>[TREASURY.xlsx]Sheet1!R13C8</stp>
        <tr r="H13" s="1"/>
      </tp>
      <tp t="s">
        <v>UNITED STATES</v>
        <stp/>
        <stp>##V3_BDPV12</stp>
        <stp>91282CBU Govt</stp>
        <stp>COUNTRY_FULL_NAME</stp>
        <stp>[TREASURY.xlsx]Sheet1!R53C8</stp>
        <tr r="H53" s="1"/>
      </tp>
      <tp t="s">
        <v>UNITED STATES</v>
        <stp/>
        <stp>##V3_BDPV12</stp>
        <stp>9128286B Govt</stp>
        <stp>COUNTRY_FULL_NAME</stp>
        <stp>[TREASURY.xlsx]Sheet1!R43C8</stp>
        <tr r="H43" s="1"/>
      </tp>
      <tp t="s">
        <v>UNITED STATES</v>
        <stp/>
        <stp>##V3_BDPV12</stp>
        <stp>9128284V Govt</stp>
        <stp>COUNTRY_FULL_NAME</stp>
        <stp>[TREASURY.xlsx]Sheet1!R23C8</stp>
        <tr r="H23" s="1"/>
      </tp>
      <tp t="s">
        <v>UNITED STATES</v>
        <stp/>
        <stp>##V3_BDPV12</stp>
        <stp>912828Z5 Govt</stp>
        <stp>COUNTRY_FULL_NAME</stp>
        <stp>[TREASURY.xlsx]Sheet1!R83C8</stp>
        <tr r="H83" s="1"/>
      </tp>
      <tp t="s">
        <v>9/30/2022</v>
        <stp/>
        <stp>##V3_BDPV12</stp>
        <stp>91282CAN Govt</stp>
        <stp>MATURITY</stp>
        <stp>[TREASURY.xlsx]Sheet1!R46C5</stp>
        <tr r="E46" s="1"/>
      </tp>
      <tp t="s">
        <v>6/30/2026</v>
        <stp/>
        <stp>##V3_BDPV12</stp>
        <stp>91282CCJ Govt</stp>
        <stp>MATURITY</stp>
        <stp>[TREASURY.xlsx]Sheet1!R22C5</stp>
        <tr r="E22" s="1"/>
      </tp>
      <tp t="s">
        <v>6/30/2023</v>
        <stp/>
        <stp>##V3_BDPV12</stp>
        <stp>91282CCK Govt</stp>
        <stp>MATURITY</stp>
        <stp>[TREASURY.xlsx]Sheet1!R33C5</stp>
        <tr r="E33" s="1"/>
      </tp>
      <tp t="s">
        <v>2/15/2031</v>
        <stp/>
        <stp>##V3_BDPV12</stp>
        <stp>91282CBL Govt</stp>
        <stp>MATURITY</stp>
        <stp>[TREASURY.xlsx]Sheet1!R14C5</stp>
        <tr r="E14" s="1"/>
      </tp>
      <tp t="s">
        <v>UNITED STATES</v>
        <stp/>
        <stp>##V3_BDPV12</stp>
        <stp>912810SL Govt</stp>
        <stp>COUNTRY_FULL_NAME</stp>
        <stp>[TREASURY.xlsx]Sheet1!R40C8</stp>
        <tr r="H40" s="1"/>
      </tp>
      <tp t="s">
        <v>UNITED STATES</v>
        <stp/>
        <stp>##V3_BDPV12</stp>
        <stp>912810ST Govt</stp>
        <stp>COUNTRY_FULL_NAME</stp>
        <stp>[TREASURY.xlsx]Sheet1!R90C8</stp>
        <tr r="H90" s="1"/>
      </tp>
      <tp t="s">
        <v>UNITED STATES</v>
        <stp/>
        <stp>##V3_BDPV12</stp>
        <stp>912810TA Govt</stp>
        <stp>COUNTRY_FULL_NAME</stp>
        <stp>[TREASURY.xlsx]Sheet1!R10C8</stp>
        <tr r="H10" s="1"/>
      </tp>
      <tp t="s">
        <v>NORMAL</v>
        <stp/>
        <stp>##V3_BDPV12</stp>
        <stp>912827Z9 Govt</stp>
        <stp>MTY_TYP</stp>
        <stp>[TREASURY.xlsx]Sheet1!R778C6</stp>
        <tr r="F778" s="1"/>
      </tp>
      <tp t="s">
        <v>NORMAL</v>
        <stp/>
        <stp>##V3_BDPV12</stp>
        <stp>912827S4 Govt</stp>
        <stp>MTY_TYP</stp>
        <stp>[TREASURY.xlsx]Sheet1!R745C6</stp>
        <tr r="F745" s="1"/>
      </tp>
      <tp t="s">
        <v>NORMAL</v>
        <stp/>
        <stp>##V3_BDPV12</stp>
        <stp>912827R2 Govt</stp>
        <stp>MTY_TYP</stp>
        <stp>[TREASURY.xlsx]Sheet1!R743C6</stp>
        <tr r="F743" s="1"/>
      </tp>
      <tp t="s">
        <v>NORMAL</v>
        <stp/>
        <stp>##V3_BDPV12</stp>
        <stp>912827N8 Govt</stp>
        <stp>MTY_TYP</stp>
        <stp>[TREASURY.xlsx]Sheet1!R729C6</stp>
        <tr r="F729" s="1"/>
      </tp>
      <tp t="s">
        <v>NORMAL</v>
        <stp/>
        <stp>##V3_BDPV12</stp>
        <stp>912827F2 Govt</stp>
        <stp>MTY_TYP</stp>
        <stp>[TREASURY.xlsx]Sheet1!R663C6</stp>
        <tr r="F663" s="1"/>
      </tp>
      <tp t="s">
        <v>NORMAL</v>
        <stp/>
        <stp>##V3_BDPV12</stp>
        <stp>912828C7 Govt</stp>
        <stp>MTY_TYP</stp>
        <stp>[TREASURY.xlsx]Sheet1!R416C6</stp>
        <tr r="F416" s="1"/>
      </tp>
      <tp t="s">
        <v>NORMAL</v>
        <stp/>
        <stp>##V3_BDPV12</stp>
        <stp>912828A4 Govt</stp>
        <stp>MTY_TYP</stp>
        <stp>[TREASURY.xlsx]Sheet1!R555C6</stp>
        <tr r="F555" s="1"/>
      </tp>
      <tp t="s">
        <v>NORMAL</v>
        <stp/>
        <stp>##V3_BDPV12</stp>
        <stp>912827X5 Govt</stp>
        <stp>MTY_TYP</stp>
        <stp>[TREASURY.xlsx]Sheet1!R934C6</stp>
        <tr r="F934" s="1"/>
      </tp>
      <tp t="s">
        <v>NORMAL</v>
        <stp/>
        <stp>##V3_BDPV12</stp>
        <stp>912828R8 Govt</stp>
        <stp>MTY_TYP</stp>
        <stp>[TREASURY.xlsx]Sheet1!R689C6</stp>
        <tr r="F689" s="1"/>
      </tp>
      <tp t="s">
        <v>NORMAL</v>
        <stp/>
        <stp>##V3_BDPV12</stp>
        <stp>912827R8 Govt</stp>
        <stp>MTY_TYP</stp>
        <stp>[TREASURY.xlsx]Sheet1!R909C6</stp>
        <tr r="F909" s="1"/>
      </tp>
      <tp t="s">
        <v>NORMAL</v>
        <stp/>
        <stp>##V3_BDPV12</stp>
        <stp>912828U9 Govt</stp>
        <stp>MTY_TYP</stp>
        <stp>[TREASURY.xlsx]Sheet1!R678C6</stp>
        <tr r="F678" s="1"/>
      </tp>
      <tp t="s">
        <v>NORMAL</v>
        <stp/>
        <stp>##V3_BDPV12</stp>
        <stp>912827T2 Govt</stp>
        <stp>MTY_TYP</stp>
        <stp>[TREASURY.xlsx]Sheet1!R833C6</stp>
        <tr r="F833" s="1"/>
      </tp>
      <tp t="s">
        <v>NORMAL</v>
        <stp/>
        <stp>##V3_BDPV12</stp>
        <stp>912828L2 Govt</stp>
        <stp>MTY_TYP</stp>
        <stp>[TREASURY.xlsx]Sheet1!R173C6</stp>
        <tr r="F173" s="1"/>
      </tp>
      <tp t="s">
        <v>NORMAL</v>
        <stp/>
        <stp>##V3_BDPV12</stp>
        <stp>912828Y6 Govt</stp>
        <stp>MTY_TYP</stp>
        <stp>[TREASURY.xlsx]Sheet1!R297C6</stp>
        <tr r="F297" s="1"/>
      </tp>
      <tp t="s">
        <v>NORMAL</v>
        <stp/>
        <stp>##V3_BDPV12</stp>
        <stp>912828P3 Govt</stp>
        <stp>MTY_TYP</stp>
        <stp>[TREASURY.xlsx]Sheet1!R222C6</stp>
        <tr r="F222" s="1"/>
      </tp>
      <tp t="s">
        <v>NORMAL</v>
        <stp/>
        <stp>##V3_BDPV12</stp>
        <stp>912828G8 Govt</stp>
        <stp>MTY_TYP</stp>
        <stp>[TREASURY.xlsx]Sheet1!R209C6</stp>
        <tr r="F209" s="1"/>
      </tp>
      <tp t="s">
        <v>NORMAL</v>
        <stp/>
        <stp>##V3_BDPV12</stp>
        <stp>912828P8 Govt</stp>
        <stp>MTY_TYP</stp>
        <stp>[TREASURY.xlsx]Sheet1!R389C6</stp>
        <tr r="F389" s="1"/>
      </tp>
      <tp t="s">
        <v>NORMAL</v>
        <stp/>
        <stp>##V3_BDPV12</stp>
        <stp>912828S7 Govt</stp>
        <stp>MTY_TYP</stp>
        <stp>[TREASURY.xlsx]Sheet1!R346C6</stp>
        <tr r="F346" s="1"/>
      </tp>
      <tp t="s">
        <v>NORMAL</v>
        <stp/>
        <stp>##V3_BDPV12</stp>
        <stp>912828K8 Govt</stp>
        <stp>MTY_TYP</stp>
        <stp>[TREASURY.xlsx]Sheet1!R369C6</stp>
        <tr r="F369" s="1"/>
      </tp>
      <tp t="s">
        <v>NORMAL</v>
        <stp/>
        <stp>##V3_BDPV12</stp>
        <stp>912828L9 Govt</stp>
        <stp>MTY_TYP</stp>
        <stp>[TREASURY.xlsx]Sheet1!R358C6</stp>
        <tr r="F358" s="1"/>
      </tp>
      <tp t="s">
        <v>NORMAL</v>
        <stp/>
        <stp>##V3_BDPV12</stp>
        <stp>912810SW Govt</stp>
        <stp>MTY_TYP</stp>
        <stp>[TREASURY.xlsx]Sheet1!R44C6</stp>
        <tr r="F44" s="1"/>
      </tp>
      <tp t="s">
        <v>T 1 1/2 01/15/23</v>
        <stp/>
        <stp>##V3_BDPV12</stp>
        <stp>912828Z2 Govt</stp>
        <stp>SECURITY_NAME</stp>
        <stp>[TREASURY.xlsx]Sheet1!R210C16</stp>
        <tr r="P210" s="1"/>
      </tp>
      <tp t="s">
        <v>T 5 7/8 10/31/98</v>
        <stp/>
        <stp>##V3_BDPV12</stp>
        <stp>912827Z7 Govt</stp>
        <stp>SECURITY_NAME</stp>
        <stp>[TREASURY.xlsx]Sheet1!R777C16</stp>
        <tr r="P777" s="1"/>
      </tp>
      <tp t="s">
        <v>T 1 3/8 01/31/22</v>
        <stp/>
        <stp>##V3_BDPV12</stp>
        <stp>912828Z6 Govt</stp>
        <stp>SECURITY_NAME</stp>
        <stp>[TREASURY.xlsx]Sheet1!R234C16</stp>
        <tr r="P234" s="1"/>
      </tp>
      <tp t="s">
        <v>T 1 1/2 01/31/27</v>
        <stp/>
        <stp>##V3_BDPV12</stp>
        <stp>912828Z7 Govt</stp>
        <stp>SECURITY_NAME</stp>
        <stp>[TREASURY.xlsx]Sheet1!R169C16</stp>
        <tr r="P169" s="1"/>
      </tp>
      <tp t="s">
        <v>T 6 1/8 08/31/98</v>
        <stp/>
        <stp>##V3_BDPV12</stp>
        <stp>912827Z2 Govt</stp>
        <stp>SECURITY_NAME</stp>
        <stp>[TREASURY.xlsx]Sheet1!R951C16</stp>
        <tr r="P951" s="1"/>
      </tp>
      <tp t="s">
        <v>T 1 3/8 02/15/23</v>
        <stp/>
        <stp>##V3_BDPV12</stp>
        <stp>912828Z8 Govt</stp>
        <stp>SECURITY_NAME</stp>
        <stp>[TREASURY.xlsx]Sheet1!R236C16</stp>
        <tr r="P236" s="1"/>
      </tp>
      <tp t="s">
        <v>T 5 7/8 11/15/99</v>
        <stp/>
        <stp>##V3_BDPV12</stp>
        <stp>912827Z9 Govt</stp>
        <stp>SECURITY_NAME</stp>
        <stp>[TREASURY.xlsx]Sheet1!R778C16</stp>
        <tr r="P778" s="1"/>
      </tp>
      <tp t="s">
        <v>UNITED STATES</v>
        <stp/>
        <stp>##V3_BDPV12</stp>
        <stp>91282CBZ Govt</stp>
        <stp>COUNTRY_FULL_NAME</stp>
        <stp>[TREASURY.xlsx]Sheet1!R126C8</stp>
        <tr r="H126" s="1"/>
      </tp>
      <tp t="s">
        <v>US912828ZC78</v>
        <stp/>
        <stp>##V3_BDPV12</stp>
        <stp>912828ZC Govt</stp>
        <stp>ID_ISIN</stp>
        <stp>[TREASURY.xlsx]Sheet1!R74C12</stp>
        <tr r="L74" s="1"/>
      </tp>
      <tp t="s">
        <v>US91282CBC47</v>
        <stp/>
        <stp>##V3_BDPV12</stp>
        <stp>91282CBC Govt</stp>
        <stp>ID_ISIN</stp>
        <stp>[TREASURY.xlsx]Sheet1!R41C12</stp>
        <tr r="L41" s="1"/>
      </tp>
      <tp t="s">
        <v>US91282CCC38</v>
        <stp/>
        <stp>##V3_BDPV12</stp>
        <stp>91282CCC Govt</stp>
        <stp>ID_ISIN</stp>
        <stp>[TREASURY.xlsx]Sheet1!R88C12</stp>
        <tr r="L88" s="1"/>
      </tp>
      <tp t="s">
        <v>FIXED</v>
        <stp/>
        <stp>##V3_BDPV12</stp>
        <stp>912828YG Govt</stp>
        <stp>CPN_TYP</stp>
        <stp>[TREASURY.xlsx]Sheet1!R69C11</stp>
        <tr r="K69" s="1"/>
      </tp>
      <tp t="s">
        <v>FIXED</v>
        <stp/>
        <stp>##V3_BDPV12</stp>
        <stp>912828ZG Govt</stp>
        <stp>CPN_TYP</stp>
        <stp>[TREASURY.xlsx]Sheet1!R62C11</stp>
        <tr r="K62" s="1"/>
      </tp>
      <tp t="s">
        <v>FIXED</v>
        <stp/>
        <stp>##V3_BDPV12</stp>
        <stp>91282CCG Govt</stp>
        <stp>CPN_TYP</stp>
        <stp>[TREASURY.xlsx]Sheet1!R47C11</stp>
        <tr r="K47" s="1"/>
      </tp>
      <tp t="s">
        <v>FIXED</v>
        <stp/>
        <stp>##V3_BDPV12</stp>
        <stp>91282CBG Govt</stp>
        <stp>CPN_TYP</stp>
        <stp>[TREASURY.xlsx]Sheet1!R57C11</stp>
        <tr r="K57" s="1"/>
      </tp>
      <tp t="s">
        <v>UNITED STATES</v>
        <stp/>
        <stp>##V3_BDPV12</stp>
        <stp>91282CCB Govt</stp>
        <stp>COUNTRY_FULL_NAME</stp>
        <stp>[TREASURY.xlsx]Sheet1!R12C8</stp>
        <tr r="H12" s="1"/>
      </tp>
      <tp t="s">
        <v>UNITED STATES</v>
        <stp/>
        <stp>##V3_BDPV12</stp>
        <stp>91282CCJ Govt</stp>
        <stp>COUNTRY_FULL_NAME</stp>
        <stp>[TREASURY.xlsx]Sheet1!R22C8</stp>
        <tr r="H22" s="1"/>
      </tp>
      <tp t="s">
        <v>UNITED STATES</v>
        <stp/>
        <stp>##V3_BDPV12</stp>
        <stp>91282CCL Govt</stp>
        <stp>COUNTRY_FULL_NAME</stp>
        <stp>[TREASURY.xlsx]Sheet1!R32C8</stp>
        <tr r="H32" s="1"/>
      </tp>
      <tp t="s">
        <v>UNITED STATES</v>
        <stp/>
        <stp>##V3_BDPV12</stp>
        <stp>91282CBN Govt</stp>
        <stp>COUNTRY_FULL_NAME</stp>
        <stp>[TREASURY.xlsx]Sheet1!R82C8</stp>
        <tr r="H82" s="1"/>
      </tp>
      <tp t="s">
        <v>UNITED STATES</v>
        <stp/>
        <stp>##V3_BDPV12</stp>
        <stp>91282CBT Govt</stp>
        <stp>COUNTRY_FULL_NAME</stp>
        <stp>[TREASURY.xlsx]Sheet1!R52C8</stp>
        <tr r="H52" s="1"/>
      </tp>
      <tp t="s">
        <v>UNITED STATES</v>
        <stp/>
        <stp>##V3_BDPV12</stp>
        <stp>91282CBX Govt</stp>
        <stp>COUNTRY_FULL_NAME</stp>
        <stp>[TREASURY.xlsx]Sheet1!R72C8</stp>
        <tr r="H72" s="1"/>
      </tp>
      <tp t="s">
        <v>UNITED STATES</v>
        <stp/>
        <stp>##V3_BDPV12</stp>
        <stp>91282CAM Govt</stp>
        <stp>COUNTRY_FULL_NAME</stp>
        <stp>[TREASURY.xlsx]Sheet1!R42C8</stp>
        <tr r="H42" s="1"/>
      </tp>
      <tp t="s">
        <v>NORMAL</v>
        <stp/>
        <stp>##V3_BDPV12</stp>
        <stp>912810SK Govt</stp>
        <stp>MTY_TYP</stp>
        <stp>[TREASURY.xlsx]Sheet1!R95C6</stp>
        <tr r="F95" s="1"/>
      </tp>
      <tp t="s">
        <v>8/15/2049</v>
        <stp/>
        <stp>##V3_BDPV12</stp>
        <stp>912810SJ Govt</stp>
        <stp>MATURITY</stp>
        <stp>[TREASURY.xlsx]Sheet1!R73C5</stp>
        <tr r="E73" s="1"/>
      </tp>
      <tp t="s">
        <v>5/15/2050</v>
        <stp/>
        <stp>##V3_BDPV12</stp>
        <stp>912810SN Govt</stp>
        <stp>MATURITY</stp>
        <stp>[TREASURY.xlsx]Sheet1!R27C5</stp>
        <tr r="E27" s="1"/>
      </tp>
      <tp t="s">
        <v>UNITED STATES</v>
        <stp/>
        <stp>##V3_BDPV12</stp>
        <stp>912828ZG Govt</stp>
        <stp>COUNTRY_FULL_NAME</stp>
        <stp>[TREASURY.xlsx]Sheet1!R62C8</stp>
        <tr r="H62" s="1"/>
      </tp>
      <tp t="s">
        <v>12/15/2023</v>
        <stp/>
        <stp>##V3_BDPV12</stp>
        <stp>91282CBA Govt</stp>
        <stp>MATURITY</stp>
        <stp>[TREASURY.xlsx]Sheet1!R78C5</stp>
        <tr r="E78" s="1"/>
      </tp>
      <tp t="s">
        <v>UNITED STATES</v>
        <stp/>
        <stp>##V3_BDPV12</stp>
        <stp>912810SY Govt</stp>
        <stp>COUNTRY_FULL_NAME</stp>
        <stp>[TREASURY.xlsx]Sheet1!R21C8</stp>
        <tr r="H21" s="1"/>
      </tp>
      <tp t="s">
        <v>NORMAL</v>
        <stp/>
        <stp>##V3_BDPV12</stp>
        <stp>912827Z7 Govt</stp>
        <stp>MTY_TYP</stp>
        <stp>[TREASURY.xlsx]Sheet1!R777C6</stp>
        <tr r="F777" s="1"/>
      </tp>
      <tp t="s">
        <v>NORMAL</v>
        <stp/>
        <stp>##V3_BDPV12</stp>
        <stp>912827V8 Govt</stp>
        <stp>MTY_TYP</stp>
        <stp>[TREASURY.xlsx]Sheet1!R758C6</stp>
        <tr r="F758" s="1"/>
      </tp>
      <tp t="s">
        <v>NORMAL</v>
        <stp/>
        <stp>##V3_BDPV12</stp>
        <stp>912827H5 Govt</stp>
        <stp>MTY_TYP</stp>
        <stp>[TREASURY.xlsx]Sheet1!R705C6</stp>
        <tr r="F705" s="1"/>
      </tp>
      <tp t="s">
        <v>NORMAL</v>
        <stp/>
        <stp>##V3_BDPV12</stp>
        <stp>912827G3 Govt</stp>
        <stp>MTY_TYP</stp>
        <stp>[TREASURY.xlsx]Sheet1!R703C6</stp>
        <tr r="F703" s="1"/>
      </tp>
      <tp t="s">
        <v>NORMAL</v>
        <stp/>
        <stp>##V3_BDPV12</stp>
        <stp>912828D9 Govt</stp>
        <stp>MTY_TYP</stp>
        <stp>[TREASURY.xlsx]Sheet1!R839C6</stp>
        <tr r="F839" s="1"/>
      </tp>
      <tp t="s">
        <v>NORMAL</v>
        <stp/>
        <stp>##V3_BDPV12</stp>
        <stp>912828G6 Govt</stp>
        <stp>MTY_TYP</stp>
        <stp>[TREASURY.xlsx]Sheet1!R966C6</stp>
        <tr r="F966" s="1"/>
      </tp>
      <tp t="s">
        <v>NORMAL</v>
        <stp/>
        <stp>##V3_BDPV12</stp>
        <stp>912828Q3 Govt</stp>
        <stp>MTY_TYP</stp>
        <stp>[TREASURY.xlsx]Sheet1!R413C6</stp>
        <tr r="F413" s="1"/>
      </tp>
      <tp t="s">
        <v>NORMAL</v>
        <stp/>
        <stp>##V3_BDPV12</stp>
        <stp>912827Q5 Govt</stp>
        <stp>MTY_TYP</stp>
        <stp>[TREASURY.xlsx]Sheet1!R905C6</stp>
        <tr r="F905" s="1"/>
      </tp>
      <tp t="s">
        <v>NORMAL</v>
        <stp/>
        <stp>##V3_BDPV12</stp>
        <stp>912828V5 Govt</stp>
        <stp>MTY_TYP</stp>
        <stp>[TREASURY.xlsx]Sheet1!R655C6</stp>
        <tr r="F655" s="1"/>
      </tp>
      <tp t="s">
        <v>NORMAL</v>
        <stp/>
        <stp>##V3_BDPV12</stp>
        <stp>912828J6 Govt</stp>
        <stp>MTY_TYP</stp>
        <stp>[TREASURY.xlsx]Sheet1!R686C6</stp>
        <tr r="F686" s="1"/>
      </tp>
      <tp t="s">
        <v>NORMAL</v>
        <stp/>
        <stp>##V3_BDPV12</stp>
        <stp>912828C8 Govt</stp>
        <stp>MTY_TYP</stp>
        <stp>[TREASURY.xlsx]Sheet1!R788C6</stp>
        <tr r="F788" s="1"/>
      </tp>
      <tp t="s">
        <v>NORMAL</v>
        <stp/>
        <stp>##V3_BDPV12</stp>
        <stp>912828T2 Govt</stp>
        <stp>MTY_TYP</stp>
        <stp>[TREASURY.xlsx]Sheet1!R192C6</stp>
        <tr r="F192" s="1"/>
      </tp>
      <tp t="s">
        <v>NORMAL</v>
        <stp/>
        <stp>##V3_BDPV12</stp>
        <stp>912828F9 Govt</stp>
        <stp>MTY_TYP</stp>
        <stp>[TREASURY.xlsx]Sheet1!R199C6</stp>
        <tr r="F199" s="1"/>
      </tp>
      <tp t="s">
        <v>NORMAL</v>
        <stp/>
        <stp>##V3_BDPV12</stp>
        <stp>912828Y8 Govt</stp>
        <stp>MTY_TYP</stp>
        <stp>[TREASURY.xlsx]Sheet1!R208C6</stp>
        <tr r="F208" s="1"/>
      </tp>
      <tp t="s">
        <v>NORMAL</v>
        <stp/>
        <stp>##V3_BDPV12</stp>
        <stp>912828X4 Govt</stp>
        <stp>MTY_TYP</stp>
        <stp>[TREASURY.xlsx]Sheet1!R224C6</stp>
        <tr r="F224" s="1"/>
      </tp>
      <tp t="s">
        <v>NORMAL</v>
        <stp/>
        <stp>##V3_BDPV12</stp>
        <stp>912828R6 Govt</stp>
        <stp>MTY_TYP</stp>
        <stp>[TREASURY.xlsx]Sheet1!R266C6</stp>
        <tr r="F266" s="1"/>
      </tp>
      <tp t="s">
        <v>NORMAL</v>
        <stp/>
        <stp>##V3_BDPV12</stp>
        <stp>912828M4 Govt</stp>
        <stp>MTY_TYP</stp>
        <stp>[TREASURY.xlsx]Sheet1!R254C6</stp>
        <tr r="F254" s="1"/>
      </tp>
      <tp t="s">
        <v>NORMAL</v>
        <stp/>
        <stp>##V3_BDPV12</stp>
        <stp>912810SP Govt</stp>
        <stp>MTY_TYP</stp>
        <stp>[TREASURY.xlsx]Sheet1!R35C6</stp>
        <tr r="F35" s="1"/>
      </tp>
      <tp t="s">
        <v>NORMAL</v>
        <stp/>
        <stp>##V3_BDPV12</stp>
        <stp>912810SU Govt</stp>
        <stp>MTY_TYP</stp>
        <stp>[TREASURY.xlsx]Sheet1!R15C6</stp>
        <tr r="F15" s="1"/>
      </tp>
      <tp t="s">
        <v>UNITED STATES</v>
        <stp/>
        <stp>##V3_BDPV12</stp>
        <stp>91282CAP Govt</stp>
        <stp>COUNTRY_FULL_NAME</stp>
        <stp>[TREASURY.xlsx]Sheet1!R151C8</stp>
        <tr r="H151" s="1"/>
      </tp>
      <tp t="s">
        <v>US9128285D82</v>
        <stp/>
        <stp>##V3_BDPV12</stp>
        <stp>9128285D Govt</stp>
        <stp>ID_ISIN</stp>
        <stp>[TREASURY.xlsx]Sheet1!R54C12</stp>
        <tr r="L54" s="1"/>
      </tp>
      <tp t="s">
        <v>US91282CCD11</v>
        <stp/>
        <stp>##V3_BDPV12</stp>
        <stp>91282CCD Govt</stp>
        <stp>ID_ISIN</stp>
        <stp>[TREASURY.xlsx]Sheet1!R58C12</stp>
        <tr r="L58" s="1"/>
      </tp>
      <tp t="s">
        <v>US91282CBD20</v>
        <stp/>
        <stp>##V3_BDPV12</stp>
        <stp>91282CBD Govt</stp>
        <stp>ID_ISIN</stp>
        <stp>[TREASURY.xlsx]Sheet1!R50C12</stp>
        <tr r="L50" s="1"/>
      </tp>
      <tp t="s">
        <v>NORMAL</v>
        <stp/>
        <stp>##V3_BDPV12</stp>
        <stp>912828U2 Govt</stp>
        <stp>MTY_TYP</stp>
        <stp>[TREASURY.xlsx]Sheet1!R84C6</stp>
        <tr r="F84" s="1"/>
      </tp>
      <tp t="s">
        <v>NORMAL</v>
        <stp/>
        <stp>##V3_BDPV12</stp>
        <stp>912828P4 Govt</stp>
        <stp>MTY_TYP</stp>
        <stp>[TREASURY.xlsx]Sheet1!R91C6</stp>
        <tr r="F91" s="1"/>
      </tp>
      <tp t="s">
        <v>UNITED STATES</v>
        <stp/>
        <stp>##V3_BDPV12</stp>
        <stp>91282CBR Govt</stp>
        <stp>COUNTRY_FULL_NAME</stp>
        <stp>[TREASURY.xlsx]Sheet1!R55C8</stp>
        <tr r="H55" s="1"/>
      </tp>
      <tp t="s">
        <v>UNITED STATES</v>
        <stp/>
        <stp>##V3_BDPV12</stp>
        <stp>91282CBS Govt</stp>
        <stp>COUNTRY_FULL_NAME</stp>
        <stp>[TREASURY.xlsx]Sheet1!R75C8</stp>
        <tr r="H75" s="1"/>
      </tp>
      <tp t="s">
        <v>UNITED STATES</v>
        <stp/>
        <stp>##V3_BDPV12</stp>
        <stp>91282CAZ Govt</stp>
        <stp>COUNTRY_FULL_NAME</stp>
        <stp>[TREASURY.xlsx]Sheet1!R45C8</stp>
        <tr r="H45" s="1"/>
      </tp>
      <tp t="s">
        <v>11/15/2049</v>
        <stp/>
        <stp>##V3_BDPV12</stp>
        <stp>912810SK Govt</stp>
        <stp>MATURITY</stp>
        <stp>[TREASURY.xlsx]Sheet1!R95C5</stp>
        <tr r="E95" s="1"/>
      </tp>
      <tp t="s">
        <v>UNITED STATES</v>
        <stp/>
        <stp>##V3_BDPV12</stp>
        <stp>9128283F Govt</stp>
        <stp>COUNTRY_FULL_NAME</stp>
        <stp>[TREASURY.xlsx]Sheet1!R65C8</stp>
        <tr r="H65" s="1"/>
      </tp>
      <tp t="s">
        <v>UNITED STATES</v>
        <stp/>
        <stp>##V3_BDPV12</stp>
        <stp>912828Z9 Govt</stp>
        <stp>COUNTRY_FULL_NAME</stp>
        <stp>[TREASURY.xlsx]Sheet1!R25C8</stp>
        <tr r="H25" s="1"/>
      </tp>
      <tp t="s">
        <v>UNITED STATES</v>
        <stp/>
        <stp>##V3_BDPV12</stp>
        <stp>912828ZT Govt</stp>
        <stp>COUNTRY_FULL_NAME</stp>
        <stp>[TREASURY.xlsx]Sheet1!R85C8</stp>
        <tr r="H85" s="1"/>
      </tp>
      <tp t="s">
        <v>9/30/2026</v>
        <stp/>
        <stp>##V3_BDPV12</stp>
        <stp>912828YG Govt</stp>
        <stp>MATURITY</stp>
        <stp>[TREASURY.xlsx]Sheet1!R69C5</stp>
        <tr r="E69" s="1"/>
      </tp>
      <tp t="s">
        <v>6/30/2028</v>
        <stp/>
        <stp>##V3_BDPV12</stp>
        <stp>91282CCH Govt</stp>
        <stp>MATURITY</stp>
        <stp>[TREASURY.xlsx]Sheet1!R36C5</stp>
        <tr r="E36" s="1"/>
      </tp>
      <tp t="s">
        <v>7/15/2024</v>
        <stp/>
        <stp>##V3_BDPV12</stp>
        <stp>91282CCL Govt</stp>
        <stp>MATURITY</stp>
        <stp>[TREASURY.xlsx]Sheet1!R32C5</stp>
        <tr r="E32" s="1"/>
      </tp>
      <tp t="s">
        <v>UNITED STATES</v>
        <stp/>
        <stp>##V3_BDPV12</stp>
        <stp>912810RT Govt</stp>
        <stp>COUNTRY_FULL_NAME</stp>
        <stp>[TREASURY.xlsx]Sheet1!R96C8</stp>
        <tr r="H96" s="1"/>
      </tp>
      <tp t="s">
        <v>NORMAL</v>
        <stp/>
        <stp>##V3_BDPV12</stp>
        <stp>912827U6 Govt</stp>
        <stp>MTY_TYP</stp>
        <stp>[TREASURY.xlsx]Sheet1!R751C6</stp>
        <tr r="F751" s="1"/>
      </tp>
      <tp t="s">
        <v>NORMAL</v>
        <stp/>
        <stp>##V3_BDPV12</stp>
        <stp>912827P2 Govt</stp>
        <stp>MTY_TYP</stp>
        <stp>[TREASURY.xlsx]Sheet1!R735C6</stp>
        <tr r="F735" s="1"/>
      </tp>
      <tp t="s">
        <v>NORMAL</v>
        <stp/>
        <stp>##V3_BDPV12</stp>
        <stp>912827E7 Govt</stp>
        <stp>MTY_TYP</stp>
        <stp>[TREASURY.xlsx]Sheet1!R590C6</stp>
        <tr r="F590" s="1"/>
      </tp>
      <tp t="s">
        <v>NORMAL</v>
        <stp/>
        <stp>##V3_BDPV12</stp>
        <stp>912828Q4 Govt</stp>
        <stp>MTY_TYP</stp>
        <stp>[TREASURY.xlsx]Sheet1!R423C6</stp>
        <tr r="F423" s="1"/>
      </tp>
      <tp t="s">
        <v>NORMAL</v>
        <stp/>
        <stp>##V3_BDPV12</stp>
        <stp>912828N4 Govt</stp>
        <stp>MTY_TYP</stp>
        <stp>[TREASURY.xlsx]Sheet1!R463C6</stp>
        <tr r="F463" s="1"/>
      </tp>
      <tp t="s">
        <v>NORMAL</v>
        <stp/>
        <stp>##V3_BDPV12</stp>
        <stp>912828F6 Govt</stp>
        <stp>MTY_TYP</stp>
        <stp>[TREASURY.xlsx]Sheet1!R411C6</stp>
        <tr r="F411" s="1"/>
      </tp>
      <tp t="s">
        <v>NORMAL</v>
        <stp/>
        <stp>##V3_BDPV12</stp>
        <stp>912828G7 Govt</stp>
        <stp>MTY_TYP</stp>
        <stp>[TREASURY.xlsx]Sheet1!R560C6</stp>
        <tr r="F560" s="1"/>
      </tp>
      <tp t="s">
        <v>NORMAL</v>
        <stp/>
        <stp>##V3_BDPV12</stp>
        <stp>912828N6 Govt</stp>
        <stp>MTY_TYP</stp>
        <stp>[TREASURY.xlsx]Sheet1!R621C6</stp>
        <tr r="F621" s="1"/>
      </tp>
      <tp t="s">
        <v>NORMAL</v>
        <stp/>
        <stp>##V3_BDPV12</stp>
        <stp>912827N7 Govt</stp>
        <stp>MTY_TYP</stp>
        <stp>[TREASURY.xlsx]Sheet1!R900C6</stp>
        <tr r="F900" s="1"/>
      </tp>
      <tp t="s">
        <v>NORMAL</v>
        <stp/>
        <stp>##V3_BDPV12</stp>
        <stp>912827U2 Govt</stp>
        <stp>MTY_TYP</stp>
        <stp>[TREASURY.xlsx]Sheet1!R835C6</stp>
        <tr r="F835" s="1"/>
      </tp>
      <tp t="s">
        <v>NORMAL</v>
        <stp/>
        <stp>##V3_BDPV12</stp>
        <stp>912828T3 Govt</stp>
        <stp>MTY_TYP</stp>
        <stp>[TREASURY.xlsx]Sheet1!R124C6</stp>
        <tr r="F124" s="1"/>
      </tp>
      <tp t="s">
        <v>NORMAL</v>
        <stp/>
        <stp>##V3_BDPV12</stp>
        <stp>912828R2 Govt</stp>
        <stp>MTY_TYP</stp>
        <stp>[TREASURY.xlsx]Sheet1!R245C6</stp>
        <tr r="F245" s="1"/>
      </tp>
      <tp t="s">
        <v>NORMAL</v>
        <stp/>
        <stp>##V3_BDPV12</stp>
        <stp>912828X7 Govt</stp>
        <stp>MTY_TYP</stp>
        <stp>[TREASURY.xlsx]Sheet1!R300C6</stp>
        <tr r="F300" s="1"/>
      </tp>
      <tp t="s">
        <v>NORMAL</v>
        <stp/>
        <stp>##V3_BDPV12</stp>
        <stp>912828C5 Govt</stp>
        <stp>MTY_TYP</stp>
        <stp>[TREASURY.xlsx]Sheet1!R342C6</stp>
        <tr r="F342" s="1"/>
      </tp>
      <tp t="s">
        <v>NORMAL</v>
        <stp/>
        <stp>##V3_BDPV12</stp>
        <stp>912810SQ Govt</stp>
        <stp>MTY_TYP</stp>
        <stp>[TREASURY.xlsx]Sheet1!R92C6</stp>
        <tr r="F92" s="1"/>
      </tp>
      <tp t="s">
        <v>NORMAL</v>
        <stp/>
        <stp>##V3_BDPV12</stp>
        <stp>912828YS Govt</stp>
        <stp>MTY_TYP</stp>
        <stp>[TREASURY.xlsx]Sheet1!R38C6</stp>
        <tr r="F38" s="1"/>
      </tp>
      <tp t="s">
        <v>UNITED STATES</v>
        <stp/>
        <stp>##V3_BDPV12</stp>
        <stp>91282CAC Govt</stp>
        <stp>COUNTRY_FULL_NAME</stp>
        <stp>[TREASURY.xlsx]Sheet1!R120C8</stp>
        <tr r="H120" s="1"/>
      </tp>
      <tp t="s">
        <v>1/31/2018</v>
        <stp/>
        <stp>##V3_BDPV12</stp>
        <stp>9128283U Govt</stp>
        <stp>ISSUE_DT</stp>
        <stp>[TREASURY.xlsx]Sheet1!R268C15</stp>
        <tr r="O268" s="1"/>
      </tp>
      <tp t="s">
        <v>1/31/2018</v>
        <stp/>
        <stp>##V3_BDPV12</stp>
        <stp>9128283V Govt</stp>
        <stp>ISSUE_DT</stp>
        <stp>[TREASURY.xlsx]Sheet1!R242C15</stp>
        <tr r="O242" s="1"/>
      </tp>
      <tp t="s">
        <v>12/31/2018</v>
        <stp/>
        <stp>##V3_BDPV12</stp>
        <stp>9128285S Govt</stp>
        <stp>ISSUE_DT</stp>
        <stp>[TREASURY.xlsx]Sheet1!R429C15</stp>
        <tr r="O429" s="1"/>
      </tp>
      <tp t="s">
        <v>9/15/2017</v>
        <stp/>
        <stp>##V3_BDPV12</stp>
        <stp>9128282V Govt</stp>
        <stp>ISSUE_DT</stp>
        <stp>[TREASURY.xlsx]Sheet1!R362C15</stp>
        <tr r="O362" s="1"/>
      </tp>
      <tp t="s">
        <v>11/30/2018</v>
        <stp/>
        <stp>##V3_BDPV12</stp>
        <stp>9128285Q Govt</stp>
        <stp>ISSUE_DT</stp>
        <stp>[TREASURY.xlsx]Sheet1!R410C15</stp>
        <tr r="O410" s="1"/>
      </tp>
      <tp t="s">
        <v>8/31/2017</v>
        <stp/>
        <stp>##V3_BDPV12</stp>
        <stp>9128282T Govt</stp>
        <stp>ISSUE_DT</stp>
        <stp>[TREASURY.xlsx]Sheet1!R330C15</stp>
        <tr r="O330" s="1"/>
      </tp>
      <tp t="s">
        <v>2/28/2018</v>
        <stp/>
        <stp>##V3_BDPV12</stp>
        <stp>9128283Z Govt</stp>
        <stp>ISSUE_DT</stp>
        <stp>[TREASURY.xlsx]Sheet1!R261C15</stp>
        <tr r="O261" s="1"/>
      </tp>
      <tp t="s">
        <v>4/2/2018</v>
        <stp/>
        <stp>##V3_BDPV12</stp>
        <stp>9128284C Govt</stp>
        <stp>ISSUE_DT</stp>
        <stp>[TREASURY.xlsx]Sheet1!R505C15</stp>
        <tr r="O505" s="1"/>
      </tp>
      <tp t="s">
        <v>8/31/2016</v>
        <stp/>
        <stp>##V3_BDPV12</stp>
        <stp>9128282F Govt</stp>
        <stp>ISSUE_DT</stp>
        <stp>[TREASURY.xlsx]Sheet1!R345C15</stp>
        <tr r="O345" s="1"/>
      </tp>
      <tp t="s">
        <v>10/31/2017</v>
        <stp/>
        <stp>##V3_BDPV12</stp>
        <stp>9128283D Govt</stp>
        <stp>ISSUE_DT</stp>
        <stp>[TREASURY.xlsx]Sheet1!R231C15</stp>
        <tr r="O231" s="1"/>
      </tp>
      <tp t="s">
        <v>10/1/2018</v>
        <stp/>
        <stp>##V3_BDPV12</stp>
        <stp>9128285B Govt</stp>
        <stp>ISSUE_DT</stp>
        <stp>[TREASURY.xlsx]Sheet1!R442C15</stp>
        <tr r="O442" s="1"/>
      </tp>
      <tp t="s">
        <v>8/15/2016</v>
        <stp/>
        <stp>##V3_BDPV12</stp>
        <stp>9128282B Govt</stp>
        <stp>ISSUE_DT</stp>
        <stp>[TREASURY.xlsx]Sheet1!R373C15</stp>
        <tr r="O373" s="1"/>
      </tp>
      <tp t="s">
        <v>11/30/2017</v>
        <stp/>
        <stp>##V3_BDPV12</stp>
        <stp>9128283J Govt</stp>
        <stp>ISSUE_DT</stp>
        <stp>[TREASURY.xlsx]Sheet1!R216C15</stp>
        <tr r="O216" s="1"/>
      </tp>
      <tp t="s">
        <v>8/31/2017</v>
        <stp/>
        <stp>##V3_BDPV12</stp>
        <stp>9128282S Govt</stp>
        <stp>ISSUE_DT</stp>
        <stp>[TREASURY.xlsx]Sheet1!R212C15</stp>
        <tr r="O212" s="1"/>
      </tp>
      <tp t="s">
        <v>7/31/2017</v>
        <stp/>
        <stp>##V3_BDPV12</stp>
        <stp>9128282P Govt</stp>
        <stp>ISSUE_DT</stp>
        <stp>[TREASURY.xlsx]Sheet1!R214C15</stp>
        <tr r="O214" s="1"/>
      </tp>
      <tp t="s">
        <v>8/31/2017</v>
        <stp/>
        <stp>##V3_BDPV12</stp>
        <stp>9128282U Govt</stp>
        <stp>ISSUE_DT</stp>
        <stp>[TREASURY.xlsx]Sheet1!R252C15</stp>
        <tr r="O252" s="1"/>
      </tp>
      <tp t="s">
        <v>2/28/2018</v>
        <stp/>
        <stp>##V3_BDPV12</stp>
        <stp>9128283Y Govt</stp>
        <stp>ISSUE_DT</stp>
        <stp>[TREASURY.xlsx]Sheet1!R395C15</stp>
        <tr r="O395" s="1"/>
      </tp>
      <tp t="s">
        <v>1/16/2018</v>
        <stp/>
        <stp>##V3_BDPV12</stp>
        <stp>9128283Q Govt</stp>
        <stp>ISSUE_DT</stp>
        <stp>[TREASURY.xlsx]Sheet1!R375C15</stp>
        <tr r="O375" s="1"/>
      </tp>
      <tp t="s">
        <v>8/31/2016</v>
        <stp/>
        <stp>##V3_BDPV12</stp>
        <stp>9128282D Govt</stp>
        <stp>ISSUE_DT</stp>
        <stp>[TREASURY.xlsx]Sheet1!R260C15</stp>
        <tr r="O260" s="1"/>
      </tp>
      <tp t="s">
        <v>7/31/2017</v>
        <stp/>
        <stp>##V3_BDPV12</stp>
        <stp>9128282N Govt</stp>
        <stp>ISSUE_DT</stp>
        <stp>[TREASURY.xlsx]Sheet1!R258C15</stp>
        <tr r="O258" s="1"/>
      </tp>
      <tp t="s">
        <v>12/15/2017</v>
        <stp/>
        <stp>##V3_BDPV12</stp>
        <stp>9128283L Govt</stp>
        <stp>ISSUE_DT</stp>
        <stp>[TREASURY.xlsx]Sheet1!R350C15</stp>
        <tr r="O350" s="1"/>
      </tp>
      <tp t="s">
        <v>1/2/2018</v>
        <stp/>
        <stp>##V3_BDPV12</stp>
        <stp>9128283N Govt</stp>
        <stp>ISSUE_DT</stp>
        <stp>[TREASURY.xlsx]Sheet1!R366C15</stp>
        <tr r="O366" s="1"/>
      </tp>
      <tp t="s">
        <v>11/15/2017</v>
        <stp/>
        <stp>##V3_BDPV12</stp>
        <stp>9128283G Govt</stp>
        <stp>ISSUE_DT</stp>
        <stp>[TREASURY.xlsx]Sheet1!R380C15</stp>
        <tr r="O380" s="1"/>
      </tp>
      <tp t="s">
        <v>10/2/2017</v>
        <stp/>
        <stp>##V3_BDPV12</stp>
        <stp>9128282W Govt</stp>
        <stp>ISSUE_DT</stp>
        <stp>[TREASURY.xlsx]Sheet1!R166C15</stp>
        <tr r="O166" s="1"/>
      </tp>
      <tp t="s">
        <v>5/31/2019</v>
        <stp/>
        <stp>##V3_BDPV12</stp>
        <stp>9128286V Govt</stp>
        <stp>ISSUE_DT</stp>
        <stp>[TREASURY.xlsx]Sheet1!R523C15</stp>
        <tr r="O523" s="1"/>
      </tp>
      <tp t="s">
        <v>10/2/2017</v>
        <stp/>
        <stp>##V3_BDPV12</stp>
        <stp>9128282Y Govt</stp>
        <stp>ISSUE_DT</stp>
        <stp>[TREASURY.xlsx]Sheet1!R145C15</stp>
        <tr r="O145" s="1"/>
      </tp>
      <tp t="s">
        <v>5/31/2018</v>
        <stp/>
        <stp>##V3_BDPV12</stp>
        <stp>9128284Q Govt</stp>
        <stp>ISSUE_DT</stp>
        <stp>[TREASURY.xlsx]Sheet1!R675C15</stp>
        <tr r="O675" s="1"/>
      </tp>
      <tp t="s">
        <v>1/2/2018</v>
        <stp/>
        <stp>##V3_BDPV12</stp>
        <stp>9128283P Govt</stp>
        <stp>ISSUE_DT</stp>
        <stp>[TREASURY.xlsx]Sheet1!R185C15</stp>
        <tr r="O185" s="1"/>
      </tp>
      <tp t="s">
        <v>10/31/2017</v>
        <stp/>
        <stp>##V3_BDPV12</stp>
        <stp>9128283C Govt</stp>
        <stp>ISSUE_DT</stp>
        <stp>[TREASURY.xlsx]Sheet1!R186C15</stp>
        <tr r="O186" s="1"/>
      </tp>
      <tp t="s">
        <v>4/30/2019</v>
        <stp/>
        <stp>##V3_BDPV12</stp>
        <stp>9128286S Govt</stp>
        <stp>ISSUE_DT</stp>
        <stp>[TREASURY.xlsx]Sheet1!R322C15</stp>
        <tr r="O322" s="1"/>
      </tp>
      <tp t="s">
        <v>US91282CCE93</v>
        <stp/>
        <stp>##V3_BDPV12</stp>
        <stp>91282CCE Govt</stp>
        <stp>ID_ISIN</stp>
        <stp>[TREASURY.xlsx]Sheet1!R77C12</stp>
        <tr r="L77" s="1"/>
      </tp>
      <tp t="s">
        <v>7/2/2018</v>
        <stp/>
        <stp>##V3_BDPV12</stp>
        <stp>9128284U Govt</stp>
        <stp>ISSUE_DT</stp>
        <stp>[TREASURY.xlsx]Sheet1!R128C15</stp>
        <tr r="O128" s="1"/>
      </tp>
      <tp t="s">
        <v>US91282CAE12</v>
        <stp/>
        <stp>##V3_BDPV12</stp>
        <stp>91282CAE Govt</stp>
        <stp>ID_ISIN</stp>
        <stp>[TREASURY.xlsx]Sheet1!R18C12</stp>
        <tr r="L18" s="1"/>
      </tp>
      <tp t="s">
        <v>7/15/2019</v>
        <stp/>
        <stp>##V3_BDPV12</stp>
        <stp>9128287C Govt</stp>
        <stp>ISSUE_DT</stp>
        <stp>[TREASURY.xlsx]Sheet1!R219C15</stp>
        <tr r="O219" s="1"/>
      </tp>
      <tp t="s">
        <v>2/28/2019</v>
        <stp/>
        <stp>##V3_BDPV12</stp>
        <stp>9128286D Govt</stp>
        <stp>ISSUE_DT</stp>
        <stp>[TREASURY.xlsx]Sheet1!R348C15</stp>
        <tr r="O348" s="1"/>
      </tp>
      <tp t="s">
        <v>12/31/2018</v>
        <stp/>
        <stp>##V3_BDPV12</stp>
        <stp>9128285U Govt</stp>
        <stp>ISSUE_DT</stp>
        <stp>[TREASURY.xlsx]Sheet1!R160C15</stp>
        <tr r="O160" s="1"/>
      </tp>
      <tp t="s">
        <v>4/30/2019</v>
        <stp/>
        <stp>##V3_BDPV12</stp>
        <stp>9128286R Govt</stp>
        <stp>ISSUE_DT</stp>
        <stp>[TREASURY.xlsx]Sheet1!R201C15</stp>
        <tr r="O201" s="1"/>
      </tp>
      <tp t="s">
        <v>1/15/2019</v>
        <stp/>
        <stp>##V3_BDPV12</stp>
        <stp>9128285V Govt</stp>
        <stp>ISSUE_DT</stp>
        <stp>[TREASURY.xlsx]Sheet1!R179C15</stp>
        <tr r="O179" s="1"/>
      </tp>
      <tp t="s">
        <v>5/15/2019</v>
        <stp/>
        <stp>##V3_BDPV12</stp>
        <stp>9128286U Govt</stp>
        <stp>ISSUE_DT</stp>
        <stp>[TREASURY.xlsx]Sheet1!R233C15</stp>
        <tr r="O233" s="1"/>
      </tp>
      <tp t="s">
        <v>12/17/2018</v>
        <stp/>
        <stp>##V3_BDPV12</stp>
        <stp>9128285R Govt</stp>
        <stp>ISSUE_DT</stp>
        <stp>[TREASURY.xlsx]Sheet1!R140C15</stp>
        <tr r="O140" s="1"/>
      </tp>
      <tp t="s">
        <v>7/1/2019</v>
        <stp/>
        <stp>##V3_BDPV12</stp>
        <stp>9128286Z Govt</stp>
        <stp>ISSUE_DT</stp>
        <stp>[TREASURY.xlsx]Sheet1!R200C15</stp>
        <tr r="O200" s="1"/>
      </tp>
      <tp t="s">
        <v>5/31/2019</v>
        <stp/>
        <stp>##V3_BDPV12</stp>
        <stp>9128286X Govt</stp>
        <stp>ISSUE_DT</stp>
        <stp>[TREASURY.xlsx]Sheet1!R264C15</stp>
        <tr r="O264" s="1"/>
      </tp>
      <tp t="s">
        <v>6/17/2019</v>
        <stp/>
        <stp>##V3_BDPV12</stp>
        <stp>9128286Y Govt</stp>
        <stp>ISSUE_DT</stp>
        <stp>[TREASURY.xlsx]Sheet1!R241C15</stp>
        <tr r="O241" s="1"/>
      </tp>
      <tp t="s">
        <v>2/28/2019</v>
        <stp/>
        <stp>##V3_BDPV12</stp>
        <stp>9128286G Govt</stp>
        <stp>ISSUE_DT</stp>
        <stp>[TREASURY.xlsx]Sheet1!R240C15</stp>
        <tr r="O240" s="1"/>
      </tp>
      <tp t="s">
        <v>7/1/2019</v>
        <stp/>
        <stp>##V3_BDPV12</stp>
        <stp>9128287B Govt</stp>
        <stp>ISSUE_DT</stp>
        <stp>[TREASURY.xlsx]Sheet1!R306C15</stp>
        <tr r="O306" s="1"/>
      </tp>
      <tp t="s">
        <v>7/1/2019</v>
        <stp/>
        <stp>##V3_BDPV12</stp>
        <stp>9128287A Govt</stp>
        <stp>ISSUE_DT</stp>
        <stp>[TREASURY.xlsx]Sheet1!R339C15</stp>
        <tr r="O339" s="1"/>
      </tp>
      <tp t="s">
        <v>11/30/2017</v>
        <stp/>
        <stp>##V3_BDPV12</stp>
        <stp>9128283H Govt</stp>
        <stp>ISSUE_DT</stp>
        <stp>[TREASURY.xlsx]Sheet1!R784C15</stp>
        <tr r="O784" s="1"/>
      </tp>
      <tp t="s">
        <v>1/31/2019</v>
        <stp/>
        <stp>##V3_BDPV12</stp>
        <stp>9128286A Govt</stp>
        <stp>ISSUE_DT</stp>
        <stp>[TREASURY.xlsx]Sheet1!R265C15</stp>
        <tr r="O265" s="1"/>
      </tp>
      <tp t="s">
        <v>10/15/2018</v>
        <stp/>
        <stp>##V3_BDPV12</stp>
        <stp>9128285F Govt</stp>
        <stp>ISSUE_DT</stp>
        <stp>[TREASURY.xlsx]Sheet1!R106C15</stp>
        <tr r="O106" s="1"/>
      </tp>
      <tp t="s">
        <v>11/15/2018</v>
        <stp/>
        <stp>##V3_BDPV12</stp>
        <stp>9128285L Govt</stp>
        <stp>ISSUE_DT</stp>
        <stp>[TREASURY.xlsx]Sheet1!R193C15</stp>
        <tr r="O193" s="1"/>
      </tp>
      <tp t="s">
        <v>2/15/2019</v>
        <stp/>
        <stp>##V3_BDPV12</stp>
        <stp>9128286C Govt</stp>
        <stp>ISSUE_DT</stp>
        <stp>[TREASURY.xlsx]Sheet1!R272C15</stp>
        <tr r="O272" s="1"/>
      </tp>
      <tp t="s">
        <v>2/28/2019</v>
        <stp/>
        <stp>##V3_BDPV12</stp>
        <stp>9128286F Govt</stp>
        <stp>ISSUE_DT</stp>
        <stp>[TREASURY.xlsx]Sheet1!R225C15</stp>
        <tr r="O225" s="1"/>
      </tp>
      <tp t="s">
        <v>7/31/2019</v>
        <stp/>
        <stp>##V3_BDPV12</stp>
        <stp>9128287F Govt</stp>
        <stp>ISSUE_DT</stp>
        <stp>[TREASURY.xlsx]Sheet1!R329C15</stp>
        <tr r="O329" s="1"/>
      </tp>
      <tp t="s">
        <v>7/17/2017</v>
        <stp/>
        <stp>##V3_BDPV12</stp>
        <stp>9128282J Govt</stp>
        <stp>ISSUE_DT</stp>
        <stp>[TREASURY.xlsx]Sheet1!R611C15</stp>
        <tr r="O611" s="1"/>
      </tp>
      <tp t="s">
        <v>4/1/2019</v>
        <stp/>
        <stp>##V3_BDPV12</stp>
        <stp>9128286L Govt</stp>
        <stp>ISSUE_DT</stp>
        <stp>[TREASURY.xlsx]Sheet1!R276C15</stp>
        <tr r="O276" s="1"/>
      </tp>
      <tp t="s">
        <v>3/15/2019</v>
        <stp/>
        <stp>##V3_BDPV12</stp>
        <stp>9128286H Govt</stp>
        <stp>ISSUE_DT</stp>
        <stp>[TREASURY.xlsx]Sheet1!R228C15</stp>
        <tr r="O228" s="1"/>
      </tp>
      <tp t="s">
        <v>4/15/2019</v>
        <stp/>
        <stp>##V3_BDPV12</stp>
        <stp>9128286M Govt</stp>
        <stp>ISSUE_DT</stp>
        <stp>[TREASURY.xlsx]Sheet1!R218C15</stp>
        <tr r="O218" s="1"/>
      </tp>
      <tp t="s">
        <v>8/15/2018</v>
        <stp/>
        <stp>##V3_BDPV12</stp>
        <stp>9128284W Govt</stp>
        <stp>ISSUE_DT</stp>
        <stp>[TREASURY.xlsx]Sheet1!R347C15</stp>
        <tr r="O347" s="1"/>
      </tp>
      <tp t="s">
        <v>1/31/2018</v>
        <stp/>
        <stp>##V3_BDPV12</stp>
        <stp>9128283S Govt</stp>
        <stp>ISSUE_DT</stp>
        <stp>[TREASURY.xlsx]Sheet1!R433C15</stp>
        <tr r="O433" s="1"/>
      </tp>
      <tp t="s">
        <v>6/15/2018</v>
        <stp/>
        <stp>##V3_BDPV12</stp>
        <stp>9128284T Govt</stp>
        <stp>ISSUE_DT</stp>
        <stp>[TREASURY.xlsx]Sheet1!R344C15</stp>
        <tr r="O344" s="1"/>
      </tp>
      <tp t="s">
        <v>11/30/2018</v>
        <stp/>
        <stp>##V3_BDPV12</stp>
        <stp>9128285P Govt</stp>
        <stp>ISSUE_DT</stp>
        <stp>[TREASURY.xlsx]Sheet1!R271C15</stp>
        <tr r="O271" s="1"/>
      </tp>
      <tp t="s">
        <v>12/31/2018</v>
        <stp/>
        <stp>##V3_BDPV12</stp>
        <stp>9128285T Govt</stp>
        <stp>ISSUE_DT</stp>
        <stp>[TREASURY.xlsx]Sheet1!R239C15</stp>
        <tr r="O239" s="1"/>
      </tp>
      <tp t="s">
        <v>5/15/2018</v>
        <stp/>
        <stp>##V3_BDPV12</stp>
        <stp>9128284P Govt</stp>
        <stp>ISSUE_DT</stp>
        <stp>[TREASURY.xlsx]Sheet1!R367C15</stp>
        <tr r="O367" s="1"/>
      </tp>
      <tp t="s">
        <v>1/31/2019</v>
        <stp/>
        <stp>##V3_BDPV12</stp>
        <stp>9128285Z Govt</stp>
        <stp>ISSUE_DT</stp>
        <stp>[TREASURY.xlsx]Sheet1!R220C15</stp>
        <tr r="O220" s="1"/>
      </tp>
      <tp t="s">
        <v>8/31/2018</v>
        <stp/>
        <stp>##V3_BDPV12</stp>
        <stp>9128284Y Govt</stp>
        <stp>ISSUE_DT</stp>
        <stp>[TREASURY.xlsx]Sheet1!R376C15</stp>
        <tr r="O376" s="1"/>
      </tp>
      <tp t="s">
        <v>10/2/2017</v>
        <stp/>
        <stp>##V3_BDPV12</stp>
        <stp>9128282X Govt</stp>
        <stp>ISSUE_DT</stp>
        <stp>[TREASURY.xlsx]Sheet1!R554C15</stp>
        <tr r="O554" s="1"/>
      </tp>
      <tp t="s">
        <v>10/1/2018</v>
        <stp/>
        <stp>##V3_BDPV12</stp>
        <stp>9128285C Govt</stp>
        <stp>ISSUE_DT</stp>
        <stp>[TREASURY.xlsx]Sheet1!R205C15</stp>
        <tr r="O205" s="1"/>
      </tp>
      <tp t="s">
        <v>4/30/2018</v>
        <stp/>
        <stp>##V3_BDPV12</stp>
        <stp>9128284J Govt</stp>
        <stp>ISSUE_DT</stp>
        <stp>[TREASURY.xlsx]Sheet1!R381C15</stp>
        <tr r="O381" s="1"/>
      </tp>
      <tp t="s">
        <v>11/30/2018</v>
        <stp/>
        <stp>##V3_BDPV12</stp>
        <stp>9128285N Govt</stp>
        <stp>ISSUE_DT</stp>
        <stp>[TREASURY.xlsx]Sheet1!R290C15</stp>
        <tr r="O290" s="1"/>
      </tp>
      <tp t="s">
        <v>9/17/2018</v>
        <stp/>
        <stp>##V3_BDPV12</stp>
        <stp>9128285A Govt</stp>
        <stp>ISSUE_DT</stp>
        <stp>[TREASURY.xlsx]Sheet1!R283C15</stp>
        <tr r="O283" s="1"/>
      </tp>
      <tp t="s">
        <v>10/31/2018</v>
        <stp/>
        <stp>##V3_BDPV12</stp>
        <stp>9128285K Govt</stp>
        <stp>ISSUE_DT</stp>
        <stp>[TREASURY.xlsx]Sheet1!R229C15</stp>
        <tr r="O229" s="1"/>
      </tp>
      <tp t="s">
        <v>4/16/2018</v>
        <stp/>
        <stp>##V3_BDPV12</stp>
        <stp>9128284G Govt</stp>
        <stp>ISSUE_DT</stp>
        <stp>[TREASURY.xlsx]Sheet1!R390C15</stp>
        <tr r="O390" s="1"/>
      </tp>
      <tp t="s">
        <v>10/31/2018</v>
        <stp/>
        <stp>##V3_BDPV12</stp>
        <stp>9128285J Govt</stp>
        <stp>ISSUE_DT</stp>
        <stp>[TREASURY.xlsx]Sheet1!R248C15</stp>
        <tr r="O248" s="1"/>
      </tp>
      <tp t="s">
        <v>5/31/2018</v>
        <stp/>
        <stp>##V3_BDPV12</stp>
        <stp>9128284R Govt</stp>
        <stp>ISSUE_DT</stp>
        <stp>[TREASURY.xlsx]Sheet1!R257C15</stp>
        <tr r="O257" s="1"/>
      </tp>
      <tp t="s">
        <v>8/15/2017</v>
        <stp/>
        <stp>##V3_BDPV12</stp>
        <stp>9128282Q Govt</stp>
        <stp>ISSUE_DT</stp>
        <stp>[TREASURY.xlsx]Sheet1!R469C15</stp>
        <tr r="O469" s="1"/>
      </tp>
      <tp t="s">
        <v>5/31/2018</v>
        <stp/>
        <stp>##V3_BDPV12</stp>
        <stp>9128284S Govt</stp>
        <stp>ISSUE_DT</stp>
        <stp>[TREASURY.xlsx]Sheet1!R294C15</stp>
        <tr r="O294" s="1"/>
      </tp>
      <tp t="s">
        <v>1/31/2019</v>
        <stp/>
        <stp>##V3_BDPV12</stp>
        <stp>9128285X Govt</stp>
        <stp>ISSUE_DT</stp>
        <stp>[TREASURY.xlsx]Sheet1!R372C15</stp>
        <tr r="O372" s="1"/>
      </tp>
      <tp t="s">
        <v>8/31/2018</v>
        <stp/>
        <stp>##V3_BDPV12</stp>
        <stp>9128284Z Govt</stp>
        <stp>ISSUE_DT</stp>
        <stp>[TREASURY.xlsx]Sheet1!R251C15</stp>
        <tr r="O251" s="1"/>
      </tp>
      <tp t="s">
        <v>8/31/2018</v>
        <stp/>
        <stp>##V3_BDPV12</stp>
        <stp>9128284X Govt</stp>
        <stp>ISSUE_DT</stp>
        <stp>[TREASURY.xlsx]Sheet1!R256C15</stp>
        <tr r="O256" s="1"/>
      </tp>
      <tp t="s">
        <v>10/31/2018</v>
        <stp/>
        <stp>##V3_BDPV12</stp>
        <stp>9128285G Govt</stp>
        <stp>ISSUE_DT</stp>
        <stp>[TREASURY.xlsx]Sheet1!R368C15</stp>
        <tr r="O368" s="1"/>
      </tp>
      <tp t="s">
        <v>8/31/2016</v>
        <stp/>
        <stp>##V3_BDPV12</stp>
        <stp>9128282C Govt</stp>
        <stp>ISSUE_DT</stp>
        <stp>[TREASURY.xlsx]Sheet1!R439C15</stp>
        <tr r="O439" s="1"/>
      </tp>
      <tp t="s">
        <v>4/30/2018</v>
        <stp/>
        <stp>##V3_BDPV12</stp>
        <stp>9128284L Govt</stp>
        <stp>ISSUE_DT</stp>
        <stp>[TREASURY.xlsx]Sheet1!R299C15</stp>
        <tr r="O299" s="1"/>
      </tp>
      <tp t="s">
        <v>4/2/2018</v>
        <stp/>
        <stp>##V3_BDPV12</stp>
        <stp>9128284D Govt</stp>
        <stp>ISSUE_DT</stp>
        <stp>[TREASURY.xlsx]Sheet1!R202C15</stp>
        <tr r="O202" s="1"/>
      </tp>
      <tp t="s">
        <v>2/28/2018</v>
        <stp/>
        <stp>##V3_BDPV12</stp>
        <stp>9128284A Govt</stp>
        <stp>ISSUE_DT</stp>
        <stp>[TREASURY.xlsx]Sheet1!R288C15</stp>
        <tr r="O288" s="1"/>
      </tp>
      <tp t="s">
        <v>4/30/2018</v>
        <stp/>
        <stp>##V3_BDPV12</stp>
        <stp>9128284M Govt</stp>
        <stp>ISSUE_DT</stp>
        <stp>[TREASURY.xlsx]Sheet1!R227C15</stp>
        <tr r="O227" s="1"/>
      </tp>
      <tp t="s">
        <v>4/2/2018</v>
        <stp/>
        <stp>##V3_BDPV12</stp>
        <stp>9128284F Govt</stp>
        <stp>ISSUE_DT</stp>
        <stp>[TREASURY.xlsx]Sheet1!R285C15</stp>
        <tr r="O285" s="1"/>
      </tp>
      <tp t="s">
        <v>FIXED</v>
        <stp/>
        <stp>##V3_BDPV12</stp>
        <stp>912810TA Govt</stp>
        <stp>CPN_TYP</stp>
        <stp>[TREASURY.xlsx]Sheet1!R10C11</stp>
        <tr r="K10" s="1"/>
      </tp>
      <tp t="s">
        <v>7/31/2017</v>
        <stp/>
        <stp>##V3_BDPV12</stp>
        <stp>9128282K Govt</stp>
        <stp>ISSUE_DT</stp>
        <stp>[TREASURY.xlsx]Sheet1!R957C15</stp>
        <tr r="O957" s="1"/>
      </tp>
      <tp t="s">
        <v>FIXED</v>
        <stp/>
        <stp>##V3_BDPV12</stp>
        <stp>9128282A Govt</stp>
        <stp>CPN_TYP</stp>
        <stp>[TREASURY.xlsx]Sheet1!R56C11</stp>
        <tr r="K56" s="1"/>
      </tp>
      <tp t="s">
        <v>FIXED</v>
        <stp/>
        <stp>##V3_BDPV12</stp>
        <stp>91282CDA Govt</stp>
        <stp>CPN_TYP</stp>
        <stp>[TREASURY.xlsx]Sheet1!R11C11</stp>
        <tr r="K11" s="1"/>
      </tp>
      <tp t="s">
        <v>FIXED</v>
        <stp/>
        <stp>##V3_BDPV12</stp>
        <stp>91282CBA Govt</stp>
        <stp>CPN_TYP</stp>
        <stp>[TREASURY.xlsx]Sheet1!R78C11</stp>
        <tr r="K78" s="1"/>
      </tp>
      <tp t="s">
        <v>UNITED STATES</v>
        <stp/>
        <stp>##V3_BDPV12</stp>
        <stp>91282CCF Govt</stp>
        <stp>COUNTRY_FULL_NAME</stp>
        <stp>[TREASURY.xlsx]Sheet1!R34C8</stp>
        <tr r="H34" s="1"/>
      </tp>
      <tp t="s">
        <v>UNITED STATES</v>
        <stp/>
        <stp>##V3_BDPV12</stp>
        <stp>91282CCN Govt</stp>
        <stp>COUNTRY_FULL_NAME</stp>
        <stp>[TREASURY.xlsx]Sheet1!R24C8</stp>
        <tr r="H24" s="1"/>
      </tp>
      <tp t="s">
        <v>UNITED STATES</v>
        <stp/>
        <stp>##V3_BDPV12</stp>
        <stp>91282CBL Govt</stp>
        <stp>COUNTRY_FULL_NAME</stp>
        <stp>[TREASURY.xlsx]Sheet1!R14C8</stp>
        <tr r="H14" s="1"/>
      </tp>
      <tp t="s">
        <v>UNITED STATES</v>
        <stp/>
        <stp>##V3_BDPV12</stp>
        <stp>91282CAR Govt</stp>
        <stp>COUNTRY_FULL_NAME</stp>
        <stp>[TREASURY.xlsx]Sheet1!R64C8</stp>
        <tr r="H64" s="1"/>
      </tp>
      <tp t="s">
        <v>2/15/2017</v>
        <stp/>
        <stp>##V3_BDPV12</stp>
        <stp>912828W2 Govt</stp>
        <stp>ISSUE_DT</stp>
        <stp>[TREASURY.xlsx]Sheet1!R679C15</stp>
        <tr r="O679" s="1"/>
      </tp>
      <tp t="s">
        <v>2/28/2017</v>
        <stp/>
        <stp>##V3_BDPV12</stp>
        <stp>912828W3 Govt</stp>
        <stp>ISSUE_DT</stp>
        <stp>[TREASURY.xlsx]Sheet1!R681C15</stp>
        <tr r="O681" s="1"/>
      </tp>
      <tp t="s">
        <v>11/15/2016</v>
        <stp/>
        <stp>##V3_BDPV12</stp>
        <stp>912828U3 Govt</stp>
        <stp>ISSUE_DT</stp>
        <stp>[TREASURY.xlsx]Sheet1!R491C15</stp>
        <tr r="O491" s="1"/>
      </tp>
      <tp t="s">
        <v>5/31/2016</v>
        <stp/>
        <stp>##V3_BDPV12</stp>
        <stp>912828R7 Govt</stp>
        <stp>ISSUE_DT</stp>
        <stp>[TREASURY.xlsx]Sheet1!R383C15</stp>
        <tr r="O383" s="1"/>
      </tp>
      <tp t="s">
        <v>12/15/2016</v>
        <stp/>
        <stp>##V3_BDPV12</stp>
        <stp>912828U7 Govt</stp>
        <stp>ISSUE_DT</stp>
        <stp>[TREASURY.xlsx]Sheet1!R484C15</stp>
        <tr r="O484" s="1"/>
      </tp>
      <tp t="s">
        <v>2/28/2013</v>
        <stp/>
        <stp>##V3_BDPV12</stp>
        <stp>912828UQ Govt</stp>
        <stp>ISSUE_DT</stp>
        <stp>[TREASURY.xlsx]Sheet1!R421C15</stp>
        <tr r="O421" s="1"/>
      </tp>
      <tp t="s">
        <v>10/31/2012</v>
        <stp/>
        <stp>##V3_BDPV12</stp>
        <stp>912828TU Govt</stp>
        <stp>ISSUE_DT</stp>
        <stp>[TREASURY.xlsx]Sheet1!R539C15</stp>
        <tr r="O539" s="1"/>
      </tp>
      <tp t="s">
        <v>1/3/2012</v>
        <stp/>
        <stp>##V3_BDPV12</stp>
        <stp>912828RX Govt</stp>
        <stp>ISSUE_DT</stp>
        <stp>[TREASURY.xlsx]Sheet1!R374C15</stp>
        <tr r="O374" s="1"/>
      </tp>
      <tp t="s">
        <v>4/30/2013</v>
        <stp/>
        <stp>##V3_BDPV12</stp>
        <stp>912828UZ Govt</stp>
        <stp>ISSUE_DT</stp>
        <stp>[TREASURY.xlsx]Sheet1!R445C15</stp>
        <tr r="O445" s="1"/>
      </tp>
      <tp t="s">
        <v>7/2/2012</v>
        <stp/>
        <stp>##V3_BDPV12</stp>
        <stp>912828TA Govt</stp>
        <stp>ISSUE_DT</stp>
        <stp>[TREASURY.xlsx]Sheet1!R520C15</stp>
        <tr r="O520" s="1"/>
      </tp>
      <tp t="s">
        <v>12/31/2012</v>
        <stp/>
        <stp>##V3_BDPV12</stp>
        <stp>912828UE Govt</stp>
        <stp>ISSUE_DT</stp>
        <stp>[TREASURY.xlsx]Sheet1!R446C15</stp>
        <tr r="O446" s="1"/>
      </tp>
      <tp t="s">
        <v>8/15/2011</v>
        <stp/>
        <stp>##V3_BDPV12</stp>
        <stp>912828RC Govt</stp>
        <stp>ISSUE_DT</stp>
        <stp>[TREASURY.xlsx]Sheet1!R333C15</stp>
        <tr r="O333" s="1"/>
      </tp>
      <tp t="s">
        <v>7/31/2012</v>
        <stp/>
        <stp>##V3_BDPV12</stp>
        <stp>912828TH Govt</stp>
        <stp>ISSUE_DT</stp>
        <stp>[TREASURY.xlsx]Sheet1!R585C15</stp>
        <tr r="O585" s="1"/>
      </tp>
      <tp t="s">
        <v>2/15/2013</v>
        <stp/>
        <stp>##V3_BDPV12</stp>
        <stp>912828UM Govt</stp>
        <stp>ISSUE_DT</stp>
        <stp>[TREASURY.xlsx]Sheet1!R472C15</stp>
        <tr r="O472" s="1"/>
      </tp>
      <tp t="s">
        <v>11/15/2013</v>
        <stp/>
        <stp>##V3_BDPV12</stp>
        <stp>912828WF Govt</stp>
        <stp>ISSUE_DT</stp>
        <stp>[TREASURY.xlsx]Sheet1!R680C15</stp>
        <tr r="O680" s="1"/>
      </tp>
      <tp t="s">
        <v>8/15/2012</v>
        <stp/>
        <stp>##V3_BDPV12</stp>
        <stp>912828TK Govt</stp>
        <stp>ISSUE_DT</stp>
        <stp>[TREASURY.xlsx]Sheet1!R565C15</stp>
        <tr r="O565" s="1"/>
      </tp>
      <tp t="s">
        <v>10/31/2013</v>
        <stp/>
        <stp>##V3_BDPV12</stp>
        <stp>912828WD Govt</stp>
        <stp>ISSUE_DT</stp>
        <stp>[TREASURY.xlsx]Sheet1!R682C15</stp>
        <tr r="O682" s="1"/>
      </tp>
      <tp t="s">
        <v>8/1/2016</v>
        <stp/>
        <stp>##V3_BDPV12</stp>
        <stp>912828S7 Govt</stp>
        <stp>ISSUE_DT</stp>
        <stp>[TREASURY.xlsx]Sheet1!R346C15</stp>
        <tr r="O346" s="1"/>
      </tp>
      <tp t="s">
        <v>6/30/2016</v>
        <stp/>
        <stp>##V3_BDPV12</stp>
        <stp>912828S3 Govt</stp>
        <stp>ISSUE_DT</stp>
        <stp>[TREASURY.xlsx]Sheet1!R305C15</stp>
        <tr r="O305" s="1"/>
      </tp>
      <tp t="s">
        <v>5/15/2017</v>
        <stp/>
        <stp>##V3_BDPV12</stp>
        <stp>912828X9 Govt</stp>
        <stp>ISSUE_DT</stp>
        <stp>[TREASURY.xlsx]Sheet1!R882C15</stp>
        <tr r="O882" s="1"/>
      </tp>
      <tp t="s">
        <v>5/31/2016</v>
        <stp/>
        <stp>##V3_BDPV12</stp>
        <stp>912828R6 Govt</stp>
        <stp>ISSUE_DT</stp>
        <stp>[TREASURY.xlsx]Sheet1!R266C15</stp>
        <tr r="O266" s="1"/>
      </tp>
      <tp t="s">
        <v>1/31/2017</v>
        <stp/>
        <stp>##V3_BDPV12</stp>
        <stp>912828V5 Govt</stp>
        <stp>ISSUE_DT</stp>
        <stp>[TREASURY.xlsx]Sheet1!R655C15</stp>
        <tr r="O655" s="1"/>
      </tp>
      <tp t="s">
        <v>5/2/2016</v>
        <stp/>
        <stp>##V3_BDPV12</stp>
        <stp>912828R2 Govt</stp>
        <stp>ISSUE_DT</stp>
        <stp>[TREASURY.xlsx]Sheet1!R245C15</stp>
        <tr r="O245" s="1"/>
      </tp>
      <tp t="s">
        <v>6/30/2016</v>
        <stp/>
        <stp>##V3_BDPV12</stp>
        <stp>912828S2 Govt</stp>
        <stp>ISSUE_DT</stp>
        <stp>[TREASURY.xlsx]Sheet1!R391C15</stp>
        <tr r="O391" s="1"/>
      </tp>
      <tp t="s">
        <v>3/31/2016</v>
        <stp/>
        <stp>##V3_BDPV12</stp>
        <stp>912828Q2 Govt</stp>
        <stp>ISSUE_DT</stp>
        <stp>[TREASURY.xlsx]Sheet1!R187C15</stp>
        <tr r="O187" s="1"/>
      </tp>
      <tp t="s">
        <v>8/1/2016</v>
        <stp/>
        <stp>##V3_BDPV12</stp>
        <stp>912828S9 Govt</stp>
        <stp>ISSUE_DT</stp>
        <stp>[TREASURY.xlsx]Sheet1!R301C15</stp>
        <tr r="O301" s="1"/>
      </tp>
      <tp t="s">
        <v>9/30/2013</v>
        <stp/>
        <stp>##V3_BDPV12</stp>
        <stp>912828VZ Govt</stp>
        <stp>ISSUE_DT</stp>
        <stp>[TREASURY.xlsx]Sheet1!R695C15</stp>
        <tr r="O695" s="1"/>
      </tp>
      <tp t="s">
        <v>10/1/2012</v>
        <stp/>
        <stp>##V3_BDPV12</stp>
        <stp>912828TR Govt</stp>
        <stp>ISSUE_DT</stp>
        <stp>[TREASURY.xlsx]Sheet1!R402C15</stp>
        <tr r="O402" s="1"/>
      </tp>
      <tp t="s">
        <v>4/1/2013</v>
        <stp/>
        <stp>##V3_BDPV12</stp>
        <stp>912828UT Govt</stp>
        <stp>ISSUE_DT</stp>
        <stp>[TREASURY.xlsx]Sheet1!R552C15</stp>
        <tr r="O552" s="1"/>
      </tp>
      <tp t="s">
        <v>10/1/2012</v>
        <stp/>
        <stp>##V3_BDPV12</stp>
        <stp>912828TS Govt</stp>
        <stp>ISSUE_DT</stp>
        <stp>[TREASURY.xlsx]Sheet1!R490C15</stp>
        <tr r="O490" s="1"/>
      </tp>
      <tp t="s">
        <v>10/31/2012</v>
        <stp/>
        <stp>##V3_BDPV12</stp>
        <stp>912828TV Govt</stp>
        <stp>ISSUE_DT</stp>
        <stp>[TREASURY.xlsx]Sheet1!R498C15</stp>
        <tr r="O498" s="1"/>
      </tp>
      <tp t="s">
        <v>6/30/2017</v>
        <stp/>
        <stp>##V3_BDPV12</stp>
        <stp>912828XV Govt</stp>
        <stp>ISSUE_DT</stp>
        <stp>[TREASURY.xlsx]Sheet1!R883C15</stp>
        <tr r="O883" s="1"/>
      </tp>
      <tp t="s">
        <v>11/15/2012</v>
        <stp/>
        <stp>##V3_BDPV12</stp>
        <stp>912828TX Govt</stp>
        <stp>ISSUE_DT</stp>
        <stp>[TREASURY.xlsx]Sheet1!R467C15</stp>
        <tr r="O467" s="1"/>
      </tp>
      <tp t="s">
        <v>5/31/2013</v>
        <stp/>
        <stp>##V3_BDPV12</stp>
        <stp>912828VE Govt</stp>
        <stp>ISSUE_DT</stp>
        <stp>[TREASURY.xlsx]Sheet1!R673C15</stp>
        <tr r="O673" s="1"/>
      </tp>
      <tp t="s">
        <v>4/30/2013</v>
        <stp/>
        <stp>##V3_BDPV12</stp>
        <stp>912828VA Govt</stp>
        <stp>ISSUE_DT</stp>
        <stp>[TREASURY.xlsx]Sheet1!R638C15</stp>
        <tr r="O638" s="1"/>
      </tp>
      <tp t="s">
        <v>11/30/2012</v>
        <stp/>
        <stp>##V3_BDPV12</stp>
        <stp>912828UB Govt</stp>
        <stp>ISSUE_DT</stp>
        <stp>[TREASURY.xlsx]Sheet1!R540C15</stp>
        <tr r="O540" s="1"/>
      </tp>
      <tp t="s">
        <v>7/1/2013</v>
        <stp/>
        <stp>##V3_BDPV12</stp>
        <stp>912828VH Govt</stp>
        <stp>ISSUE_DT</stp>
        <stp>[TREASURY.xlsx]Sheet1!R632C15</stp>
        <tr r="O632" s="1"/>
      </tp>
      <tp t="s">
        <v>5/31/2013</v>
        <stp/>
        <stp>##V3_BDPV12</stp>
        <stp>912828VF Govt</stp>
        <stp>ISSUE_DT</stp>
        <stp>[TREASURY.xlsx]Sheet1!R694C15</stp>
        <tr r="O694" s="1"/>
      </tp>
      <tp t="s">
        <v>2/29/2012</v>
        <stp/>
        <stp>##V3_BDPV12</stp>
        <stp>912828SH Govt</stp>
        <stp>ISSUE_DT</stp>
        <stp>[TREASURY.xlsx]Sheet1!R360C15</stp>
        <tr r="O360" s="1"/>
      </tp>
      <tp t="s">
        <v>12/31/2012</v>
        <stp/>
        <stp>##V3_BDPV12</stp>
        <stp>912828UD Govt</stp>
        <stp>ISSUE_DT</stp>
        <stp>[TREASURY.xlsx]Sheet1!R586C15</stp>
        <tr r="O586" s="1"/>
      </tp>
      <tp t="s">
        <v>8/31/2012</v>
        <stp/>
        <stp>##V3_BDPV12</stp>
        <stp>912828TL Govt</stp>
        <stp>ISSUE_DT</stp>
        <stp>[TREASURY.xlsx]Sheet1!R409C15</stp>
        <tr r="O409" s="1"/>
      </tp>
      <tp t="s">
        <v>5/16/2016</v>
        <stp/>
        <stp>##V3_BDPV12</stp>
        <stp>912828R3 Govt</stp>
        <stp>ISSUE_DT</stp>
        <stp>[TREASURY.xlsx]Sheet1!R130C15</stp>
        <tr r="O130" s="1"/>
      </tp>
      <tp t="s">
        <v>2/29/2016</v>
        <stp/>
        <stp>##V3_BDPV12</stp>
        <stp>912828P8 Govt</stp>
        <stp>ISSUE_DT</stp>
        <stp>[TREASURY.xlsx]Sheet1!R389C15</stp>
        <tr r="O389" s="1"/>
      </tp>
      <tp t="s">
        <v>2/29/2016</v>
        <stp/>
        <stp>##V3_BDPV12</stp>
        <stp>912828P7 Govt</stp>
        <stp>ISSUE_DT</stp>
        <stp>[TREASURY.xlsx]Sheet1!R309C15</stp>
        <tr r="O309" s="1"/>
      </tp>
      <tp t="s">
        <v>3/15/2017</v>
        <stp/>
        <stp>##V3_BDPV12</stp>
        <stp>912828W6 Govt</stp>
        <stp>ISSUE_DT</stp>
        <stp>[TREASURY.xlsx]Sheet1!R480C15</stp>
        <tr r="O480" s="1"/>
      </tp>
      <tp t="s">
        <v>1/3/2017</v>
        <stp/>
        <stp>##V3_BDPV12</stp>
        <stp>912828U9 Govt</stp>
        <stp>ISSUE_DT</stp>
        <stp>[TREASURY.xlsx]Sheet1!R678C15</stp>
        <tr r="O678" s="1"/>
      </tp>
      <tp t="s">
        <v>NORMAL</v>
        <stp/>
        <stp>##V3_BDPV12</stp>
        <stp>912810SJ Govt</stp>
        <stp>MTY_TYP</stp>
        <stp>[TREASURY.xlsx]Sheet1!R73C6</stp>
        <tr r="F73" s="1"/>
      </tp>
      <tp t="s">
        <v>11/15/2011</v>
        <stp/>
        <stp>##V3_BDPV12</stp>
        <stp>912828RR Govt</stp>
        <stp>ISSUE_DT</stp>
        <stp>[TREASURY.xlsx]Sheet1!R119C15</stp>
        <tr r="O119" s="1"/>
      </tp>
      <tp t="s">
        <v>8/15/2013</v>
        <stp/>
        <stp>##V3_BDPV12</stp>
        <stp>912828VR Govt</stp>
        <stp>ISSUE_DT</stp>
        <stp>[TREASURY.xlsx]Sheet1!R566C15</stp>
        <tr r="O566" s="1"/>
      </tp>
      <tp t="s">
        <v>6/16/2014</v>
        <stp/>
        <stp>##V3_BDPV12</stp>
        <stp>912828WP Govt</stp>
        <stp>ISSUE_DT</stp>
        <stp>[TREASURY.xlsx]Sheet1!R488C15</stp>
        <tr r="O488" s="1"/>
      </tp>
      <tp t="s">
        <v>4/1/2013</v>
        <stp/>
        <stp>##V3_BDPV12</stp>
        <stp>912828UV Govt</stp>
        <stp>ISSUE_DT</stp>
        <stp>[TREASURY.xlsx]Sheet1!R693C15</stp>
        <tr r="O693" s="1"/>
      </tp>
      <tp t="s">
        <v>2/15/2011</v>
        <stp/>
        <stp>##V3_BDPV12</stp>
        <stp>912828PX Govt</stp>
        <stp>ISSUE_DT</stp>
        <stp>[TREASURY.xlsx]Sheet1!R355C15</stp>
        <tr r="O355" s="1"/>
      </tp>
      <tp t="s">
        <v>12/31/2012</v>
        <stp/>
        <stp>##V3_BDPV12</stp>
        <stp>912828UF Govt</stp>
        <stp>ISSUE_DT</stp>
        <stp>[TREASURY.xlsx]Sheet1!R671C15</stp>
        <tr r="O671" s="1"/>
      </tp>
      <tp t="s">
        <v>10/31/2013</v>
        <stp/>
        <stp>##V3_BDPV12</stp>
        <stp>912828WB Govt</stp>
        <stp>ISSUE_DT</stp>
        <stp>[TREASURY.xlsx]Sheet1!R457C15</stp>
        <tr r="O457" s="1"/>
      </tp>
      <tp t="s">
        <v>11/15/2010</v>
        <stp/>
        <stp>##V3_BDPV12</stp>
        <stp>912828PC Govt</stp>
        <stp>ISSUE_DT</stp>
        <stp>[TREASURY.xlsx]Sheet1!R365C15</stp>
        <tr r="O365" s="1"/>
      </tp>
      <tp t="s">
        <v>5/15/2013</v>
        <stp/>
        <stp>##V3_BDPV12</stp>
        <stp>912828VC Govt</stp>
        <stp>ISSUE_DT</stp>
        <stp>[TREASURY.xlsx]Sheet1!R577C15</stp>
        <tr r="O577" s="1"/>
      </tp>
      <tp t="s">
        <v>6/17/2013</v>
        <stp/>
        <stp>##V3_BDPV12</stp>
        <stp>912828VG Govt</stp>
        <stp>ISSUE_DT</stp>
        <stp>[TREASURY.xlsx]Sheet1!R587C15</stp>
        <tr r="O587" s="1"/>
      </tp>
      <tp t="s">
        <v>2/1/2016</v>
        <stp/>
        <stp>##V3_BDPV12</stp>
        <stp>912828P3 Govt</stp>
        <stp>ISSUE_DT</stp>
        <stp>[TREASURY.xlsx]Sheet1!R222C15</stp>
        <tr r="O222" s="1"/>
      </tp>
      <tp t="s">
        <v>5/2/2016</v>
        <stp/>
        <stp>##V3_BDPV12</stp>
        <stp>912828Q7 Govt</stp>
        <stp>ISSUE_DT</stp>
        <stp>[TREASURY.xlsx]Sheet1!R378C15</stp>
        <tr r="O378" s="1"/>
      </tp>
      <tp t="s">
        <v>10/17/2016</v>
        <stp/>
        <stp>##V3_BDPV12</stp>
        <stp>912828T5 Govt</stp>
        <stp>ISSUE_DT</stp>
        <stp>[TREASURY.xlsx]Sheet1!R631C15</stp>
        <tr r="O631" s="1"/>
      </tp>
      <tp t="s">
        <v>5/15/2012</v>
        <stp/>
        <stp>##V3_BDPV12</stp>
        <stp>912828SV Govt</stp>
        <stp>ISSUE_DT</stp>
        <stp>[TREASURY.xlsx]Sheet1!R164C15</stp>
        <tr r="O164" s="1"/>
      </tp>
      <tp t="s">
        <v>6/30/2014</v>
        <stp/>
        <stp>##V3_BDPV12</stp>
        <stp>912828WS Govt</stp>
        <stp>ISSUE_DT</stp>
        <stp>[TREASURY.xlsx]Sheet1!R543C15</stp>
        <tr r="O543" s="1"/>
      </tp>
      <tp t="s">
        <v>7/31/2013</v>
        <stp/>
        <stp>##V3_BDPV12</stp>
        <stp>912828VP Govt</stp>
        <stp>ISSUE_DT</stp>
        <stp>[TREASURY.xlsx]Sheet1!R479C15</stp>
        <tr r="O479" s="1"/>
      </tp>
      <tp t="s">
        <v>7/31/2012</v>
        <stp/>
        <stp>##V3_BDPV12</stp>
        <stp>912828TG Govt</stp>
        <stp>ISSUE_DT</stp>
        <stp>[TREASURY.xlsx]Sheet1!R654C15</stp>
        <tr r="O654" s="1"/>
      </tp>
      <tp t="s">
        <v>7/2/2012</v>
        <stp/>
        <stp>##V3_BDPV12</stp>
        <stp>912828TB Govt</stp>
        <stp>ISSUE_DT</stp>
        <stp>[TREASURY.xlsx]Sheet1!R637C15</stp>
        <tr r="O637" s="1"/>
      </tp>
      <tp t="s">
        <v>2/15/2012</v>
        <stp/>
        <stp>##V3_BDPV12</stp>
        <stp>912828SF Govt</stp>
        <stp>ISSUE_DT</stp>
        <stp>[TREASURY.xlsx]Sheet1!R138C15</stp>
        <tr r="O138" s="1"/>
      </tp>
      <tp t="s">
        <v>6/2/2014</v>
        <stp/>
        <stp>##V3_BDPV12</stp>
        <stp>912828WM Govt</stp>
        <stp>ISSUE_DT</stp>
        <stp>[TREASURY.xlsx]Sheet1!R567C15</stp>
        <tr r="O567" s="1"/>
      </tp>
      <tp t="s">
        <v>7/1/2013</v>
        <stp/>
        <stp>##V3_BDPV12</stp>
        <stp>912828VJ Govt</stp>
        <stp>ISSUE_DT</stp>
        <stp>[TREASURY.xlsx]Sheet1!R447C15</stp>
        <tr r="O447" s="1"/>
      </tp>
      <tp t="s">
        <v>5/16/2011</v>
        <stp/>
        <stp>##V3_BDPV12</stp>
        <stp>912828QN Govt</stp>
        <stp>ISSUE_DT</stp>
        <stp>[TREASURY.xlsx]Sheet1!R334C15</stp>
        <tr r="O334" s="1"/>
      </tp>
      <tp t="s">
        <v>3/31/2016</v>
        <stp/>
        <stp>##V3_BDPV12</stp>
        <stp>912828Q3 Govt</stp>
        <stp>ISSUE_DT</stp>
        <stp>[TREASURY.xlsx]Sheet1!R413C15</stp>
        <tr r="O413" s="1"/>
      </tp>
      <tp t="s">
        <v>9/30/2016</v>
        <stp/>
        <stp>##V3_BDPV12</stp>
        <stp>912828T3 Govt</stp>
        <stp>ISSUE_DT</stp>
        <stp>[TREASURY.xlsx]Sheet1!R124C15</stp>
        <tr r="O124" s="1"/>
      </tp>
      <tp t="s">
        <v>3/31/2016</v>
        <stp/>
        <stp>##V3_BDPV12</stp>
        <stp>912828Q4 Govt</stp>
        <stp>ISSUE_DT</stp>
        <stp>[TREASURY.xlsx]Sheet1!R423C15</stp>
        <tr r="O423" s="1"/>
      </tp>
      <tp t="s">
        <v>10/31/2016</v>
        <stp/>
        <stp>##V3_BDPV12</stp>
        <stp>912828T6 Govt</stp>
        <stp>ISSUE_DT</stp>
        <stp>[TREASURY.xlsx]Sheet1!R105C15</stp>
        <tr r="O105" s="1"/>
      </tp>
      <tp t="s">
        <v>9/30/2016</v>
        <stp/>
        <stp>##V3_BDPV12</stp>
        <stp>912828T2 Govt</stp>
        <stp>ISSUE_DT</stp>
        <stp>[TREASURY.xlsx]Sheet1!R192C15</stp>
        <tr r="O192" s="1"/>
      </tp>
      <tp t="s">
        <v>5/2/2016</v>
        <stp/>
        <stp>##V3_BDPV12</stp>
        <stp>912828Q9 Govt</stp>
        <stp>ISSUE_DT</stp>
        <stp>[TREASURY.xlsx]Sheet1!R425C15</stp>
        <tr r="O425" s="1"/>
      </tp>
      <tp t="s">
        <v>3/31/2017</v>
        <stp/>
        <stp>##V3_BDPV12</stp>
        <stp>912828W8 Govt</stp>
        <stp>ISSUE_DT</stp>
        <stp>[TREASURY.xlsx]Sheet1!R221C15</stp>
        <tr r="O221" s="1"/>
      </tp>
      <tp t="s">
        <v>1/31/2017</v>
        <stp/>
        <stp>##V3_BDPV12</stp>
        <stp>912828V8 Govt</stp>
        <stp>ISSUE_DT</stp>
        <stp>[TREASURY.xlsx]Sheet1!R307C15</stp>
        <tr r="O307" s="1"/>
      </tp>
      <tp t="s">
        <v>8/1/2016</v>
        <stp/>
        <stp>##V3_BDPV12</stp>
        <stp>912828S6 Govt</stp>
        <stp>ISSUE_DT</stp>
        <stp>[TREASURY.xlsx]Sheet1!R692C15</stp>
        <tr r="O692" s="1"/>
      </tp>
      <tp t="s">
        <v>2/28/2017</v>
        <stp/>
        <stp>##V3_BDPV12</stp>
        <stp>912828W5 Govt</stp>
        <stp>ISSUE_DT</stp>
        <stp>[TREASURY.xlsx]Sheet1!R281C15</stp>
        <tr r="O281" s="1"/>
      </tp>
      <tp t="s">
        <v>2/28/2017</v>
        <stp/>
        <stp>##V3_BDPV12</stp>
        <stp>912828W4 Govt</stp>
        <stp>ISSUE_DT</stp>
        <stp>[TREASURY.xlsx]Sheet1!R296C15</stp>
        <tr r="O296" s="1"/>
      </tp>
      <tp t="s">
        <v>5/31/2012</v>
        <stp/>
        <stp>##V3_BDPV12</stp>
        <stp>912828SW Govt</stp>
        <stp>ISSUE_DT</stp>
        <stp>[TREASURY.xlsx]Sheet1!R653C15</stp>
        <tr r="O653" s="1"/>
      </tp>
      <tp t="s">
        <v>2/28/2011</v>
        <stp/>
        <stp>##V3_BDPV12</stp>
        <stp>912828PY Govt</stp>
        <stp>ISSUE_DT</stp>
        <stp>[TREASURY.xlsx]Sheet1!R594C15</stp>
        <tr r="O594" s="1"/>
      </tp>
      <tp t="s">
        <v>11/15/2012</v>
        <stp/>
        <stp>##V3_BDPV12</stp>
        <stp>912828TY Govt</stp>
        <stp>ISSUE_DT</stp>
        <stp>[TREASURY.xlsx]Sheet1!R118C15</stp>
        <tr r="O118" s="1"/>
      </tp>
      <tp t="s">
        <v>4/30/2015</v>
        <stp/>
        <stp>##V3_BDPV12</stp>
        <stp>912828WZ Govt</stp>
        <stp>ISSUE_DT</stp>
        <stp>[TREASURY.xlsx]Sheet1!R244C15</stp>
        <tr r="O244" s="1"/>
      </tp>
      <tp t="s">
        <v>5/31/2011</v>
        <stp/>
        <stp>##V3_BDPV12</stp>
        <stp>912828QZ Govt</stp>
        <stp>ISSUE_DT</stp>
        <stp>[TREASURY.xlsx]Sheet1!R449C15</stp>
        <tr r="O449" s="1"/>
      </tp>
      <tp t="s">
        <v>3/15/2011</v>
        <stp/>
        <stp>##V3_BDPV12</stp>
        <stp>912828PZ Govt</stp>
        <stp>ISSUE_DT</stp>
        <stp>[TREASURY.xlsx]Sheet1!R575C15</stp>
        <tr r="O575" s="1"/>
      </tp>
      <tp t="s">
        <v>8/15/2012</v>
        <stp/>
        <stp>##V3_BDPV12</stp>
        <stp>912828TJ Govt</stp>
        <stp>ISSUE_DT</stp>
        <stp>[TREASURY.xlsx]Sheet1!R194C15</stp>
        <tr r="O194" s="1"/>
      </tp>
      <tp t="s">
        <v>11/1/2010</v>
        <stp/>
        <stp>##V3_BDPV12</stp>
        <stp>912828PE Govt</stp>
        <stp>ISSUE_DT</stp>
        <stp>[TREASURY.xlsx]Sheet1!R548C15</stp>
        <tr r="O548" s="1"/>
      </tp>
      <tp t="s">
        <v>1/31/2012</v>
        <stp/>
        <stp>##V3_BDPV12</stp>
        <stp>912828SD Govt</stp>
        <stp>ISSUE_DT</stp>
        <stp>[TREASURY.xlsx]Sheet1!R623C15</stp>
        <tr r="O623" s="1"/>
      </tp>
      <tp t="s">
        <v>12/31/2010</v>
        <stp/>
        <stp>##V3_BDPV12</stp>
        <stp>912828PM Govt</stp>
        <stp>ISSUE_DT</stp>
        <stp>[TREASURY.xlsx]Sheet1!R593C15</stp>
        <tr r="O593" s="1"/>
      </tp>
      <tp t="s">
        <v>2/15/2012</v>
        <stp/>
        <stp>##V3_BDPV12</stp>
        <stp>912828SE Govt</stp>
        <stp>ISSUE_DT</stp>
        <stp>[TREASURY.xlsx]Sheet1!R618C15</stp>
        <tr r="O618" s="1"/>
      </tp>
      <tp t="s">
        <v>2/28/2011</v>
        <stp/>
        <stp>##V3_BDPV12</stp>
        <stp>912828QJ Govt</stp>
        <stp>ISSUE_DT</stp>
        <stp>[TREASURY.xlsx]Sheet1!R407C15</stp>
        <tr r="O407" s="1"/>
      </tp>
      <tp t="s">
        <v>4/2/2012</v>
        <stp/>
        <stp>##V3_BDPV12</stp>
        <stp>912828SN Govt</stp>
        <stp>ISSUE_DT</stp>
        <stp>[TREASURY.xlsx]Sheet1!R670C15</stp>
        <tr r="O670" s="1"/>
      </tp>
      <tp t="s">
        <v>3/31/2011</v>
        <stp/>
        <stp>##V3_BDPV12</stp>
        <stp>912828QL Govt</stp>
        <stp>ISSUE_DT</stp>
        <stp>[TREASURY.xlsx]Sheet1!R401C15</stp>
        <tr r="O401" s="1"/>
      </tp>
      <tp t="s">
        <v>1/31/2017</v>
        <stp/>
        <stp>##V3_BDPV12</stp>
        <stp>912828V7 Govt</stp>
        <stp>ISSUE_DT</stp>
        <stp>[TREASURY.xlsx]Sheet1!R262C15</stp>
        <tr r="O262" s="1"/>
      </tp>
      <tp t="s">
        <v>6/15/2016</v>
        <stp/>
        <stp>##V3_BDPV12</stp>
        <stp>912828R8 Govt</stp>
        <stp>ISSUE_DT</stp>
        <stp>[TREASURY.xlsx]Sheet1!R689C15</stp>
        <tr r="O689" s="1"/>
      </tp>
      <tp t="s">
        <v>1/3/2017</v>
        <stp/>
        <stp>##V3_BDPV12</stp>
        <stp>912828V2 Govt</stp>
        <stp>ISSUE_DT</stp>
        <stp>[TREASURY.xlsx]Sheet1!R250C15</stp>
        <tr r="O250" s="1"/>
      </tp>
      <tp t="s">
        <v>3/15/2016</v>
        <stp/>
        <stp>##V3_BDPV12</stp>
        <stp>912828P9 Govt</stp>
        <stp>ISSUE_DT</stp>
        <stp>[TREASURY.xlsx]Sheet1!R431C15</stp>
        <tr r="O431" s="1"/>
      </tp>
      <tp t="s">
        <v>3/31/2017</v>
        <stp/>
        <stp>##V3_BDPV12</stp>
        <stp>912828W9 Govt</stp>
        <stp>ISSUE_DT</stp>
        <stp>[TREASURY.xlsx]Sheet1!R363C15</stp>
        <tr r="O363" s="1"/>
      </tp>
      <tp t="s">
        <v>UNITED STATES</v>
        <stp/>
        <stp>##V3_BDPV12</stp>
        <stp>9128285D Govt</stp>
        <stp>COUNTRY_FULL_NAME</stp>
        <stp>[TREASURY.xlsx]Sheet1!R54C8</stp>
        <tr r="H54" s="1"/>
      </tp>
      <tp t="s">
        <v>7/31/2014</v>
        <stp/>
        <stp>##V3_BDPV12</stp>
        <stp>912828WW Govt</stp>
        <stp>ISSUE_DT</stp>
        <stp>[TREASURY.xlsx]Sheet1!R340C15</stp>
        <tr r="O340" s="1"/>
      </tp>
      <tp t="s">
        <v>UNITED STATES</v>
        <stp/>
        <stp>##V3_BDPV12</stp>
        <stp>912828ZC Govt</stp>
        <stp>COUNTRY_FULL_NAME</stp>
        <stp>[TREASURY.xlsx]Sheet1!R74C8</stp>
        <tr r="H74" s="1"/>
      </tp>
      <tp t="s">
        <v>6/30/2014</v>
        <stp/>
        <stp>##V3_BDPV12</stp>
        <stp>912828WR Govt</stp>
        <stp>ISSUE_DT</stp>
        <stp>[TREASURY.xlsx]Sheet1!R341C15</stp>
        <tr r="O341" s="1"/>
      </tp>
      <tp t="s">
        <v>5/31/2011</v>
        <stp/>
        <stp>##V3_BDPV12</stp>
        <stp>912828QP Govt</stp>
        <stp>ISSUE_DT</stp>
        <stp>[TREASURY.xlsx]Sheet1!R550C15</stp>
        <tr r="O550" s="1"/>
      </tp>
      <tp t="s">
        <v>8/1/2011</v>
        <stp/>
        <stp>##V3_BDPV12</stp>
        <stp>912828QX Govt</stp>
        <stp>ISSUE_DT</stp>
        <stp>[TREASURY.xlsx]Sheet1!R519C15</stp>
        <tr r="O519" s="1"/>
      </tp>
      <tp t="s">
        <v>12/15/2011</v>
        <stp/>
        <stp>##V3_BDPV12</stp>
        <stp>912828RV Govt</stp>
        <stp>ISSUE_DT</stp>
        <stp>[TREASURY.xlsx]Sheet1!R687C15</stp>
        <tr r="O687" s="1"/>
      </tp>
      <tp t="s">
        <v>UNITED STATES</v>
        <stp/>
        <stp>##V3_BDPV12</stp>
        <stp>912828U2 Govt</stp>
        <stp>COUNTRY_FULL_NAME</stp>
        <stp>[TREASURY.xlsx]Sheet1!R84C8</stp>
        <tr r="H84" s="1"/>
      </tp>
      <tp t="s">
        <v>7/31/2014</v>
        <stp/>
        <stp>##V3_BDPV12</stp>
        <stp>912828WY Govt</stp>
        <stp>ISSUE_DT</stp>
        <stp>[TREASURY.xlsx]Sheet1!R359C15</stp>
        <tr r="O359" s="1"/>
      </tp>
      <tp t="s">
        <v>UNITED STATES</v>
        <stp/>
        <stp>##V3_BDPV12</stp>
        <stp>912828J2 Govt</stp>
        <stp>COUNTRY_FULL_NAME</stp>
        <stp>[TREASURY.xlsx]Sheet1!R94C8</stp>
        <tr r="H94" s="1"/>
      </tp>
      <tp t="s">
        <v>5/2/2011</v>
        <stp/>
        <stp>##V3_BDPV12</stp>
        <stp>912828QF Govt</stp>
        <stp>ISSUE_DT</stp>
        <stp>[TREASURY.xlsx]Sheet1!R576C15</stp>
        <tr r="O576" s="1"/>
      </tp>
      <tp t="s">
        <v>2/15/2011</v>
        <stp/>
        <stp>##V3_BDPV12</stp>
        <stp>912828QH Govt</stp>
        <stp>ISSUE_DT</stp>
        <stp>[TREASURY.xlsx]Sheet1!R595C15</stp>
        <tr r="O595" s="1"/>
      </tp>
      <tp t="s">
        <v>3/31/2011</v>
        <stp/>
        <stp>##V3_BDPV12</stp>
        <stp>912828QA Govt</stp>
        <stp>ISSUE_DT</stp>
        <stp>[TREASURY.xlsx]Sheet1!R509C15</stp>
        <tr r="O509" s="1"/>
      </tp>
      <tp t="s">
        <v>4/30/2014</v>
        <stp/>
        <stp>##V3_BDPV12</stp>
        <stp>912828WG Govt</stp>
        <stp>ISSUE_DT</stp>
        <stp>[TREASURY.xlsx]Sheet1!R370C15</stp>
        <tr r="O370" s="1"/>
      </tp>
      <tp t="s">
        <v>6/30/2011</v>
        <stp/>
        <stp>##V3_BDPV12</stp>
        <stp>912828RA Govt</stp>
        <stp>ISSUE_DT</stp>
        <stp>[TREASURY.xlsx]Sheet1!R677C15</stp>
        <tr r="O677" s="1"/>
      </tp>
      <tp t="s">
        <v>2/15/2013</v>
        <stp/>
        <stp>##V3_BDPV12</stp>
        <stp>912828UN Govt</stp>
        <stp>ISSUE_DT</stp>
        <stp>[TREASURY.xlsx]Sheet1!R147C15</stp>
        <tr r="O147" s="1"/>
      </tp>
      <tp t="s">
        <v>8/31/2010</v>
        <stp/>
        <stp>##V3_BDPV12</stp>
        <stp>912828PH Govt</stp>
        <stp>ISSUE_DT</stp>
        <stp>[TREASURY.xlsx]Sheet1!R464C15</stp>
        <tr r="O464" s="1"/>
      </tp>
      <tp t="s">
        <v>6/2/2014</v>
        <stp/>
        <stp>##V3_BDPV12</stp>
        <stp>912828WN Govt</stp>
        <stp>ISSUE_DT</stp>
        <stp>[TREASURY.xlsx]Sheet1!R338C15</stp>
        <tr r="O338" s="1"/>
      </tp>
      <tp t="s">
        <v>11/30/2016</v>
        <stp/>
        <stp>##V3_BDPV12</stp>
        <stp>912828U5 Govt</stp>
        <stp>ISSUE_DT</stp>
        <stp>[TREASURY.xlsx]Sheet1!R246C15</stp>
        <tr r="O246" s="1"/>
      </tp>
      <tp t="s">
        <v>11/30/2016</v>
        <stp/>
        <stp>##V3_BDPV12</stp>
        <stp>912828U6 Govt</stp>
        <stp>ISSUE_DT</stp>
        <stp>[TREASURY.xlsx]Sheet1!R232C15</stp>
        <tr r="O232" s="1"/>
      </tp>
      <tp t="s">
        <v>2/15/2017</v>
        <stp/>
        <stp>##V3_BDPV12</stp>
        <stp>912828V9 Govt</stp>
        <stp>ISSUE_DT</stp>
        <stp>[TREASURY.xlsx]Sheet1!R127C15</stp>
        <tr r="O127" s="1"/>
      </tp>
      <tp t="s">
        <v>1/3/2017</v>
        <stp/>
        <stp>##V3_BDPV12</stp>
        <stp>912828U8 Govt</stp>
        <stp>ISSUE_DT</stp>
        <stp>[TREASURY.xlsx]Sheet1!R213C15</stp>
        <tr r="O213" s="1"/>
      </tp>
      <tp t="s">
        <v>7/15/2016</v>
        <stp/>
        <stp>##V3_BDPV12</stp>
        <stp>912828S4 Govt</stp>
        <stp>ISSUE_DT</stp>
        <stp>[TREASURY.xlsx]Sheet1!R487C15</stp>
        <tr r="O487" s="1"/>
      </tp>
      <tp t="s">
        <v>8/1/2011</v>
        <stp/>
        <stp>##V3_BDPV12</stp>
        <stp>912828QW Govt</stp>
        <stp>ISSUE_DT</stp>
        <stp>[TREASURY.xlsx]Sheet1!R646C15</stp>
        <tr r="O646" s="1"/>
      </tp>
      <tp t="s">
        <v>10/31/2012</v>
        <stp/>
        <stp>##V3_BDPV12</stp>
        <stp>912828TW Govt</stp>
        <stp>ISSUE_DT</stp>
        <stp>[TREASURY.xlsx]Sheet1!R361C15</stp>
        <tr r="O361" s="1"/>
      </tp>
      <tp t="s">
        <v>8/15/2013</v>
        <stp/>
        <stp>##V3_BDPV12</stp>
        <stp>912828VS Govt</stp>
        <stp>ISSUE_DT</stp>
        <stp>[TREASURY.xlsx]Sheet1!R134C15</stp>
        <tr r="O134" s="1"/>
      </tp>
      <tp t="s">
        <v>5/15/2012</v>
        <stp/>
        <stp>##V3_BDPV12</stp>
        <stp>912828SU Govt</stp>
        <stp>ISSUE_DT</stp>
        <stp>[TREASURY.xlsx]Sheet1!R404C15</stp>
        <tr r="O404" s="1"/>
      </tp>
      <tp t="s">
        <v>10/31/2011</v>
        <stp/>
        <stp>##V3_BDPV12</stp>
        <stp>912828RP Govt</stp>
        <stp>ISSUE_DT</stp>
        <stp>[TREASURY.xlsx]Sheet1!R549C15</stp>
        <tr r="O549" s="1"/>
      </tp>
      <tp t="s">
        <v>4/30/2012</v>
        <stp/>
        <stp>##V3_BDPV12</stp>
        <stp>912828ST Govt</stp>
        <stp>ISSUE_DT</stp>
        <stp>[TREASURY.xlsx]Sheet1!R497C15</stp>
        <tr r="O497" s="1"/>
      </tp>
      <tp t="s">
        <v>2/29/2012</v>
        <stp/>
        <stp>##V3_BDPV12</stp>
        <stp>912828SJ Govt</stp>
        <stp>ISSUE_DT</stp>
        <stp>[TREASURY.xlsx]Sheet1!R489C15</stp>
        <tr r="O489" s="1"/>
      </tp>
      <tp t="s">
        <v>5/15/2013</v>
        <stp/>
        <stp>##V3_BDPV12</stp>
        <stp>912828VB Govt</stp>
        <stp>ISSUE_DT</stp>
        <stp>[TREASURY.xlsx]Sheet1!R168C15</stp>
        <tr r="O168" s="1"/>
      </tp>
      <tp t="s">
        <v>10/31/2011</v>
        <stp/>
        <stp>##V3_BDPV12</stp>
        <stp>912828RM Govt</stp>
        <stp>ISSUE_DT</stp>
        <stp>[TREASURY.xlsx]Sheet1!R563C15</stp>
        <tr r="O563" s="1"/>
      </tp>
      <tp t="s">
        <v>7/2/2012</v>
        <stp/>
        <stp>##V3_BDPV12</stp>
        <stp>912828TC Govt</stp>
        <stp>ISSUE_DT</stp>
        <stp>[TREASURY.xlsx]Sheet1!R385C15</stp>
        <tr r="O385" s="1"/>
      </tp>
      <tp t="s">
        <v>2/29/2012</v>
        <stp/>
        <stp>##V3_BDPV12</stp>
        <stp>912828SG Govt</stp>
        <stp>ISSUE_DT</stp>
        <stp>[TREASURY.xlsx]Sheet1!R496C15</stp>
        <tr r="O496" s="1"/>
      </tp>
      <tp t="s">
        <v>3/31/2017</v>
        <stp/>
        <stp>##V3_BDPV12</stp>
        <stp>912828W7 Govt</stp>
        <stp>ISSUE_DT</stp>
        <stp>[TREASURY.xlsx]Sheet1!R125C15</stp>
        <tr r="O125" s="1"/>
      </tp>
      <tp t="s">
        <v>6/30/2016</v>
        <stp/>
        <stp>##V3_BDPV12</stp>
        <stp>912828R9 Govt</stp>
        <stp>ISSUE_DT</stp>
        <stp>[TREASURY.xlsx]Sheet1!R437C15</stp>
        <tr r="O437" s="1"/>
      </tp>
      <tp t="s">
        <v>10/31/2016</v>
        <stp/>
        <stp>##V3_BDPV12</stp>
        <stp>912828T9 Govt</stp>
        <stp>ISSUE_DT</stp>
        <stp>[TREASURY.xlsx]Sheet1!R215C15</stp>
        <tr r="O215" s="1"/>
      </tp>
      <tp t="s">
        <v>5/15/2028</v>
        <stp/>
        <stp>##V3_BDPV12</stp>
        <stp>9128284N Govt</stp>
        <stp>MATURITY</stp>
        <stp>[TREASURY.xlsx]Sheet1!R71C5</stp>
        <tr r="E71" s="1"/>
      </tp>
      <tp t="s">
        <v>9/30/2025</v>
        <stp/>
        <stp>##V3_BDPV12</stp>
        <stp>91282CAM Govt</stp>
        <stp>MATURITY</stp>
        <stp>[TREASURY.xlsx]Sheet1!R42C5</stp>
        <tr r="E42" s="1"/>
      </tp>
      <tp t="s">
        <v>11/30/2010</v>
        <stp/>
        <stp>##V3_BDPV12</stp>
        <stp>912828PV Govt</stp>
        <stp>ISSUE_DT</stp>
        <stp>[TREASURY.xlsx]Sheet1!R652C15</stp>
        <tr r="O652" s="1"/>
      </tp>
      <tp t="s">
        <v>11/30/2011</v>
        <stp/>
        <stp>##V3_BDPV12</stp>
        <stp>912828RS Govt</stp>
        <stp>ISSUE_DT</stp>
        <stp>[TREASURY.xlsx]Sheet1!R444C15</stp>
        <tr r="O444" s="1"/>
      </tp>
      <tp t="s">
        <v>11/30/2011</v>
        <stp/>
        <stp>##V3_BDPV12</stp>
        <stp>912828RT Govt</stp>
        <stp>ISSUE_DT</stp>
        <stp>[TREASURY.xlsx]Sheet1!R420C15</stp>
        <tr r="O420" s="1"/>
      </tp>
      <tp t="s">
        <v>6/15/2012</v>
        <stp/>
        <stp>##V3_BDPV12</stp>
        <stp>912828SZ Govt</stp>
        <stp>ISSUE_DT</stp>
        <stp>[TREASURY.xlsx]Sheet1!R551C15</stp>
        <tr r="O551" s="1"/>
      </tp>
      <tp t="s">
        <v>5/15/2014</v>
        <stp/>
        <stp>##V3_BDPV12</stp>
        <stp>912828WJ Govt</stp>
        <stp>ISSUE_DT</stp>
        <stp>[TREASURY.xlsx]Sheet1!R182C15</stp>
        <tr r="O182" s="1"/>
      </tp>
      <tp t="s">
        <v>8/15/2011</v>
        <stp/>
        <stp>##V3_BDPV12</stp>
        <stp>912828RB Govt</stp>
        <stp>ISSUE_DT</stp>
        <stp>[TREASURY.xlsx]Sheet1!R459C15</stp>
        <tr r="O459" s="1"/>
      </tp>
      <tp t="s">
        <v>11/15/2013</v>
        <stp/>
        <stp>##V3_BDPV12</stp>
        <stp>912828WE Govt</stp>
        <stp>ISSUE_DT</stp>
        <stp>[TREASURY.xlsx]Sheet1!R108C15</stp>
        <tr r="O108" s="1"/>
      </tp>
      <tp t="s">
        <v>1/31/2012</v>
        <stp/>
        <stp>##V3_BDPV12</stp>
        <stp>912828SB Govt</stp>
        <stp>ISSUE_DT</stp>
        <stp>[TREASURY.xlsx]Sheet1!R564C15</stp>
        <tr r="O564" s="1"/>
      </tp>
      <tp t="s">
        <v>11/30/2010</v>
        <stp/>
        <stp>##V3_BDPV12</stp>
        <stp>912828PJ Govt</stp>
        <stp>ISSUE_DT</stp>
        <stp>[TREASURY.xlsx]Sheet1!R630C15</stp>
        <tr r="O630" s="1"/>
      </tp>
      <tp t="s">
        <v>11/30/2012</v>
        <stp/>
        <stp>##V3_BDPV12</stp>
        <stp>912828UA Govt</stp>
        <stp>ISSUE_DT</stp>
        <stp>[TREASURY.xlsx]Sheet1!R387C15</stp>
        <tr r="O387" s="1"/>
      </tp>
      <tp t="s">
        <v>4/2/2012</v>
        <stp/>
        <stp>##V3_BDPV12</stp>
        <stp>912828SL Govt</stp>
        <stp>ISSUE_DT</stp>
        <stp>[TREASURY.xlsx]Sheet1!R511C15</stp>
        <tr r="O511" s="1"/>
      </tp>
      <tp t="s">
        <v>9/30/2011</v>
        <stp/>
        <stp>##V3_BDPV12</stp>
        <stp>912828RH Govt</stp>
        <stp>ISSUE_DT</stp>
        <stp>[TREASURY.xlsx]Sheet1!R456C15</stp>
        <tr r="O456" s="1"/>
      </tp>
      <tp t="s">
        <v>4/2/2012</v>
        <stp/>
        <stp>##V3_BDPV12</stp>
        <stp>912828SM Govt</stp>
        <stp>ISSUE_DT</stp>
        <stp>[TREASURY.xlsx]Sheet1!R516C15</stp>
        <tr r="O516" s="1"/>
      </tp>
      <tp t="s">
        <v>2/1/2016</v>
        <stp/>
        <stp>##V3_BDPV12</stp>
        <stp>912828P2 Govt</stp>
        <stp>ISSUE_DT</stp>
        <stp>[TREASURY.xlsx]Sheet1!R981C15</stp>
        <tr r="O981" s="1"/>
      </tp>
      <tp t="s">
        <v>6/30/2011</v>
        <stp/>
        <stp>##V3_BDPV12</stp>
        <stp>912828QT Govt</stp>
        <stp>ISSUE_DT</stp>
        <stp>[TREASURY.xlsx]Sheet1!R867C15</stp>
        <tr r="O867" s="1"/>
      </tp>
      <tp t="s">
        <v>5/31/2017</v>
        <stp/>
        <stp>##V3_BDPV12</stp>
        <stp>912828XT Govt</stp>
        <stp>ISSUE_DT</stp>
        <stp>[TREASURY.xlsx]Sheet1!R155C15</stp>
        <tr r="O155" s="1"/>
      </tp>
      <tp t="s">
        <v>7/15/2011</v>
        <stp/>
        <stp>##V3_BDPV12</stp>
        <stp>912828QU Govt</stp>
        <stp>ISSUE_DT</stp>
        <stp>[TREASURY.xlsx]Sheet1!R826C15</stp>
        <tr r="O826" s="1"/>
      </tp>
      <tp t="s">
        <v>6/30/2011</v>
        <stp/>
        <stp>##V3_BDPV12</stp>
        <stp>912828QR Govt</stp>
        <stp>ISSUE_DT</stp>
        <stp>[TREASURY.xlsx]Sheet1!R866C15</stp>
        <tr r="O866" s="1"/>
      </tp>
      <tp t="s">
        <v>8/1/2011</v>
        <stp/>
        <stp>##V3_BDPV12</stp>
        <stp>912828QY Govt</stp>
        <stp>ISSUE_DT</stp>
        <stp>[TREASURY.xlsx]Sheet1!R827C15</stp>
        <tr r="O827" s="1"/>
      </tp>
      <tp t="s">
        <v>1/31/2011</v>
        <stp/>
        <stp>##V3_BDPV12</stp>
        <stp>912828PS Govt</stp>
        <stp>ISSUE_DT</stp>
        <stp>[TREASURY.xlsx]Sheet1!R986C15</stp>
        <tr r="O986" s="1"/>
      </tp>
      <tp t="s">
        <v>1/18/2011</v>
        <stp/>
        <stp>##V3_BDPV12</stp>
        <stp>912828PQ Govt</stp>
        <stp>ISSUE_DT</stp>
        <stp>[TREASURY.xlsx]Sheet1!R985C15</stp>
        <tr r="O985" s="1"/>
      </tp>
      <tp t="s">
        <v>12/31/2010</v>
        <stp/>
        <stp>##V3_BDPV12</stp>
        <stp>912828PW Govt</stp>
        <stp>ISSUE_DT</stp>
        <stp>[TREASURY.xlsx]Sheet1!R987C15</stp>
        <tr r="O987" s="1"/>
      </tp>
      <tp t="s">
        <v>11/30/2010</v>
        <stp/>
        <stp>##V3_BDPV12</stp>
        <stp>912828PK Govt</stp>
        <stp>ISSUE_DT</stp>
        <stp>[TREASURY.xlsx]Sheet1!R982C15</stp>
        <tr r="O982" s="1"/>
      </tp>
      <tp t="s">
        <v>5/15/2015</v>
        <stp/>
        <stp>##V3_BDPV12</stp>
        <stp>912828XB Govt</stp>
        <stp>ISSUE_DT</stp>
        <stp>[TREASURY.xlsx]Sheet1!R122C15</stp>
        <tr r="O122" s="1"/>
      </tp>
      <tp t="s">
        <v>12/31/2010</v>
        <stp/>
        <stp>##V3_BDPV12</stp>
        <stp>912828PN Govt</stp>
        <stp>ISSUE_DT</stp>
        <stp>[TREASURY.xlsx]Sheet1!R984C15</stp>
        <tr r="O984" s="1"/>
      </tp>
      <tp t="s">
        <v>12/15/2010</v>
        <stp/>
        <stp>##V3_BDPV12</stp>
        <stp>912828PL Govt</stp>
        <stp>ISSUE_DT</stp>
        <stp>[TREASURY.xlsx]Sheet1!R983C15</stp>
        <tr r="O983" s="1"/>
      </tp>
      <tp t="s">
        <v>6/30/2015</v>
        <stp/>
        <stp>##V3_BDPV12</stp>
        <stp>912828XG Govt</stp>
        <stp>ISSUE_DT</stp>
        <stp>[TREASURY.xlsx]Sheet1!R196C15</stp>
        <tr r="O196" s="1"/>
      </tp>
      <tp t="s">
        <v>6/1/2015</v>
        <stp/>
        <stp>##V3_BDPV12</stp>
        <stp>912828XD Govt</stp>
        <stp>ISSUE_DT</stp>
        <stp>[TREASURY.xlsx]Sheet1!R189C15</stp>
        <tr r="O189" s="1"/>
      </tp>
      <tp t="s">
        <v>1/15/2020</v>
        <stp/>
        <stp>##V3_BDPV12</stp>
        <stp>912828Z2 Govt</stp>
        <stp>ISSUE_DT</stp>
        <stp>[TREASURY.xlsx]Sheet1!R210C15</stp>
        <tr r="O210" s="1"/>
      </tp>
      <tp t="s">
        <v>1/31/2020</v>
        <stp/>
        <stp>##V3_BDPV12</stp>
        <stp>912828Z6 Govt</stp>
        <stp>ISSUE_DT</stp>
        <stp>[TREASURY.xlsx]Sheet1!R234C15</stp>
        <tr r="O234" s="1"/>
      </tp>
      <tp t="s">
        <v>2/18/2020</v>
        <stp/>
        <stp>##V3_BDPV12</stp>
        <stp>912828Z8 Govt</stp>
        <stp>ISSUE_DT</stp>
        <stp>[TREASURY.xlsx]Sheet1!R236C15</stp>
        <tr r="O236" s="1"/>
      </tp>
      <tp t="s">
        <v>7/31/2019</v>
        <stp/>
        <stp>##V3_BDPV12</stp>
        <stp>912828Y9 Govt</stp>
        <stp>ISSUE_DT</stp>
        <stp>[TREASURY.xlsx]Sheet1!R157C15</stp>
        <tr r="O157" s="1"/>
      </tp>
      <tp t="s">
        <v>12/16/2019</v>
        <stp/>
        <stp>##V3_BDPV12</stp>
        <stp>912828YW Govt</stp>
        <stp>ISSUE_DT</stp>
        <stp>[TREASURY.xlsx]Sheet1!R141C15</stp>
        <tr r="O141" s="1"/>
      </tp>
      <tp t="s">
        <v>12/2/2019</v>
        <stp/>
        <stp>##V3_BDPV12</stp>
        <stp>912828YU Govt</stp>
        <stp>ISSUE_DT</stp>
        <stp>[TREASURY.xlsx]Sheet1!R174C15</stp>
        <tr r="O174" s="1"/>
      </tp>
      <tp t="s">
        <v>12/2/2019</v>
        <stp/>
        <stp>##V3_BDPV12</stp>
        <stp>912828YV Govt</stp>
        <stp>ISSUE_DT</stp>
        <stp>[TREASURY.xlsx]Sheet1!R139C15</stp>
        <tr r="O139" s="1"/>
      </tp>
      <tp t="s">
        <v>10/31/2019</v>
        <stp/>
        <stp>##V3_BDPV12</stp>
        <stp>912828YP Govt</stp>
        <stp>ISSUE_DT</stp>
        <stp>[TREASURY.xlsx]Sheet1!R149C15</stp>
        <tr r="O149" s="1"/>
      </tp>
      <tp t="s">
        <v>6/15/2011</v>
        <stp/>
        <stp>##V3_BDPV12</stp>
        <stp>912828QS Govt</stp>
        <stp>ISSUE_DT</stp>
        <stp>[TREASURY.xlsx]Sheet1!R992C15</stp>
        <tr r="O992" s="1"/>
      </tp>
      <tp t="s">
        <v>5/31/2011</v>
        <stp/>
        <stp>##V3_BDPV12</stp>
        <stp>912828QQ Govt</stp>
        <stp>ISSUE_DT</stp>
        <stp>[TREASURY.xlsx]Sheet1!R991C15</stp>
        <tr r="O991" s="1"/>
      </tp>
      <tp t="s">
        <v>12/31/2019</v>
        <stp/>
        <stp>##V3_BDPV12</stp>
        <stp>912828YX Govt</stp>
        <stp>ISSUE_DT</stp>
        <stp>[TREASURY.xlsx]Sheet1!R104C15</stp>
        <tr r="O104" s="1"/>
      </tp>
      <tp t="s">
        <v>12/31/2019</v>
        <stp/>
        <stp>##V3_BDPV12</stp>
        <stp>912828YZ Govt</stp>
        <stp>ISSUE_DT</stp>
        <stp>[TREASURY.xlsx]Sheet1!R170C15</stp>
        <tr r="O170" s="1"/>
      </tp>
      <tp t="s">
        <v>12/2/2019</v>
        <stp/>
        <stp>##V3_BDPV12</stp>
        <stp>912828YT Govt</stp>
        <stp>ISSUE_DT</stp>
        <stp>[TREASURY.xlsx]Sheet1!R198C15</stp>
        <tr r="O198" s="1"/>
      </tp>
      <tp t="s">
        <v>12/31/2019</v>
        <stp/>
        <stp>##V3_BDPV12</stp>
        <stp>912828YY Govt</stp>
        <stp>ISSUE_DT</stp>
        <stp>[TREASURY.xlsx]Sheet1!R158C15</stp>
        <tr r="O158" s="1"/>
      </tp>
      <tp t="s">
        <v>9/3/2019</v>
        <stp/>
        <stp>##V3_BDPV12</stp>
        <stp>912828YD Govt</stp>
        <stp>ISSUE_DT</stp>
        <stp>[TREASURY.xlsx]Sheet1!R178C15</stp>
        <tr r="O178" s="1"/>
      </tp>
      <tp t="s">
        <v>9/3/2019</v>
        <stp/>
        <stp>##V3_BDPV12</stp>
        <stp>912828YE Govt</stp>
        <stp>ISSUE_DT</stp>
        <stp>[TREASURY.xlsx]Sheet1!R143C15</stp>
        <tr r="O143" s="1"/>
      </tp>
      <tp t="s">
        <v>9/30/2019</v>
        <stp/>
        <stp>##V3_BDPV12</stp>
        <stp>912828YH Govt</stp>
        <stp>ISSUE_DT</stp>
        <stp>[TREASURY.xlsx]Sheet1!R135C15</stp>
        <tr r="O135" s="1"/>
      </tp>
      <tp t="s">
        <v>3/31/2011</v>
        <stp/>
        <stp>##V3_BDPV12</stp>
        <stp>912828QB Govt</stp>
        <stp>ISSUE_DT</stp>
        <stp>[TREASURY.xlsx]Sheet1!R988C15</stp>
        <tr r="O988" s="1"/>
      </tp>
      <tp t="s">
        <v>8/15/2019</v>
        <stp/>
        <stp>##V3_BDPV12</stp>
        <stp>912828YA Govt</stp>
        <stp>ISSUE_DT</stp>
        <stp>[TREASURY.xlsx]Sheet1!R183C15</stp>
        <tr r="O183" s="1"/>
      </tp>
      <tp t="s">
        <v>10/15/2019</v>
        <stp/>
        <stp>##V3_BDPV12</stp>
        <stp>912828YK Govt</stp>
        <stp>ISSUE_DT</stp>
        <stp>[TREASURY.xlsx]Sheet1!R131C15</stp>
        <tr r="O131" s="1"/>
      </tp>
      <tp t="s">
        <v>5/2/2011</v>
        <stp/>
        <stp>##V3_BDPV12</stp>
        <stp>912828QG Govt</stp>
        <stp>ISSUE_DT</stp>
        <stp>[TREASURY.xlsx]Sheet1!R990C15</stp>
        <tr r="O990" s="1"/>
      </tp>
      <tp t="s">
        <v>5/2/2011</v>
        <stp/>
        <stp>##V3_BDPV12</stp>
        <stp>912828QE Govt</stp>
        <stp>ISSUE_DT</stp>
        <stp>[TREASURY.xlsx]Sheet1!R989C15</stp>
        <tr r="O989" s="1"/>
      </tp>
      <tp t="s">
        <v>10/31/2019</v>
        <stp/>
        <stp>##V3_BDPV12</stp>
        <stp>912828YM Govt</stp>
        <stp>ISSUE_DT</stp>
        <stp>[TREASURY.xlsx]Sheet1!R113C15</stp>
        <tr r="O113" s="1"/>
      </tp>
      <tp t="s">
        <v>7/31/2018</v>
        <stp/>
        <stp>##V3_BDPV12</stp>
        <stp>912828Y7 Govt</stp>
        <stp>ISSUE_DT</stp>
        <stp>[TREASURY.xlsx]Sheet1!R255C15</stp>
        <tr r="O255" s="1"/>
      </tp>
      <tp t="s">
        <v>1/31/2020</v>
        <stp/>
        <stp>##V3_BDPV12</stp>
        <stp>912828Z7 Govt</stp>
        <stp>ISSUE_DT</stp>
        <stp>[TREASURY.xlsx]Sheet1!R169C15</stp>
        <tr r="O169" s="1"/>
      </tp>
      <tp t="s">
        <v>5/1/2017</v>
        <stp/>
        <stp>##V3_BDPV12</stp>
        <stp>912828X7 Govt</stp>
        <stp>ISSUE_DT</stp>
        <stp>[TREASURY.xlsx]Sheet1!R300C15</stp>
        <tr r="O300" s="1"/>
      </tp>
      <tp t="s">
        <v>7/31/2019</v>
        <stp/>
        <stp>##V3_BDPV12</stp>
        <stp>912828Y8 Govt</stp>
        <stp>ISSUE_DT</stp>
        <stp>[TREASURY.xlsx]Sheet1!R208C15</stp>
        <tr r="O208" s="1"/>
      </tp>
      <tp t="s">
        <v>7/31/2018</v>
        <stp/>
        <stp>##V3_BDPV12</stp>
        <stp>912828Y6 Govt</stp>
        <stp>ISSUE_DT</stp>
        <stp>[TREASURY.xlsx]Sheet1!R297C15</stp>
        <tr r="O297" s="1"/>
      </tp>
      <tp t="s">
        <v>6/15/2020</v>
        <stp/>
        <stp>##V3_BDPV12</stp>
        <stp>912828ZU Govt</stp>
        <stp>ISSUE_DT</stp>
        <stp>[TREASURY.xlsx]Sheet1!R162C15</stp>
        <tr r="O162" s="1"/>
      </tp>
      <tp t="s">
        <v>6/30/2020</v>
        <stp/>
        <stp>##V3_BDPV12</stp>
        <stp>912828ZV Govt</stp>
        <stp>ISSUE_DT</stp>
        <stp>[TREASURY.xlsx]Sheet1!R159C15</stp>
        <tr r="O159" s="1"/>
      </tp>
      <tp t="s">
        <v>6/1/2020</v>
        <stp/>
        <stp>##V3_BDPV12</stp>
        <stp>912828ZR Govt</stp>
        <stp>ISSUE_DT</stp>
        <stp>[TREASURY.xlsx]Sheet1!R136C15</stp>
        <tr r="O136" s="1"/>
      </tp>
      <tp t="s">
        <v>7/15/2020</v>
        <stp/>
        <stp>##V3_BDPV12</stp>
        <stp>912828ZY Govt</stp>
        <stp>ISSUE_DT</stp>
        <stp>[TREASURY.xlsx]Sheet1!R184C15</stp>
        <tr r="O184" s="1"/>
      </tp>
      <tp t="s">
        <v>6/30/2020</v>
        <stp/>
        <stp>##V3_BDPV12</stp>
        <stp>912828ZW Govt</stp>
        <stp>ISSUE_DT</stp>
        <stp>[TREASURY.xlsx]Sheet1!R101C15</stp>
        <tr r="O101" s="1"/>
      </tp>
      <tp t="s">
        <v>5/15/2020</v>
        <stp/>
        <stp>##V3_BDPV12</stp>
        <stp>912828ZP Govt</stp>
        <stp>ISSUE_DT</stp>
        <stp>[TREASURY.xlsx]Sheet1!R153C15</stp>
        <tr r="O153" s="1"/>
      </tp>
      <tp t="s">
        <v>6/1/2020</v>
        <stp/>
        <stp>##V3_BDPV12</stp>
        <stp>912828ZS Govt</stp>
        <stp>ISSUE_DT</stp>
        <stp>[TREASURY.xlsx]Sheet1!R171C15</stp>
        <tr r="O171" s="1"/>
      </tp>
      <tp t="s">
        <v>6/30/2020</v>
        <stp/>
        <stp>##V3_BDPV12</stp>
        <stp>912828ZX Govt</stp>
        <stp>ISSUE_DT</stp>
        <stp>[TREASURY.xlsx]Sheet1!R111C15</stp>
        <tr r="O111" s="1"/>
      </tp>
      <tp t="s">
        <v>11/15/2011</v>
        <stp/>
        <stp>##V3_BDPV12</stp>
        <stp>912828RQ Govt</stp>
        <stp>ISSUE_DT</stp>
        <stp>[TREASURY.xlsx]Sheet1!R994C15</stp>
        <tr r="O994" s="1"/>
      </tp>
      <tp t="s">
        <v>5/31/2012</v>
        <stp/>
        <stp>##V3_BDPV12</stp>
        <stp>912828SX Govt</stp>
        <stp>ISSUE_DT</stp>
        <stp>[TREASURY.xlsx]Sheet1!R870C15</stp>
        <tr r="O870" s="1"/>
      </tp>
      <tp t="s">
        <v>9/30/2011</v>
        <stp/>
        <stp>##V3_BDPV12</stp>
        <stp>912828RJ Govt</stp>
        <stp>ISSUE_DT</stp>
        <stp>[TREASURY.xlsx]Sheet1!R993C15</stp>
        <tr r="O993" s="1"/>
      </tp>
      <tp t="s">
        <v>3/16/2020</v>
        <stp/>
        <stp>##V3_BDPV12</stp>
        <stp>912828ZD Govt</stp>
        <stp>ISSUE_DT</stp>
        <stp>[TREASURY.xlsx]Sheet1!R121C15</stp>
        <tr r="O121" s="1"/>
      </tp>
      <tp t="s">
        <v>5/15/2015</v>
        <stp/>
        <stp>##V3_BDPV12</stp>
        <stp>912828XA Govt</stp>
        <stp>ISSUE_DT</stp>
        <stp>[TREASURY.xlsx]Sheet1!R377C15</stp>
        <tr r="O377" s="1"/>
      </tp>
      <tp t="s">
        <v>3/2/2020</v>
        <stp/>
        <stp>##V3_BDPV12</stp>
        <stp>912828ZB Govt</stp>
        <stp>ISSUE_DT</stp>
        <stp>[TREASURY.xlsx]Sheet1!R148C15</stp>
        <tr r="O148" s="1"/>
      </tp>
      <tp t="s">
        <v>3/31/2020</v>
        <stp/>
        <stp>##V3_BDPV12</stp>
        <stp>912828ZE Govt</stp>
        <stp>ISSUE_DT</stp>
        <stp>[TREASURY.xlsx]Sheet1!R112C15</stp>
        <tr r="O112" s="1"/>
      </tp>
      <tp t="s">
        <v>4/30/2020</v>
        <stp/>
        <stp>##V3_BDPV12</stp>
        <stp>912828ZM Govt</stp>
        <stp>ISSUE_DT</stp>
        <stp>[TREASURY.xlsx]Sheet1!R175C15</stp>
        <tr r="O175" s="1"/>
      </tp>
      <tp t="s">
        <v>3/2/2020</v>
        <stp/>
        <stp>##V3_BDPV12</stp>
        <stp>912828ZA Govt</stp>
        <stp>ISSUE_DT</stp>
        <stp>[TREASURY.xlsx]Sheet1!R190C15</stp>
        <tr r="O190" s="1"/>
      </tp>
      <tp t="s">
        <v>4/30/2020</v>
        <stp/>
        <stp>##V3_BDPV12</stp>
        <stp>912828ZN Govt</stp>
        <stp>ISSUE_DT</stp>
        <stp>[TREASURY.xlsx]Sheet1!R117C15</stp>
        <tr r="O117" s="1"/>
      </tp>
      <tp t="s">
        <v>4/15/2020</v>
        <stp/>
        <stp>##V3_BDPV12</stp>
        <stp>912828ZH Govt</stp>
        <stp>ISSUE_DT</stp>
        <stp>[TREASURY.xlsx]Sheet1!R165C15</stp>
        <tr r="O165" s="1"/>
      </tp>
      <tp t="s">
        <v>7/16/2018</v>
        <stp/>
        <stp>##V3_BDPV12</stp>
        <stp>912828Y2 Govt</stp>
        <stp>ISSUE_DT</stp>
        <stp>[TREASURY.xlsx]Sheet1!R336C15</stp>
        <tr r="O336" s="1"/>
      </tp>
      <tp t="s">
        <v>5/1/2017</v>
        <stp/>
        <stp>##V3_BDPV12</stp>
        <stp>912828X4 Govt</stp>
        <stp>ISSUE_DT</stp>
        <stp>[TREASURY.xlsx]Sheet1!R224C15</stp>
        <tr r="O224" s="1"/>
      </tp>
      <tp t="s">
        <v>5/31/2017</v>
        <stp/>
        <stp>##V3_BDPV12</stp>
        <stp>912828XR Govt</stp>
        <stp>ISSUE_DT</stp>
        <stp>[TREASURY.xlsx]Sheet1!R203C15</stp>
        <tr r="O203" s="1"/>
      </tp>
      <tp t="s">
        <v>7/31/2015</v>
        <stp/>
        <stp>##V3_BDPV12</stp>
        <stp>912828XQ Govt</stp>
        <stp>ISSUE_DT</stp>
        <stp>[TREASURY.xlsx]Sheet1!R206C15</stp>
        <tr r="O206" s="1"/>
      </tp>
      <tp t="s">
        <v>6/30/2017</v>
        <stp/>
        <stp>##V3_BDPV12</stp>
        <stp>912828XW Govt</stp>
        <stp>ISSUE_DT</stp>
        <stp>[TREASURY.xlsx]Sheet1!R217C15</stp>
        <tr r="O217" s="1"/>
      </tp>
      <tp t="s">
        <v>4/30/2012</v>
        <stp/>
        <stp>##V3_BDPV12</stp>
        <stp>912828SS Govt</stp>
        <stp>ISSUE_DT</stp>
        <stp>[TREASURY.xlsx]Sheet1!R996C15</stp>
        <tr r="O996" s="1"/>
      </tp>
      <tp t="s">
        <v>4/16/2012</v>
        <stp/>
        <stp>##V3_BDPV12</stp>
        <stp>912828SP Govt</stp>
        <stp>ISSUE_DT</stp>
        <stp>[TREASURY.xlsx]Sheet1!R995C15</stp>
        <tr r="O995" s="1"/>
      </tp>
      <tp t="s">
        <v>7/2/2018</v>
        <stp/>
        <stp>##V3_BDPV12</stp>
        <stp>912828XZ Govt</stp>
        <stp>ISSUE_DT</stp>
        <stp>[TREASURY.xlsx]Sheet1!R279C15</stp>
        <tr r="O279" s="1"/>
      </tp>
      <tp t="s">
        <v>6/30/2017</v>
        <stp/>
        <stp>##V3_BDPV12</stp>
        <stp>912828XX Govt</stp>
        <stp>ISSUE_DT</stp>
        <stp>[TREASURY.xlsx]Sheet1!R249C15</stp>
        <tr r="O249" s="1"/>
      </tp>
      <tp t="s">
        <v>8/31/2011</v>
        <stp/>
        <stp>##V3_BDPV12</stp>
        <stp>912828RE Govt</stp>
        <stp>ISSUE_DT</stp>
        <stp>[TREASURY.xlsx]Sheet1!R868C15</stp>
        <tr r="O868" s="1"/>
      </tp>
      <tp t="s">
        <v>9/15/2011</v>
        <stp/>
        <stp>##V3_BDPV12</stp>
        <stp>912828RG Govt</stp>
        <stp>ISSUE_DT</stp>
        <stp>[TREASURY.xlsx]Sheet1!R869C15</stp>
        <tr r="O869" s="1"/>
      </tp>
      <tp t="s">
        <v>9/3/2019</v>
        <stp/>
        <stp>##V3_BDPV12</stp>
        <stp>912828YC Govt</stp>
        <stp>ISSUE_DT</stp>
        <stp>[TREASURY.xlsx]Sheet1!R335C15</stp>
        <tr r="O335" s="1"/>
      </tp>
      <tp t="s">
        <v>8/31/2011</v>
        <stp/>
        <stp>##V3_BDPV12</stp>
        <stp>912828RF Govt</stp>
        <stp>ISSUE_DT</stp>
        <stp>[TREASURY.xlsx]Sheet1!R828C15</stp>
        <tr r="O828" s="1"/>
      </tp>
      <tp t="s">
        <v>11/30/2016</v>
        <stp/>
        <stp>##V3_BDPV12</stp>
        <stp>912828U4 Govt</stp>
        <stp>ISSUE_DT</stp>
        <stp>[TREASURY.xlsx]Sheet1!R876C15</stp>
        <tr r="O876" s="1"/>
      </tp>
      <tp t="s">
        <v>9/17/2012</v>
        <stp/>
        <stp>##V3_BDPV12</stp>
        <stp>912828TP Govt</stp>
        <stp>ISSUE_DT</stp>
        <stp>[TREASURY.xlsx]Sheet1!R998C15</stp>
        <tr r="O998" s="1"/>
      </tp>
      <tp t="s">
        <v>7/31/2015</v>
        <stp/>
        <stp>##V3_BDPV12</stp>
        <stp>912828XP Govt</stp>
        <stp>ISSUE_DT</stp>
        <stp>[TREASURY.xlsx]Sheet1!R588C15</stp>
        <tr r="O588" s="1"/>
      </tp>
      <tp t="s">
        <v>7/31/2012</v>
        <stp/>
        <stp>##V3_BDPV12</stp>
        <stp>912828TF Govt</stp>
        <stp>ISSUE_DT</stp>
        <stp>[TREASURY.xlsx]Sheet1!R997C15</stp>
        <tr r="O997" s="1"/>
      </tp>
      <tp t="s">
        <v>7/31/2015</v>
        <stp/>
        <stp>##V3_BDPV12</stp>
        <stp>912828XM Govt</stp>
        <stp>ISSUE_DT</stp>
        <stp>[TREASURY.xlsx]Sheet1!R536C15</stp>
        <tr r="O536" s="1"/>
      </tp>
      <tp t="s">
        <v>9/30/2016</v>
        <stp/>
        <stp>##V3_BDPV12</stp>
        <stp>912828T4 Govt</stp>
        <stp>ISSUE_DT</stp>
        <stp>[TREASURY.xlsx]Sheet1!R871C15</stp>
        <tr r="O871" s="1"/>
      </tp>
      <tp t="s">
        <v>7/31/2018</v>
        <stp/>
        <stp>##V3_BDPV12</stp>
        <stp>912828Y4 Govt</stp>
        <stp>ISSUE_DT</stp>
        <stp>[TREASURY.xlsx]Sheet1!R589C15</stp>
        <tr r="O589" s="1"/>
      </tp>
      <tp t="s">
        <v>10/1/2012</v>
        <stp/>
        <stp>##V3_BDPV12</stp>
        <stp>912828TQ Govt</stp>
        <stp>ISSUE_DT</stp>
        <stp>[TREASURY.xlsx]Sheet1!R874C15</stp>
        <tr r="O874" s="1"/>
      </tp>
      <tp t="s">
        <v>UNITED STATES</v>
        <stp/>
        <stp>##V3_BDPV12</stp>
        <stp>912810SN Govt</stp>
        <stp>COUNTRY_FULL_NAME</stp>
        <stp>[TREASURY.xlsx]Sheet1!R27C8</stp>
        <tr r="H27" s="1"/>
      </tp>
      <tp t="s">
        <v>UNITED STATES</v>
        <stp/>
        <stp>##V3_BDPV12</stp>
        <stp>912810SS Govt</stp>
        <stp>COUNTRY_FULL_NAME</stp>
        <stp>[TREASURY.xlsx]Sheet1!R37C8</stp>
        <tr r="H37" s="1"/>
      </tp>
      <tp t="s">
        <v>7/2/2018</v>
        <stp/>
        <stp>##V3_BDPV12</stp>
        <stp>912828XY Govt</stp>
        <stp>ISSUE_DT</stp>
        <stp>[TREASURY.xlsx]Sheet1!R473C15</stp>
        <tr r="O473" s="1"/>
      </tp>
      <tp t="s">
        <v>11/30/2012</v>
        <stp/>
        <stp>##V3_BDPV12</stp>
        <stp>912828TZ Govt</stp>
        <stp>ISSUE_DT</stp>
        <stp>[TREASURY.xlsx]Sheet1!R875C15</stp>
        <tr r="O875" s="1"/>
      </tp>
      <tp t="s">
        <v>7/16/2012</v>
        <stp/>
        <stp>##V3_BDPV12</stp>
        <stp>912828TD Govt</stp>
        <stp>ISSUE_DT</stp>
        <stp>[TREASURY.xlsx]Sheet1!R872C15</stp>
        <tr r="O872" s="1"/>
      </tp>
      <tp t="s">
        <v>1/31/2013</v>
        <stp/>
        <stp>##V3_BDPV12</stp>
        <stp>912828UJ Govt</stp>
        <stp>ISSUE_DT</stp>
        <stp>[TREASURY.xlsx]Sheet1!R999C15</stp>
        <tr r="O999" s="1"/>
      </tp>
      <tp t="s">
        <v>6/1/2015</v>
        <stp/>
        <stp>##V3_BDPV12</stp>
        <stp>912828XE Govt</stp>
        <stp>ISSUE_DT</stp>
        <stp>[TREASURY.xlsx]Sheet1!R448C15</stp>
        <tr r="O448" s="1"/>
      </tp>
      <tp t="s">
        <v>8/31/2012</v>
        <stp/>
        <stp>##V3_BDPV12</stp>
        <stp>912828TM Govt</stp>
        <stp>ISSUE_DT</stp>
        <stp>[TREASURY.xlsx]Sheet1!R873C15</stp>
        <tr r="O873" s="1"/>
      </tp>
      <tp t="s">
        <v>6/30/2015</v>
        <stp/>
        <stp>##V3_BDPV12</stp>
        <stp>912828XH Govt</stp>
        <stp>ISSUE_DT</stp>
        <stp>[TREASURY.xlsx]Sheet1!R468C15</stp>
        <tr r="O468" s="1"/>
      </tp>
      <tp t="s">
        <v>NORMAL</v>
        <stp/>
        <stp>##V3_BDPV12</stp>
        <stp>912827H2 Govt</stp>
        <stp>MTY_TYP</stp>
        <stp>[TREASURY.xlsx]Sheet1!R704C6</stp>
        <tr r="F704" s="1"/>
      </tp>
      <tp t="s">
        <v>NORMAL</v>
        <stp/>
        <stp>##V3_BDPV12</stp>
        <stp>912827D6 Govt</stp>
        <stp>MTY_TYP</stp>
        <stp>[TREASURY.xlsx]Sheet1!R700C6</stp>
        <tr r="F700" s="1"/>
      </tp>
      <tp t="s">
        <v>NORMAL</v>
        <stp/>
        <stp>##V3_BDPV12</stp>
        <stp>912827D7 Govt</stp>
        <stp>MTY_TYP</stp>
        <stp>[TREASURY.xlsx]Sheet1!R701C6</stp>
        <tr r="F701" s="1"/>
      </tp>
      <tp t="s">
        <v>NORMAL</v>
        <stp/>
        <stp>##V3_BDPV12</stp>
        <stp>912828W6 Govt</stp>
        <stp>MTY_TYP</stp>
        <stp>[TREASURY.xlsx]Sheet1!R480C6</stp>
        <tr r="F480" s="1"/>
      </tp>
      <tp t="s">
        <v>NORMAL</v>
        <stp/>
        <stp>##V3_BDPV12</stp>
        <stp>912828L6 Govt</stp>
        <stp>MTY_TYP</stp>
        <stp>[TREASURY.xlsx]Sheet1!R430C6</stp>
        <tr r="F430" s="1"/>
      </tp>
      <tp t="s">
        <v>NORMAL</v>
        <stp/>
        <stp>##V3_BDPV12</stp>
        <stp>912828A7 Govt</stp>
        <stp>MTY_TYP</stp>
        <stp>[TREASURY.xlsx]Sheet1!R481C6</stp>
        <tr r="F481" s="1"/>
      </tp>
      <tp t="s">
        <v>NORMAL</v>
        <stp/>
        <stp>##V3_BDPV12</stp>
        <stp>912828C4 Govt</stp>
        <stp>MTY_TYP</stp>
        <stp>[TREASURY.xlsx]Sheet1!R492C6</stp>
        <tr r="F492" s="1"/>
      </tp>
      <tp t="s">
        <v>NORMAL</v>
        <stp/>
        <stp>##V3_BDPV12</stp>
        <stp>912828J5 Govt</stp>
        <stp>MTY_TYP</stp>
        <stp>[TREASURY.xlsx]Sheet1!R403C6</stp>
        <tr r="F403" s="1"/>
      </tp>
      <tp t="s">
        <v>NORMAL</v>
        <stp/>
        <stp>##V3_BDPV12</stp>
        <stp>912828A6 Govt</stp>
        <stp>MTY_TYP</stp>
        <stp>[TREASURY.xlsx]Sheet1!R580C6</stp>
        <tr r="F580" s="1"/>
      </tp>
      <tp t="s">
        <v>NORMAL</v>
        <stp/>
        <stp>##V3_BDPV12</stp>
        <stp>912828X2 Govt</stp>
        <stp>MTY_TYP</stp>
        <stp>[TREASURY.xlsx]Sheet1!R624C6</stp>
        <tr r="F624" s="1"/>
      </tp>
      <tp t="s">
        <v>NORMAL</v>
        <stp/>
        <stp>##V3_BDPV12</stp>
        <stp>912828B6 Govt</stp>
        <stp>MTY_TYP</stp>
        <stp>[TREASURY.xlsx]Sheet1!R110C6</stp>
        <tr r="F110" s="1"/>
      </tp>
      <tp t="s">
        <v>NORMAL</v>
        <stp/>
        <stp>##V3_BDPV12</stp>
        <stp>912828S3 Govt</stp>
        <stp>MTY_TYP</stp>
        <stp>[TREASURY.xlsx]Sheet1!R305C6</stp>
        <tr r="F305" s="1"/>
      </tp>
      <tp t="s">
        <v>7/31/2014</v>
        <stp/>
        <stp>##V3_BDPV12</stp>
        <stp>912828WX Govt</stp>
        <stp>ISSUE_DT</stp>
        <stp>[TREASURY.xlsx]Sheet1!R881C15</stp>
        <tr r="O881" s="1"/>
      </tp>
      <tp t="s">
        <v>4/17/2017</v>
        <stp/>
        <stp>##V3_BDPV12</stp>
        <stp>912828X2 Govt</stp>
        <stp>ISSUE_DT</stp>
        <stp>[TREASURY.xlsx]Sheet1!R624C15</stp>
        <tr r="O624" s="1"/>
      </tp>
      <tp t="s">
        <v>1/17/2017</v>
        <stp/>
        <stp>##V3_BDPV12</stp>
        <stp>912828V3 Govt</stp>
        <stp>ISSUE_DT</stp>
        <stp>[TREASURY.xlsx]Sheet1!R877C15</stp>
        <tr r="O877" s="1"/>
      </tp>
      <tp t="s">
        <v>NORMAL</v>
        <stp/>
        <stp>##V3_BDPV12</stp>
        <stp>912828YG Govt</stp>
        <stp>MTY_TYP</stp>
        <stp>[TREASURY.xlsx]Sheet1!R69C6</stp>
        <tr r="F69" s="1"/>
      </tp>
      <tp t="s">
        <v>6/15/2017</v>
        <stp/>
        <stp>##V3_BDPV12</stp>
        <stp>912828XU Govt</stp>
        <stp>ISSUE_DT</stp>
        <stp>[TREASURY.xlsx]Sheet1!R639C15</stp>
        <tr r="O639" s="1"/>
      </tp>
      <tp t="s">
        <v>7/31/2013</v>
        <stp/>
        <stp>##V3_BDPV12</stp>
        <stp>912828VQ Govt</stp>
        <stp>ISSUE_DT</stp>
        <stp>[TREASURY.xlsx]Sheet1!R880C15</stp>
        <tr r="O880" s="1"/>
      </tp>
      <tp t="s">
        <v>7/15/2013</v>
        <stp/>
        <stp>##V3_BDPV12</stp>
        <stp>912828VL Govt</stp>
        <stp>ISSUE_DT</stp>
        <stp>[TREASURY.xlsx]Sheet1!R878C15</stp>
        <tr r="O878" s="1"/>
      </tp>
      <tp t="s">
        <v>7/15/2015</v>
        <stp/>
        <stp>##V3_BDPV12</stp>
        <stp>912828XK Govt</stp>
        <stp>ISSUE_DT</stp>
        <stp>[TREASURY.xlsx]Sheet1!R625C15</stp>
        <tr r="O625" s="1"/>
      </tp>
      <tp t="s">
        <v>7/31/2013</v>
        <stp/>
        <stp>##V3_BDPV12</stp>
        <stp>912828VN Govt</stp>
        <stp>ISSUE_DT</stp>
        <stp>[TREASURY.xlsx]Sheet1!R879C15</stp>
        <tr r="O879" s="1"/>
      </tp>
      <tp t="s">
        <v>1/15/2015</v>
        <stp/>
        <stp>##V3_BDPV12</stp>
        <stp>912828H3 Govt</stp>
        <stp>ISSUE_DT</stp>
        <stp>[TREASURY.xlsx]Sheet1!R968C15</stp>
        <tr r="O968" s="1"/>
      </tp>
      <tp t="s">
        <v>2/28/2014</v>
        <stp/>
        <stp>##V3_BDPV12</stp>
        <stp>912828B9 Govt</stp>
        <stp>ISSUE_DT</stp>
        <stp>[TREASURY.xlsx]Sheet1!R371C15</stp>
        <tr r="O371" s="1"/>
      </tp>
      <tp t="s">
        <v>9/2/2014</v>
        <stp/>
        <stp>##V3_BDPV12</stp>
        <stp>912828D8 Govt</stp>
        <stp>ISSUE_DT</stp>
        <stp>[TREASURY.xlsx]Sheet1!R545C15</stp>
        <tr r="O545" s="1"/>
      </tp>
      <tp t="s">
        <v>1/31/2006</v>
        <stp/>
        <stp>##V3_BDPV12</stp>
        <stp>912828EU Govt</stp>
        <stp>ISSUE_DT</stp>
        <stp>[TREASURY.xlsx]Sheet1!R466C15</stp>
        <tr r="O466" s="1"/>
      </tp>
      <tp t="s">
        <v>5/15/2007</v>
        <stp/>
        <stp>##V3_BDPV12</stp>
        <stp>912828GS Govt</stp>
        <stp>ISSUE_DT</stp>
        <stp>[TREASURY.xlsx]Sheet1!R615C15</stp>
        <tr r="O615" s="1"/>
      </tp>
      <tp t="s">
        <v>3/15/2005</v>
        <stp/>
        <stp>##V3_BDPV12</stp>
        <stp>912828DP Govt</stp>
        <stp>ISSUE_DT</stp>
        <stp>[TREASURY.xlsx]Sheet1!R517C15</stp>
        <tr r="O517" s="1"/>
      </tp>
      <tp t="s">
        <v>4/30/2007</v>
        <stp/>
        <stp>##V3_BDPV12</stp>
        <stp>912828GQ Govt</stp>
        <stp>ISSUE_DT</stp>
        <stp>[TREASURY.xlsx]Sheet1!R672C15</stp>
        <tr r="O672" s="1"/>
      </tp>
      <tp t="s">
        <v>6/30/2006</v>
        <stp/>
        <stp>##V3_BDPV12</stp>
        <stp>912828FJ Govt</stp>
        <stp>ISSUE_DT</stp>
        <stp>[TREASURY.xlsx]Sheet1!R799C15</stp>
        <tr r="O799" s="1"/>
      </tp>
      <tp t="s">
        <v>10/1/2007</v>
        <stp/>
        <stp>##V3_BDPV12</stp>
        <stp>912828HD Govt</stp>
        <stp>ISSUE_DT</stp>
        <stp>[TREASURY.xlsx]Sheet1!R969C15</stp>
        <tr r="O969" s="1"/>
      </tp>
      <tp t="s">
        <v>10/31/2007</v>
        <stp/>
        <stp>##V3_BDPV12</stp>
        <stp>912828HF Govt</stp>
        <stp>ISSUE_DT</stp>
        <stp>[TREASURY.xlsx]Sheet1!R970C15</stp>
        <tr r="O970" s="1"/>
      </tp>
      <tp t="s">
        <v>11/15/2004</v>
        <stp/>
        <stp>##V3_BDPV12</stp>
        <stp>912828DB Govt</stp>
        <stp>ISSUE_DT</stp>
        <stp>[TREASURY.xlsx]Sheet1!R591C15</stp>
        <tr r="O591" s="1"/>
      </tp>
      <tp t="s">
        <v>5/1/2006</v>
        <stp/>
        <stp>##V3_BDPV12</stp>
        <stp>912828FC Govt</stp>
        <stp>ISSUE_DT</stp>
        <stp>[TREASURY.xlsx]Sheet1!R798C15</stp>
        <tr r="O798" s="1"/>
      </tp>
      <tp t="s">
        <v>3/31/2014</v>
        <stp/>
        <stp>##V3_BDPV12</stp>
        <stp>912828C6 Govt</stp>
        <stp>ISSUE_DT</stp>
        <stp>[TREASURY.xlsx]Sheet1!R349C15</stp>
        <tr r="O349" s="1"/>
      </tp>
      <tp t="s">
        <v>3/31/2014</v>
        <stp/>
        <stp>##V3_BDPV12</stp>
        <stp>912828C5 Govt</stp>
        <stp>ISSUE_DT</stp>
        <stp>[TREASURY.xlsx]Sheet1!R342C15</stp>
        <tr r="O342" s="1"/>
      </tp>
      <tp t="s">
        <v>12/15/2005</v>
        <stp/>
        <stp>##V3_BDPV12</stp>
        <stp>912828EQ Govt</stp>
        <stp>ISSUE_DT</stp>
        <stp>[TREASURY.xlsx]Sheet1!R524C15</stp>
        <tr r="O524" s="1"/>
      </tp>
      <tp t="s">
        <v>2/29/2008</v>
        <stp/>
        <stp>##V3_BDPV12</stp>
        <stp>912828HT Govt</stp>
        <stp>ISSUE_DT</stp>
        <stp>[TREASURY.xlsx]Sheet1!R851C15</stp>
        <tr r="O851" s="1"/>
      </tp>
      <tp t="s">
        <v>3/31/2008</v>
        <stp/>
        <stp>##V3_BDPV12</stp>
        <stp>912828HU Govt</stp>
        <stp>ISSUE_DT</stp>
        <stp>[TREASURY.xlsx]Sheet1!R808C15</stp>
        <tr r="O808" s="1"/>
      </tp>
      <tp t="s">
        <v>10/2/2006</v>
        <stp/>
        <stp>##V3_BDPV12</stp>
        <stp>912828FU Govt</stp>
        <stp>ISSUE_DT</stp>
        <stp>[TREASURY.xlsx]Sheet1!R614C15</stp>
        <tr r="O614" s="1"/>
      </tp>
      <tp t="s">
        <v>4/30/2008</v>
        <stp/>
        <stp>##V3_BDPV12</stp>
        <stp>912828HX Govt</stp>
        <stp>ISSUE_DT</stp>
        <stp>[TREASURY.xlsx]Sheet1!R809C15</stp>
        <tr r="O809" s="1"/>
      </tp>
      <tp t="s">
        <v>3/31/2006</v>
        <stp/>
        <stp>##V3_BDPV12</stp>
        <stp>912828EZ Govt</stp>
        <stp>ISSUE_DT</stp>
        <stp>[TREASURY.xlsx]Sheet1!R572C15</stp>
        <tr r="O572" s="1"/>
      </tp>
      <tp t="s">
        <v>5/17/2004</v>
        <stp/>
        <stp>##V3_BDPV12</stp>
        <stp>912828CJ Govt</stp>
        <stp>ISSUE_DT</stp>
        <stp>[TREASURY.xlsx]Sheet1!R393C15</stp>
        <tr r="O393" s="1"/>
      </tp>
      <tp t="s">
        <v>2/17/2004</v>
        <stp/>
        <stp>##V3_BDPV12</stp>
        <stp>912828CA Govt</stp>
        <stp>ISSUE_DT</stp>
        <stp>[TREASURY.xlsx]Sheet1!R337C15</stp>
        <tr r="O337" s="1"/>
      </tp>
      <tp t="s">
        <v>3/1/2004</v>
        <stp/>
        <stp>##V3_BDPV12</stp>
        <stp>912828CB Govt</stp>
        <stp>ISSUE_DT</stp>
        <stp>[TREASURY.xlsx]Sheet1!R331C15</stp>
        <tr r="O331" s="1"/>
      </tp>
      <tp t="s">
        <v>5/1/2006</v>
        <stp/>
        <stp>##V3_BDPV12</stp>
        <stp>912828FD Govt</stp>
        <stp>ISSUE_DT</stp>
        <stp>[TREASURY.xlsx]Sheet1!R650C15</stp>
        <tr r="O650" s="1"/>
      </tp>
      <tp t="s">
        <v>3/15/2004</v>
        <stp/>
        <stp>##V3_BDPV12</stp>
        <stp>912828CC Govt</stp>
        <stp>ISSUE_DT</stp>
        <stp>[TREASURY.xlsx]Sheet1!R325C15</stp>
        <tr r="O325" s="1"/>
      </tp>
      <tp t="s">
        <v>10/1/2007</v>
        <stp/>
        <stp>##V3_BDPV12</stp>
        <stp>912828HE Govt</stp>
        <stp>ISSUE_DT</stp>
        <stp>[TREASURY.xlsx]Sheet1!R850C15</stp>
        <tr r="O850" s="1"/>
      </tp>
      <tp t="s">
        <v>10/31/2007</v>
        <stp/>
        <stp>##V3_BDPV12</stp>
        <stp>912828HG Govt</stp>
        <stp>ISSUE_DT</stp>
        <stp>[TREASURY.xlsx]Sheet1!R806C15</stp>
        <tr r="O806" s="1"/>
      </tp>
      <tp t="s">
        <v>8/31/2007</v>
        <stp/>
        <stp>##V3_BDPV12</stp>
        <stp>912828HB Govt</stp>
        <stp>ISSUE_DT</stp>
        <stp>[TREASURY.xlsx]Sheet1!R849C15</stp>
        <tr r="O849" s="1"/>
      </tp>
      <tp t="s">
        <v>11/30/2007</v>
        <stp/>
        <stp>##V3_BDPV12</stp>
        <stp>912828HJ Govt</stp>
        <stp>ISSUE_DT</stp>
        <stp>[TREASURY.xlsx]Sheet1!R807C15</stp>
        <tr r="O807" s="1"/>
      </tp>
      <tp t="s">
        <v>9/15/2005</v>
        <stp/>
        <stp>##V3_BDPV12</stp>
        <stp>912828EG Govt</stp>
        <stp>ISSUE_DT</stp>
        <stp>[TREASURY.xlsx]Sheet1!R596C15</stp>
        <tr r="O596" s="1"/>
      </tp>
      <tp t="s">
        <v>3/31/2004</v>
        <stp/>
        <stp>##V3_BDPV12</stp>
        <stp>912828CD Govt</stp>
        <stp>ISSUE_DT</stp>
        <stp>[TREASURY.xlsx]Sheet1!R384C15</stp>
        <tr r="O384" s="1"/>
      </tp>
      <tp t="s">
        <v>2/18/2014</v>
        <stp/>
        <stp>##V3_BDPV12</stp>
        <stp>912828B6 Govt</stp>
        <stp>ISSUE_DT</stp>
        <stp>[TREASURY.xlsx]Sheet1!R110C15</stp>
        <tr r="O110" s="1"/>
      </tp>
      <tp t="s">
        <v>12/31/2014</v>
        <stp/>
        <stp>##V3_BDPV12</stp>
        <stp>912828G9 Govt</stp>
        <stp>ISSUE_DT</stp>
        <stp>[TREASURY.xlsx]Sheet1!R422C15</stp>
        <tr r="O422" s="1"/>
      </tp>
      <tp t="s">
        <v>1/3/2006</v>
        <stp/>
        <stp>##V3_BDPV12</stp>
        <stp>912828ER Govt</stp>
        <stp>ISSUE_DT</stp>
        <stp>[TREASURY.xlsx]Sheet1!R604C15</stp>
        <tr r="O604" s="1"/>
      </tp>
      <tp t="s">
        <v>8/15/2006</v>
        <stp/>
        <stp>##V3_BDPV12</stp>
        <stp>912828FQ Govt</stp>
        <stp>ISSUE_DT</stp>
        <stp>[TREASURY.xlsx]Sheet1!R534C15</stp>
        <tr r="O534" s="1"/>
      </tp>
      <tp t="s">
        <v>12/31/2008</v>
        <stp/>
        <stp>##V3_BDPV12</stp>
        <stp>912828JV Govt</stp>
        <stp>ISSUE_DT</stp>
        <stp>[TREASURY.xlsx]Sheet1!R972C15</stp>
        <tr r="O972" s="1"/>
      </tp>
      <tp t="s">
        <v>6/1/2009</v>
        <stp/>
        <stp>##V3_BDPV12</stp>
        <stp>912828KU Govt</stp>
        <stp>ISSUE_DT</stp>
        <stp>[TREASURY.xlsx]Sheet1!R813C15</stp>
        <tr r="O813" s="1"/>
      </tp>
      <tp t="s">
        <v>4/15/2005</v>
        <stp/>
        <stp>##V3_BDPV12</stp>
        <stp>912828DR Govt</stp>
        <stp>ISSUE_DT</stp>
        <stp>[TREASURY.xlsx]Sheet1!R792C15</stp>
        <tr r="O792" s="1"/>
      </tp>
      <tp t="s">
        <v>5/31/2005</v>
        <stp/>
        <stp>##V3_BDPV12</stp>
        <stp>912828DW Govt</stp>
        <stp>ISSUE_DT</stp>
        <stp>[TREASURY.xlsx]Sheet1!R793C15</stp>
        <tr r="O793" s="1"/>
      </tp>
      <tp t="s">
        <v>10/2/2006</v>
        <stp/>
        <stp>##V3_BDPV12</stp>
        <stp>912828FT Govt</stp>
        <stp>ISSUE_DT</stp>
        <stp>[TREASURY.xlsx]Sheet1!R597C15</stp>
        <tr r="O597" s="1"/>
      </tp>
      <tp t="s">
        <v>6/30/2008</v>
        <stp/>
        <stp>##V3_BDPV12</stp>
        <stp>912828JD Govt</stp>
        <stp>ISSUE_DT</stp>
        <stp>[TREASURY.xlsx]Sheet1!R971C15</stp>
        <tr r="O971" s="1"/>
      </tp>
      <tp t="s">
        <v>3/2/2009</v>
        <stp/>
        <stp>##V3_BDPV12</stp>
        <stp>912828KF Govt</stp>
        <stp>ISSUE_DT</stp>
        <stp>[TREASURY.xlsx]Sheet1!R812C15</stp>
        <tr r="O812" s="1"/>
      </tp>
      <tp t="s">
        <v>12/15/2008</v>
        <stp/>
        <stp>##V3_BDPV12</stp>
        <stp>912828KA Govt</stp>
        <stp>ISSUE_DT</stp>
        <stp>[TREASURY.xlsx]Sheet1!R856C15</stp>
        <tr r="O856" s="1"/>
      </tp>
      <tp t="s">
        <v>11/15/2005</v>
        <stp/>
        <stp>##V3_BDPV12</stp>
        <stp>912828EN Govt</stp>
        <stp>ISSUE_DT</stp>
        <stp>[TREASURY.xlsx]Sheet1!R649C15</stp>
        <tr r="O649" s="1"/>
      </tp>
      <tp t="s">
        <v>4/30/2009</v>
        <stp/>
        <stp>##V3_BDPV12</stp>
        <stp>912828KL Govt</stp>
        <stp>ISSUE_DT</stp>
        <stp>[TREASURY.xlsx]Sheet1!R857C15</stp>
        <tr r="O857" s="1"/>
      </tp>
      <tp t="s">
        <v>7/31/2006</v>
        <stp/>
        <stp>##V3_BDPV12</stp>
        <stp>912828FM Govt</stp>
        <stp>ISSUE_DT</stp>
        <stp>[TREASURY.xlsx]Sheet1!R532C15</stp>
        <tr r="O532" s="1"/>
      </tp>
      <tp t="s">
        <v>11/30/2004</v>
        <stp/>
        <stp>##V3_BDPV12</stp>
        <stp>912828DD Govt</stp>
        <stp>ISSUE_DT</stp>
        <stp>[TREASURY.xlsx]Sheet1!R791C15</stp>
        <tr r="O791" s="1"/>
      </tp>
      <tp t="s">
        <v>9/30/2014</v>
        <stp/>
        <stp>##V3_BDPV12</stp>
        <stp>912828F3 Govt</stp>
        <stp>ISSUE_DT</stp>
        <stp>[TREASURY.xlsx]Sheet1!R406C15</stp>
        <tr r="O406" s="1"/>
      </tp>
      <tp t="s">
        <v>4/30/2014</v>
        <stp/>
        <stp>##V3_BDPV12</stp>
        <stp>912828D2 Govt</stp>
        <stp>ISSUE_DT</stp>
        <stp>[TREASURY.xlsx]Sheet1!R619C15</stp>
        <tr r="O619" s="1"/>
      </tp>
      <tp t="s">
        <v>12/15/2014</v>
        <stp/>
        <stp>##V3_BDPV12</stp>
        <stp>912828G7 Govt</stp>
        <stp>ISSUE_DT</stp>
        <stp>[TREASURY.xlsx]Sheet1!R560C15</stp>
        <tr r="O560" s="1"/>
      </tp>
      <tp t="s">
        <v>9/2/2014</v>
        <stp/>
        <stp>##V3_BDPV12</stp>
        <stp>912828D6 Govt</stp>
        <stp>ISSUE_DT</stp>
        <stp>[TREASURY.xlsx]Sheet1!R613C15</stp>
        <tr r="O613" s="1"/>
      </tp>
      <tp t="s">
        <v>10/31/2014</v>
        <stp/>
        <stp>##V3_BDPV12</stp>
        <stp>912828F6 Govt</stp>
        <stp>ISSUE_DT</stp>
        <stp>[TREASURY.xlsx]Sheet1!R411C15</stp>
        <tr r="O411" s="1"/>
      </tp>
      <tp t="s">
        <v>3/31/2015</v>
        <stp/>
        <stp>##V3_BDPV12</stp>
        <stp>912828J9 Govt</stp>
        <stp>ISSUE_DT</stp>
        <stp>[TREASURY.xlsx]Sheet1!R852C15</stp>
        <tr r="O852" s="1"/>
      </tp>
      <tp t="s">
        <v>3/31/2009</v>
        <stp/>
        <stp>##V3_BDPV12</stp>
        <stp>912828KT Govt</stp>
        <stp>ISSUE_DT</stp>
        <stp>[TREASURY.xlsx]Sheet1!R973C15</stp>
        <tr r="O973" s="1"/>
      </tp>
      <tp t="s">
        <v>5/15/2007</v>
        <stp/>
        <stp>##V3_BDPV12</stp>
        <stp>912828GR Govt</stp>
        <stp>ISSUE_DT</stp>
        <stp>[TREASURY.xlsx]Sheet1!R504C15</stp>
        <tr r="O504" s="1"/>
      </tp>
      <tp t="s">
        <v>10/31/2008</v>
        <stp/>
        <stp>##V3_BDPV12</stp>
        <stp>912828JQ Govt</stp>
        <stp>ISSUE_DT</stp>
        <stp>[TREASURY.xlsx]Sheet1!R811C15</stp>
        <tr r="O811" s="1"/>
      </tp>
      <tp t="s">
        <v>11/17/2008</v>
        <stp/>
        <stp>##V3_BDPV12</stp>
        <stp>912828JU Govt</stp>
        <stp>ISSUE_DT</stp>
        <stp>[TREASURY.xlsx]Sheet1!R855C15</stp>
        <tr r="O855" s="1"/>
      </tp>
      <tp t="s">
        <v>5/16/2005</v>
        <stp/>
        <stp>##V3_BDPV12</stp>
        <stp>912828DV Govt</stp>
        <stp>ISSUE_DT</stp>
        <stp>[TREASURY.xlsx]Sheet1!R620C15</stp>
        <tr r="O620" s="1"/>
      </tp>
      <tp t="s">
        <v>6/30/2009</v>
        <stp/>
        <stp>##V3_BDPV12</stp>
        <stp>912828KZ Govt</stp>
        <stp>ISSUE_DT</stp>
        <stp>[TREASURY.xlsx]Sheet1!R974C15</stp>
        <tr r="O974" s="1"/>
      </tp>
      <tp t="s">
        <v>10/31/2005</v>
        <stp/>
        <stp>##V3_BDPV12</stp>
        <stp>912828EK Govt</stp>
        <stp>ISSUE_DT</stp>
        <stp>[TREASURY.xlsx]Sheet1!R796C15</stp>
        <tr r="O796" s="1"/>
      </tp>
      <tp t="s">
        <v>5/15/2006</v>
        <stp/>
        <stp>##V3_BDPV12</stp>
        <stp>912828FF Govt</stp>
        <stp>ISSUE_DT</stp>
        <stp>[TREASURY.xlsx]Sheet1!R475C15</stp>
        <tr r="O475" s="1"/>
      </tp>
      <tp t="s">
        <v>6/30/2008</v>
        <stp/>
        <stp>##V3_BDPV12</stp>
        <stp>912828JC Govt</stp>
        <stp>ISSUE_DT</stp>
        <stp>[TREASURY.xlsx]Sheet1!R853C15</stp>
        <tr r="O853" s="1"/>
      </tp>
      <tp t="s">
        <v>11/15/2005</v>
        <stp/>
        <stp>##V3_BDPV12</stp>
        <stp>912828EL Govt</stp>
        <stp>ISSUE_DT</stp>
        <stp>[TREASURY.xlsx]Sheet1!R797C15</stp>
        <tr r="O797" s="1"/>
      </tp>
      <tp t="s">
        <v>8/15/2005</v>
        <stp/>
        <stp>##V3_BDPV12</stp>
        <stp>912828EC Govt</stp>
        <stp>ISSUE_DT</stp>
        <stp>[TREASURY.xlsx]Sheet1!R794C15</stp>
        <tr r="O794" s="1"/>
      </tp>
      <tp t="s">
        <v>9/2/2008</v>
        <stp/>
        <stp>##V3_BDPV12</stp>
        <stp>912828JK Govt</stp>
        <stp>ISSUE_DT</stp>
        <stp>[TREASURY.xlsx]Sheet1!R854C15</stp>
        <tr r="O854" s="1"/>
      </tp>
      <tp t="s">
        <v>9/30/2008</v>
        <stp/>
        <stp>##V3_BDPV12</stp>
        <stp>912828JM Govt</stp>
        <stp>ISSUE_DT</stp>
        <stp>[TREASURY.xlsx]Sheet1!R810C15</stp>
        <tr r="O810" s="1"/>
      </tp>
      <tp t="s">
        <v>8/15/2005</v>
        <stp/>
        <stp>##V3_BDPV12</stp>
        <stp>912828EE Govt</stp>
        <stp>ISSUE_DT</stp>
        <stp>[TREASURY.xlsx]Sheet1!R795C15</stp>
        <tr r="O795" s="1"/>
      </tp>
      <tp t="s">
        <v>12/1/2014</v>
        <stp/>
        <stp>##V3_BDPV12</stp>
        <stp>912828G5 Govt</stp>
        <stp>ISSUE_DT</stp>
        <stp>[TREASURY.xlsx]Sheet1!R230C15</stp>
        <tr r="O230" s="1"/>
      </tp>
      <tp t="s">
        <v>12/31/2013</v>
        <stp/>
        <stp>##V3_BDPV12</stp>
        <stp>912828A8 Govt</stp>
        <stp>ISSUE_DT</stp>
        <stp>[TREASURY.xlsx]Sheet1!R434C15</stp>
        <tr r="O434" s="1"/>
      </tp>
      <tp t="s">
        <v>2/28/2014</v>
        <stp/>
        <stp>##V3_BDPV12</stp>
        <stp>912828C2 Govt</stp>
        <stp>ISSUE_DT</stp>
        <stp>[TREASURY.xlsx]Sheet1!R688C15</stp>
        <tr r="O688" s="1"/>
      </tp>
      <tp t="s">
        <v>12/31/2014</v>
        <stp/>
        <stp>##V3_BDPV12</stp>
        <stp>912828G8 Govt</stp>
        <stp>ISSUE_DT</stp>
        <stp>[TREASURY.xlsx]Sheet1!R209C15</stp>
        <tr r="O209" s="1"/>
      </tp>
      <tp t="s">
        <v>12/31/2013</v>
        <stp/>
        <stp>##V3_BDPV12</stp>
        <stp>912828A7 Govt</stp>
        <stp>ISSUE_DT</stp>
        <stp>[TREASURY.xlsx]Sheet1!R481C15</stp>
        <tr r="O481" s="1"/>
      </tp>
      <tp t="s">
        <v>11/2/2009</v>
        <stp/>
        <stp>##V3_BDPV12</stp>
        <stp>912828LT Govt</stp>
        <stp>ISSUE_DT</stp>
        <stp>[TREASURY.xlsx]Sheet1!R975C15</stp>
        <tr r="O975" s="1"/>
      </tp>
      <tp t="s">
        <v>2/18/2003</v>
        <stp/>
        <stp>##V3_BDPV12</stp>
        <stp>912828AU Govt</stp>
        <stp>ISSUE_DT</stp>
        <stp>[TREASURY.xlsx]Sheet1!R474C15</stp>
        <tr r="O474" s="1"/>
      </tp>
      <tp t="s">
        <v>3/1/2010</v>
        <stp/>
        <stp>##V3_BDPV12</stp>
        <stp>912828MR Govt</stp>
        <stp>ISSUE_DT</stp>
        <stp>[TREASURY.xlsx]Sheet1!R823C15</stp>
        <tr r="O823" s="1"/>
      </tp>
      <tp t="s">
        <v>11/15/2006</v>
        <stp/>
        <stp>##V3_BDPV12</stp>
        <stp>912828FY Govt</stp>
        <stp>ISSUE_DT</stp>
        <stp>[TREASURY.xlsx]Sheet1!R394C15</stp>
        <tr r="O394" s="1"/>
      </tp>
      <tp t="s">
        <v>9/30/2004</v>
        <stp/>
        <stp>##V3_BDPV12</stp>
        <stp>912828CW Govt</stp>
        <stp>ISSUE_DT</stp>
        <stp>[TREASURY.xlsx]Sheet1!R603C15</stp>
        <tr r="O603" s="1"/>
      </tp>
      <tp t="s">
        <v>8/31/2004</v>
        <stp/>
        <stp>##V3_BDPV12</stp>
        <stp>912828CU Govt</stp>
        <stp>ISSUE_DT</stp>
        <stp>[TREASURY.xlsx]Sheet1!R636C15</stp>
        <tr r="O636" s="1"/>
      </tp>
      <tp t="s">
        <v>3/1/2010</v>
        <stp/>
        <stp>##V3_BDPV12</stp>
        <stp>912828MS Govt</stp>
        <stp>ISSUE_DT</stp>
        <stp>[TREASURY.xlsx]Sheet1!R861C15</stp>
        <tr r="O861" s="1"/>
      </tp>
      <tp t="s">
        <v>3/31/2010</v>
        <stp/>
        <stp>##V3_BDPV12</stp>
        <stp>912828MV Govt</stp>
        <stp>ISSUE_DT</stp>
        <stp>[TREASURY.xlsx]Sheet1!R824C15</stp>
        <tr r="O824" s="1"/>
      </tp>
      <tp t="s">
        <v>5/15/2003</v>
        <stp/>
        <stp>##V3_BDPV12</stp>
        <stp>912828AZ Govt</stp>
        <stp>ISSUE_DT</stp>
        <stp>[TREASURY.xlsx]Sheet1!R415C15</stp>
        <tr r="O415" s="1"/>
      </tp>
      <tp t="s">
        <v>4/15/2010</v>
        <stp/>
        <stp>##V3_BDPV12</stp>
        <stp>912828MX Govt</stp>
        <stp>ISSUE_DT</stp>
        <stp>[TREASURY.xlsx]Sheet1!R825C15</stp>
        <tr r="O825" s="1"/>
      </tp>
      <tp t="s">
        <v>10/15/2004</v>
        <stp/>
        <stp>##V3_BDPV12</stp>
        <stp>912828CX Govt</stp>
        <stp>ISSUE_DT</stp>
        <stp>[TREASURY.xlsx]Sheet1!R659C15</stp>
        <tr r="O659" s="1"/>
      </tp>
      <tp t="s">
        <v>12/15/2003</v>
        <stp/>
        <stp>##V3_BDPV12</stp>
        <stp>912828BT Govt</stp>
        <stp>ISSUE_DT</stp>
        <stp>[TREASURY.xlsx]Sheet1!R787C15</stp>
        <tr r="O787" s="1"/>
      </tp>
      <tp t="s">
        <v>4/1/2002</v>
        <stp/>
        <stp>##V3_BDPV12</stp>
        <stp>912828AA Govt</stp>
        <stp>ISSUE_DT</stp>
        <stp>[TREASURY.xlsx]Sheet1!R426C15</stp>
        <tr r="O426" s="1"/>
      </tp>
      <tp t="s">
        <v>9/15/2003</v>
        <stp/>
        <stp>##V3_BDPV12</stp>
        <stp>912828BK Govt</stp>
        <stp>ISSUE_DT</stp>
        <stp>[TREASURY.xlsx]Sheet1!R786C15</stp>
        <tr r="O786" s="1"/>
      </tp>
      <tp t="s">
        <v>12/15/2009</v>
        <stp/>
        <stp>##V3_BDPV12</stp>
        <stp>912828MB Govt</stp>
        <stp>ISSUE_DT</stp>
        <stp>[TREASURY.xlsx]Sheet1!R819C15</stp>
        <tr r="O819" s="1"/>
      </tp>
      <tp t="s">
        <v>1/15/2010</v>
        <stp/>
        <stp>##V3_BDPV12</stp>
        <stp>912828MG Govt</stp>
        <stp>ISSUE_DT</stp>
        <stp>[TREASURY.xlsx]Sheet1!R860C15</stp>
        <tr r="O860" s="1"/>
      </tp>
      <tp t="s">
        <v>12/31/2009</v>
        <stp/>
        <stp>##V3_BDPV12</stp>
        <stp>912828MD Govt</stp>
        <stp>ISSUE_DT</stp>
        <stp>[TREASURY.xlsx]Sheet1!R859C15</stp>
        <tr r="O859" s="1"/>
      </tp>
      <tp t="s">
        <v>7/15/2004</v>
        <stp/>
        <stp>##V3_BDPV12</stp>
        <stp>912828CN Govt</stp>
        <stp>ISSUE_DT</stp>
        <stp>[TREASURY.xlsx]Sheet1!R696C15</stp>
        <tr r="O696" s="1"/>
      </tp>
      <tp t="s">
        <v>5/31/2002</v>
        <stp/>
        <stp>##V3_BDPV12</stp>
        <stp>912828AD Govt</stp>
        <stp>ISSUE_DT</stp>
        <stp>[TREASURY.xlsx]Sheet1!R412C15</stp>
        <tr r="O412" s="1"/>
      </tp>
      <tp t="s">
        <v>2/1/2010</v>
        <stp/>
        <stp>##V3_BDPV12</stp>
        <stp>912828MJ Govt</stp>
        <stp>ISSUE_DT</stp>
        <stp>[TREASURY.xlsx]Sheet1!R820C15</stp>
        <tr r="O820" s="1"/>
      </tp>
      <tp t="s">
        <v>11/30/2009</v>
        <stp/>
        <stp>##V3_BDPV12</stp>
        <stp>912828MM Govt</stp>
        <stp>ISSUE_DT</stp>
        <stp>[TREASURY.xlsx]Sheet1!R821C15</stp>
        <tr r="O821" s="1"/>
      </tp>
      <tp t="s">
        <v>2/16/2010</v>
        <stp/>
        <stp>##V3_BDPV12</stp>
        <stp>912828MN Govt</stp>
        <stp>ISSUE_DT</stp>
        <stp>[TREASURY.xlsx]Sheet1!R822C15</stp>
        <tr r="O822" s="1"/>
      </tp>
      <tp t="s">
        <v>9/30/2014</v>
        <stp/>
        <stp>##V3_BDPV12</stp>
        <stp>912828F2 Govt</stp>
        <stp>ISSUE_DT</stp>
        <stp>[TREASURY.xlsx]Sheet1!R207C15</stp>
        <tr r="O207" s="1"/>
      </tp>
      <tp t="s">
        <v>1/31/2014</v>
        <stp/>
        <stp>##V3_BDPV12</stp>
        <stp>912828B5 Govt</stp>
        <stp>ISSUE_DT</stp>
        <stp>[TREASURY.xlsx]Sheet1!R647C15</stp>
        <tr r="O647" s="1"/>
      </tp>
      <tp t="s">
        <v>12/2/2013</v>
        <stp/>
        <stp>##V3_BDPV12</stp>
        <stp>912828A4 Govt</stp>
        <stp>ISSUE_DT</stp>
        <stp>[TREASURY.xlsx]Sheet1!R555C15</stp>
        <tr r="O555" s="1"/>
      </tp>
      <tp t="s">
        <v>4/30/2014</v>
        <stp/>
        <stp>##V3_BDPV12</stp>
        <stp>912828C8 Govt</stp>
        <stp>ISSUE_DT</stp>
        <stp>[TREASURY.xlsx]Sheet1!R788C15</stp>
        <tr r="O788" s="1"/>
      </tp>
      <tp t="s">
        <v>12/31/2013</v>
        <stp/>
        <stp>##V3_BDPV12</stp>
        <stp>912828A6 Govt</stp>
        <stp>ISSUE_DT</stp>
        <stp>[TREASURY.xlsx]Sheet1!R580C15</stp>
        <tr r="O580" s="1"/>
      </tp>
      <tp t="s">
        <v>10/15/2009</v>
        <stp/>
        <stp>##V3_BDPV12</stp>
        <stp>912828LR Govt</stp>
        <stp>ISSUE_DT</stp>
        <stp>[TREASURY.xlsx]Sheet1!R817C15</stp>
        <tr r="O817" s="1"/>
      </tp>
      <tp t="s">
        <v>9/30/2009</v>
        <stp/>
        <stp>##V3_BDPV12</stp>
        <stp>912828LP Govt</stp>
        <stp>ISSUE_DT</stp>
        <stp>[TREASURY.xlsx]Sheet1!R816C15</stp>
        <tr r="O816" s="1"/>
      </tp>
      <tp t="s">
        <v>12/1/2003</v>
        <stp/>
        <stp>##V3_BDPV12</stp>
        <stp>912828BS Govt</stp>
        <stp>ISSUE_DT</stp>
        <stp>[TREASURY.xlsx]Sheet1!R628C15</stp>
        <tr r="O628" s="1"/>
      </tp>
      <tp t="s">
        <v>12/2/2002</v>
        <stp/>
        <stp>##V3_BDPV12</stp>
        <stp>912828AQ Govt</stp>
        <stp>ISSUE_DT</stp>
        <stp>[TREASURY.xlsx]Sheet1!R512C15</stp>
        <tr r="O512" s="1"/>
      </tp>
      <tp t="s">
        <v>11/2/2009</v>
        <stp/>
        <stp>##V3_BDPV12</stp>
        <stp>912828LS Govt</stp>
        <stp>ISSUE_DT</stp>
        <stp>[TREASURY.xlsx]Sheet1!R858C15</stp>
        <tr r="O858" s="1"/>
      </tp>
      <tp t="s">
        <v>11/17/2003</v>
        <stp/>
        <stp>##V3_BDPV12</stp>
        <stp>912828BP Govt</stp>
        <stp>ISSUE_DT</stp>
        <stp>[TREASURY.xlsx]Sheet1!R648C15</stp>
        <tr r="O648" s="1"/>
      </tp>
      <tp t="s">
        <v>11/2/2009</v>
        <stp/>
        <stp>##V3_BDPV12</stp>
        <stp>912828LU Govt</stp>
        <stp>ISSUE_DT</stp>
        <stp>[TREASURY.xlsx]Sheet1!R818C15</stp>
        <tr r="O818" s="1"/>
      </tp>
      <tp t="s">
        <v>5/15/2003</v>
        <stp/>
        <stp>##V3_BDPV12</stp>
        <stp>912828AY Govt</stp>
        <stp>ISSUE_DT</stp>
        <stp>[TREASURY.xlsx]Sheet1!R507C15</stp>
        <tr r="O507" s="1"/>
      </tp>
      <tp t="s">
        <v>4/30/2003</v>
        <stp/>
        <stp>##V3_BDPV12</stp>
        <stp>912828AX Govt</stp>
        <stp>ISSUE_DT</stp>
        <stp>[TREASURY.xlsx]Sheet1!R502C15</stp>
        <tr r="O502" s="1"/>
      </tp>
      <tp t="s">
        <v>6/1/2004</v>
        <stp/>
        <stp>##V3_BDPV12</stp>
        <stp>912828CK Govt</stp>
        <stp>ISSUE_DT</stp>
        <stp>[TREASURY.xlsx]Sheet1!R790C15</stp>
        <tr r="O790" s="1"/>
      </tp>
      <tp t="s">
        <v>6/30/2003</v>
        <stp/>
        <stp>##V3_BDPV12</stp>
        <stp>912828BC Govt</stp>
        <stp>ISSUE_DT</stp>
        <stp>[TREASURY.xlsx]Sheet1!R641C15</stp>
        <tr r="O641" s="1"/>
      </tp>
      <tp t="s">
        <v>7/1/2002</v>
        <stp/>
        <stp>##V3_BDPV12</stp>
        <stp>912828AE Govt</stp>
        <stp>ISSUE_DT</stp>
        <stp>[TREASURY.xlsx]Sheet1!R530C15</stp>
        <tr r="O530" s="1"/>
      </tp>
      <tp t="s">
        <v>7/31/2009</v>
        <stp/>
        <stp>##V3_BDPV12</stp>
        <stp>912828LG Govt</stp>
        <stp>ISSUE_DT</stp>
        <stp>[TREASURY.xlsx]Sheet1!R815C15</stp>
        <tr r="O815" s="1"/>
      </tp>
      <tp t="s">
        <v>7/31/2009</v>
        <stp/>
        <stp>##V3_BDPV12</stp>
        <stp>912828LD Govt</stp>
        <stp>ISSUE_DT</stp>
        <stp>[TREASURY.xlsx]Sheet1!R814C15</stp>
        <tr r="O814" s="1"/>
      </tp>
      <tp t="s">
        <v>4/2/2007</v>
        <stp/>
        <stp>##V3_BDPV12</stp>
        <stp>912828GM Govt</stp>
        <stp>ISSUE_DT</stp>
        <stp>[TREASURY.xlsx]Sheet1!R379C15</stp>
        <tr r="O379" s="1"/>
      </tp>
      <tp t="s">
        <v>8/15/2002</v>
        <stp/>
        <stp>##V3_BDPV12</stp>
        <stp>912828AJ Govt</stp>
        <stp>ISSUE_DT</stp>
        <stp>[TREASURY.xlsx]Sheet1!R531C15</stp>
        <tr r="O531" s="1"/>
      </tp>
      <tp t="s">
        <v>2/1/2010</v>
        <stp/>
        <stp>##V3_BDPV12</stp>
        <stp>912828MH Govt</stp>
        <stp>ISSUE_DT</stp>
        <stp>[TREASURY.xlsx]Sheet1!R976C15</stp>
        <tr r="O976" s="1"/>
      </tp>
      <tp t="s">
        <v>5/17/2004</v>
        <stp/>
        <stp>##V3_BDPV12</stp>
        <stp>912828CG Govt</stp>
        <stp>ISSUE_DT</stp>
        <stp>[TREASURY.xlsx]Sheet1!R789C15</stp>
        <tr r="O789" s="1"/>
      </tp>
      <tp t="s">
        <v>9/2/2003</v>
        <stp/>
        <stp>##V3_BDPV12</stp>
        <stp>912828BJ Govt</stp>
        <stp>ISSUE_DT</stp>
        <stp>[TREASURY.xlsx]Sheet1!R642C15</stp>
        <tr r="O642" s="1"/>
      </tp>
      <tp t="s">
        <v>12/2/2013</v>
        <stp/>
        <stp>##V3_BDPV12</stp>
        <stp>912828A3 Govt</stp>
        <stp>ISSUE_DT</stp>
        <stp>[TREASURY.xlsx]Sheet1!R627C15</stp>
        <tr r="O627" s="1"/>
      </tp>
      <tp t="s">
        <v>10/31/2014</v>
        <stp/>
        <stp>##V3_BDPV12</stp>
        <stp>912828F9 Govt</stp>
        <stp>ISSUE_DT</stp>
        <stp>[TREASURY.xlsx]Sheet1!R199C15</stp>
        <tr r="O199" s="1"/>
      </tp>
      <tp t="s">
        <v>4/15/2014</v>
        <stp/>
        <stp>##V3_BDPV12</stp>
        <stp>912828C7 Govt</stp>
        <stp>ISSUE_DT</stp>
        <stp>[TREASURY.xlsx]Sheet1!R416C15</stp>
        <tr r="O416" s="1"/>
      </tp>
      <tp t="s">
        <v>9/2/2014</v>
        <stp/>
        <stp>##V3_BDPV12</stp>
        <stp>912828D7 Govt</stp>
        <stp>ISSUE_DT</stp>
        <stp>[TREASURY.xlsx]Sheet1!R332C15</stp>
        <tr r="O332" s="1"/>
      </tp>
      <tp t="s">
        <v>2/28/2014</v>
        <stp/>
        <stp>##V3_BDPV12</stp>
        <stp>912828B8 Govt</stp>
        <stp>ISSUE_DT</stp>
        <stp>[TREASURY.xlsx]Sheet1!R571C15</stp>
        <tr r="O571" s="1"/>
      </tp>
      <tp t="s">
        <v>3/31/2014</v>
        <stp/>
        <stp>##V3_BDPV12</stp>
        <stp>912828C4 Govt</stp>
        <stp>ISSUE_DT</stp>
        <stp>[TREASURY.xlsx]Sheet1!R492C15</stp>
        <tr r="O492" s="1"/>
      </tp>
      <tp t="s">
        <v>1/15/2014</v>
        <stp/>
        <stp>##V3_BDPV12</stp>
        <stp>912828A9 Govt</stp>
        <stp>ISSUE_DT</stp>
        <stp>[TREASURY.xlsx]Sheet1!R640C15</stp>
        <tr r="O640" s="1"/>
      </tp>
      <tp t="s">
        <v>3/31/2003</v>
        <stp/>
        <stp>##V3_BDPV12</stp>
        <stp>912828AW Govt</stp>
        <stp>ISSUE_DT</stp>
        <stp>[TREASURY.xlsx]Sheet1!R667C15</stp>
        <tr r="O667" s="1"/>
      </tp>
      <tp t="s">
        <v>9/30/2010</v>
        <stp/>
        <stp>##V3_BDPV12</stp>
        <stp>912828NX Govt</stp>
        <stp>ISSUE_DT</stp>
        <stp>[TREASURY.xlsx]Sheet1!R980C15</stp>
        <tr r="O980" s="1"/>
      </tp>
      <tp t="s">
        <v>2/18/2003</v>
        <stp/>
        <stp>##V3_BDPV12</stp>
        <stp>912828AT Govt</stp>
        <stp>ISSUE_DT</stp>
        <stp>[TREASURY.xlsx]Sheet1!R635C15</stp>
        <tr r="O635" s="1"/>
      </tp>
      <tp t="s">
        <v>12/31/2002</v>
        <stp/>
        <stp>##V3_BDPV12</stp>
        <stp>912828AR Govt</stp>
        <stp>ISSUE_DT</stp>
        <stp>[TREASURY.xlsx]Sheet1!R658C15</stp>
        <tr r="O658" s="1"/>
      </tp>
      <tp t="s">
        <v>12/31/2003</v>
        <stp/>
        <stp>##V3_BDPV12</stp>
        <stp>912828BU Govt</stp>
        <stp>ISSUE_DT</stp>
        <stp>[TREASURY.xlsx]Sheet1!R533C15</stp>
        <tr r="O533" s="1"/>
      </tp>
      <tp t="s">
        <v>2/28/2003</v>
        <stp/>
        <stp>##V3_BDPV12</stp>
        <stp>912828AV Govt</stp>
        <stp>ISSUE_DT</stp>
        <stp>[TREASURY.xlsx]Sheet1!R602C15</stp>
        <tr r="O602" s="1"/>
      </tp>
      <tp t="s">
        <v>11/17/2003</v>
        <stp/>
        <stp>##V3_BDPV12</stp>
        <stp>912828BR Govt</stp>
        <stp>ISSUE_DT</stp>
        <stp>[TREASURY.xlsx]Sheet1!R541C15</stp>
        <tr r="O541" s="1"/>
      </tp>
      <tp t="s">
        <v>8/16/2004</v>
        <stp/>
        <stp>##V3_BDPV12</stp>
        <stp>912828CS Govt</stp>
        <stp>ISSUE_DT</stp>
        <stp>[TREASURY.xlsx]Sheet1!R462C15</stp>
        <tr r="O462" s="1"/>
      </tp>
      <tp t="s">
        <v>6/30/2010</v>
        <stp/>
        <stp>##V3_BDPV12</stp>
        <stp>912828NS Govt</stp>
        <stp>ISSUE_DT</stp>
        <stp>[TREASURY.xlsx]Sheet1!R979C15</stp>
        <tr r="O979" s="1"/>
      </tp>
      <tp t="s">
        <v>2/17/2004</v>
        <stp/>
        <stp>##V3_BDPV12</stp>
        <stp>912828BY Govt</stp>
        <stp>ISSUE_DT</stp>
        <stp>[TREASURY.xlsx]Sheet1!R506C15</stp>
        <tr r="O506" s="1"/>
      </tp>
      <tp t="s">
        <v>11/1/2004</v>
        <stp/>
        <stp>##V3_BDPV12</stp>
        <stp>912828CY Govt</stp>
        <stp>ISSUE_DT</stp>
        <stp>[TREASURY.xlsx]Sheet1!R477C15</stp>
        <tr r="O477" s="1"/>
      </tp>
      <tp t="s">
        <v>2/2/2004</v>
        <stp/>
        <stp>##V3_BDPV12</stp>
        <stp>912828BX Govt</stp>
        <stp>ISSUE_DT</stp>
        <stp>[TREASURY.xlsx]Sheet1!R556C15</stp>
        <tr r="O556" s="1"/>
      </tp>
      <tp t="s">
        <v>6/1/2010</v>
        <stp/>
        <stp>##V3_BDPV12</stp>
        <stp>912828NE Govt</stp>
        <stp>ISSUE_DT</stp>
        <stp>[TREASURY.xlsx]Sheet1!R977C15</stp>
        <tr r="O977" s="1"/>
      </tp>
      <tp t="s">
        <v>4/30/2004</v>
        <stp/>
        <stp>##V3_BDPV12</stp>
        <stp>912828CF Govt</stp>
        <stp>ISSUE_DT</stp>
        <stp>[TREASURY.xlsx]Sheet1!R465C15</stp>
        <tr r="O465" s="1"/>
      </tp>
      <tp t="s">
        <v>11/15/2004</v>
        <stp/>
        <stp>##V3_BDPV12</stp>
        <stp>912828DC Govt</stp>
        <stp>ISSUE_DT</stp>
        <stp>[TREASURY.xlsx]Sheet1!R352C15</stp>
        <tr r="O352" s="1"/>
      </tp>
      <tp t="s">
        <v>6/30/2004</v>
        <stp/>
        <stp>##V3_BDPV12</stp>
        <stp>912828CM Govt</stp>
        <stp>ISSUE_DT</stp>
        <stp>[TREASURY.xlsx]Sheet1!R493C15</stp>
        <tr r="O493" s="1"/>
      </tp>
      <tp t="s">
        <v>11/15/2002</v>
        <stp/>
        <stp>##V3_BDPV12</stp>
        <stp>912828AN Govt</stp>
        <stp>ISSUE_DT</stp>
        <stp>[TREASURY.xlsx]Sheet1!R657C15</stp>
        <tr r="O657" s="1"/>
      </tp>
      <tp t="s">
        <v>9/30/2002</v>
        <stp/>
        <stp>##V3_BDPV12</stp>
        <stp>912828AL Govt</stp>
        <stp>ISSUE_DT</stp>
        <stp>[TREASURY.xlsx]Sheet1!R666C15</stp>
        <tr r="O666" s="1"/>
      </tp>
      <tp t="s">
        <v>9/30/2003</v>
        <stp/>
        <stp>##V3_BDPV12</stp>
        <stp>912828BL Govt</stp>
        <stp>ISSUE_DT</stp>
        <stp>[TREASURY.xlsx]Sheet1!R513C15</stp>
        <tr r="O513" s="1"/>
      </tp>
      <tp t="s">
        <v>6/30/2010</v>
        <stp/>
        <stp>##V3_BDPV12</stp>
        <stp>912828NK Govt</stp>
        <stp>ISSUE_DT</stp>
        <stp>[TREASURY.xlsx]Sheet1!R978C15</stp>
        <tr r="O978" s="1"/>
      </tp>
      <tp t="s">
        <v>1/31/2014</v>
        <stp/>
        <stp>##V3_BDPV12</stp>
        <stp>912828B4 Govt</stp>
        <stp>ISSUE_DT</stp>
        <stp>[TREASURY.xlsx]Sheet1!R458C15</stp>
        <tr r="O458" s="1"/>
      </tp>
      <tp t="s">
        <v>11/17/2014</v>
        <stp/>
        <stp>##V3_BDPV12</stp>
        <stp>912828G3 Govt</stp>
        <stp>ISSUE_DT</stp>
        <stp>[TREASURY.xlsx]Sheet1!R137C15</stp>
        <tr r="O137" s="1"/>
      </tp>
      <tp t="s">
        <v>8/16/2004</v>
        <stp/>
        <stp>##V3_BDPV12</stp>
        <stp>912828CR Govt</stp>
        <stp>ISSUE_DT</stp>
        <stp>[TREASURY.xlsx]Sheet1!R510C15</stp>
        <tr r="O510" s="1"/>
      </tp>
      <tp t="s">
        <v>11/17/2003</v>
        <stp/>
        <stp>##V3_BDPV12</stp>
        <stp>912828BQ Govt</stp>
        <stp>ISSUE_DT</stp>
        <stp>[TREASURY.xlsx]Sheet1!R435C15</stp>
        <tr r="O435" s="1"/>
      </tp>
      <tp t="s">
        <v>2/28/2006</v>
        <stp/>
        <stp>##V3_BDPV12</stp>
        <stp>912828EX Govt</stp>
        <stp>ISSUE_DT</stp>
        <stp>[TREASURY.xlsx]Sheet1!R397C15</stp>
        <tr r="O397" s="1"/>
      </tp>
      <tp t="s">
        <v>8/2/2010</v>
        <stp/>
        <stp>##V3_BDPV12</stp>
        <stp>912828NP Govt</stp>
        <stp>ISSUE_DT</stp>
        <stp>[TREASURY.xlsx]Sheet1!R865C15</stp>
        <tr r="O865" s="1"/>
      </tp>
      <tp t="s">
        <v>9/15/2004</v>
        <stp/>
        <stp>##V3_BDPV12</stp>
        <stp>912828CV Govt</stp>
        <stp>ISSUE_DT</stp>
        <stp>[TREASURY.xlsx]Sheet1!R508C15</stp>
        <tr r="O508" s="1"/>
      </tp>
      <tp t="s">
        <v>8/16/2004</v>
        <stp/>
        <stp>##V3_BDPV12</stp>
        <stp>912828CT Govt</stp>
        <stp>ISSUE_DT</stp>
        <stp>[TREASURY.xlsx]Sheet1!R514C15</stp>
        <tr r="O514" s="1"/>
      </tp>
      <tp t="s">
        <v>1/31/2003</v>
        <stp/>
        <stp>##V3_BDPV12</stp>
        <stp>912828AS Govt</stp>
        <stp>ISSUE_DT</stp>
        <stp>[TREASURY.xlsx]Sheet1!R785C15</stp>
        <tr r="O785" s="1"/>
      </tp>
      <tp t="s">
        <v>2/17/2004</v>
        <stp/>
        <stp>##V3_BDPV12</stp>
        <stp>912828BZ Govt</stp>
        <stp>ISSUE_DT</stp>
        <stp>[TREASURY.xlsx]Sheet1!R436C15</stp>
        <tr r="O436" s="1"/>
      </tp>
      <tp t="s">
        <v>1/15/2004</v>
        <stp/>
        <stp>##V3_BDPV12</stp>
        <stp>912828BV Govt</stp>
        <stp>ISSUE_DT</stp>
        <stp>[TREASURY.xlsx]Sheet1!R495C15</stp>
        <tr r="O495" s="1"/>
      </tp>
      <tp t="s">
        <v>5/15/2003</v>
        <stp/>
        <stp>##V3_BDPV12</stp>
        <stp>912828BA Govt</stp>
        <stp>ISSUE_DT</stp>
        <stp>[TREASURY.xlsx]Sheet1!R408C15</stp>
        <tr r="O408" s="1"/>
      </tp>
      <tp t="s">
        <v>5/17/2010</v>
        <stp/>
        <stp>##V3_BDPV12</stp>
        <stp>912828NC Govt</stp>
        <stp>ISSUE_DT</stp>
        <stp>[TREASURY.xlsx]Sheet1!R862C15</stp>
        <tr r="O862" s="1"/>
      </tp>
      <tp t="s">
        <v>8/15/2003</v>
        <stp/>
        <stp>##V3_BDPV12</stp>
        <stp>912828BG Govt</stp>
        <stp>ISSUE_DT</stp>
        <stp>[TREASURY.xlsx]Sheet1!R427C15</stp>
        <tr r="O427" s="1"/>
      </tp>
      <tp t="s">
        <v>6/30/2010</v>
        <stp/>
        <stp>##V3_BDPV12</stp>
        <stp>912828NL Govt</stp>
        <stp>ISSUE_DT</stp>
        <stp>[TREASURY.xlsx]Sheet1!R863C15</stp>
        <tr r="O863" s="1"/>
      </tp>
      <tp t="s">
        <v>6/2/2003</v>
        <stp/>
        <stp>##V3_BDPV12</stp>
        <stp>912828BB Govt</stp>
        <stp>ISSUE_DT</stp>
        <stp>[TREASURY.xlsx]Sheet1!R482C15</stp>
        <tr r="O482" s="1"/>
      </tp>
      <tp t="s">
        <v>6/15/2004</v>
        <stp/>
        <stp>##V3_BDPV12</stp>
        <stp>912828CL Govt</stp>
        <stp>ISSUE_DT</stp>
        <stp>[TREASURY.xlsx]Sheet1!R557C15</stp>
        <tr r="O557" s="1"/>
      </tp>
      <tp t="s">
        <v>10/15/2003</v>
        <stp/>
        <stp>##V3_BDPV12</stp>
        <stp>912828BM Govt</stp>
        <stp>ISSUE_DT</stp>
        <stp>[TREASURY.xlsx]Sheet1!R453C15</stp>
        <tr r="O453" s="1"/>
      </tp>
      <tp t="s">
        <v>7/15/2010</v>
        <stp/>
        <stp>##V3_BDPV12</stp>
        <stp>912828NN Govt</stp>
        <stp>ISSUE_DT</stp>
        <stp>[TREASURY.xlsx]Sheet1!R864C15</stp>
        <tr r="O864" s="1"/>
      </tp>
      <tp t="s">
        <v>8/15/2003</v>
        <stp/>
        <stp>##V3_BDPV12</stp>
        <stp>912828BH Govt</stp>
        <stp>ISSUE_DT</stp>
        <stp>[TREASURY.xlsx]Sheet1!R452C15</stp>
        <tr r="O452" s="1"/>
      </tp>
      <tp t="s">
        <v>5/17/2004</v>
        <stp/>
        <stp>##V3_BDPV12</stp>
        <stp>912828CH Govt</stp>
        <stp>ISSUE_DT</stp>
        <stp>[TREASURY.xlsx]Sheet1!R559C15</stp>
        <tr r="O559" s="1"/>
      </tp>
      <tp t="s">
        <v>11/30/2015</v>
        <stp/>
        <stp>##V3_BDPV12</stp>
        <stp>912828M7 Govt</stp>
        <stp>ISSUE_DT</stp>
        <stp>[TREASURY.xlsx]Sheet1!R443C15</stp>
        <tr r="O443" s="1"/>
      </tp>
      <tp t="s">
        <v>3/2/2015</v>
        <stp/>
        <stp>##V3_BDPV12</stp>
        <stp>912828J4 Govt</stp>
        <stp>ISSUE_DT</stp>
        <stp>[TREASURY.xlsx]Sheet1!R308C15</stp>
        <tr r="O308" s="1"/>
      </tp>
      <tp t="s">
        <v>11/17/2008</v>
        <stp/>
        <stp>##V3_BDPV12</stp>
        <stp>912828JR Govt</stp>
        <stp>ISSUE_DT</stp>
        <stp>[TREASURY.xlsx]Sheet1!R396C15</stp>
        <tr r="O396" s="1"/>
      </tp>
      <tp t="s">
        <v>11/16/2009</v>
        <stp/>
        <stp>##V3_BDPV12</stp>
        <stp>912828LX Govt</stp>
        <stp>ISSUE_DT</stp>
        <stp>[TREASURY.xlsx]Sheet1!R535C15</stp>
        <tr r="O535" s="1"/>
      </tp>
      <tp t="s">
        <v>11/30/2009</v>
        <stp/>
        <stp>##V3_BDPV12</stp>
        <stp>912828LZ Govt</stp>
        <stp>ISSUE_DT</stp>
        <stp>[TREASURY.xlsx]Sheet1!R515C15</stp>
        <tr r="O515" s="1"/>
      </tp>
      <tp t="s">
        <v>3/1/2010</v>
        <stp/>
        <stp>##V3_BDPV12</stp>
        <stp>912828MQ Govt</stp>
        <stp>ISSUE_DT</stp>
        <stp>[TREASURY.xlsx]Sheet1!R483C15</stp>
        <tr r="O483" s="1"/>
      </tp>
      <tp t="s">
        <v>3/31/2010</v>
        <stp/>
        <stp>##V3_BDPV12</stp>
        <stp>912828MU Govt</stp>
        <stp>ISSUE_DT</stp>
        <stp>[TREASURY.xlsx]Sheet1!R494C15</stp>
        <tr r="O494" s="1"/>
      </tp>
      <tp t="s">
        <v>7/15/2009</v>
        <stp/>
        <stp>##V3_BDPV12</stp>
        <stp>912828LB Govt</stp>
        <stp>ISSUE_DT</stp>
        <stp>[TREASURY.xlsx]Sheet1!R558C15</stp>
        <tr r="O558" s="1"/>
      </tp>
      <tp t="s">
        <v>7/31/2002</v>
        <stp/>
        <stp>##V3_BDPV12</stp>
        <stp>912828AG Govt</stp>
        <stp>ISSUE_DT</stp>
        <stp>[TREASURY.xlsx]Sheet1!R837C15</stp>
        <tr r="O837" s="1"/>
      </tp>
      <tp t="s">
        <v>8/31/2009</v>
        <stp/>
        <stp>##V3_BDPV12</stp>
        <stp>912828LK Govt</stp>
        <stp>ISSUE_DT</stp>
        <stp>[TREASURY.xlsx]Sheet1!R546C15</stp>
        <tr r="O546" s="1"/>
      </tp>
      <tp t="s">
        <v>6/30/2009</v>
        <stp/>
        <stp>##V3_BDPV12</stp>
        <stp>912828LF Govt</stp>
        <stp>ISSUE_DT</stp>
        <stp>[TREASURY.xlsx]Sheet1!R584C15</stp>
        <tr r="O584" s="1"/>
      </tp>
      <tp t="s">
        <v>11/30/2015</v>
        <stp/>
        <stp>##V3_BDPV12</stp>
        <stp>912828M9 Govt</stp>
        <stp>ISSUE_DT</stp>
        <stp>[TREASURY.xlsx]Sheet1!R592C15</stp>
        <tr r="O592" s="1"/>
      </tp>
      <tp t="s">
        <v>3/31/2015</v>
        <stp/>
        <stp>##V3_BDPV12</stp>
        <stp>912828J7 Govt</stp>
        <stp>ISSUE_DT</stp>
        <stp>[TREASURY.xlsx]Sheet1!R204C15</stp>
        <tr r="O204" s="1"/>
      </tp>
      <tp t="s">
        <v>9/30/2015</v>
        <stp/>
        <stp>##V3_BDPV12</stp>
        <stp>912828L6 Govt</stp>
        <stp>ISSUE_DT</stp>
        <stp>[TREASURY.xlsx]Sheet1!R430C15</stp>
        <tr r="O430" s="1"/>
      </tp>
      <tp t="s">
        <v>12/31/2015</v>
        <stp/>
        <stp>##V3_BDPV12</stp>
        <stp>912828N5 Govt</stp>
        <stp>ISSUE_DT</stp>
        <stp>[TREASURY.xlsx]Sheet1!R600C15</stp>
        <tr r="O600" s="1"/>
      </tp>
      <tp t="s">
        <v>1/15/2016</v>
        <stp/>
        <stp>##V3_BDPV12</stp>
        <stp>912828N6 Govt</stp>
        <stp>ISSUE_DT</stp>
        <stp>[TREASURY.xlsx]Sheet1!R621C15</stp>
        <tr r="O621" s="1"/>
      </tp>
      <tp t="s">
        <v>8/17/2015</v>
        <stp/>
        <stp>##V3_BDPV12</stp>
        <stp>912828K8 Govt</stp>
        <stp>ISSUE_DT</stp>
        <stp>[TREASURY.xlsx]Sheet1!R369C15</stp>
        <tr r="O369" s="1"/>
      </tp>
      <tp t="s">
        <v>9/30/2009</v>
        <stp/>
        <stp>##V3_BDPV12</stp>
        <stp>912828LQ Govt</stp>
        <stp>ISSUE_DT</stp>
        <stp>[TREASURY.xlsx]Sheet1!R486C15</stp>
        <tr r="O486" s="1"/>
      </tp>
      <tp t="s">
        <v>3/31/2010</v>
        <stp/>
        <stp>##V3_BDPV12</stp>
        <stp>912828MW Govt</stp>
        <stp>ISSUE_DT</stp>
        <stp>[TREASURY.xlsx]Sheet1!R599C15</stp>
        <tr r="O599" s="1"/>
      </tp>
      <tp t="s">
        <v>8/17/2009</v>
        <stp/>
        <stp>##V3_BDPV12</stp>
        <stp>912828LJ Govt</stp>
        <stp>ISSUE_DT</stp>
        <stp>[TREASURY.xlsx]Sheet1!R485C15</stp>
        <tr r="O485" s="1"/>
      </tp>
      <tp t="s">
        <v>2/17/2009</v>
        <stp/>
        <stp>##V3_BDPV12</stp>
        <stp>912828KD Govt</stp>
        <stp>ISSUE_DT</stp>
        <stp>[TREASURY.xlsx]Sheet1!R364C15</stp>
        <tr r="O364" s="1"/>
      </tp>
      <tp t="s">
        <v>12/31/2009</v>
        <stp/>
        <stp>##V3_BDPV12</stp>
        <stp>912828ME Govt</stp>
        <stp>ISSUE_DT</stp>
        <stp>[TREASURY.xlsx]Sheet1!R574C15</stp>
        <tr r="O574" s="1"/>
      </tp>
      <tp t="s">
        <v>5/17/2010</v>
        <stp/>
        <stp>##V3_BDPV12</stp>
        <stp>912828ND Govt</stp>
        <stp>ISSUE_DT</stp>
        <stp>[TREASURY.xlsx]Sheet1!R645C15</stp>
        <tr r="O645" s="1"/>
      </tp>
      <tp t="s">
        <v>4/30/2002</v>
        <stp/>
        <stp>##V3_BDPV12</stp>
        <stp>912828AB Govt</stp>
        <stp>ISSUE_DT</stp>
        <stp>[TREASURY.xlsx]Sheet1!R958C15</stp>
        <tr r="O958" s="1"/>
      </tp>
      <tp t="s">
        <v>1/15/2009</v>
        <stp/>
        <stp>##V3_BDPV12</stp>
        <stp>912828KB Govt</stp>
        <stp>ISSUE_DT</stp>
        <stp>[TREASURY.xlsx]Sheet1!R398C15</stp>
        <tr r="O398" s="1"/>
      </tp>
      <tp t="s">
        <v>6/15/2010</v>
        <stp/>
        <stp>##V3_BDPV12</stp>
        <stp>912828NH Govt</stp>
        <stp>ISSUE_DT</stp>
        <stp>[TREASURY.xlsx]Sheet1!R622C15</stp>
        <tr r="O622" s="1"/>
      </tp>
      <tp t="s">
        <v>2/1/2010</v>
        <stp/>
        <stp>##V3_BDPV12</stp>
        <stp>912828MK Govt</stp>
        <stp>ISSUE_DT</stp>
        <stp>[TREASURY.xlsx]Sheet1!R538C15</stp>
        <tr r="O538" s="1"/>
      </tp>
      <tp t="s">
        <v>9/3/2002</v>
        <stp/>
        <stp>##V3_BDPV12</stp>
        <stp>912828AK Govt</stp>
        <stp>ISSUE_DT</stp>
        <stp>[TREASURY.xlsx]Sheet1!R959C15</stp>
        <tr r="O959" s="1"/>
      </tp>
      <tp t="s">
        <v>3/17/2014</v>
        <stp/>
        <stp>##V3_BDPV12</stp>
        <stp>912828C3 Govt</stp>
        <stp>ISSUE_DT</stp>
        <stp>[TREASURY.xlsx]Sheet1!R838C15</stp>
        <tr r="O838" s="1"/>
      </tp>
      <tp t="s">
        <v>8/16/2010</v>
        <stp/>
        <stp>##V3_BDPV12</stp>
        <stp>912828NU Govt</stp>
        <stp>ISSUE_DT</stp>
        <stp>[TREASURY.xlsx]Sheet1!R547C15</stp>
        <tr r="O547" s="1"/>
      </tp>
      <tp t="s">
        <v>5/15/2008</v>
        <stp/>
        <stp>##V3_BDPV12</stp>
        <stp>912828HZ Govt</stp>
        <stp>ISSUE_DT</stp>
        <stp>[TREASURY.xlsx]Sheet1!R356C15</stp>
        <tr r="O356" s="1"/>
      </tp>
      <tp t="s">
        <v>6/1/2010</v>
        <stp/>
        <stp>##V3_BDPV12</stp>
        <stp>912828NG Govt</stp>
        <stp>ISSUE_DT</stp>
        <stp>[TREASURY.xlsx]Sheet1!R562C15</stp>
        <tr r="O562" s="1"/>
      </tp>
      <tp t="s">
        <v>10/31/2003</v>
        <stp/>
        <stp>##V3_BDPV12</stp>
        <stp>912828BN Govt</stp>
        <stp>ISSUE_DT</stp>
        <stp>[TREASURY.xlsx]Sheet1!R960C15</stp>
        <tr r="O960" s="1"/>
      </tp>
      <tp t="s">
        <v>12/31/2015</v>
        <stp/>
        <stp>##V3_BDPV12</stp>
        <stp>912828N4 Govt</stp>
        <stp>ISSUE_DT</stp>
        <stp>[TREASURY.xlsx]Sheet1!R463C15</stp>
        <tr r="O463" s="1"/>
      </tp>
      <tp t="s">
        <v>9/15/2015</v>
        <stp/>
        <stp>##V3_BDPV12</stp>
        <stp>912828L4 Govt</stp>
        <stp>ISSUE_DT</stp>
        <stp>[TREASURY.xlsx]Sheet1!R669C15</stp>
        <tr r="O669" s="1"/>
      </tp>
      <tp t="s">
        <v>12/15/2015</v>
        <stp/>
        <stp>##V3_BDPV12</stp>
        <stp>912828N2 Govt</stp>
        <stp>ISSUE_DT</stp>
        <stp>[TREASURY.xlsx]Sheet1!R440C15</stp>
        <tr r="O440" s="1"/>
      </tp>
      <tp t="s">
        <v>2/2/2015</v>
        <stp/>
        <stp>##V3_BDPV12</stp>
        <stp>912828H8 Govt</stp>
        <stp>ISSUE_DT</stp>
        <stp>[TREASURY.xlsx]Sheet1!R247C15</stp>
        <tr r="O247" s="1"/>
      </tp>
      <tp t="s">
        <v>9/30/2009</v>
        <stp/>
        <stp>##V3_BDPV12</stp>
        <stp>912828LW Govt</stp>
        <stp>ISSUE_DT</stp>
        <stp>[TREASURY.xlsx]Sheet1!R629C15</stp>
        <tr r="O629" s="1"/>
      </tp>
      <tp t="s">
        <v>9/30/2015</v>
        <stp/>
        <stp>##V3_BDPV12</stp>
        <stp>912828L5 Govt</stp>
        <stp>ISSUE_DT</stp>
        <stp>[TREASURY.xlsx]Sheet1!R161C15</stp>
        <tr r="O161" s="1"/>
      </tp>
      <tp t="s">
        <v>8/15/2014</v>
        <stp/>
        <stp>##V3_BDPV12</stp>
        <stp>912828D4 Govt</stp>
        <stp>ISSUE_DT</stp>
        <stp>[TREASURY.xlsx]Sheet1!R961C15</stp>
        <tr r="O961" s="1"/>
      </tp>
      <tp t="s">
        <v>8/31/2015</v>
        <stp/>
        <stp>##V3_BDPV12</stp>
        <stp>912828L2 Govt</stp>
        <stp>ISSUE_DT</stp>
        <stp>[TREASURY.xlsx]Sheet1!R173C15</stp>
        <tr r="O173" s="1"/>
      </tp>
      <tp t="s">
        <v>12/31/2014</v>
        <stp/>
        <stp>##V3_BDPV12</stp>
        <stp>912828H2 Govt</stp>
        <stp>ISSUE_DT</stp>
        <stp>[TREASURY.xlsx]Sheet1!R581C15</stp>
        <tr r="O581" s="1"/>
      </tp>
      <tp t="s">
        <v>2/1/2016</v>
        <stp/>
        <stp>##V3_BDPV12</stp>
        <stp>912828N8 Govt</stp>
        <stp>ISSUE_DT</stp>
        <stp>[TREASURY.xlsx]Sheet1!R343C15</stp>
        <tr r="O343" s="1"/>
      </tp>
      <tp t="s">
        <v>2/15/2006</v>
        <stp/>
        <stp>##V3_BDPV12</stp>
        <stp>912828EW Govt</stp>
        <stp>ISSUE_DT</stp>
        <stp>[TREASURY.xlsx]Sheet1!R842C15</stp>
        <tr r="O842" s="1"/>
      </tp>
      <tp t="s">
        <v>2/15/2006</v>
        <stp/>
        <stp>##V3_BDPV12</stp>
        <stp>912828EV Govt</stp>
        <stp>ISSUE_DT</stp>
        <stp>[TREASURY.xlsx]Sheet1!R841C15</stp>
        <tr r="O841" s="1"/>
      </tp>
      <tp t="s">
        <v>8/16/2010</v>
        <stp/>
        <stp>##V3_BDPV12</stp>
        <stp>912828NT Govt</stp>
        <stp>ISSUE_DT</stp>
        <stp>[TREASURY.xlsx]Sheet1!R351C15</stp>
        <tr r="O351" s="1"/>
      </tp>
      <tp t="s">
        <v>6/1/2009</v>
        <stp/>
        <stp>##V3_BDPV12</stp>
        <stp>912828KV Govt</stp>
        <stp>ISSUE_DT</stp>
        <stp>[TREASURY.xlsx]Sheet1!R616C15</stp>
        <tr r="O616" s="1"/>
      </tp>
      <tp t="s">
        <v>6/1/2009</v>
        <stp/>
        <stp>##V3_BDPV12</stp>
        <stp>912828KW Govt</stp>
        <stp>ISSUE_DT</stp>
        <stp>[TREASURY.xlsx]Sheet1!R617C15</stp>
        <tr r="O617" s="1"/>
      </tp>
      <tp t="s">
        <v>4/30/2009</v>
        <stp/>
        <stp>##V3_BDPV12</stp>
        <stp>912828KR Govt</stp>
        <stp>ISSUE_DT</stp>
        <stp>[TREASURY.xlsx]Sheet1!R676C15</stp>
        <tr r="O676" s="1"/>
      </tp>
      <tp t="s">
        <v>8/31/2010</v>
        <stp/>
        <stp>##V3_BDPV12</stp>
        <stp>912828NV Govt</stp>
        <stp>ISSUE_DT</stp>
        <stp>[TREASURY.xlsx]Sheet1!R382C15</stp>
        <tr r="O382" s="1"/>
      </tp>
      <tp t="s">
        <v>6/30/2009</v>
        <stp/>
        <stp>##V3_BDPV12</stp>
        <stp>912828KY Govt</stp>
        <stp>ISSUE_DT</stp>
        <stp>[TREASURY.xlsx]Sheet1!R644C15</stp>
        <tr r="O644" s="1"/>
      </tp>
      <tp t="s">
        <v>12/31/2007</v>
        <stp/>
        <stp>##V3_BDPV12</stp>
        <stp>912828HM Govt</stp>
        <stp>ISSUE_DT</stp>
        <stp>[TREASURY.xlsx]Sheet1!R573C15</stp>
        <tr r="O573" s="1"/>
      </tp>
      <tp t="s">
        <v>2/15/2005</v>
        <stp/>
        <stp>##V3_BDPV12</stp>
        <stp>912828DL Govt</stp>
        <stp>ISSUE_DT</stp>
        <stp>[TREASURY.xlsx]Sheet1!R962C15</stp>
        <tr r="O962" s="1"/>
      </tp>
      <tp t="s">
        <v>4/30/2010</v>
        <stp/>
        <stp>##V3_BDPV12</stp>
        <stp>912828NB Govt</stp>
        <stp>ISSUE_DT</stp>
        <stp>[TREASURY.xlsx]Sheet1!R388C15</stp>
        <tr r="O388" s="1"/>
      </tp>
      <tp t="s">
        <v>11/30/2007</v>
        <stp/>
        <stp>##V3_BDPV12</stp>
        <stp>912828HK Govt</stp>
        <stp>ISSUE_DT</stp>
        <stp>[TREASURY.xlsx]Sheet1!R525C15</stp>
        <tr r="O525" s="1"/>
      </tp>
      <tp t="s">
        <v>2/28/2005</v>
        <stp/>
        <stp>##V3_BDPV12</stp>
        <stp>912828DN Govt</stp>
        <stp>ISSUE_DT</stp>
        <stp>[TREASURY.xlsx]Sheet1!R963C15</stp>
        <tr r="O963" s="1"/>
      </tp>
      <tp t="s">
        <v>11/16/2015</v>
        <stp/>
        <stp>##V3_BDPV12</stp>
        <stp>912828M5 Govt</stp>
        <stp>ISSUE_DT</stp>
        <stp>[TREASURY.xlsx]Sheet1!R116C15</stp>
        <tr r="O116" s="1"/>
      </tp>
      <tp t="s">
        <v>2/2/2015</v>
        <stp/>
        <stp>##V3_BDPV12</stp>
        <stp>912828H5 Govt</stp>
        <stp>ISSUE_DT</stp>
        <stp>[TREASURY.xlsx]Sheet1!R419C15</stp>
        <tr r="O419" s="1"/>
      </tp>
      <tp t="s">
        <v>9/15/2014</v>
        <stp/>
        <stp>##V3_BDPV12</stp>
        <stp>912828D9 Govt</stp>
        <stp>ISSUE_DT</stp>
        <stp>[TREASURY.xlsx]Sheet1!R839C15</stp>
        <tr r="O839" s="1"/>
      </tp>
      <tp t="s">
        <v>3/16/2015</v>
        <stp/>
        <stp>##V3_BDPV12</stp>
        <stp>912828J6 Govt</stp>
        <stp>ISSUE_DT</stp>
        <stp>[TREASURY.xlsx]Sheet1!R686C15</stp>
        <tr r="O686" s="1"/>
      </tp>
      <tp t="s">
        <v>11/30/2015</v>
        <stp/>
        <stp>##V3_BDPV12</stp>
        <stp>912828M8 Govt</stp>
        <stp>ISSUE_DT</stp>
        <stp>[TREASURY.xlsx]Sheet1!R150C15</stp>
        <tr r="O150" s="1"/>
      </tp>
      <tp t="s">
        <v>12/31/2008</v>
        <stp/>
        <stp>##V3_BDPV12</stp>
        <stp>912828JW Govt</stp>
        <stp>ISSUE_DT</stp>
        <stp>[TREASURY.xlsx]Sheet1!R643C15</stp>
        <tr r="O643" s="1"/>
      </tp>
      <tp t="s">
        <v>2/2/2009</v>
        <stp/>
        <stp>##V3_BDPV12</stp>
        <stp>912828JY Govt</stp>
        <stp>ISSUE_DT</stp>
        <stp>[TREASURY.xlsx]Sheet1!R691C15</stp>
        <tr r="O691" s="1"/>
      </tp>
      <tp t="s">
        <v>11/30/2005</v>
        <stp/>
        <stp>##V3_BDPV12</stp>
        <stp>912828EP Govt</stp>
        <stp>ISSUE_DT</stp>
        <stp>[TREASURY.xlsx]Sheet1!R965C15</stp>
        <tr r="O965" s="1"/>
      </tp>
      <tp t="s">
        <v>2/15/2008</v>
        <stp/>
        <stp>##V3_BDPV12</stp>
        <stp>912828HR Govt</stp>
        <stp>ISSUE_DT</stp>
        <stp>[TREASURY.xlsx]Sheet1!R476C15</stp>
        <tr r="O476" s="1"/>
      </tp>
      <tp t="s">
        <v>4/30/2008</v>
        <stp/>
        <stp>##V3_BDPV12</stp>
        <stp>912828HY Govt</stp>
        <stp>ISSUE_DT</stp>
        <stp>[TREASURY.xlsx]Sheet1!R450C15</stp>
        <tr r="O450" s="1"/>
      </tp>
      <tp t="s">
        <v>9/2/2008</v>
        <stp/>
        <stp>##V3_BDPV12</stp>
        <stp>912828JJ Govt</stp>
        <stp>ISSUE_DT</stp>
        <stp>[TREASURY.xlsx]Sheet1!R690C15</stp>
        <tr r="O690" s="1"/>
      </tp>
      <tp t="s">
        <v>12/31/2004</v>
        <stp/>
        <stp>##V3_BDPV12</stp>
        <stp>912828DF Govt</stp>
        <stp>ISSUE_DT</stp>
        <stp>[TREASURY.xlsx]Sheet1!R840C15</stp>
        <tr r="O840" s="1"/>
      </tp>
      <tp t="s">
        <v>8/15/2005</v>
        <stp/>
        <stp>##V3_BDPV12</stp>
        <stp>912828ED Govt</stp>
        <stp>ISSUE_DT</stp>
        <stp>[TREASURY.xlsx]Sheet1!R964C15</stp>
        <tr r="O964" s="1"/>
      </tp>
      <tp t="s">
        <v>11/15/2007</v>
        <stp/>
        <stp>##V3_BDPV12</stp>
        <stp>912828HH Govt</stp>
        <stp>ISSUE_DT</stp>
        <stp>[TREASURY.xlsx]Sheet1!R470C15</stp>
        <tr r="O470" s="1"/>
      </tp>
      <tp t="s">
        <v>12/31/2007</v>
        <stp/>
        <stp>##V3_BDPV12</stp>
        <stp>912828HL Govt</stp>
        <stp>ISSUE_DT</stp>
        <stp>[TREASURY.xlsx]Sheet1!R424C15</stp>
        <tr r="O424" s="1"/>
      </tp>
      <tp t="s">
        <v>8/31/2015</v>
        <stp/>
        <stp>##V3_BDPV12</stp>
        <stp>912828L3 Govt</stp>
        <stp>ISSUE_DT</stp>
        <stp>[TREASURY.xlsx]Sheet1!R327C15</stp>
        <tr r="O327" s="1"/>
      </tp>
      <tp t="s">
        <v>11/2/2015</v>
        <stp/>
        <stp>##V3_BDPV12</stp>
        <stp>912828M4 Govt</stp>
        <stp>ISSUE_DT</stp>
        <stp>[TREASURY.xlsx]Sheet1!R254C15</stp>
        <tr r="O254" s="1"/>
      </tp>
      <tp t="s">
        <v>12/31/2015</v>
        <stp/>
        <stp>##V3_BDPV12</stp>
        <stp>912828N3 Govt</stp>
        <stp>ISSUE_DT</stp>
        <stp>[TREASURY.xlsx]Sheet1!R129C15</stp>
        <tr r="O129" s="1"/>
      </tp>
      <tp t="s">
        <v>11/2/2015</v>
        <stp/>
        <stp>##V3_BDPV12</stp>
        <stp>912828L9 Govt</stp>
        <stp>ISSUE_DT</stp>
        <stp>[TREASURY.xlsx]Sheet1!R358C15</stp>
        <tr r="O358" s="1"/>
      </tp>
      <tp t="s">
        <v>3/2/2009</v>
        <stp/>
        <stp>##V3_BDPV12</stp>
        <stp>912828KS Govt</stp>
        <stp>ISSUE_DT</stp>
        <stp>[TREASURY.xlsx]Sheet1!R418C15</stp>
        <tr r="O418" s="1"/>
      </tp>
      <tp t="s">
        <v>5/31/2007</v>
        <stp/>
        <stp>##V3_BDPV12</stp>
        <stp>912828GU Govt</stp>
        <stp>ISSUE_DT</stp>
        <stp>[TREASURY.xlsx]Sheet1!R848C15</stp>
        <tr r="O848" s="1"/>
      </tp>
      <tp t="s">
        <v>4/30/2007</v>
        <stp/>
        <stp>##V3_BDPV12</stp>
        <stp>912828GP Govt</stp>
        <stp>ISSUE_DT</stp>
        <stp>[TREASURY.xlsx]Sheet1!R803C15</stp>
        <tr r="O803" s="1"/>
      </tp>
      <tp t="s">
        <v>7/2/2007</v>
        <stp/>
        <stp>##V3_BDPV12</stp>
        <stp>912828GV Govt</stp>
        <stp>ISSUE_DT</stp>
        <stp>[TREASURY.xlsx]Sheet1!R805C15</stp>
        <tr r="O805" s="1"/>
      </tp>
      <tp t="s">
        <v>5/31/2007</v>
        <stp/>
        <stp>##V3_BDPV12</stp>
        <stp>912828GT Govt</stp>
        <stp>ISSUE_DT</stp>
        <stp>[TREASURY.xlsx]Sheet1!R804C15</stp>
        <tr r="O804" s="1"/>
      </tp>
      <tp t="s">
        <v>11/16/2009</v>
        <stp/>
        <stp>##V3_BDPV12</stp>
        <stp>912828LY Govt</stp>
        <stp>ISSUE_DT</stp>
        <stp>[TREASURY.xlsx]Sheet1!R353C15</stp>
        <tr r="O353" s="1"/>
      </tp>
      <tp t="s">
        <v>11/30/2006</v>
        <stp/>
        <stp>##V3_BDPV12</stp>
        <stp>912828GA Govt</stp>
        <stp>ISSUE_DT</stp>
        <stp>[TREASURY.xlsx]Sheet1!R801C15</stp>
        <tr r="O801" s="1"/>
      </tp>
      <tp t="s">
        <v>7/31/2008</v>
        <stp/>
        <stp>##V3_BDPV12</stp>
        <stp>912828JF Govt</stp>
        <stp>ISSUE_DT</stp>
        <stp>[TREASURY.xlsx]Sheet1!R537C15</stp>
        <tr r="O537" s="1"/>
      </tp>
      <tp t="s">
        <v>6/2/2008</v>
        <stp/>
        <stp>##V3_BDPV12</stp>
        <stp>912828JB Govt</stp>
        <stp>ISSUE_DT</stp>
        <stp>[TREASURY.xlsx]Sheet1!R598C15</stp>
        <tr r="O598" s="1"/>
      </tp>
      <tp t="s">
        <v>2/28/2007</v>
        <stp/>
        <stp>##V3_BDPV12</stp>
        <stp>912828GJ Govt</stp>
        <stp>ISSUE_DT</stp>
        <stp>[TREASURY.xlsx]Sheet1!R802C15</stp>
        <tr r="O802" s="1"/>
      </tp>
      <tp t="s">
        <v>4/2/2007</v>
        <stp/>
        <stp>##V3_BDPV12</stp>
        <stp>912828GL Govt</stp>
        <stp>ISSUE_DT</stp>
        <stp>[TREASURY.xlsx]Sheet1!R847C15</stp>
        <tr r="O847" s="1"/>
      </tp>
      <tp t="s">
        <v>8/15/2008</v>
        <stp/>
        <stp>##V3_BDPV12</stp>
        <stp>912828JH Govt</stp>
        <stp>ISSUE_DT</stp>
        <stp>[TREASURY.xlsx]Sheet1!R542C15</stp>
        <tr r="O542" s="1"/>
      </tp>
      <tp t="s">
        <v>12/1/2014</v>
        <stp/>
        <stp>##V3_BDPV12</stp>
        <stp>912828G6 Govt</stp>
        <stp>ISSUE_DT</stp>
        <stp>[TREASURY.xlsx]Sheet1!R966C15</stp>
        <tr r="O966" s="1"/>
      </tp>
      <tp t="s">
        <v>2/2/2015</v>
        <stp/>
        <stp>##V3_BDPV12</stp>
        <stp>912828H7 Govt</stp>
        <stp>ISSUE_DT</stp>
        <stp>[TREASURY.xlsx]Sheet1!R605C15</stp>
        <tr r="O605" s="1"/>
      </tp>
      <tp t="s">
        <v>3/2/2015</v>
        <stp/>
        <stp>##V3_BDPV12</stp>
        <stp>912828J5 Govt</stp>
        <stp>ISSUE_DT</stp>
        <stp>[TREASURY.xlsx]Sheet1!R403C15</stp>
        <tr r="O403" s="1"/>
      </tp>
      <tp t="s">
        <v>4/30/2015</v>
        <stp/>
        <stp>##V3_BDPV12</stp>
        <stp>912828K5 Govt</stp>
        <stp>ISSUE_DT</stp>
        <stp>[TREASURY.xlsx]Sheet1!R518C15</stp>
        <tr r="O518" s="1"/>
      </tp>
      <tp t="s">
        <v>3/31/2015</v>
        <stp/>
        <stp>##V3_BDPV12</stp>
        <stp>912828J8 Govt</stp>
        <stp>ISSUE_DT</stp>
        <stp>[TREASURY.xlsx]Sheet1!R451C15</stp>
        <tr r="O451" s="1"/>
      </tp>
      <tp t="s">
        <v>3/31/2008</v>
        <stp/>
        <stp>##V3_BDPV12</stp>
        <stp>912828HV Govt</stp>
        <stp>ISSUE_DT</stp>
        <stp>[TREASURY.xlsx]Sheet1!R651C15</stp>
        <tr r="O651" s="1"/>
      </tp>
      <tp t="s">
        <v>12/1/2008</v>
        <stp/>
        <stp>##V3_BDPV12</stp>
        <stp>912828JT Govt</stp>
        <stp>ISSUE_DT</stp>
        <stp>[TREASURY.xlsx]Sheet1!R471C15</stp>
        <tr r="O471" s="1"/>
      </tp>
      <tp t="s">
        <v>8/31/2006</v>
        <stp/>
        <stp>##V3_BDPV12</stp>
        <stp>912828FS Govt</stp>
        <stp>ISSUE_DT</stp>
        <stp>[TREASURY.xlsx]Sheet1!R800C15</stp>
        <tr r="O800" s="1"/>
      </tp>
      <tp t="s">
        <v>10/31/2006</v>
        <stp/>
        <stp>##V3_BDPV12</stp>
        <stp>912828FW Govt</stp>
        <stp>ISSUE_DT</stp>
        <stp>[TREASURY.xlsx]Sheet1!R846C15</stp>
        <tr r="O846" s="1"/>
      </tp>
      <tp t="s">
        <v>10/31/2006</v>
        <stp/>
        <stp>##V3_BDPV12</stp>
        <stp>912828FV Govt</stp>
        <stp>ISSUE_DT</stp>
        <stp>[TREASURY.xlsx]Sheet1!R845C15</stp>
        <tr r="O845" s="1"/>
      </tp>
      <tp t="s">
        <v>5/15/2009</v>
        <stp/>
        <stp>##V3_BDPV12</stp>
        <stp>912828KQ Govt</stp>
        <stp>ISSUE_DT</stp>
        <stp>[TREASURY.xlsx]Sheet1!R583C15</stp>
        <tr r="O583" s="1"/>
      </tp>
      <tp t="s">
        <v>2/16/2010</v>
        <stp/>
        <stp>##V3_BDPV12</stp>
        <stp>912828MP Govt</stp>
        <stp>ISSUE_DT</stp>
        <stp>[TREASURY.xlsx]Sheet1!R386C15</stp>
        <tr r="O386" s="1"/>
      </tp>
      <tp t="s">
        <v>2/2/2009</v>
        <stp/>
        <stp>##V3_BDPV12</stp>
        <stp>912828JZ Govt</stp>
        <stp>ISSUE_DT</stp>
        <stp>[TREASURY.xlsx]Sheet1!R478C15</stp>
        <tr r="O478" s="1"/>
      </tp>
      <tp t="s">
        <v>2/15/2007</v>
        <stp/>
        <stp>##V3_BDPV12</stp>
        <stp>912828GG Govt</stp>
        <stp>ISSUE_DT</stp>
        <stp>[TREASURY.xlsx]Sheet1!R967C15</stp>
        <tr r="O967" s="1"/>
      </tp>
      <tp t="s">
        <v>7/31/2008</v>
        <stp/>
        <stp>##V3_BDPV12</stp>
        <stp>912828JG Govt</stp>
        <stp>ISSUE_DT</stp>
        <stp>[TREASURY.xlsx]Sheet1!R417C15</stp>
        <tr r="O417" s="1"/>
      </tp>
      <tp t="s">
        <v>6/30/2006</v>
        <stp/>
        <stp>##V3_BDPV12</stp>
        <stp>912828FK Govt</stp>
        <stp>ISSUE_DT</stp>
        <stp>[TREASURY.xlsx]Sheet1!R844C15</stp>
        <tr r="O844" s="1"/>
      </tp>
      <tp t="s">
        <v>3/2/2009</v>
        <stp/>
        <stp>##V3_BDPV12</stp>
        <stp>912828KE Govt</stp>
        <stp>ISSUE_DT</stp>
        <stp>[TREASURY.xlsx]Sheet1!R582C15</stp>
        <tr r="O582" s="1"/>
      </tp>
      <tp t="s">
        <v>5/31/2006</v>
        <stp/>
        <stp>##V3_BDPV12</stp>
        <stp>912828FH Govt</stp>
        <stp>ISSUE_DT</stp>
        <stp>[TREASURY.xlsx]Sheet1!R843C15</stp>
        <tr r="O843" s="1"/>
      </tp>
      <tp t="s">
        <v>3/31/2009</v>
        <stp/>
        <stp>##V3_BDPV12</stp>
        <stp>912828KJ Govt</stp>
        <stp>ISSUE_DT</stp>
        <stp>[TREASURY.xlsx]Sheet1!R561C15</stp>
        <tr r="O561" s="1"/>
      </tp>
      <tp t="s">
        <v>UNITED STATES</v>
        <stp/>
        <stp>##V3_BDPV12</stp>
        <stp>91282CAG Govt</stp>
        <stp>COUNTRY_FULL_NAME</stp>
        <stp>[TREASURY.xlsx]Sheet1!R133C8</stp>
        <tr r="H133" s="1"/>
      </tp>
      <tp t="s">
        <v>UNITED STATES</v>
        <stp/>
        <stp>##V3_BDPV12</stp>
        <stp>91282CBJ Govt</stp>
        <stp>COUNTRY_FULL_NAME</stp>
        <stp>[TREASURY.xlsx]Sheet1!R123C8</stp>
        <tr r="H123" s="1"/>
      </tp>
      <tp t="s">
        <v>US9128283F58</v>
        <stp/>
        <stp>##V3_BDPV12</stp>
        <stp>9128283F Govt</stp>
        <stp>ID_ISIN</stp>
        <stp>[TREASURY.xlsx]Sheet1!R65C12</stp>
        <tr r="L65" s="1"/>
      </tp>
      <tp t="s">
        <v>US912828ZF00</v>
        <stp/>
        <stp>##V3_BDPV12</stp>
        <stp>912828ZF Govt</stp>
        <stp>ID_ISIN</stp>
        <stp>[TREASURY.xlsx]Sheet1!R61C12</stp>
        <tr r="L61" s="1"/>
      </tp>
      <tp t="s">
        <v>US912828YF19</v>
        <stp/>
        <stp>##V3_BDPV12</stp>
        <stp>912828YF Govt</stp>
        <stp>ID_ISIN</stp>
        <stp>[TREASURY.xlsx]Sheet1!R76C12</stp>
        <tr r="L76" s="1"/>
      </tp>
      <tp t="s">
        <v>US91282CCF68</v>
        <stp/>
        <stp>##V3_BDPV12</stp>
        <stp>91282CCF Govt</stp>
        <stp>ID_ISIN</stp>
        <stp>[TREASURY.xlsx]Sheet1!R34C12</stp>
        <tr r="L34" s="1"/>
      </tp>
      <tp t="s">
        <v>FIXED</v>
        <stp/>
        <stp>##V3_BDPV12</stp>
        <stp>912828YB Govt</stp>
        <stp>CPN_TYP</stp>
        <stp>[TREASURY.xlsx]Sheet1!R26C11</stp>
        <tr r="K26" s="1"/>
      </tp>
      <tp t="s">
        <v>FIXED</v>
        <stp/>
        <stp>##V3_BDPV12</stp>
        <stp>9128286B Govt</stp>
        <stp>CPN_TYP</stp>
        <stp>[TREASURY.xlsx]Sheet1!R43C11</stp>
        <tr r="K43" s="1"/>
      </tp>
      <tp t="s">
        <v>FIXED</v>
        <stp/>
        <stp>##V3_BDPV12</stp>
        <stp>91282CCB Govt</stp>
        <stp>CPN_TYP</stp>
        <stp>[TREASURY.xlsx]Sheet1!R12C11</stp>
        <tr r="K12" s="1"/>
      </tp>
      <tp t="s">
        <v>FIXED</v>
        <stp/>
        <stp>##V3_BDPV12</stp>
        <stp>91282CAB Govt</stp>
        <stp>CPN_TYP</stp>
        <stp>[TREASURY.xlsx]Sheet1!R99C11</stp>
        <tr r="K99" s="1"/>
      </tp>
      <tp t="s">
        <v>NORMAL</v>
        <stp/>
        <stp>##V3_BDPV12</stp>
        <stp>91282CCV Govt</stp>
        <stp>MTY_TYP</stp>
        <stp>[TREASURY.xlsx]Sheet1!R9C6</stp>
        <tr r="F9" s="1"/>
      </tp>
      <tp t="s">
        <v>UNITED STATES</v>
        <stp/>
        <stp>##V3_BDPV12</stp>
        <stp>91282CCE Govt</stp>
        <stp>COUNTRY_FULL_NAME</stp>
        <stp>[TREASURY.xlsx]Sheet1!R77C8</stp>
        <tr r="H77" s="1"/>
      </tp>
      <tp t="s">
        <v>UNITED STATES</v>
        <stp/>
        <stp>##V3_BDPV12</stp>
        <stp>91282CCG Govt</stp>
        <stp>COUNTRY_FULL_NAME</stp>
        <stp>[TREASURY.xlsx]Sheet1!R47C8</stp>
        <tr r="H47" s="1"/>
      </tp>
      <tp t="s">
        <v>UNITED STATES</v>
        <stp/>
        <stp>##V3_BDPV12</stp>
        <stp>91282CBG Govt</stp>
        <stp>COUNTRY_FULL_NAME</stp>
        <stp>[TREASURY.xlsx]Sheet1!R57C8</stp>
        <tr r="H57" s="1"/>
      </tp>
      <tp t="s">
        <v>UNITED STATES</v>
        <stp/>
        <stp>##V3_BDPV12</stp>
        <stp>91282CAV Govt</stp>
        <stp>COUNTRY_FULL_NAME</stp>
        <stp>[TREASURY.xlsx]Sheet1!R17C8</stp>
        <tr r="H17" s="1"/>
      </tp>
      <tp t="s">
        <v>UNITED STATES</v>
        <stp/>
        <stp>##V3_BDPV12</stp>
        <stp>91282CAX Govt</stp>
        <stp>COUNTRY_FULL_NAME</stp>
        <stp>[TREASURY.xlsx]Sheet1!R67C8</stp>
        <tr r="H67" s="1"/>
      </tp>
      <tp t="s">
        <v>NORMAL</v>
        <stp/>
        <stp>##V3_BDPV12</stp>
        <stp>912810SL Govt</stp>
        <stp>MTY_TYP</stp>
        <stp>[TREASURY.xlsx]Sheet1!R40C6</stp>
        <tr r="F40" s="1"/>
      </tp>
      <tp t="s">
        <v>2/15/2050</v>
        <stp/>
        <stp>##V3_BDPV12</stp>
        <stp>912810SL Govt</stp>
        <stp>MATURITY</stp>
        <stp>[TREASURY.xlsx]Sheet1!R40C5</stp>
        <tr r="E40" s="1"/>
      </tp>
      <tp t="s">
        <v>UNITED STATES</v>
        <stp/>
        <stp>##V3_BDPV12</stp>
        <stp>912828YQ Govt</stp>
        <stp>COUNTRY_FULL_NAME</stp>
        <stp>[TREASURY.xlsx]Sheet1!R87C8</stp>
        <tr r="H87" s="1"/>
      </tp>
      <tp t="s">
        <v>UNITED STATES</v>
        <stp/>
        <stp>##V3_BDPV12</stp>
        <stp>912828X8 Govt</stp>
        <stp>COUNTRY_FULL_NAME</stp>
        <stp>[TREASURY.xlsx]Sheet1!R97C8</stp>
        <tr r="H97" s="1"/>
      </tp>
      <tp t="s">
        <v>11/15/2028</v>
        <stp/>
        <stp>##V3_BDPV12</stp>
        <stp>9128285M Govt</stp>
        <stp>MATURITY</stp>
        <stp>[TREASURY.xlsx]Sheet1!R51C5</stp>
        <tr r="E51" s="1"/>
      </tp>
      <tp t="s">
        <v>5/31/2023</v>
        <stp/>
        <stp>##V3_BDPV12</stp>
        <stp>91282CCD Govt</stp>
        <stp>MATURITY</stp>
        <stp>[TREASURY.xlsx]Sheet1!R58C5</stp>
        <tr r="E58" s="1"/>
      </tp>
      <tp t="s">
        <v>2/28/2023</v>
        <stp/>
        <stp>##V3_BDPV12</stp>
        <stp>91282CBN Govt</stp>
        <stp>MATURITY</stp>
        <stp>[TREASURY.xlsx]Sheet1!R82C5</stp>
        <tr r="E82" s="1"/>
      </tp>
      <tp t="s">
        <v>UNITED STATES</v>
        <stp/>
        <stp>##V3_BDPV12</stp>
        <stp>912810SW Govt</stp>
        <stp>COUNTRY_FULL_NAME</stp>
        <stp>[TREASURY.xlsx]Sheet1!R44C8</stp>
        <tr r="H44" s="1"/>
      </tp>
      <tp t="s">
        <v>NORMAL</v>
        <stp/>
        <stp>##V3_BDPV12</stp>
        <stp>912827W2 Govt</stp>
        <stp>MTY_TYP</stp>
        <stp>[TREASURY.xlsx]Sheet1!R767C6</stp>
        <tr r="F767" s="1"/>
      </tp>
      <tp t="s">
        <v>NORMAL</v>
        <stp/>
        <stp>##V3_BDPV12</stp>
        <stp>912828T4 Govt</stp>
        <stp>MTY_TYP</stp>
        <stp>[TREASURY.xlsx]Sheet1!R871C6</stp>
        <tr r="F871" s="1"/>
      </tp>
      <tp t="s">
        <v>NORMAL</v>
        <stp/>
        <stp>##V3_BDPV12</stp>
        <stp>912827N3 Govt</stp>
        <stp>MTY_TYP</stp>
        <stp>[TREASURY.xlsx]Sheet1!R726C6</stp>
        <tr r="F726" s="1"/>
      </tp>
      <tp t="s">
        <v>NORMAL</v>
        <stp/>
        <stp>##V3_BDPV12</stp>
        <stp>912828D4 Govt</stp>
        <stp>MTY_TYP</stp>
        <stp>[TREASURY.xlsx]Sheet1!R961C6</stp>
        <tr r="F961" s="1"/>
      </tp>
      <tp t="s">
        <v>NORMAL</v>
        <stp/>
        <stp>##V3_BDPV12</stp>
        <stp>912828F3 Govt</stp>
        <stp>MTY_TYP</stp>
        <stp>[TREASURY.xlsx]Sheet1!R406C6</stp>
        <tr r="F406" s="1"/>
      </tp>
      <tp t="s">
        <v>NORMAL</v>
        <stp/>
        <stp>##V3_BDPV12</stp>
        <stp>912827Y5 Govt</stp>
        <stp>MTY_TYP</stp>
        <stp>[TREASURY.xlsx]Sheet1!R940C6</stp>
        <tr r="F940" s="1"/>
      </tp>
      <tp t="s">
        <v>NORMAL</v>
        <stp/>
        <stp>##V3_BDPV12</stp>
        <stp>912828N5 Govt</stp>
        <stp>MTY_TYP</stp>
        <stp>[TREASURY.xlsx]Sheet1!R600C6</stp>
        <tr r="F600" s="1"/>
      </tp>
      <tp t="s">
        <v>NORMAL</v>
        <stp/>
        <stp>##V3_BDPV12</stp>
        <stp>912828D6 Govt</stp>
        <stp>MTY_TYP</stp>
        <stp>[TREASURY.xlsx]Sheet1!R613C6</stp>
        <tr r="F613" s="1"/>
      </tp>
      <tp t="s">
        <v>NORMAL</v>
        <stp/>
        <stp>##V3_BDPV12</stp>
        <stp>912828Q2 Govt</stp>
        <stp>MTY_TYP</stp>
        <stp>[TREASURY.xlsx]Sheet1!R187C6</stp>
        <tr r="F187" s="1"/>
      </tp>
      <tp t="s">
        <v>NORMAL</v>
        <stp/>
        <stp>##V3_BDPV12</stp>
        <stp>912828V7 Govt</stp>
        <stp>MTY_TYP</stp>
        <stp>[TREASURY.xlsx]Sheet1!R262C6</stp>
        <tr r="F262" s="1"/>
      </tp>
      <tp t="s">
        <v>NORMAL</v>
        <stp/>
        <stp>##V3_BDPV12</stp>
        <stp>912828G5 Govt</stp>
        <stp>MTY_TYP</stp>
        <stp>[TREASURY.xlsx]Sheet1!R230C6</stp>
        <tr r="F230" s="1"/>
      </tp>
      <tp t="s">
        <v>NORMAL</v>
        <stp/>
        <stp>##V3_BDPV12</stp>
        <stp>912828F2 Govt</stp>
        <stp>MTY_TYP</stp>
        <stp>[TREASURY.xlsx]Sheet1!R207C6</stp>
        <tr r="F207" s="1"/>
      </tp>
      <tp t="s">
        <v>NORMAL</v>
        <stp/>
        <stp>##V3_BDPV12</stp>
        <stp>912828D7 Govt</stp>
        <stp>MTY_TYP</stp>
        <stp>[TREASURY.xlsx]Sheet1!R332C6</stp>
        <tr r="F332" s="1"/>
      </tp>
      <tp t="s">
        <v>NORMAL</v>
        <stp/>
        <stp>##V3_BDPV12</stp>
        <stp>912810ST Govt</stp>
        <stp>MTY_TYP</stp>
        <stp>[TREASURY.xlsx]Sheet1!R90C6</stp>
        <tr r="F90" s="1"/>
      </tp>
      <tp t="s">
        <v>NORMAL</v>
        <stp/>
        <stp>##V3_BDPV12</stp>
        <stp>912810PU Govt</stp>
        <stp>MTY_TYP</stp>
        <stp>[TREASURY.xlsx]Sheet1!R63C6</stp>
        <tr r="F63" s="1"/>
      </tp>
      <tp t="s">
        <v>UNITED STATES</v>
        <stp/>
        <stp>##V3_BDPV12</stp>
        <stp>91282CAU Govt</stp>
        <stp>COUNTRY_FULL_NAME</stp>
        <stp>[TREASURY.xlsx]Sheet1!R102C8</stp>
        <tr r="H102" s="1"/>
      </tp>
      <tp t="s">
        <v>UNITED STATES</v>
        <stp/>
        <stp>##V3_BDPV12</stp>
        <stp>91282CAL Govt</stp>
        <stp>COUNTRY_FULL_NAME</stp>
        <stp>[TREASURY.xlsx]Sheet1!R142C8</stp>
        <tr r="H142" s="1"/>
      </tp>
      <tp t="s">
        <v>UNITED STATES</v>
        <stp/>
        <stp>##V3_BDPV12</stp>
        <stp>91282CAD Govt</stp>
        <stp>COUNTRY_FULL_NAME</stp>
        <stp>[TREASURY.xlsx]Sheet1!R132C8</stp>
        <tr r="H132" s="1"/>
      </tp>
      <tp t="s">
        <v>US912828ZG82</v>
        <stp/>
        <stp>##V3_BDPV12</stp>
        <stp>912828ZG Govt</stp>
        <stp>ID_ISIN</stp>
        <stp>[TREASURY.xlsx]Sheet1!R62C12</stp>
        <tr r="L62" s="1"/>
      </tp>
      <tp t="s">
        <v>US912828YG91</v>
        <stp/>
        <stp>##V3_BDPV12</stp>
        <stp>912828YG Govt</stp>
        <stp>ID_ISIN</stp>
        <stp>[TREASURY.xlsx]Sheet1!R69C12</stp>
        <tr r="L69" s="1"/>
      </tp>
      <tp t="s">
        <v>US91282CBG50</v>
        <stp/>
        <stp>##V3_BDPV12</stp>
        <stp>91282CBG Govt</stp>
        <stp>ID_ISIN</stp>
        <stp>[TREASURY.xlsx]Sheet1!R57C12</stp>
        <tr r="L57" s="1"/>
      </tp>
      <tp t="s">
        <v>US91282CCG42</v>
        <stp/>
        <stp>##V3_BDPV12</stp>
        <stp>91282CCG Govt</stp>
        <stp>ID_ISIN</stp>
        <stp>[TREASURY.xlsx]Sheet1!R47C12</stp>
        <tr r="L47" s="1"/>
      </tp>
      <tp t="s">
        <v>FIXED</v>
        <stp/>
        <stp>##V3_BDPV12</stp>
        <stp>912828ZC Govt</stp>
        <stp>CPN_TYP</stp>
        <stp>[TREASURY.xlsx]Sheet1!R74C11</stp>
        <tr r="K74" s="1"/>
      </tp>
      <tp t="s">
        <v>FIXED</v>
        <stp/>
        <stp>##V3_BDPV12</stp>
        <stp>91282CBC Govt</stp>
        <stp>CPN_TYP</stp>
        <stp>[TREASURY.xlsx]Sheet1!R41C11</stp>
        <tr r="K41" s="1"/>
      </tp>
      <tp t="s">
        <v>FIXED</v>
        <stp/>
        <stp>##V3_BDPV12</stp>
        <stp>91282CCC Govt</stp>
        <stp>CPN_TYP</stp>
        <stp>[TREASURY.xlsx]Sheet1!R88C11</stp>
        <tr r="K88" s="1"/>
      </tp>
      <tp t="s">
        <v>UNITED STATES</v>
        <stp/>
        <stp>##V3_BDPV12</stp>
        <stp>91282CCH Govt</stp>
        <stp>COUNTRY_FULL_NAME</stp>
        <stp>[TREASURY.xlsx]Sheet1!R36C8</stp>
        <tr r="H36" s="1"/>
      </tp>
      <tp t="s">
        <v>UNITED STATES</v>
        <stp/>
        <stp>##V3_BDPV12</stp>
        <stp>91282CCT Govt</stp>
        <stp>COUNTRY_FULL_NAME</stp>
        <stp>[TREASURY.xlsx]Sheet1!R16C8</stp>
        <tr r="H16" s="1"/>
      </tp>
      <tp t="s">
        <v>UNITED STATES</v>
        <stp/>
        <stp>##V3_BDPV12</stp>
        <stp>91282CBP Govt</stp>
        <stp>COUNTRY_FULL_NAME</stp>
        <stp>[TREASURY.xlsx]Sheet1!R86C8</stp>
        <tr r="H86" s="1"/>
      </tp>
      <tp t="s">
        <v>UNITED STATES</v>
        <stp/>
        <stp>##V3_BDPV12</stp>
        <stp>91282CAN Govt</stp>
        <stp>COUNTRY_FULL_NAME</stp>
        <stp>[TREASURY.xlsx]Sheet1!R46C8</stp>
        <tr r="H46" s="1"/>
      </tp>
      <tp t="s">
        <v>UNITED STATES</v>
        <stp/>
        <stp>##V3_BDPV12</stp>
        <stp>9128282A Govt</stp>
        <stp>COUNTRY_FULL_NAME</stp>
        <stp>[TREASURY.xlsx]Sheet1!R56C8</stp>
        <tr r="H56" s="1"/>
      </tp>
      <tp t="s">
        <v>UNITED STATES</v>
        <stp/>
        <stp>##V3_BDPV12</stp>
        <stp>912828ZL Govt</stp>
        <stp>COUNTRY_FULL_NAME</stp>
        <stp>[TREASURY.xlsx]Sheet1!R66C8</stp>
        <tr r="H66" s="1"/>
      </tp>
      <tp t="s">
        <v>UNITED STATES</v>
        <stp/>
        <stp>##V3_BDPV12</stp>
        <stp>912828YB Govt</stp>
        <stp>COUNTRY_FULL_NAME</stp>
        <stp>[TREASURY.xlsx]Sheet1!R26C8</stp>
        <tr r="H26" s="1"/>
      </tp>
      <tp t="s">
        <v>UNITED STATES</v>
        <stp/>
        <stp>##V3_BDPV12</stp>
        <stp>912828YF Govt</stp>
        <stp>COUNTRY_FULL_NAME</stp>
        <stp>[TREASURY.xlsx]Sheet1!R76C8</stp>
        <tr r="H76" s="1"/>
      </tp>
      <tp t="s">
        <v>8/15/2030</v>
        <stp/>
        <stp>##V3_BDPV12</stp>
        <stp>91282CAE Govt</stp>
        <stp>MATURITY</stp>
        <stp>[TREASURY.xlsx]Sheet1!R18C5</stp>
        <tr r="E18" s="1"/>
      </tp>
      <tp t="s">
        <v>UNITED STATES</v>
        <stp/>
        <stp>##V3_BDPV12</stp>
        <stp>912810SK Govt</stp>
        <stp>COUNTRY_FULL_NAME</stp>
        <stp>[TREASURY.xlsx]Sheet1!R95C8</stp>
        <tr r="H95" s="1"/>
      </tp>
      <tp t="s">
        <v>UNITED STATES</v>
        <stp/>
        <stp>##V3_BDPV12</stp>
        <stp>912810SP Govt</stp>
        <stp>COUNTRY_FULL_NAME</stp>
        <stp>[TREASURY.xlsx]Sheet1!R35C8</stp>
        <tr r="H35" s="1"/>
      </tp>
      <tp t="s">
        <v>UNITED STATES</v>
        <stp/>
        <stp>##V3_BDPV12</stp>
        <stp>912810SU Govt</stp>
        <stp>COUNTRY_FULL_NAME</stp>
        <stp>[TREASURY.xlsx]Sheet1!R15C8</stp>
        <tr r="H15" s="1"/>
      </tp>
      <tp t="s">
        <v>NORMAL</v>
        <stp/>
        <stp>##V3_BDPV12</stp>
        <stp>912828V3 Govt</stp>
        <stp>MTY_TYP</stp>
        <stp>[TREASURY.xlsx]Sheet1!R877C6</stp>
        <tr r="F877" s="1"/>
      </tp>
      <tp t="s">
        <v>NORMAL</v>
        <stp/>
        <stp>##V3_BDPV12</stp>
        <stp>912827J2 Govt</stp>
        <stp>MTY_TYP</stp>
        <stp>[TREASURY.xlsx]Sheet1!R706C6</stp>
        <tr r="F706" s="1"/>
      </tp>
      <tp t="s">
        <v>NORMAL</v>
        <stp/>
        <stp>##V3_BDPV12</stp>
        <stp>912827J3 Govt</stp>
        <stp>MTY_TYP</stp>
        <stp>[TREASURY.xlsx]Sheet1!R707C6</stp>
        <tr r="F707" s="1"/>
      </tp>
      <tp t="s">
        <v>NORMAL</v>
        <stp/>
        <stp>##V3_BDPV12</stp>
        <stp>912828M7 Govt</stp>
        <stp>MTY_TYP</stp>
        <stp>[TREASURY.xlsx]Sheet1!R443C6</stp>
        <tr r="F443" s="1"/>
      </tp>
      <tp t="s">
        <v>NORMAL</v>
        <stp/>
        <stp>##V3_BDPV12</stp>
        <stp>912828S6 Govt</stp>
        <stp>MTY_TYP</stp>
        <stp>[TREASURY.xlsx]Sheet1!R692C6</stp>
        <tr r="F692" s="1"/>
      </tp>
      <tp t="s">
        <v>NORMAL</v>
        <stp/>
        <stp>##V3_BDPV12</stp>
        <stp>912828T5 Govt</stp>
        <stp>MTY_TYP</stp>
        <stp>[TREASURY.xlsx]Sheet1!R631C6</stp>
        <tr r="F631" s="1"/>
      </tp>
      <tp t="s">
        <v>NORMAL</v>
        <stp/>
        <stp>##V3_BDPV12</stp>
        <stp>912828A3 Govt</stp>
        <stp>MTY_TYP</stp>
        <stp>[TREASURY.xlsx]Sheet1!R627C6</stp>
        <tr r="F627" s="1"/>
      </tp>
      <tp t="s">
        <v>NORMAL</v>
        <stp/>
        <stp>##V3_BDPV12</stp>
        <stp>912827S5 Govt</stp>
        <stp>MTY_TYP</stp>
        <stp>[TREASURY.xlsx]Sheet1!R831C6</stp>
        <tr r="F831" s="1"/>
      </tp>
      <tp t="s">
        <v>NORMAL</v>
        <stp/>
        <stp>##V3_BDPV12</stp>
        <stp>912828L5 Govt</stp>
        <stp>MTY_TYP</stp>
        <stp>[TREASURY.xlsx]Sheet1!R161C6</stp>
        <tr r="F161" s="1"/>
      </tp>
      <tp t="s">
        <v>NORMAL</v>
        <stp/>
        <stp>##V3_BDPV12</stp>
        <stp>912828G3 Govt</stp>
        <stp>MTY_TYP</stp>
        <stp>[TREASURY.xlsx]Sheet1!R137C6</stp>
        <tr r="F137" s="1"/>
      </tp>
      <tp t="s">
        <v>NORMAL</v>
        <stp/>
        <stp>##V3_BDPV12</stp>
        <stp>912828W5 Govt</stp>
        <stp>MTY_TYP</stp>
        <stp>[TREASURY.xlsx]Sheet1!R281C6</stp>
        <tr r="F281" s="1"/>
      </tp>
      <tp t="s">
        <v>NORMAL</v>
        <stp/>
        <stp>##V3_BDPV12</stp>
        <stp>912828U6 Govt</stp>
        <stp>MTY_TYP</stp>
        <stp>[TREASURY.xlsx]Sheet1!R232C6</stp>
        <tr r="F232" s="1"/>
      </tp>
      <tp t="s">
        <v>NORMAL</v>
        <stp/>
        <stp>##V3_BDPV12</stp>
        <stp>912828R7 Govt</stp>
        <stp>MTY_TYP</stp>
        <stp>[TREASURY.xlsx]Sheet1!R383C6</stp>
        <tr r="F383" s="1"/>
      </tp>
      <tp t="s">
        <v>NORMAL</v>
        <stp/>
        <stp>##V3_BDPV12</stp>
        <stp>912828Y2 Govt</stp>
        <stp>MTY_TYP</stp>
        <stp>[TREASURY.xlsx]Sheet1!R336C6</stp>
        <tr r="F336" s="1"/>
      </tp>
      <tp t="s">
        <v>NORMAL</v>
        <stp/>
        <stp>##V3_BDPV12</stp>
        <stp>912828L3 Govt</stp>
        <stp>MTY_TYP</stp>
        <stp>[TREASURY.xlsx]Sheet1!R327C6</stp>
        <tr r="F327" s="1"/>
      </tp>
      <tp t="s">
        <v>NORMAL</v>
        <stp/>
        <stp>##V3_BDPV12</stp>
        <stp>912810SY Govt</stp>
        <stp>MTY_TYP</stp>
        <stp>[TREASURY.xlsx]Sheet1!R21C6</stp>
        <tr r="F21" s="1"/>
      </tp>
      <tp t="s">
        <v>US91282CBX83</v>
        <stp/>
        <stp>##V3_BDPV12</stp>
        <stp>91282CBX Govt</stp>
        <stp>ID_ISIN</stp>
        <stp>[TREASURY.xlsx]Sheet1!R72C12</stp>
        <tr r="L72" s="1"/>
      </tp>
      <tp t="s">
        <v>US91282CAX92</v>
        <stp/>
        <stp>##V3_BDPV12</stp>
        <stp>91282CAX Govt</stp>
        <stp>ID_ISIN</stp>
        <stp>[TREASURY.xlsx]Sheet1!R67C12</stp>
        <tr r="L67" s="1"/>
      </tp>
      <tp t="s">
        <v>9128274F6</v>
        <stp/>
        <stp>##V3_BDPV12</stp>
        <stp>9128274F Govt</stp>
        <stp>ID_CUSIP</stp>
        <stp>[TREASURY.xlsx]Sheet1!R578C19</stp>
        <tr r="S578" s="1"/>
      </tp>
      <tp t="s">
        <v>9128274W9</v>
        <stp/>
        <stp>##V3_BDPV12</stp>
        <stp>9128274W Govt</stp>
        <stp>ID_CUSIP</stp>
        <stp>[TREASURY.xlsx]Sheet1!R522C19</stp>
        <tr r="S522" s="1"/>
      </tp>
      <tp t="s">
        <v>9128275Z1</v>
        <stp/>
        <stp>##V3_BDPV12</stp>
        <stp>9128275Z Govt</stp>
        <stp>ID_CUSIP</stp>
        <stp>[TREASURY.xlsx]Sheet1!R428C19</stp>
        <tr r="S428" s="1"/>
      </tp>
      <tp t="s">
        <v>9128275E8</v>
        <stp/>
        <stp>##V3_BDPV12</stp>
        <stp>9128275E Govt</stp>
        <stp>ID_CUSIP</stp>
        <stp>[TREASURY.xlsx]Sheet1!R553C19</stp>
        <tr r="S553" s="1"/>
      </tp>
      <tp t="s">
        <v>9128275F5</v>
        <stp/>
        <stp>##V3_BDPV12</stp>
        <stp>9128275F Govt</stp>
        <stp>ID_CUSIP</stp>
        <stp>[TREASURY.xlsx]Sheet1!R662C19</stp>
        <tr r="S662" s="1"/>
      </tp>
      <tp t="s">
        <v>9128275N8</v>
        <stp/>
        <stp>##V3_BDPV12</stp>
        <stp>9128275N Govt</stp>
        <stp>ID_CUSIP</stp>
        <stp>[TREASURY.xlsx]Sheet1!R674C19</stp>
        <tr r="S674" s="1"/>
      </tp>
      <tp t="s">
        <v>9128275X6</v>
        <stp/>
        <stp>##V3_BDPV12</stp>
        <stp>9128275X Govt</stp>
        <stp>ID_CUSIP</stp>
        <stp>[TREASURY.xlsx]Sheet1!R633C19</stp>
        <tr r="S633" s="1"/>
      </tp>
      <tp t="s">
        <v>9128276J6</v>
        <stp/>
        <stp>##V3_BDPV12</stp>
        <stp>9128276J Govt</stp>
        <stp>ID_CUSIP</stp>
        <stp>[TREASURY.xlsx]Sheet1!R438C19</stp>
        <tr r="S438" s="1"/>
      </tp>
      <tp t="s">
        <v>9128277K2</v>
        <stp/>
        <stp>##V3_BDPV12</stp>
        <stp>9128277K Govt</stp>
        <stp>ID_CUSIP</stp>
        <stp>[TREASURY.xlsx]Sheet1!R528C19</stp>
        <tr r="S528" s="1"/>
      </tp>
      <tp t="s">
        <v>9128276P2</v>
        <stp/>
        <stp>##V3_BDPV12</stp>
        <stp>9128276P Govt</stp>
        <stp>ID_CUSIP</stp>
        <stp>[TREASURY.xlsx]Sheet1!R441C19</stp>
        <tr r="S441" s="1"/>
      </tp>
      <tp t="s">
        <v>9128274T6</v>
        <stp/>
        <stp>##V3_BDPV12</stp>
        <stp>9128274T Govt</stp>
        <stp>ID_CUSIP</stp>
        <stp>[TREASURY.xlsx]Sheet1!R610C19</stp>
        <tr r="S610" s="1"/>
      </tp>
      <tp t="s">
        <v>9128273Y6</v>
        <stp/>
        <stp>##V3_BDPV12</stp>
        <stp>9128273Y Govt</stp>
        <stp>ID_CUSIP</stp>
        <stp>[TREASURY.xlsx]Sheet1!R607C19</stp>
        <tr r="S607" s="1"/>
      </tp>
      <tp t="s">
        <v>9128277B2</v>
        <stp/>
        <stp>##V3_BDPV12</stp>
        <stp>9128277B Govt</stp>
        <stp>ID_CUSIP</stp>
        <stp>[TREASURY.xlsx]Sheet1!R354C19</stp>
        <tr r="S354" s="1"/>
      </tp>
      <tp t="s">
        <v>9128273X8</v>
        <stp/>
        <stp>##V3_BDPV12</stp>
        <stp>9128273X Govt</stp>
        <stp>ID_CUSIP</stp>
        <stp>[TREASURY.xlsx]Sheet1!R500C19</stp>
        <tr r="S500" s="1"/>
      </tp>
      <tp t="s">
        <v>11/15/2017</v>
        <stp/>
        <stp>##V3_BDPV12</stp>
        <stp>9128283F Govt</stp>
        <stp>ISSUE_DT</stp>
        <stp>[TREASURY.xlsx]Sheet1!R65C15</stp>
        <tr r="O65" s="1"/>
      </tp>
      <tp t="s">
        <v>2/15/2018</v>
        <stp/>
        <stp>##V3_BDPV12</stp>
        <stp>9128283W Govt</stp>
        <stp>ISSUE_DT</stp>
        <stp>[TREASURY.xlsx]Sheet1!R68C15</stp>
        <tr r="O68" s="1"/>
      </tp>
      <tp t="s">
        <v>8/15/2018</v>
        <stp/>
        <stp>##V3_BDPV12</stp>
        <stp>9128284V Govt</stp>
        <stp>ISSUE_DT</stp>
        <stp>[TREASURY.xlsx]Sheet1!R23C15</stp>
        <tr r="O23" s="1"/>
      </tp>
      <tp t="s">
        <v>8/15/2016</v>
        <stp/>
        <stp>##V3_BDPV12</stp>
        <stp>9128282A Govt</stp>
        <stp>ISSUE_DT</stp>
        <stp>[TREASURY.xlsx]Sheet1!R56C15</stp>
        <tr r="O56" s="1"/>
      </tp>
      <tp t="s">
        <v>10/1/2018</v>
        <stp/>
        <stp>##V3_BDPV12</stp>
        <stp>9128285D Govt</stp>
        <stp>ISSUE_DT</stp>
        <stp>[TREASURY.xlsx]Sheet1!R54C15</stp>
        <tr r="O54" s="1"/>
      </tp>
      <tp t="s">
        <v>11/15/2018</v>
        <stp/>
        <stp>##V3_BDPV12</stp>
        <stp>9128285M Govt</stp>
        <stp>ISSUE_DT</stp>
        <stp>[TREASURY.xlsx]Sheet1!R51C15</stp>
        <tr r="O51" s="1"/>
      </tp>
      <tp t="s">
        <v>2/15/2019</v>
        <stp/>
        <stp>##V3_BDPV12</stp>
        <stp>9128286B Govt</stp>
        <stp>ISSUE_DT</stp>
        <stp>[TREASURY.xlsx]Sheet1!R43C15</stp>
        <tr r="O43" s="1"/>
      </tp>
      <tp t="s">
        <v>5/15/2019</v>
        <stp/>
        <stp>##V3_BDPV12</stp>
        <stp>9128286T Govt</stp>
        <stp>ISSUE_DT</stp>
        <stp>[TREASURY.xlsx]Sheet1!R48C15</stp>
        <tr r="O48" s="1"/>
      </tp>
      <tp t="s">
        <v>5/15/2018</v>
        <stp/>
        <stp>##V3_BDPV12</stp>
        <stp>9128284N Govt</stp>
        <stp>ISSUE_DT</stp>
        <stp>[TREASURY.xlsx]Sheet1!R71C15</stp>
        <tr r="O71" s="1"/>
      </tp>
      <tp t="s">
        <v>8/15/2017</v>
        <stp/>
        <stp>##V3_BDPV12</stp>
        <stp>9128282R Govt</stp>
        <stp>ISSUE_DT</stp>
        <stp>[TREASURY.xlsx]Sheet1!R98C15</stp>
        <tr r="O98" s="1"/>
      </tp>
      <tp t="s">
        <v>5/15/2017</v>
        <stp/>
        <stp>##V3_BDPV12</stp>
        <stp>912828X8 Govt</stp>
        <stp>ISSUE_DT</stp>
        <stp>[TREASURY.xlsx]Sheet1!R97C15</stp>
        <tr r="O97" s="1"/>
      </tp>
      <tp t="s">
        <v>9/30/2019</v>
        <stp/>
        <stp>##V3_BDPV12</stp>
        <stp>912828YJ Govt</stp>
        <stp>ISSUE_DT</stp>
        <stp>[TREASURY.xlsx]Sheet1!R80C15</stp>
        <tr r="O80" s="1"/>
      </tp>
      <tp t="s">
        <v>10/31/2019</v>
        <stp/>
        <stp>##V3_BDPV12</stp>
        <stp>912828YQ Govt</stp>
        <stp>ISSUE_DT</stp>
        <stp>[TREASURY.xlsx]Sheet1!R87C15</stp>
        <tr r="O87" s="1"/>
      </tp>
      <tp t="s">
        <v>1/31/2020</v>
        <stp/>
        <stp>##V3_BDPV12</stp>
        <stp>912828Z5 Govt</stp>
        <stp>ISSUE_DT</stp>
        <stp>[TREASURY.xlsx]Sheet1!R83C15</stp>
        <tr r="O83" s="1"/>
      </tp>
      <tp t="s">
        <v>6/1/2020</v>
        <stp/>
        <stp>##V3_BDPV12</stp>
        <stp>912828ZT Govt</stp>
        <stp>ISSUE_DT</stp>
        <stp>[TREASURY.xlsx]Sheet1!R85C15</stp>
        <tr r="O85" s="1"/>
      </tp>
      <tp t="s">
        <v>3/31/2020</v>
        <stp/>
        <stp>##V3_BDPV12</stp>
        <stp>912828ZF Govt</stp>
        <stp>ISSUE_DT</stp>
        <stp>[TREASURY.xlsx]Sheet1!R61C15</stp>
        <tr r="O61" s="1"/>
      </tp>
      <tp t="s">
        <v>3/31/2020</v>
        <stp/>
        <stp>##V3_BDPV12</stp>
        <stp>912828ZG Govt</stp>
        <stp>ISSUE_DT</stp>
        <stp>[TREASURY.xlsx]Sheet1!R62C15</stp>
        <tr r="O62" s="1"/>
      </tp>
      <tp t="s">
        <v>4/30/2020</v>
        <stp/>
        <stp>##V3_BDPV12</stp>
        <stp>912828ZL Govt</stp>
        <stp>ISSUE_DT</stp>
        <stp>[TREASURY.xlsx]Sheet1!R66C15</stp>
        <tr r="O66" s="1"/>
      </tp>
      <tp t="s">
        <v>11/15/2016</v>
        <stp/>
        <stp>##V3_BDPV12</stp>
        <stp>912828U2 Govt</stp>
        <stp>ISSUE_DT</stp>
        <stp>[TREASURY.xlsx]Sheet1!R84C15</stp>
        <tr r="O84" s="1"/>
      </tp>
      <tp t="s">
        <v>3/2/2020</v>
        <stp/>
        <stp>##V3_BDPV12</stp>
        <stp>912828ZC Govt</stp>
        <stp>ISSUE_DT</stp>
        <stp>[TREASURY.xlsx]Sheet1!R74C15</stp>
        <tr r="O74" s="1"/>
      </tp>
      <tp t="s">
        <v>9/16/2019</v>
        <stp/>
        <stp>##V3_BDPV12</stp>
        <stp>912828YF Govt</stp>
        <stp>ISSUE_DT</stp>
        <stp>[TREASURY.xlsx]Sheet1!R76C15</stp>
        <tr r="O76" s="1"/>
      </tp>
      <tp t="s">
        <v>9/30/2019</v>
        <stp/>
        <stp>##V3_BDPV12</stp>
        <stp>912828YG Govt</stp>
        <stp>ISSUE_DT</stp>
        <stp>[TREASURY.xlsx]Sheet1!R69C15</stp>
        <tr r="O69" s="1"/>
      </tp>
      <tp t="s">
        <v>2/18/2020</v>
        <stp/>
        <stp>##V3_BDPV12</stp>
        <stp>912828Z9 Govt</stp>
        <stp>ISSUE_DT</stp>
        <stp>[TREASURY.xlsx]Sheet1!R25C15</stp>
        <tr r="O25" s="1"/>
      </tp>
      <tp t="s">
        <v>2/16/2016</v>
        <stp/>
        <stp>##V3_BDPV12</stp>
        <stp>912828P4 Govt</stp>
        <stp>ISSUE_DT</stp>
        <stp>[TREASURY.xlsx]Sheet1!R91C15</stp>
        <tr r="O91" s="1"/>
      </tp>
      <tp t="s">
        <v>5/15/2020</v>
        <stp/>
        <stp>##V3_BDPV12</stp>
        <stp>912828ZQ Govt</stp>
        <stp>ISSUE_DT</stp>
        <stp>[TREASURY.xlsx]Sheet1!R31C15</stp>
        <tr r="O31" s="1"/>
      </tp>
      <tp t="s">
        <v>11/15/2019</v>
        <stp/>
        <stp>##V3_BDPV12</stp>
        <stp>912828YS Govt</stp>
        <stp>ISSUE_DT</stp>
        <stp>[TREASURY.xlsx]Sheet1!R38C15</stp>
        <tr r="O38" s="1"/>
      </tp>
      <tp t="s">
        <v>8/15/2019</v>
        <stp/>
        <stp>##V3_BDPV12</stp>
        <stp>912828YB Govt</stp>
        <stp>ISSUE_DT</stp>
        <stp>[TREASURY.xlsx]Sheet1!R26C15</stp>
        <tr r="O26" s="1"/>
      </tp>
      <tp t="s">
        <v>2/17/2015</v>
        <stp/>
        <stp>##V3_BDPV12</stp>
        <stp>912828J2 Govt</stp>
        <stp>ISSUE_DT</stp>
        <stp>[TREASURY.xlsx]Sheet1!R94C15</stp>
        <tr r="O94" s="1"/>
      </tp>
      <tp t="s">
        <v>8/17/2015</v>
        <stp/>
        <stp>##V3_BDPV12</stp>
        <stp>912828K7 Govt</stp>
        <stp>ISSUE_DT</stp>
        <stp>[TREASURY.xlsx]Sheet1!R81C15</stp>
        <tr r="O81" s="1"/>
      </tp>
      <tp t="s">
        <v>8/15/2014</v>
        <stp/>
        <stp>##V3_BDPV12</stp>
        <stp>912828D5 Govt</stp>
        <stp>ISSUE_DT</stp>
        <stp>[TREASURY.xlsx]Sheet1!R70C15</stp>
        <tr r="O70" s="1"/>
      </tp>
      <tp t="s">
        <v>912827F23</v>
        <stp/>
        <stp>##V3_BDPV12</stp>
        <stp>912827F2 Govt</stp>
        <stp>ID_CUSIP</stp>
        <stp>[TREASURY.xlsx]Sheet1!R663C19</stp>
        <tr r="S663" s="1"/>
      </tp>
      <tp t="s">
        <v>912827E57</v>
        <stp/>
        <stp>##V3_BDPV12</stp>
        <stp>912827E5 Govt</stp>
        <stp>ID_CUSIP</stp>
        <stp>[TREASURY.xlsx]Sheet1!R579C19</stp>
        <tr r="S579" s="1"/>
      </tp>
      <tp t="s">
        <v>912827G30</v>
        <stp/>
        <stp>##V3_BDPV12</stp>
        <stp>912827G3 Govt</stp>
        <stp>ID_CUSIP</stp>
        <stp>[TREASURY.xlsx]Sheet1!R703C19</stp>
        <tr r="S703" s="1"/>
      </tp>
      <tp t="s">
        <v>912827E73</v>
        <stp/>
        <stp>##V3_BDPV12</stp>
        <stp>912827E7 Govt</stp>
        <stp>ID_CUSIP</stp>
        <stp>[TREASURY.xlsx]Sheet1!R590C19</stp>
        <tr r="S590" s="1"/>
      </tp>
      <tp t="s">
        <v>912827D66</v>
        <stp/>
        <stp>##V3_BDPV12</stp>
        <stp>912827D6 Govt</stp>
        <stp>ID_CUSIP</stp>
        <stp>[TREASURY.xlsx]Sheet1!R700C19</stp>
        <tr r="S700" s="1"/>
      </tp>
      <tp t="s">
        <v>912827D74</v>
        <stp/>
        <stp>##V3_BDPV12</stp>
        <stp>912827D7 Govt</stp>
        <stp>ID_CUSIP</stp>
        <stp>[TREASURY.xlsx]Sheet1!R701C19</stp>
        <tr r="S701" s="1"/>
      </tp>
      <tp t="s">
        <v>912827D90</v>
        <stp/>
        <stp>##V3_BDPV12</stp>
        <stp>912827D9 Govt</stp>
        <stp>ID_CUSIP</stp>
        <stp>[TREASURY.xlsx]Sheet1!R702C19</stp>
        <tr r="S702" s="1"/>
      </tp>
      <tp t="s">
        <v>912827KJ0</v>
        <stp/>
        <stp>##V3_BDPV12</stp>
        <stp>912827KJ Govt</stp>
        <stp>ID_CUSIP</stp>
        <stp>[TREASURY.xlsx]Sheet1!R884C19</stp>
        <tr r="S884" s="1"/>
      </tp>
      <tp t="s">
        <v>912827KP6</v>
        <stp/>
        <stp>##V3_BDPV12</stp>
        <stp>912827KP Govt</stp>
        <stp>ID_CUSIP</stp>
        <stp>[TREASURY.xlsx]Sheet1!R885C19</stp>
        <tr r="S885" s="1"/>
      </tp>
      <tp t="s">
        <v>8/15/2046</v>
        <stp/>
        <stp>##V3_BDPV12</stp>
        <stp>912810RT Govt</stp>
        <stp>MATURITY</stp>
        <stp>[TREASURY.xlsx]Sheet1!R96C5</stp>
        <tr r="E96" s="1"/>
      </tp>
      <tp t="s">
        <v>6/1/2021</v>
        <stp/>
        <stp>##V3_BDPV12</stp>
        <stp>91282CCE Govt</stp>
        <stp>ISSUE_DT</stp>
        <stp>[TREASURY.xlsx]Sheet1!R77C15</stp>
        <tr r="O77" s="1"/>
      </tp>
      <tp t="s">
        <v>8/31/2020</v>
        <stp/>
        <stp>##V3_BDPV12</stp>
        <stp>91282CAJ Govt</stp>
        <stp>ISSUE_DT</stp>
        <stp>[TREASURY.xlsx]Sheet1!R49C15</stp>
        <tr r="O49" s="1"/>
      </tp>
      <tp t="s">
        <v>9/30/2021</v>
        <stp/>
        <stp>##V3_BDPV12</stp>
        <stp>91282CDA Govt</stp>
        <stp>ISSUE_DT</stp>
        <stp>[TREASURY.xlsx]Sheet1!R11C15</stp>
        <tr r="O11" s="1"/>
      </tp>
      <tp t="s">
        <v>9/30/2020</v>
        <stp/>
        <stp>##V3_BDPV12</stp>
        <stp>91282CAM Govt</stp>
        <stp>ISSUE_DT</stp>
        <stp>[TREASURY.xlsx]Sheet1!R42C15</stp>
        <tr r="O42" s="1"/>
      </tp>
      <tp t="s">
        <v>9/30/2020</v>
        <stp/>
        <stp>##V3_BDPV12</stp>
        <stp>91282CAN Govt</stp>
        <stp>ISSUE_DT</stp>
        <stp>[TREASURY.xlsx]Sheet1!R46C15</stp>
        <tr r="O46" s="1"/>
      </tp>
      <tp t="s">
        <v>12/15/2020</v>
        <stp/>
        <stp>##V3_BDPV12</stp>
        <stp>91282CBA Govt</stp>
        <stp>ISSUE_DT</stp>
        <stp>[TREASURY.xlsx]Sheet1!R78C15</stp>
        <tr r="O78" s="1"/>
      </tp>
      <tp t="s">
        <v>3/31/2021</v>
        <stp/>
        <stp>##V3_BDPV12</stp>
        <stp>91282CBS Govt</stp>
        <stp>ISSUE_DT</stp>
        <stp>[TREASURY.xlsx]Sheet1!R75C15</stp>
        <tr r="O75" s="1"/>
      </tp>
      <tp t="s">
        <v>11/30/2020</v>
        <stp/>
        <stp>##V3_BDPV12</stp>
        <stp>91282CAZ Govt</stp>
        <stp>ISSUE_DT</stp>
        <stp>[TREASURY.xlsx]Sheet1!R45C15</stp>
        <tr r="O45" s="1"/>
      </tp>
      <tp t="s">
        <v>4/30/2021</v>
        <stp/>
        <stp>##V3_BDPV12</stp>
        <stp>91282CBX Govt</stp>
        <stp>ISSUE_DT</stp>
        <stp>[TREASURY.xlsx]Sheet1!R72C15</stp>
        <tr r="O72" s="1"/>
      </tp>
      <tp t="s">
        <v>12/31/2020</v>
        <stp/>
        <stp>##V3_BDPV12</stp>
        <stp>91282CBC Govt</stp>
        <stp>ISSUE_DT</stp>
        <stp>[TREASURY.xlsx]Sheet1!R41C15</stp>
        <tr r="O41" s="1"/>
      </tp>
      <tp t="s">
        <v>6/1/2021</v>
        <stp/>
        <stp>##V3_BDPV12</stp>
        <stp>91282CCD Govt</stp>
        <stp>ISSUE_DT</stp>
        <stp>[TREASURY.xlsx]Sheet1!R58C15</stp>
        <tr r="O58" s="1"/>
      </tp>
      <tp t="s">
        <v>12/31/2020</v>
        <stp/>
        <stp>##V3_BDPV12</stp>
        <stp>91282CBD Govt</stp>
        <stp>ISSUE_DT</stp>
        <stp>[TREASURY.xlsx]Sheet1!R50C15</stp>
        <tr r="O50" s="1"/>
      </tp>
      <tp t="s">
        <v>2/1/2021</v>
        <stp/>
        <stp>##V3_BDPV12</stp>
        <stp>91282CBG Govt</stp>
        <stp>ISSUE_DT</stp>
        <stp>[TREASURY.xlsx]Sheet1!R57C15</stp>
        <tr r="O57" s="1"/>
      </tp>
      <tp t="s">
        <v>6/15/2021</v>
        <stp/>
        <stp>##V3_BDPV12</stp>
        <stp>91282CCG Govt</stp>
        <stp>ISSUE_DT</stp>
        <stp>[TREASURY.xlsx]Sheet1!R47C15</stp>
        <tr r="O47" s="1"/>
      </tp>
      <tp t="s">
        <v>2/1/2021</v>
        <stp/>
        <stp>##V3_BDPV12</stp>
        <stp>91282CBH Govt</stp>
        <stp>ISSUE_DT</stp>
        <stp>[TREASURY.xlsx]Sheet1!R59C15</stp>
        <tr r="O59" s="1"/>
      </tp>
      <tp t="s">
        <v>9/15/2020</v>
        <stp/>
        <stp>##V3_BDPV12</stp>
        <stp>91282CAK Govt</stp>
        <stp>ISSUE_DT</stp>
        <stp>[TREASURY.xlsx]Sheet1!R60C15</stp>
        <tr r="O60" s="1"/>
      </tp>
      <tp t="s">
        <v>11/2/2020</v>
        <stp/>
        <stp>##V3_BDPV12</stp>
        <stp>91282CAR Govt</stp>
        <stp>ISSUE_DT</stp>
        <stp>[TREASURY.xlsx]Sheet1!R64C15</stp>
        <tr r="O64" s="1"/>
      </tp>
      <tp t="s">
        <v>3/31/2021</v>
        <stp/>
        <stp>##V3_BDPV12</stp>
        <stp>91282CBT Govt</stp>
        <stp>ISSUE_DT</stp>
        <stp>[TREASURY.xlsx]Sheet1!R52C15</stp>
        <tr r="O52" s="1"/>
      </tp>
      <tp t="s">
        <v>3/31/2021</v>
        <stp/>
        <stp>##V3_BDPV12</stp>
        <stp>91282CBU Govt</stp>
        <stp>ISSUE_DT</stp>
        <stp>[TREASURY.xlsx]Sheet1!R53C15</stp>
        <tr r="O53" s="1"/>
      </tp>
      <tp t="s">
        <v>3/15/2021</v>
        <stp/>
        <stp>##V3_BDPV12</stp>
        <stp>91282CBR Govt</stp>
        <stp>ISSUE_DT</stp>
        <stp>[TREASURY.xlsx]Sheet1!R55C15</stp>
        <tr r="O55" s="1"/>
      </tp>
      <tp t="s">
        <v>11/30/2020</v>
        <stp/>
        <stp>##V3_BDPV12</stp>
        <stp>91282CAX Govt</stp>
        <stp>ISSUE_DT</stp>
        <stp>[TREASURY.xlsx]Sheet1!R67C15</stp>
        <tr r="O67" s="1"/>
      </tp>
      <tp t="s">
        <v>6/1/2021</v>
        <stp/>
        <stp>##V3_BDPV12</stp>
        <stp>91282CCF Govt</stp>
        <stp>ISSUE_DT</stp>
        <stp>[TREASURY.xlsx]Sheet1!R34C15</stp>
        <tr r="O34" s="1"/>
      </tp>
      <tp t="s">
        <v>6/30/2021</v>
        <stp/>
        <stp>##V3_BDPV12</stp>
        <stp>91282CCH Govt</stp>
        <stp>ISSUE_DT</stp>
        <stp>[TREASURY.xlsx]Sheet1!R36C15</stp>
        <tr r="O36" s="1"/>
      </tp>
      <tp t="s">
        <v>7/15/2021</v>
        <stp/>
        <stp>##V3_BDPV12</stp>
        <stp>91282CCL Govt</stp>
        <stp>ISSUE_DT</stp>
        <stp>[TREASURY.xlsx]Sheet1!R32C15</stp>
        <tr r="O32" s="1"/>
      </tp>
      <tp t="s">
        <v>8/17/2020</v>
        <stp/>
        <stp>##V3_BDPV12</stp>
        <stp>91282CAE Govt</stp>
        <stp>ISSUE_DT</stp>
        <stp>[TREASURY.xlsx]Sheet1!R18C15</stp>
        <tr r="O18" s="1"/>
      </tp>
      <tp t="s">
        <v>6/30/2021</v>
        <stp/>
        <stp>##V3_BDPV12</stp>
        <stp>91282CCK Govt</stp>
        <stp>ISSUE_DT</stp>
        <stp>[TREASURY.xlsx]Sheet1!R33C15</stp>
        <tr r="O33" s="1"/>
      </tp>
      <tp t="s">
        <v>11/16/2020</v>
        <stp/>
        <stp>##V3_BDPV12</stp>
        <stp>91282CAV Govt</stp>
        <stp>ISSUE_DT</stp>
        <stp>[TREASURY.xlsx]Sheet1!R17C15</stp>
        <tr r="O17" s="1"/>
      </tp>
      <tp t="s">
        <v>4/30/2021</v>
        <stp/>
        <stp>##V3_BDPV12</stp>
        <stp>91282CBW Govt</stp>
        <stp>ISSUE_DT</stp>
        <stp>[TREASURY.xlsx]Sheet1!R29C15</stp>
        <tr r="O29" s="1"/>
      </tp>
      <tp t="s">
        <v>8/2/2021</v>
        <stp/>
        <stp>##V3_BDPV12</stp>
        <stp>91282CCN Govt</stp>
        <stp>ISSUE_DT</stp>
        <stp>[TREASURY.xlsx]Sheet1!R24C15</stp>
        <tr r="O24" s="1"/>
      </tp>
      <tp t="s">
        <v>6/30/2021</v>
        <stp/>
        <stp>##V3_BDPV12</stp>
        <stp>91282CCJ Govt</stp>
        <stp>ISSUE_DT</stp>
        <stp>[TREASURY.xlsx]Sheet1!R22C15</stp>
        <tr r="O22" s="1"/>
      </tp>
      <tp t="s">
        <v>8/2/2021</v>
        <stp/>
        <stp>##V3_BDPV12</stp>
        <stp>91282CCR Govt</stp>
        <stp>ISSUE_DT</stp>
        <stp>[TREASURY.xlsx]Sheet1!R20C15</stp>
        <tr r="O20" s="1"/>
      </tp>
      <tp t="s">
        <v>3/1/2021</v>
        <stp/>
        <stp>##V3_BDPV12</stp>
        <stp>91282CBQ Govt</stp>
        <stp>ISSUE_DT</stp>
        <stp>[TREASURY.xlsx]Sheet1!R30C15</stp>
        <tr r="O30" s="1"/>
      </tp>
      <tp t="s">
        <v>5/17/2021</v>
        <stp/>
        <stp>##V3_BDPV12</stp>
        <stp>91282CCB Govt</stp>
        <stp>ISSUE_DT</stp>
        <stp>[TREASURY.xlsx]Sheet1!R12C15</stp>
        <tr r="O12" s="1"/>
      </tp>
      <tp t="s">
        <v>8/16/2021</v>
        <stp/>
        <stp>##V3_BDPV12</stp>
        <stp>91282CCT Govt</stp>
        <stp>ISSUE_DT</stp>
        <stp>[TREASURY.xlsx]Sheet1!R16C15</stp>
        <tr r="O16" s="1"/>
      </tp>
      <tp t="s">
        <v>11/2/2020</v>
        <stp/>
        <stp>##V3_BDPV12</stp>
        <stp>91282CAT Govt</stp>
        <stp>ISSUE_DT</stp>
        <stp>[TREASURY.xlsx]Sheet1!R39C15</stp>
        <tr r="O39" s="1"/>
      </tp>
      <tp t="s">
        <v>9/30/2021</v>
        <stp/>
        <stp>##V3_BDPV12</stp>
        <stp>91282CCY Govt</stp>
        <stp>ISSUE_DT</stp>
        <stp>[TREASURY.xlsx]Sheet1!R13C15</stp>
        <tr r="O13" s="1"/>
      </tp>
      <tp t="s">
        <v>8/2/2021</v>
        <stp/>
        <stp>##V3_BDPV12</stp>
        <stp>91282CCP Govt</stp>
        <stp>ISSUE_DT</stp>
        <stp>[TREASURY.xlsx]Sheet1!R19C15</stp>
        <tr r="O19" s="1"/>
      </tp>
      <tp t="s">
        <v>2/16/2021</v>
        <stp/>
        <stp>##V3_BDPV12</stp>
        <stp>91282CBL Govt</stp>
        <stp>ISSUE_DT</stp>
        <stp>[TREASURY.xlsx]Sheet1!R14C15</stp>
        <tr r="O14" s="1"/>
      </tp>
      <tp t="s">
        <v>7/31/2020</v>
        <stp/>
        <stp>##V3_BDPV12</stp>
        <stp>91282CAB Govt</stp>
        <stp>ISSUE_DT</stp>
        <stp>[TREASURY.xlsx]Sheet1!R99C15</stp>
        <tr r="O99" s="1"/>
      </tp>
      <tp t="s">
        <v>3/1/2021</v>
        <stp/>
        <stp>##V3_BDPV12</stp>
        <stp>91282CBN Govt</stp>
        <stp>ISSUE_DT</stp>
        <stp>[TREASURY.xlsx]Sheet1!R82C15</stp>
        <tr r="O82" s="1"/>
      </tp>
      <tp t="s">
        <v>3/1/2021</v>
        <stp/>
        <stp>##V3_BDPV12</stp>
        <stp>91282CBP Govt</stp>
        <stp>ISSUE_DT</stp>
        <stp>[TREASURY.xlsx]Sheet1!R86C15</stp>
        <tr r="O86" s="1"/>
      </tp>
      <tp t="s">
        <v>4/15/2021</v>
        <stp/>
        <stp>##V3_BDPV12</stp>
        <stp>91282CBV Govt</stp>
        <stp>ISSUE_DT</stp>
        <stp>[TREASURY.xlsx]Sheet1!R89C15</stp>
        <tr r="O89" s="1"/>
      </tp>
      <tp t="s">
        <v>5/17/2021</v>
        <stp/>
        <stp>##V3_BDPV12</stp>
        <stp>91282CCC Govt</stp>
        <stp>ISSUE_DT</stp>
        <stp>[TREASURY.xlsx]Sheet1!R88C15</stp>
        <tr r="O88" s="1"/>
      </tp>
      <tp t="s">
        <v>912827MK5</v>
        <stp/>
        <stp>##V3_BDPV12</stp>
        <stp>912827MK Govt</stp>
        <stp>ID_CUSIP</stp>
        <stp>[TREASURY.xlsx]Sheet1!R898C19</stp>
        <tr r="S898" s="1"/>
      </tp>
      <tp t="s">
        <v>912827MJ8</v>
        <stp/>
        <stp>##V3_BDPV12</stp>
        <stp>912827MJ Govt</stp>
        <stp>ID_CUSIP</stp>
        <stp>[TREASURY.xlsx]Sheet1!R897C19</stp>
        <tr r="S897" s="1"/>
      </tp>
      <tp t="s">
        <v>912827ME9</v>
        <stp/>
        <stp>##V3_BDPV12</stp>
        <stp>912827ME Govt</stp>
        <stp>ID_CUSIP</stp>
        <stp>[TREASURY.xlsx]Sheet1!R895C19</stp>
        <tr r="S895" s="1"/>
      </tp>
      <tp t="s">
        <v>912827MG4</v>
        <stp/>
        <stp>##V3_BDPV12</stp>
        <stp>912827MG Govt</stp>
        <stp>ID_CUSIP</stp>
        <stp>[TREASURY.xlsx]Sheet1!R896C19</stp>
        <tr r="S896" s="1"/>
      </tp>
      <tp t="s">
        <v>912827MP4</v>
        <stp/>
        <stp>##V3_BDPV12</stp>
        <stp>912827MP Govt</stp>
        <stp>ID_CUSIP</stp>
        <stp>[TREASURY.xlsx]Sheet1!R899C19</stp>
        <tr r="S899" s="1"/>
      </tp>
      <tp t="s">
        <v>912827L59</v>
        <stp/>
        <stp>##V3_BDPV12</stp>
        <stp>912827L5 Govt</stp>
        <stp>ID_CUSIP</stp>
        <stp>[TREASURY.xlsx]Sheet1!R886C19</stp>
        <tr r="S886" s="1"/>
      </tp>
      <tp t="s">
        <v>912827LL4</v>
        <stp/>
        <stp>##V3_BDPV12</stp>
        <stp>912827LL Govt</stp>
        <stp>ID_CUSIP</stp>
        <stp>[TREASURY.xlsx]Sheet1!R891C19</stp>
        <tr r="S891" s="1"/>
      </tp>
      <tp t="s">
        <v>912827LJ9</v>
        <stp/>
        <stp>##V3_BDPV12</stp>
        <stp>912827LJ Govt</stp>
        <stp>ID_CUSIP</stp>
        <stp>[TREASURY.xlsx]Sheet1!R890C19</stp>
        <tr r="S890" s="1"/>
      </tp>
      <tp t="s">
        <v>912827LE0</v>
        <stp/>
        <stp>##V3_BDPV12</stp>
        <stp>912827LE Govt</stp>
        <stp>ID_CUSIP</stp>
        <stp>[TREASURY.xlsx]Sheet1!R889C19</stp>
        <tr r="S889" s="1"/>
      </tp>
      <tp t="s">
        <v>912827LA8</v>
        <stp/>
        <stp>##V3_BDPV12</stp>
        <stp>912827LA Govt</stp>
        <stp>ID_CUSIP</stp>
        <stp>[TREASURY.xlsx]Sheet1!R887C19</stp>
        <tr r="S887" s="1"/>
      </tp>
      <tp t="s">
        <v>912827LC4</v>
        <stp/>
        <stp>##V3_BDPV12</stp>
        <stp>912827LC Govt</stp>
        <stp>ID_CUSIP</stp>
        <stp>[TREASURY.xlsx]Sheet1!R888C19</stp>
        <tr r="S888" s="1"/>
      </tp>
      <tp t="s">
        <v>912827LY6</v>
        <stp/>
        <stp>##V3_BDPV12</stp>
        <stp>912827LY Govt</stp>
        <stp>ID_CUSIP</stp>
        <stp>[TREASURY.xlsx]Sheet1!R894C19</stp>
        <tr r="S894" s="1"/>
      </tp>
      <tp t="s">
        <v>912827LX8</v>
        <stp/>
        <stp>##V3_BDPV12</stp>
        <stp>912827LX Govt</stp>
        <stp>ID_CUSIP</stp>
        <stp>[TREASURY.xlsx]Sheet1!R893C19</stp>
        <tr r="S893" s="1"/>
      </tp>
      <tp t="s">
        <v>912827LU4</v>
        <stp/>
        <stp>##V3_BDPV12</stp>
        <stp>912827LU Govt</stp>
        <stp>ID_CUSIP</stp>
        <stp>[TREASURY.xlsx]Sheet1!R892C19</stp>
        <tr r="S892" s="1"/>
      </tp>
      <tp t="s">
        <v>912827N73</v>
        <stp/>
        <stp>##V3_BDPV12</stp>
        <stp>912827N7 Govt</stp>
        <stp>ID_CUSIP</stp>
        <stp>[TREASURY.xlsx]Sheet1!R900C19</stp>
        <tr r="S900" s="1"/>
      </tp>
      <tp t="s">
        <v>912827NL2</v>
        <stp/>
        <stp>##V3_BDPV12</stp>
        <stp>912827NL Govt</stp>
        <stp>ID_CUSIP</stp>
        <stp>[TREASURY.xlsx]Sheet1!R902C19</stp>
        <tr r="S902" s="1"/>
      </tp>
      <tp t="s">
        <v>912827NK4</v>
        <stp/>
        <stp>##V3_BDPV12</stp>
        <stp>912827NK Govt</stp>
        <stp>ID_CUSIP</stp>
        <stp>[TREASURY.xlsx]Sheet1!R901C19</stp>
        <tr r="S901" s="1"/>
      </tp>
      <tp t="s">
        <v>7/31/2028</v>
        <stp/>
        <stp>##V3_BDPV12</stp>
        <stp>91282CCR Govt</stp>
        <stp>MATURITY</stp>
        <stp>[TREASURY.xlsx]Sheet1!R20C5</stp>
        <tr r="E20" s="1"/>
      </tp>
      <tp t="s">
        <v>8/15/2024</v>
        <stp/>
        <stp>##V3_BDPV12</stp>
        <stp>91282CCT Govt</stp>
        <stp>MATURITY</stp>
        <stp>[TREASURY.xlsx]Sheet1!R16C5</stp>
        <tr r="E16" s="1"/>
      </tp>
      <tp t="s">
        <v>912827N65</v>
        <stp/>
        <stp>##V3_BDPV12</stp>
        <stp>912827N6 Govt</stp>
        <stp>ID_CUSIP</stp>
        <stp>[TREASURY.xlsx]Sheet1!R728C19</stp>
        <tr r="S728" s="1"/>
      </tp>
      <tp t="s">
        <v>912827N57</v>
        <stp/>
        <stp>##V3_BDPV12</stp>
        <stp>912827N5 Govt</stp>
        <stp>ID_CUSIP</stp>
        <stp>[TREASURY.xlsx]Sheet1!R727C19</stp>
        <tr r="S727" s="1"/>
      </tp>
      <tp t="s">
        <v>912827N32</v>
        <stp/>
        <stp>##V3_BDPV12</stp>
        <stp>912827N3 Govt</stp>
        <stp>ID_CUSIP</stp>
        <stp>[TREASURY.xlsx]Sheet1!R726C19</stp>
        <tr r="S726" s="1"/>
      </tp>
      <tp t="s">
        <v>912827N81</v>
        <stp/>
        <stp>##V3_BDPV12</stp>
        <stp>912827N8 Govt</stp>
        <stp>ID_CUSIP</stp>
        <stp>[TREASURY.xlsx]Sheet1!R729C19</stp>
        <tr r="S729" s="1"/>
      </tp>
      <tp t="s">
        <v>912827ND0</v>
        <stp/>
        <stp>##V3_BDPV12</stp>
        <stp>912827ND Govt</stp>
        <stp>ID_CUSIP</stp>
        <stp>[TREASURY.xlsx]Sheet1!R731C19</stp>
        <tr r="S731" s="1"/>
      </tp>
      <tp t="s">
        <v>912827NC2</v>
        <stp/>
        <stp>##V3_BDPV12</stp>
        <stp>912827NC Govt</stp>
        <stp>ID_CUSIP</stp>
        <stp>[TREASURY.xlsx]Sheet1!R730C19</stp>
        <tr r="S730" s="1"/>
      </tp>
      <tp t="s">
        <v>912827NM0</v>
        <stp/>
        <stp>##V3_BDPV12</stp>
        <stp>912827NM Govt</stp>
        <stp>ID_CUSIP</stp>
        <stp>[TREASURY.xlsx]Sheet1!R732C19</stp>
        <tr r="S732" s="1"/>
      </tp>
      <tp t="s">
        <v>912827NV0</v>
        <stp/>
        <stp>##V3_BDPV12</stp>
        <stp>912827NV Govt</stp>
        <stp>ID_CUSIP</stp>
        <stp>[TREASURY.xlsx]Sheet1!R734C19</stp>
        <tr r="S734" s="1"/>
      </tp>
      <tp t="s">
        <v>912827NP3</v>
        <stp/>
        <stp>##V3_BDPV12</stp>
        <stp>912827NP Govt</stp>
        <stp>ID_CUSIP</stp>
        <stp>[TREASURY.xlsx]Sheet1!R733C19</stp>
        <tr r="S733" s="1"/>
      </tp>
      <tp t="s">
        <v>912827MH2</v>
        <stp/>
        <stp>##V3_BDPV12</stp>
        <stp>912827MH Govt</stp>
        <stp>ID_CUSIP</stp>
        <stp>[TREASURY.xlsx]Sheet1!R544C19</stp>
        <tr r="S544" s="1"/>
      </tp>
      <tp t="s">
        <v>912827KW1</v>
        <stp/>
        <stp>##V3_BDPV12</stp>
        <stp>912827KW Govt</stp>
        <stp>ID_CUSIP</stp>
        <stp>[TREASURY.xlsx]Sheet1!R392C19</stp>
        <tr r="S392" s="1"/>
      </tp>
      <tp t="s">
        <v>912827L91</v>
        <stp/>
        <stp>##V3_BDPV12</stp>
        <stp>912827L9 Govt</stp>
        <stp>ID_CUSIP</stp>
        <stp>[TREASURY.xlsx]Sheet1!R714C19</stp>
        <tr r="S714" s="1"/>
      </tp>
      <tp t="s">
        <v>912827LM2</v>
        <stp/>
        <stp>##V3_BDPV12</stp>
        <stp>912827LM Govt</stp>
        <stp>ID_CUSIP</stp>
        <stp>[TREASURY.xlsx]Sheet1!R715C19</stp>
        <tr r="S715" s="1"/>
      </tp>
      <tp t="s">
        <v>912827LN0</v>
        <stp/>
        <stp>##V3_BDPV12</stp>
        <stp>912827LN Govt</stp>
        <stp>ID_CUSIP</stp>
        <stp>[TREASURY.xlsx]Sheet1!R716C19</stp>
        <tr r="S716" s="1"/>
      </tp>
      <tp t="s">
        <v>912827LV2</v>
        <stp/>
        <stp>##V3_BDPV12</stp>
        <stp>912827LV Govt</stp>
        <stp>ID_CUSIP</stp>
        <stp>[TREASURY.xlsx]Sheet1!R717C19</stp>
        <tr r="S717" s="1"/>
      </tp>
      <tp t="s">
        <v>912827M58</v>
        <stp/>
        <stp>##V3_BDPV12</stp>
        <stp>912827M5 Govt</stp>
        <stp>ID_CUSIP</stp>
        <stp>[TREASURY.xlsx]Sheet1!R718C19</stp>
        <tr r="S718" s="1"/>
      </tp>
      <tp t="s">
        <v>912827M66</v>
        <stp/>
        <stp>##V3_BDPV12</stp>
        <stp>912827M6 Govt</stp>
        <stp>ID_CUSIP</stp>
        <stp>[TREASURY.xlsx]Sheet1!R719C19</stp>
        <tr r="S719" s="1"/>
      </tp>
      <tp t="s">
        <v>912827MF6</v>
        <stp/>
        <stp>##V3_BDPV12</stp>
        <stp>912827MF Govt</stp>
        <stp>ID_CUSIP</stp>
        <stp>[TREASURY.xlsx]Sheet1!R722C19</stp>
        <tr r="S722" s="1"/>
      </tp>
      <tp t="s">
        <v>912827MB5</v>
        <stp/>
        <stp>##V3_BDPV12</stp>
        <stp>912827MB Govt</stp>
        <stp>ID_CUSIP</stp>
        <stp>[TREASURY.xlsx]Sheet1!R721C19</stp>
        <tr r="S721" s="1"/>
      </tp>
      <tp t="s">
        <v>912827MA7</v>
        <stp/>
        <stp>##V3_BDPV12</stp>
        <stp>912827MA Govt</stp>
        <stp>ID_CUSIP</stp>
        <stp>[TREASURY.xlsx]Sheet1!R720C19</stp>
        <tr r="S720" s="1"/>
      </tp>
      <tp t="s">
        <v>912827LF7</v>
        <stp/>
        <stp>##V3_BDPV12</stp>
        <stp>912827LF Govt</stp>
        <stp>ID_CUSIP</stp>
        <stp>[TREASURY.xlsx]Sheet1!R656C19</stp>
        <tr r="S656" s="1"/>
      </tp>
      <tp t="s">
        <v>912827MT6</v>
        <stp/>
        <stp>##V3_BDPV12</stp>
        <stp>912827MT Govt</stp>
        <stp>ID_CUSIP</stp>
        <stp>[TREASURY.xlsx]Sheet1!R724C19</stp>
        <tr r="S724" s="1"/>
      </tp>
      <tp t="s">
        <v>912827MQ2</v>
        <stp/>
        <stp>##V3_BDPV12</stp>
        <stp>912827MQ Govt</stp>
        <stp>ID_CUSIP</stp>
        <stp>[TREASURY.xlsx]Sheet1!R723C19</stp>
        <tr r="S723" s="1"/>
      </tp>
      <tp t="s">
        <v>912827MY5</v>
        <stp/>
        <stp>##V3_BDPV12</stp>
        <stp>912827MY Govt</stp>
        <stp>ID_CUSIP</stp>
        <stp>[TREASURY.xlsx]Sheet1!R725C19</stp>
        <tr r="S725" s="1"/>
      </tp>
      <tp t="s">
        <v>912827J29</v>
        <stp/>
        <stp>##V3_BDPV12</stp>
        <stp>912827J2 Govt</stp>
        <stp>ID_CUSIP</stp>
        <stp>[TREASURY.xlsx]Sheet1!R706C19</stp>
        <tr r="S706" s="1"/>
      </tp>
      <tp t="s">
        <v>912827J37</v>
        <stp/>
        <stp>##V3_BDPV12</stp>
        <stp>912827J3 Govt</stp>
        <stp>ID_CUSIP</stp>
        <stp>[TREASURY.xlsx]Sheet1!R707C19</stp>
        <tr r="S707" s="1"/>
      </tp>
      <tp t="s">
        <v>912827KC5</v>
        <stp/>
        <stp>##V3_BDPV12</stp>
        <stp>912827KC Govt</stp>
        <stp>ID_CUSIP</stp>
        <stp>[TREASURY.xlsx]Sheet1!R608C19</stp>
        <tr r="S608" s="1"/>
      </tp>
      <tp t="s">
        <v>912827KS0</v>
        <stp/>
        <stp>##V3_BDPV12</stp>
        <stp>912827KS Govt</stp>
        <stp>ID_CUSIP</stp>
        <stp>[TREASURY.xlsx]Sheet1!R668C19</stp>
        <tr r="S668" s="1"/>
      </tp>
      <tp t="s">
        <v>912827KU5</v>
        <stp/>
        <stp>##V3_BDPV12</stp>
        <stp>912827KU Govt</stp>
        <stp>ID_CUSIP</stp>
        <stp>[TREASURY.xlsx]Sheet1!R683C19</stp>
        <tr r="S683" s="1"/>
      </tp>
      <tp t="s">
        <v>912827KM3</v>
        <stp/>
        <stp>##V3_BDPV12</stp>
        <stp>912827KM Govt</stp>
        <stp>ID_CUSIP</stp>
        <stp>[TREASURY.xlsx]Sheet1!R709C19</stp>
        <tr r="S709" s="1"/>
      </tp>
      <tp t="s">
        <v>912827KK7</v>
        <stp/>
        <stp>##V3_BDPV12</stp>
        <stp>912827KK Govt</stp>
        <stp>ID_CUSIP</stp>
        <stp>[TREASURY.xlsx]Sheet1!R708C19</stp>
        <tr r="S708" s="1"/>
      </tp>
      <tp t="s">
        <v>912827KV3</v>
        <stp/>
        <stp>##V3_BDPV12</stp>
        <stp>912827KV Govt</stp>
        <stp>ID_CUSIP</stp>
        <stp>[TREASURY.xlsx]Sheet1!R711C19</stp>
        <tr r="S711" s="1"/>
      </tp>
      <tp t="s">
        <v>912827KQ4</v>
        <stp/>
        <stp>##V3_BDPV12</stp>
        <stp>912827KQ Govt</stp>
        <stp>ID_CUSIP</stp>
        <stp>[TREASURY.xlsx]Sheet1!R710C19</stp>
        <tr r="S710" s="1"/>
      </tp>
      <tp t="s">
        <v>912827KY7</v>
        <stp/>
        <stp>##V3_BDPV12</stp>
        <stp>912827KY Govt</stp>
        <stp>ID_CUSIP</stp>
        <stp>[TREASURY.xlsx]Sheet1!R712C19</stp>
        <tr r="S712" s="1"/>
      </tp>
      <tp t="s">
        <v>912827KZ4</v>
        <stp/>
        <stp>##V3_BDPV12</stp>
        <stp>912827KZ Govt</stp>
        <stp>ID_CUSIP</stp>
        <stp>[TREASURY.xlsx]Sheet1!R713C19</stp>
        <tr r="S713" s="1"/>
      </tp>
      <tp t="s">
        <v>912827H54</v>
        <stp/>
        <stp>##V3_BDPV12</stp>
        <stp>912827H5 Govt</stp>
        <stp>ID_CUSIP</stp>
        <stp>[TREASURY.xlsx]Sheet1!R705C19</stp>
        <tr r="S705" s="1"/>
      </tp>
      <tp t="s">
        <v>912827H21</v>
        <stp/>
        <stp>##V3_BDPV12</stp>
        <stp>912827H2 Govt</stp>
        <stp>ID_CUSIP</stp>
        <stp>[TREASURY.xlsx]Sheet1!R704C19</stp>
        <tr r="S704" s="1"/>
      </tp>
      <tp t="s">
        <v>912827KH4</v>
        <stp/>
        <stp>##V3_BDPV12</stp>
        <stp>912827KH Govt</stp>
        <stp>ID_CUSIP</stp>
        <stp>[TREASURY.xlsx]Sheet1!R455C19</stp>
        <tr r="S455" s="1"/>
      </tp>
      <tp t="s">
        <v>912827K43</v>
        <stp/>
        <stp>##V3_BDPV12</stp>
        <stp>912827K4 Govt</stp>
        <stp>ID_CUSIP</stp>
        <stp>[TREASURY.xlsx]Sheet1!R568C19</stp>
        <tr r="S568" s="1"/>
      </tp>
      <tp t="s">
        <v>912827KN1</v>
        <stp/>
        <stp>##V3_BDPV12</stp>
        <stp>912827KN Govt</stp>
        <stp>ID_CUSIP</stp>
        <stp>[TREASURY.xlsx]Sheet1!R569C19</stp>
        <tr r="S569" s="1"/>
      </tp>
      <tp t="s">
        <v>912827X56</v>
        <stp/>
        <stp>##V3_BDPV12</stp>
        <stp>912827X5 Govt</stp>
        <stp>ID_CUSIP</stp>
        <stp>[TREASURY.xlsx]Sheet1!R934C19</stp>
        <tr r="S934" s="1"/>
      </tp>
      <tp t="s">
        <v>912827V41</v>
        <stp/>
        <stp>##V3_BDPV12</stp>
        <stp>912827V4 Govt</stp>
        <stp>ID_CUSIP</stp>
        <stp>[TREASURY.xlsx]Sheet1!R757C19</stp>
        <tr r="S757" s="1"/>
      </tp>
      <tp t="s">
        <v>912827V82</v>
        <stp/>
        <stp>##V3_BDPV12</stp>
        <stp>912827V8 Govt</stp>
        <stp>ID_CUSIP</stp>
        <stp>[TREASURY.xlsx]Sheet1!R758C19</stp>
        <tr r="S758" s="1"/>
      </tp>
      <tp t="s">
        <v>912827VA7</v>
        <stp/>
        <stp>##V3_BDPV12</stp>
        <stp>912827VA Govt</stp>
        <stp>ID_CUSIP</stp>
        <stp>[TREASURY.xlsx]Sheet1!R759C19</stp>
        <tr r="S759" s="1"/>
      </tp>
      <tp t="s">
        <v>912827VC3</v>
        <stp/>
        <stp>##V3_BDPV12</stp>
        <stp>912827VC Govt</stp>
        <stp>ID_CUSIP</stp>
        <stp>[TREASURY.xlsx]Sheet1!R760C19</stp>
        <tr r="S760" s="1"/>
      </tp>
      <tp t="s">
        <v>912827WE8</v>
        <stp/>
        <stp>##V3_BDPV12</stp>
        <stp>912827WE Govt</stp>
        <stp>ID_CUSIP</stp>
        <stp>[TREASURY.xlsx]Sheet1!R601C19</stp>
        <tr r="S601" s="1"/>
      </tp>
      <tp t="s">
        <v>912827XD9</v>
        <stp/>
        <stp>##V3_BDPV12</stp>
        <stp>912827XD Govt</stp>
        <stp>ID_CUSIP</stp>
        <stp>[TREASURY.xlsx]Sheet1!R935C19</stp>
        <tr r="S935" s="1"/>
      </tp>
      <tp t="s">
        <v>912827VG4</v>
        <stp/>
        <stp>##V3_BDPV12</stp>
        <stp>912827VG Govt</stp>
        <stp>ID_CUSIP</stp>
        <stp>[TREASURY.xlsx]Sheet1!R761C19</stp>
        <tr r="S761" s="1"/>
      </tp>
      <tp t="s">
        <v>912827VK5</v>
        <stp/>
        <stp>##V3_BDPV12</stp>
        <stp>912827VK Govt</stp>
        <stp>ID_CUSIP</stp>
        <stp>[TREASURY.xlsx]Sheet1!R762C19</stp>
        <tr r="S762" s="1"/>
      </tp>
      <tp t="s">
        <v>912827XJ6</v>
        <stp/>
        <stp>##V3_BDPV12</stp>
        <stp>912827XJ Govt</stp>
        <stp>ID_CUSIP</stp>
        <stp>[TREASURY.xlsx]Sheet1!R936C19</stp>
        <tr r="S936" s="1"/>
      </tp>
      <tp t="s">
        <v>912827VR0</v>
        <stp/>
        <stp>##V3_BDPV12</stp>
        <stp>912827VR Govt</stp>
        <stp>ID_CUSIP</stp>
        <stp>[TREASURY.xlsx]Sheet1!R764C19</stp>
        <tr r="S764" s="1"/>
      </tp>
      <tp t="s">
        <v>912827VQ2</v>
        <stp/>
        <stp>##V3_BDPV12</stp>
        <stp>912827VQ Govt</stp>
        <stp>ID_CUSIP</stp>
        <stp>[TREASURY.xlsx]Sheet1!R763C19</stp>
        <tr r="S763" s="1"/>
      </tp>
      <tp t="s">
        <v>912827XS6</v>
        <stp/>
        <stp>##V3_BDPV12</stp>
        <stp>912827XS Govt</stp>
        <stp>ID_CUSIP</stp>
        <stp>[TREASURY.xlsx]Sheet1!R938C19</stp>
        <tr r="S938" s="1"/>
      </tp>
      <tp t="s">
        <v>912827UW0</v>
        <stp/>
        <stp>##V3_BDPV12</stp>
        <stp>912827UW Govt</stp>
        <stp>ID_CUSIP</stp>
        <stp>[TREASURY.xlsx]Sheet1!R460C19</stp>
        <tr r="S460" s="1"/>
      </tp>
      <tp t="s">
        <v>912827VT6</v>
        <stp/>
        <stp>##V3_BDPV12</stp>
        <stp>912827VT Govt</stp>
        <stp>ID_CUSIP</stp>
        <stp>[TREASURY.xlsx]Sheet1!R765C19</stp>
        <tr r="S765" s="1"/>
      </tp>
      <tp t="s">
        <v>912827XP2</v>
        <stp/>
        <stp>##V3_BDPV12</stp>
        <stp>912827XP Govt</stp>
        <stp>ID_CUSIP</stp>
        <stp>[TREASURY.xlsx]Sheet1!R937C19</stp>
        <tr r="S937" s="1"/>
      </tp>
      <tp t="s">
        <v>912827VY5</v>
        <stp/>
        <stp>##V3_BDPV12</stp>
        <stp>912827VY Govt</stp>
        <stp>ID_CUSIP</stp>
        <stp>[TREASURY.xlsx]Sheet1!R766C19</stp>
        <tr r="S766" s="1"/>
      </tp>
      <tp t="s">
        <v>912827XX5</v>
        <stp/>
        <stp>##V3_BDPV12</stp>
        <stp>912827XX Govt</stp>
        <stp>ID_CUSIP</stp>
        <stp>[TREASURY.xlsx]Sheet1!R939C19</stp>
        <tr r="S939" s="1"/>
      </tp>
      <tp t="s">
        <v>912827W24</v>
        <stp/>
        <stp>##V3_BDPV12</stp>
        <stp>912827W2 Govt</stp>
        <stp>ID_CUSIP</stp>
        <stp>[TREASURY.xlsx]Sheet1!R767C19</stp>
        <tr r="S767" s="1"/>
      </tp>
      <tp t="s">
        <v>912827Y55</v>
        <stp/>
        <stp>##V3_BDPV12</stp>
        <stp>912827Y5 Govt</stp>
        <stp>ID_CUSIP</stp>
        <stp>[TREASURY.xlsx]Sheet1!R940C19</stp>
        <tr r="S940" s="1"/>
      </tp>
      <tp t="s">
        <v>912827Y89</v>
        <stp/>
        <stp>##V3_BDPV12</stp>
        <stp>912827Y8 Govt</stp>
        <stp>ID_CUSIP</stp>
        <stp>[TREASURY.xlsx]Sheet1!R941C19</stp>
        <tr r="S941" s="1"/>
      </tp>
      <tp t="s">
        <v>912827YA4</v>
        <stp/>
        <stp>##V3_BDPV12</stp>
        <stp>912827YA Govt</stp>
        <stp>ID_CUSIP</stp>
        <stp>[TREASURY.xlsx]Sheet1!R942C19</stp>
        <tr r="S942" s="1"/>
      </tp>
      <tp t="s">
        <v>912827WC2</v>
        <stp/>
        <stp>##V3_BDPV12</stp>
        <stp>912827WC Govt</stp>
        <stp>ID_CUSIP</stp>
        <stp>[TREASURY.xlsx]Sheet1!R768C19</stp>
        <tr r="S768" s="1"/>
      </tp>
      <tp t="s">
        <v>912827VE9</v>
        <stp/>
        <stp>##V3_BDPV12</stp>
        <stp>912827VE Govt</stp>
        <stp>ID_CUSIP</stp>
        <stp>[TREASURY.xlsx]Sheet1!R626C19</stp>
        <tr r="S626" s="1"/>
      </tp>
      <tp t="s">
        <v>912827YE6</v>
        <stp/>
        <stp>##V3_BDPV12</stp>
        <stp>912827YE Govt</stp>
        <stp>ID_CUSIP</stp>
        <stp>[TREASURY.xlsx]Sheet1!R943C19</stp>
        <tr r="S943" s="1"/>
      </tp>
      <tp t="s">
        <v>912827YG1</v>
        <stp/>
        <stp>##V3_BDPV12</stp>
        <stp>912827YG Govt</stp>
        <stp>ID_CUSIP</stp>
        <stp>[TREASURY.xlsx]Sheet1!R944C19</stp>
        <tr r="S944" s="1"/>
      </tp>
      <tp t="s">
        <v>912827YM8</v>
        <stp/>
        <stp>##V3_BDPV12</stp>
        <stp>912827YM Govt</stp>
        <stp>ID_CUSIP</stp>
        <stp>[TREASURY.xlsx]Sheet1!R945C19</stp>
        <tr r="S945" s="1"/>
      </tp>
      <tp t="s">
        <v>912827YS5</v>
        <stp/>
        <stp>##V3_BDPV12</stp>
        <stp>912827YS Govt</stp>
        <stp>ID_CUSIP</stp>
        <stp>[TREASURY.xlsx]Sheet1!R946C19</stp>
        <tr r="S946" s="1"/>
      </tp>
      <tp t="s">
        <v>912827YV8</v>
        <stp/>
        <stp>##V3_BDPV12</stp>
        <stp>912827YV Govt</stp>
        <stp>ID_CUSIP</stp>
        <stp>[TREASURY.xlsx]Sheet1!R947C19</stp>
        <tr r="S947" s="1"/>
      </tp>
      <tp t="s">
        <v>912827YX4</v>
        <stp/>
        <stp>##V3_BDPV12</stp>
        <stp>912827YX Govt</stp>
        <stp>ID_CUSIP</stp>
        <stp>[TREASURY.xlsx]Sheet1!R948C19</stp>
        <tr r="S948" s="1"/>
      </tp>
      <tp t="s">
        <v>912827YY2</v>
        <stp/>
        <stp>##V3_BDPV12</stp>
        <stp>912827YY Govt</stp>
        <stp>ID_CUSIP</stp>
        <stp>[TREASURY.xlsx]Sheet1!R949C19</stp>
        <tr r="S949" s="1"/>
      </tp>
      <tp t="s">
        <v>912827YZ9</v>
        <stp/>
        <stp>##V3_BDPV12</stp>
        <stp>912827YZ Govt</stp>
        <stp>ID_CUSIP</stp>
        <stp>[TREASURY.xlsx]Sheet1!R950C19</stp>
        <tr r="S950" s="1"/>
      </tp>
      <tp t="s">
        <v>912827Z21</v>
        <stp/>
        <stp>##V3_BDPV12</stp>
        <stp>912827Z2 Govt</stp>
        <stp>ID_CUSIP</stp>
        <stp>[TREASURY.xlsx]Sheet1!R951C19</stp>
        <tr r="S951" s="1"/>
      </tp>
      <tp t="s">
        <v>912827ZK1</v>
        <stp/>
        <stp>##V3_BDPV12</stp>
        <stp>912827ZK Govt</stp>
        <stp>ID_CUSIP</stp>
        <stp>[TREASURY.xlsx]Sheet1!R952C19</stp>
        <tr r="S952" s="1"/>
      </tp>
      <tp t="s">
        <v>912827ZP0</v>
        <stp/>
        <stp>##V3_BDPV12</stp>
        <stp>912827ZP Govt</stp>
        <stp>ID_CUSIP</stp>
        <stp>[TREASURY.xlsx]Sheet1!R953C19</stp>
        <tr r="S953" s="1"/>
      </tp>
      <tp t="s">
        <v>912827TS1</v>
        <stp/>
        <stp>##V3_BDPV12</stp>
        <stp>912827TS Govt</stp>
        <stp>ID_CUSIP</stp>
        <stp>[TREASURY.xlsx]Sheet1!R750C19</stp>
        <tr r="S750" s="1"/>
      </tp>
      <tp t="s">
        <v>912827ZS4</v>
        <stp/>
        <stp>##V3_BDPV12</stp>
        <stp>912827ZS Govt</stp>
        <stp>ID_CUSIP</stp>
        <stp>[TREASURY.xlsx]Sheet1!R954C19</stp>
        <tr r="S954" s="1"/>
      </tp>
      <tp t="s">
        <v>912827ZU9</v>
        <stp/>
        <stp>##V3_BDPV12</stp>
        <stp>912827ZU Govt</stp>
        <stp>ID_CUSIP</stp>
        <stp>[TREASURY.xlsx]Sheet1!R955C19</stp>
        <tr r="S955" s="1"/>
      </tp>
      <tp t="s">
        <v>912827ZX3</v>
        <stp/>
        <stp>##V3_BDPV12</stp>
        <stp>912827ZX Govt</stp>
        <stp>ID_CUSIP</stp>
        <stp>[TREASURY.xlsx]Sheet1!R956C19</stp>
        <tr r="S956" s="1"/>
      </tp>
      <tp t="s">
        <v>912827U67</v>
        <stp/>
        <stp>##V3_BDPV12</stp>
        <stp>912827U6 Govt</stp>
        <stp>ID_CUSIP</stp>
        <stp>[TREASURY.xlsx]Sheet1!R751C19</stp>
        <tr r="S751" s="1"/>
      </tp>
      <tp t="s">
        <v>912827U91</v>
        <stp/>
        <stp>##V3_BDPV12</stp>
        <stp>912827U9 Govt</stp>
        <stp>ID_CUSIP</stp>
        <stp>[TREASURY.xlsx]Sheet1!R752C19</stp>
        <tr r="S752" s="1"/>
      </tp>
      <tp t="s">
        <v>912827UC4</v>
        <stp/>
        <stp>##V3_BDPV12</stp>
        <stp>912827UC Govt</stp>
        <stp>ID_CUSIP</stp>
        <stp>[TREASURY.xlsx]Sheet1!R754C19</stp>
        <tr r="S754" s="1"/>
      </tp>
      <tp t="s">
        <v>912827UB6</v>
        <stp/>
        <stp>##V3_BDPV12</stp>
        <stp>912827UB Govt</stp>
        <stp>ID_CUSIP</stp>
        <stp>[TREASURY.xlsx]Sheet1!R753C19</stp>
        <tr r="S753" s="1"/>
      </tp>
      <tp t="s">
        <v>912827UJ9</v>
        <stp/>
        <stp>##V3_BDPV12</stp>
        <stp>912827UJ Govt</stp>
        <stp>ID_CUSIP</stp>
        <stp>[TREASURY.xlsx]Sheet1!R755C19</stp>
        <tr r="S755" s="1"/>
      </tp>
      <tp t="s">
        <v>912827UT7</v>
        <stp/>
        <stp>##V3_BDPV12</stp>
        <stp>912827UT Govt</stp>
        <stp>ID_CUSIP</stp>
        <stp>[TREASURY.xlsx]Sheet1!R756C19</stp>
        <tr r="S756" s="1"/>
      </tp>
      <tp t="s">
        <v>912827R20</v>
        <stp/>
        <stp>##V3_BDPV12</stp>
        <stp>912827R2 Govt</stp>
        <stp>ID_CUSIP</stp>
        <stp>[TREASURY.xlsx]Sheet1!R743C19</stp>
        <tr r="S743" s="1"/>
      </tp>
      <tp t="s">
        <v>912827RB0</v>
        <stp/>
        <stp>##V3_BDPV12</stp>
        <stp>912827RB Govt</stp>
        <stp>ID_CUSIP</stp>
        <stp>[TREASURY.xlsx]Sheet1!R744C19</stp>
        <tr r="S744" s="1"/>
      </tp>
      <tp t="s">
        <v>912827S45</v>
        <stp/>
        <stp>##V3_BDPV12</stp>
        <stp>912827S4 Govt</stp>
        <stp>ID_CUSIP</stp>
        <stp>[TREASURY.xlsx]Sheet1!R745C19</stp>
        <tr r="S745" s="1"/>
      </tp>
      <tp t="s">
        <v>912827S94</v>
        <stp/>
        <stp>##V3_BDPV12</stp>
        <stp>912827S9 Govt</stp>
        <stp>ID_CUSIP</stp>
        <stp>[TREASURY.xlsx]Sheet1!R746C19</stp>
        <tr r="S746" s="1"/>
      </tp>
      <tp t="s">
        <v>912827SC7</v>
        <stp/>
        <stp>##V3_BDPV12</stp>
        <stp>912827SC Govt</stp>
        <stp>ID_CUSIP</stp>
        <stp>[TREASURY.xlsx]Sheet1!R747C19</stp>
        <tr r="S747" s="1"/>
      </tp>
      <tp t="s">
        <v>912827PH9</v>
        <stp/>
        <stp>##V3_BDPV12</stp>
        <stp>912827PH Govt</stp>
        <stp>ID_CUSIP</stp>
        <stp>[TREASURY.xlsx]Sheet1!R499C19</stp>
        <tr r="S499" s="1"/>
      </tp>
      <tp t="s">
        <v>912827SM5</v>
        <stp/>
        <stp>##V3_BDPV12</stp>
        <stp>912827SM Govt</stp>
        <stp>ID_CUSIP</stp>
        <stp>[TREASURY.xlsx]Sheet1!R748C19</stp>
        <tr r="S748" s="1"/>
      </tp>
      <tp t="s">
        <v>912827SX1</v>
        <stp/>
        <stp>##V3_BDPV12</stp>
        <stp>912827SX Govt</stp>
        <stp>ID_CUSIP</stp>
        <stp>[TREASURY.xlsx]Sheet1!R749C19</stp>
        <tr r="S749" s="1"/>
      </tp>
      <tp t="s">
        <v>912827P22</v>
        <stp/>
        <stp>##V3_BDPV12</stp>
        <stp>912827P2 Govt</stp>
        <stp>ID_CUSIP</stp>
        <stp>[TREASURY.xlsx]Sheet1!R735C19</stp>
        <tr r="S735" s="1"/>
      </tp>
      <tp t="s">
        <v>912827PF3</v>
        <stp/>
        <stp>##V3_BDPV12</stp>
        <stp>912827PF Govt</stp>
        <stp>ID_CUSIP</stp>
        <stp>[TREASURY.xlsx]Sheet1!R737C19</stp>
        <tr r="S737" s="1"/>
      </tp>
      <tp t="s">
        <v>912827PC0</v>
        <stp/>
        <stp>##V3_BDPV12</stp>
        <stp>912827PC Govt</stp>
        <stp>ID_CUSIP</stp>
        <stp>[TREASURY.xlsx]Sheet1!R736C19</stp>
        <tr r="S736" s="1"/>
      </tp>
      <tp t="s">
        <v>912827PL0</v>
        <stp/>
        <stp>##V3_BDPV12</stp>
        <stp>912827PL Govt</stp>
        <stp>ID_CUSIP</stp>
        <stp>[TREASURY.xlsx]Sheet1!R738C19</stp>
        <tr r="S738" s="1"/>
      </tp>
      <tp t="s">
        <v>912827PW6</v>
        <stp/>
        <stp>##V3_BDPV12</stp>
        <stp>912827PW Govt</stp>
        <stp>ID_CUSIP</stp>
        <stp>[TREASURY.xlsx]Sheet1!R739C19</stp>
        <tr r="S739" s="1"/>
      </tp>
      <tp t="s">
        <v>912827QE5</v>
        <stp/>
        <stp>##V3_BDPV12</stp>
        <stp>912827QE Govt</stp>
        <stp>ID_CUSIP</stp>
        <stp>[TREASURY.xlsx]Sheet1!R740C19</stp>
        <tr r="S740" s="1"/>
      </tp>
      <tp t="s">
        <v>912827QL9</v>
        <stp/>
        <stp>##V3_BDPV12</stp>
        <stp>912827QL Govt</stp>
        <stp>ID_CUSIP</stp>
        <stp>[TREASURY.xlsx]Sheet1!R741C19</stp>
        <tr r="S741" s="1"/>
      </tp>
      <tp t="s">
        <v>912827QP0</v>
        <stp/>
        <stp>##V3_BDPV12</stp>
        <stp>912827QP Govt</stp>
        <stp>ID_CUSIP</stp>
        <stp>[TREASURY.xlsx]Sheet1!R742C19</stp>
        <tr r="S742" s="1"/>
      </tp>
      <tp t="s">
        <v>912827PQ9</v>
        <stp/>
        <stp>##V3_BDPV12</stp>
        <stp>912827PQ Govt</stp>
        <stp>ID_CUSIP</stp>
        <stp>[TREASURY.xlsx]Sheet1!R665C19</stp>
        <tr r="S665" s="1"/>
      </tp>
      <tp t="s">
        <v>912827PN6</v>
        <stp/>
        <stp>##V3_BDPV12</stp>
        <stp>912827PN Govt</stp>
        <stp>ID_CUSIP</stp>
        <stp>[TREASURY.xlsx]Sheet1!R903C19</stp>
        <tr r="S903" s="1"/>
      </tp>
      <tp t="s">
        <v>912827PP1</v>
        <stp/>
        <stp>##V3_BDPV12</stp>
        <stp>912827PP Govt</stp>
        <stp>ID_CUSIP</stp>
        <stp>[TREASURY.xlsx]Sheet1!R904C19</stp>
        <tr r="S904" s="1"/>
      </tp>
      <tp t="s">
        <v>912827Q54</v>
        <stp/>
        <stp>##V3_BDPV12</stp>
        <stp>912827Q5 Govt</stp>
        <stp>ID_CUSIP</stp>
        <stp>[TREASURY.xlsx]Sheet1!R905C19</stp>
        <tr r="S905" s="1"/>
      </tp>
      <tp t="s">
        <v>912827QG0</v>
        <stp/>
        <stp>##V3_BDPV12</stp>
        <stp>912827QG Govt</stp>
        <stp>ID_CUSIP</stp>
        <stp>[TREASURY.xlsx]Sheet1!R906C19</stp>
        <tr r="S906" s="1"/>
      </tp>
      <tp t="s">
        <v>912827QJ4</v>
        <stp/>
        <stp>##V3_BDPV12</stp>
        <stp>912827QJ Govt</stp>
        <stp>ID_CUSIP</stp>
        <stp>[TREASURY.xlsx]Sheet1!R907C19</stp>
        <tr r="S907" s="1"/>
      </tp>
      <tp t="s">
        <v>912827QR6</v>
        <stp/>
        <stp>##V3_BDPV12</stp>
        <stp>912827QR Govt</stp>
        <stp>ID_CUSIP</stp>
        <stp>[TREASURY.xlsx]Sheet1!R908C19</stp>
        <tr r="S908" s="1"/>
      </tp>
      <tp t="s">
        <v>912827S52</v>
        <stp/>
        <stp>##V3_BDPV12</stp>
        <stp>912827S5 Govt</stp>
        <stp>ID_CUSIP</stp>
        <stp>[TREASURY.xlsx]Sheet1!R831C19</stp>
        <tr r="S831" s="1"/>
      </tp>
      <tp t="s">
        <v>912827R87</v>
        <stp/>
        <stp>##V3_BDPV12</stp>
        <stp>912827R8 Govt</stp>
        <stp>ID_CUSIP</stp>
        <stp>[TREASURY.xlsx]Sheet1!R909C19</stp>
        <tr r="S909" s="1"/>
      </tp>
      <tp t="s">
        <v>912827RD6</v>
        <stp/>
        <stp>##V3_BDPV12</stp>
        <stp>912827RD Govt</stp>
        <stp>ID_CUSIP</stp>
        <stp>[TREASURY.xlsx]Sheet1!R910C19</stp>
        <tr r="S910" s="1"/>
      </tp>
      <tp t="s">
        <v>912827RK0</v>
        <stp/>
        <stp>##V3_BDPV12</stp>
        <stp>912827RK Govt</stp>
        <stp>ID_CUSIP</stp>
        <stp>[TREASURY.xlsx]Sheet1!R911C19</stp>
        <tr r="S911" s="1"/>
      </tp>
      <tp t="s">
        <v>912827RU8</v>
        <stp/>
        <stp>##V3_BDPV12</stp>
        <stp>912827RU Govt</stp>
        <stp>ID_CUSIP</stp>
        <stp>[TREASURY.xlsx]Sheet1!R914C19</stp>
        <tr r="S914" s="1"/>
      </tp>
      <tp t="s">
        <v>912827SU7</v>
        <stp/>
        <stp>##V3_BDPV12</stp>
        <stp>912827SU Govt</stp>
        <stp>ID_CUSIP</stp>
        <stp>[TREASURY.xlsx]Sheet1!R832C19</stp>
        <tr r="S832" s="1"/>
      </tp>
      <tp t="s">
        <v>912827RP9</v>
        <stp/>
        <stp>##V3_BDPV12</stp>
        <stp>912827RP Govt</stp>
        <stp>ID_CUSIP</stp>
        <stp>[TREASURY.xlsx]Sheet1!R912C19</stp>
        <tr r="S912" s="1"/>
      </tp>
      <tp t="s">
        <v>912827RS3</v>
        <stp/>
        <stp>##V3_BDPV12</stp>
        <stp>912827RS Govt</stp>
        <stp>ID_CUSIP</stp>
        <stp>[TREASURY.xlsx]Sheet1!R913C19</stp>
        <tr r="S913" s="1"/>
      </tp>
      <tp t="s">
        <v>912827RX2</v>
        <stp/>
        <stp>##V3_BDPV12</stp>
        <stp>912827RX Govt</stp>
        <stp>ID_CUSIP</stp>
        <stp>[TREASURY.xlsx]Sheet1!R915C19</stp>
        <tr r="S915" s="1"/>
      </tp>
      <tp t="s">
        <v>912827SD5</v>
        <stp/>
        <stp>##V3_BDPV12</stp>
        <stp>912827SD Govt</stp>
        <stp>ID_CUSIP</stp>
        <stp>[TREASURY.xlsx]Sheet1!R916C19</stp>
        <tr r="S916" s="1"/>
      </tp>
      <tp t="s">
        <v>912827SL7</v>
        <stp/>
        <stp>##V3_BDPV12</stp>
        <stp>912827SL Govt</stp>
        <stp>ID_CUSIP</stp>
        <stp>[TREASURY.xlsx]Sheet1!R917C19</stp>
        <tr r="S917" s="1"/>
      </tp>
      <tp t="s">
        <v>912827RW4</v>
        <stp/>
        <stp>##V3_BDPV12</stp>
        <stp>912827RW Govt</stp>
        <stp>ID_CUSIP</stp>
        <stp>[TREASURY.xlsx]Sheet1!R830C19</stp>
        <tr r="S830" s="1"/>
      </tp>
      <tp t="s">
        <v>912827SV5</v>
        <stp/>
        <stp>##V3_BDPV12</stp>
        <stp>912827SV Govt</stp>
        <stp>ID_CUSIP</stp>
        <stp>[TREASURY.xlsx]Sheet1!R918C19</stp>
        <tr r="S918" s="1"/>
      </tp>
      <tp t="s">
        <v>912827RR5</v>
        <stp/>
        <stp>##V3_BDPV12</stp>
        <stp>912827RR Govt</stp>
        <stp>ID_CUSIP</stp>
        <stp>[TREASURY.xlsx]Sheet1!R829C19</stp>
        <tr r="S829" s="1"/>
      </tp>
      <tp t="s">
        <v>912827T51</v>
        <stp/>
        <stp>##V3_BDPV12</stp>
        <stp>912827T5 Govt</stp>
        <stp>ID_CUSIP</stp>
        <stp>[TREASURY.xlsx]Sheet1!R919C19</stp>
        <tr r="S919" s="1"/>
      </tp>
      <tp t="s">
        <v>912827Z70</v>
        <stp/>
        <stp>##V3_BDPV12</stp>
        <stp>912827Z7 Govt</stp>
        <stp>ID_CUSIP</stp>
        <stp>[TREASURY.xlsx]Sheet1!R777C19</stp>
        <tr r="S777" s="1"/>
      </tp>
      <tp t="s">
        <v>912827U26</v>
        <stp/>
        <stp>##V3_BDPV12</stp>
        <stp>912827U2 Govt</stp>
        <stp>ID_CUSIP</stp>
        <stp>[TREASURY.xlsx]Sheet1!R835C19</stp>
        <tr r="S835" s="1"/>
      </tp>
      <tp t="s">
        <v>912827Z96</v>
        <stp/>
        <stp>##V3_BDPV12</stp>
        <stp>912827Z9 Govt</stp>
        <stp>ID_CUSIP</stp>
        <stp>[TREASURY.xlsx]Sheet1!R778C19</stp>
        <tr r="S778" s="1"/>
      </tp>
      <tp t="s">
        <v>912827ZL9</v>
        <stp/>
        <stp>##V3_BDPV12</stp>
        <stp>912827ZL Govt</stp>
        <stp>ID_CUSIP</stp>
        <stp>[TREASURY.xlsx]Sheet1!R782C19</stp>
        <tr r="S782" s="1"/>
      </tp>
      <tp t="s">
        <v>912827ZC9</v>
        <stp/>
        <stp>##V3_BDPV12</stp>
        <stp>912827ZC Govt</stp>
        <stp>ID_CUSIP</stp>
        <stp>[TREASURY.xlsx]Sheet1!R779C19</stp>
        <tr r="S779" s="1"/>
      </tp>
      <tp t="s">
        <v>912827XE7</v>
        <stp/>
        <stp>##V3_BDPV12</stp>
        <stp>912827XE Govt</stp>
        <stp>ID_CUSIP</stp>
        <stp>[TREASURY.xlsx]Sheet1!R570C19</stp>
        <tr r="S570" s="1"/>
      </tp>
      <tp t="s">
        <v>912827ZJ4</v>
        <stp/>
        <stp>##V3_BDPV12</stp>
        <stp>912827ZJ Govt</stp>
        <stp>ID_CUSIP</stp>
        <stp>[TREASURY.xlsx]Sheet1!R781C19</stp>
        <tr r="S781" s="1"/>
      </tp>
      <tp t="s">
        <v>912827UA8</v>
        <stp/>
        <stp>##V3_BDPV12</stp>
        <stp>912827UA Govt</stp>
        <stp>ID_CUSIP</stp>
        <stp>[TREASURY.xlsx]Sheet1!R836C19</stp>
        <tr r="S836" s="1"/>
      </tp>
      <tp t="s">
        <v>912827ZE5</v>
        <stp/>
        <stp>##V3_BDPV12</stp>
        <stp>912827ZE Govt</stp>
        <stp>ID_CUSIP</stp>
        <stp>[TREASURY.xlsx]Sheet1!R780C19</stp>
        <tr r="S780" s="1"/>
      </tp>
      <tp t="s">
        <v>912827TZ5</v>
        <stp/>
        <stp>##V3_BDPV12</stp>
        <stp>912827TZ Govt</stp>
        <stp>ID_CUSIP</stp>
        <stp>[TREASURY.xlsx]Sheet1!R920C19</stp>
        <tr r="S920" s="1"/>
      </tp>
      <tp t="s">
        <v>912827ZR6</v>
        <stp/>
        <stp>##V3_BDPV12</stp>
        <stp>912827ZR Govt</stp>
        <stp>ID_CUSIP</stp>
        <stp>[TREASURY.xlsx]Sheet1!R783C19</stp>
        <tr r="S783" s="1"/>
      </tp>
      <tp t="s">
        <v>912827T28</v>
        <stp/>
        <stp>##V3_BDPV12</stp>
        <stp>912827T2 Govt</stp>
        <stp>ID_CUSIP</stp>
        <stp>[TREASURY.xlsx]Sheet1!R833C19</stp>
        <tr r="S833" s="1"/>
      </tp>
      <tp t="s">
        <v>912827U34</v>
        <stp/>
        <stp>##V3_BDPV12</stp>
        <stp>912827U3 Govt</stp>
        <stp>ID_CUSIP</stp>
        <stp>[TREASURY.xlsx]Sheet1!R921C19</stp>
        <tr r="S921" s="1"/>
      </tp>
      <tp t="s">
        <v>912827ZN5</v>
        <stp/>
        <stp>##V3_BDPV12</stp>
        <stp>912827ZN Govt</stp>
        <stp>ID_CUSIP</stp>
        <stp>[TREASURY.xlsx]Sheet1!R685C19</stp>
        <tr r="S685" s="1"/>
      </tp>
      <tp t="s">
        <v>912827TA0</v>
        <stp/>
        <stp>##V3_BDPV12</stp>
        <stp>912827TA Govt</stp>
        <stp>ID_CUSIP</stp>
        <stp>[TREASURY.xlsx]Sheet1!R834C19</stp>
        <tr r="S834" s="1"/>
      </tp>
      <tp t="s">
        <v>912827ZH8</v>
        <stp/>
        <stp>##V3_BDPV12</stp>
        <stp>912827ZH Govt</stp>
        <stp>ID_CUSIP</stp>
        <stp>[TREASURY.xlsx]Sheet1!R634C19</stp>
        <tr r="S634" s="1"/>
      </tp>
      <tp t="s">
        <v>912827UV2</v>
        <stp/>
        <stp>##V3_BDPV12</stp>
        <stp>912827UV Govt</stp>
        <stp>ID_CUSIP</stp>
        <stp>[TREASURY.xlsx]Sheet1!R922C19</stp>
        <tr r="S922" s="1"/>
      </tp>
      <tp t="s">
        <v>912827X49</v>
        <stp/>
        <stp>##V3_BDPV12</stp>
        <stp>912827X4 Govt</stp>
        <stp>ID_CUSIP</stp>
        <stp>[TREASURY.xlsx]Sheet1!R769C19</stp>
        <tr r="S769" s="1"/>
      </tp>
      <tp t="s">
        <v>912827X98</v>
        <stp/>
        <stp>##V3_BDPV12</stp>
        <stp>912827X9 Govt</stp>
        <stp>ID_CUSIP</stp>
        <stp>[TREASURY.xlsx]Sheet1!R770C19</stp>
        <tr r="S770" s="1"/>
      </tp>
      <tp t="s">
        <v>912827V90</v>
        <stp/>
        <stp>##V3_BDPV12</stp>
        <stp>912827V9 Govt</stp>
        <stp>ID_CUSIP</stp>
        <stp>[TREASURY.xlsx]Sheet1!R923C19</stp>
        <tr r="S923" s="1"/>
      </tp>
      <tp t="s">
        <v>912827XC1</v>
        <stp/>
        <stp>##V3_BDPV12</stp>
        <stp>912827XC Govt</stp>
        <stp>ID_CUSIP</stp>
        <stp>[TREASURY.xlsx]Sheet1!R771C19</stp>
        <tr r="S771" s="1"/>
      </tp>
      <tp t="s">
        <v>912827XK3</v>
        <stp/>
        <stp>##V3_BDPV12</stp>
        <stp>912827XK Govt</stp>
        <stp>ID_CUSIP</stp>
        <stp>[TREASURY.xlsx]Sheet1!R773C19</stp>
        <tr r="S773" s="1"/>
      </tp>
      <tp t="s">
        <v>912827VN9</v>
        <stp/>
        <stp>##V3_BDPV12</stp>
        <stp>912827VN Govt</stp>
        <stp>ID_CUSIP</stp>
        <stp>[TREASURY.xlsx]Sheet1!R925C19</stp>
        <tr r="S925" s="1"/>
      </tp>
      <tp t="s">
        <v>912827XH0</v>
        <stp/>
        <stp>##V3_BDPV12</stp>
        <stp>912827XH Govt</stp>
        <stp>ID_CUSIP</stp>
        <stp>[TREASURY.xlsx]Sheet1!R772C19</stp>
        <tr r="S772" s="1"/>
      </tp>
      <tp t="s">
        <v>912827VH2</v>
        <stp/>
        <stp>##V3_BDPV12</stp>
        <stp>912827VH Govt</stp>
        <stp>ID_CUSIP</stp>
        <stp>[TREASURY.xlsx]Sheet1!R924C19</stp>
        <tr r="S924" s="1"/>
      </tp>
      <tp t="s">
        <v>912827VV1</v>
        <stp/>
        <stp>##V3_BDPV12</stp>
        <stp>912827VV Govt</stp>
        <stp>ID_CUSIP</stp>
        <stp>[TREASURY.xlsx]Sheet1!R926C19</stp>
        <tr r="S926" s="1"/>
      </tp>
      <tp t="s">
        <v>912827XT4</v>
        <stp/>
        <stp>##V3_BDPV12</stp>
        <stp>912827XT Govt</stp>
        <stp>ID_CUSIP</stp>
        <stp>[TREASURY.xlsx]Sheet1!R774C19</stp>
        <tr r="S774" s="1"/>
      </tp>
      <tp t="s">
        <v>912827VX7</v>
        <stp/>
        <stp>##V3_BDPV12</stp>
        <stp>912827VX Govt</stp>
        <stp>ID_CUSIP</stp>
        <stp>[TREASURY.xlsx]Sheet1!R927C19</stp>
        <tr r="S927" s="1"/>
      </tp>
      <tp t="s">
        <v>912827YR7</v>
        <stp/>
        <stp>##V3_BDPV12</stp>
        <stp>912827YR Govt</stp>
        <stp>ID_CUSIP</stp>
        <stp>[TREASURY.xlsx]Sheet1!R684C19</stp>
        <tr r="S684" s="1"/>
      </tp>
      <tp t="s">
        <v>912827W40</v>
        <stp/>
        <stp>##V3_BDPV12</stp>
        <stp>912827W4 Govt</stp>
        <stp>ID_CUSIP</stp>
        <stp>[TREASURY.xlsx]Sheet1!R929C19</stp>
        <tr r="S929" s="1"/>
      </tp>
      <tp t="s">
        <v>912827W32</v>
        <stp/>
        <stp>##V3_BDPV12</stp>
        <stp>912827W3 Govt</stp>
        <stp>ID_CUSIP</stp>
        <stp>[TREASURY.xlsx]Sheet1!R928C19</stp>
        <tr r="S928" s="1"/>
      </tp>
      <tp t="s">
        <v>912827W81</v>
        <stp/>
        <stp>##V3_BDPV12</stp>
        <stp>912827W8 Govt</stp>
        <stp>ID_CUSIP</stp>
        <stp>[TREASURY.xlsx]Sheet1!R930C19</stp>
        <tr r="S930" s="1"/>
      </tp>
      <tp t="s">
        <v>912827WB4</v>
        <stp/>
        <stp>##V3_BDPV12</stp>
        <stp>912827WB Govt</stp>
        <stp>ID_CUSIP</stp>
        <stp>[TREASURY.xlsx]Sheet1!R931C19</stp>
        <tr r="S931" s="1"/>
      </tp>
      <tp t="s">
        <v>912827YJ5</v>
        <stp/>
        <stp>##V3_BDPV12</stp>
        <stp>912827YJ Govt</stp>
        <stp>ID_CUSIP</stp>
        <stp>[TREASURY.xlsx]Sheet1!R775C19</stp>
        <tr r="S775" s="1"/>
      </tp>
      <tp t="s">
        <v>912827WK4</v>
        <stp/>
        <stp>##V3_BDPV12</stp>
        <stp>912827WK Govt</stp>
        <stp>ID_CUSIP</stp>
        <stp>[TREASURY.xlsx]Sheet1!R932C19</stp>
        <tr r="S932" s="1"/>
      </tp>
      <tp t="s">
        <v>912827YN6</v>
        <stp/>
        <stp>##V3_BDPV12</stp>
        <stp>912827YN Govt</stp>
        <stp>ID_CUSIP</stp>
        <stp>[TREASURY.xlsx]Sheet1!R776C19</stp>
        <tr r="S776" s="1"/>
      </tp>
      <tp t="s">
        <v>912827WR9</v>
        <stp/>
        <stp>##V3_BDPV12</stp>
        <stp>912827WR Govt</stp>
        <stp>ID_CUSIP</stp>
        <stp>[TREASURY.xlsx]Sheet1!R933C19</stp>
        <tr r="S933" s="1"/>
      </tp>
      <tp t="s">
        <v>USD</v>
        <stp/>
        <stp>##V3_BDPV12</stp>
        <stp>9128272S Govt</stp>
        <stp>CRNCY</stp>
        <stp>[TREASURY.xlsx]Sheet1!R1520C7</stp>
        <tr r="G1520" s="1"/>
      </tp>
      <tp t="s">
        <v>USD</v>
        <stp/>
        <stp>##V3_BDPV12</stp>
        <stp>9128273S Govt</stp>
        <stp>CRNCY</stp>
        <stp>[TREASURY.xlsx]Sheet1!R1531C7</stp>
        <tr r="G1531" s="1"/>
      </tp>
      <tp t="s">
        <v>T</v>
        <stp/>
        <stp>##V3_BDPV12</stp>
        <stp>912827F4 Govt</stp>
        <stp>TICKER</stp>
        <stp>[TREASURY.xlsx]Sheet1!R1559C2</stp>
        <tr r="B1559" s="1"/>
      </tp>
      <tp t="s">
        <v>T</v>
        <stp/>
        <stp>##V3_BDPV12</stp>
        <stp>912827D8 Govt</stp>
        <stp>TICKER</stp>
        <stp>[TREASURY.xlsx]Sheet1!R1485C2</stp>
        <tr r="B1485" s="1"/>
      </tp>
      <tp t="s">
        <v>T</v>
        <stp/>
        <stp>##V3_BDPV12</stp>
        <stp>912827J5 Govt</stp>
        <stp>TICKER</stp>
        <stp>[TREASURY.xlsx]Sheet1!R1488C2</stp>
        <tr r="B1488" s="1"/>
      </tp>
      <tp t="s">
        <v>T</v>
        <stp/>
        <stp>##V3_BDPV12</stp>
        <stp>912827R4 Govt</stp>
        <stp>TICKER</stp>
        <stp>[TREASURY.xlsx]Sheet1!R1499C2</stp>
        <tr r="B1499" s="1"/>
      </tp>
      <tp t="s">
        <v>USD</v>
        <stp/>
        <stp>##V3_BDPV12</stp>
        <stp>9128275Q Govt</stp>
        <stp>CRNCY</stp>
        <stp>[TREASURY.xlsx]Sheet1!R1017C7</stp>
        <tr r="G1017" s="1"/>
      </tp>
      <tp t="s">
        <v>USD</v>
        <stp/>
        <stp>##V3_BDPV12</stp>
        <stp>9128273Z Govt</stp>
        <stp>CRNCY</stp>
        <stp>[TREASURY.xlsx]Sheet1!R1361C7</stp>
        <tr r="G1361" s="1"/>
      </tp>
      <tp t="s">
        <v>USD</v>
        <stp/>
        <stp>##V3_BDPV12</stp>
        <stp>9128284B Govt</stp>
        <stp>CRNCY</stp>
        <stp>[TREASURY.xlsx]Sheet1!R1106C7</stp>
        <tr r="G1106" s="1"/>
      </tp>
      <tp t="s">
        <v>#N/A Field Not Applicable</v>
        <stp/>
        <stp>##V3_BDPV12</stp>
        <stp>912827A6 Govt</stp>
        <stp>IDX_RATIO</stp>
        <stp>[TREASURY.xlsx]Sheet1!R1474C20</stp>
        <tr r="T1474" s="1"/>
      </tp>
      <tp t="s">
        <v>#N/A Field Not Applicable</v>
        <stp/>
        <stp>##V3_BDPV12</stp>
        <stp>912827W6 Govt</stp>
        <stp>IDX_RATIO</stp>
        <stp>[TREASURY.xlsx]Sheet1!R1415C20</stp>
        <tr r="T1415" s="1"/>
      </tp>
      <tp t="s">
        <v>#N/A Field Not Applicable</v>
        <stp/>
        <stp>##V3_BDPV12</stp>
        <stp>912827K6 Govt</stp>
        <stp>IDX_RATIO</stp>
        <stp>[TREASURY.xlsx]Sheet1!R1490C20</stp>
        <tr r="T1490" s="1"/>
      </tp>
      <tp t="s">
        <v>#N/A Field Not Applicable</v>
        <stp/>
        <stp>##V3_BDPV12</stp>
        <stp>912827C6 Govt</stp>
        <stp>IDX_RATIO</stp>
        <stp>[TREASURY.xlsx]Sheet1!R1554C20</stp>
        <tr r="T1554" s="1"/>
      </tp>
      <tp t="s">
        <v>#N/A Field Not Applicable</v>
        <stp/>
        <stp>##V3_BDPV12</stp>
        <stp>912827B6 Govt</stp>
        <stp>IDX_RATIO</stp>
        <stp>[TREASURY.xlsx]Sheet1!R1550C20</stp>
        <tr r="T1550" s="1"/>
      </tp>
      <tp t="s">
        <v>#N/A Field Not Applicable</v>
        <stp/>
        <stp>##V3_BDPV12</stp>
        <stp>912827R6 Govt</stp>
        <stp>IDX_RATIO</stp>
        <stp>[TREASURY.xlsx]Sheet1!R1500C20</stp>
        <tr r="T1500" s="1"/>
      </tp>
      <tp t="s">
        <v>#N/A Field Not Applicable</v>
        <stp/>
        <stp>##V3_BDPV12</stp>
        <stp>912827Z6 Govt</stp>
        <stp>IDX_RATIO</stp>
        <stp>[TREASURY.xlsx]Sheet1!R1226C20</stp>
        <tr r="T1226" s="1"/>
      </tp>
      <tp t="s">
        <v>#N/A Field Not Applicable</v>
        <stp/>
        <stp>##V3_BDPV12</stp>
        <stp>912827X6 Govt</stp>
        <stp>IDX_RATIO</stp>
        <stp>[TREASURY.xlsx]Sheet1!R1212C20</stp>
        <tr r="T1212" s="1"/>
      </tp>
      <tp t="s">
        <v>#N/A Field Not Applicable</v>
        <stp/>
        <stp>##V3_BDPV12</stp>
        <stp>912828K6 Govt</stp>
        <stp>IDX_RATIO</stp>
        <stp>[TREASURY.xlsx]Sheet1!R1248C20</stp>
        <tr r="T1248" s="1"/>
      </tp>
      <tp t="s">
        <v>#N/A Field Not Applicable</v>
        <stp/>
        <stp>##V3_BDPV12</stp>
        <stp>912828M6 Govt</stp>
        <stp>IDX_RATIO</stp>
        <stp>[TREASURY.xlsx]Sheet1!R1251C20</stp>
        <tr r="T1251" s="1"/>
      </tp>
      <tp t="s">
        <v>#N/A Field Not Applicable</v>
        <stp/>
        <stp>##V3_BDPV12</stp>
        <stp>912827E6 Govt</stp>
        <stp>IDX_RATIO</stp>
        <stp>[TREASURY.xlsx]Sheet1!R1371C20</stp>
        <tr r="T1371" s="1"/>
      </tp>
      <tp t="s">
        <v>#N/A Field Not Applicable</v>
        <stp/>
        <stp>##V3_BDPV12</stp>
        <stp>912827F6 Govt</stp>
        <stp>IDX_RATIO</stp>
        <stp>[TREASURY.xlsx]Sheet1!R1373C20</stp>
        <tr r="T1373" s="1"/>
      </tp>
      <tp t="s">
        <v>#N/A Field Not Applicable</v>
        <stp/>
        <stp>##V3_BDPV12</stp>
        <stp>912827Q6 Govt</stp>
        <stp>IDX_RATIO</stp>
        <stp>[TREASURY.xlsx]Sheet1!R1343C20</stp>
        <tr r="T1343" s="1"/>
      </tp>
      <tp t="s">
        <v>#N/A Field Not Applicable</v>
        <stp/>
        <stp>##V3_BDPV12</stp>
        <stp>912827J6 Govt</stp>
        <stp>IDX_RATIO</stp>
        <stp>[TREASURY.xlsx]Sheet1!R1317C20</stp>
        <tr r="T1317" s="1"/>
      </tp>
      <tp t="s">
        <v>#N/A Field Not Applicable</v>
        <stp/>
        <stp>##V3_BDPV12</stp>
        <stp>912827P6 Govt</stp>
        <stp>IDX_RATIO</stp>
        <stp>[TREASURY.xlsx]Sheet1!R1387C20</stp>
        <tr r="T1387" s="1"/>
      </tp>
      <tp t="s">
        <v>USD</v>
        <stp/>
        <stp>##V3_BDPV12</stp>
        <stp>9128273G Govt</stp>
        <stp>CRNCY</stp>
        <stp>[TREASURY.xlsx]Sheet1!R1011C7</stp>
        <tr r="G1011" s="1"/>
      </tp>
      <tp t="s">
        <v>#N/A Field Not Applicable</v>
        <stp/>
        <stp>##V3_BDPV12</stp>
        <stp>912827L6 Govt</stp>
        <stp>IDX_RATIO</stp>
        <stp>[TREASURY.xlsx]Sheet1!R1041C20</stp>
        <tr r="T1041" s="1"/>
      </tp>
      <tp t="s">
        <v>#N/A Field Not Applicable</v>
        <stp/>
        <stp>##V3_BDPV12</stp>
        <stp>912827G6 Govt</stp>
        <stp>IDX_RATIO</stp>
        <stp>[TREASURY.xlsx]Sheet1!R1036C20</stp>
        <tr r="T1036" s="1"/>
      </tp>
      <tp t="s">
        <v>#N/A Field Not Applicable</v>
        <stp/>
        <stp>##V3_BDPV12</stp>
        <stp>912827Y6 Govt</stp>
        <stp>IDX_RATIO</stp>
        <stp>[TREASURY.xlsx]Sheet1!R1099C20</stp>
        <tr r="T1099" s="1"/>
      </tp>
      <tp t="s">
        <v>#N/A Field Not Applicable</v>
        <stp/>
        <stp>##V3_BDPV12</stp>
        <stp>912827V6 Govt</stp>
        <stp>IDX_RATIO</stp>
        <stp>[TREASURY.xlsx]Sheet1!R1084C20</stp>
        <tr r="T1084" s="1"/>
      </tp>
      <tp t="s">
        <v>USD</v>
        <stp/>
        <stp>##V3_BDPV12</stp>
        <stp>9128272D Govt</stp>
        <stp>CRNCY</stp>
        <stp>[TREASURY.xlsx]Sheet1!R1350C7</stp>
        <tr r="G1350" s="1"/>
      </tp>
      <tp t="s">
        <v>#N/A Field Not Applicable</v>
        <stp/>
        <stp>##V3_BDPV12</stp>
        <stp>912827T6 Govt</stp>
        <stp>IDX_RATIO</stp>
        <stp>[TREASURY.xlsx]Sheet1!R1191C20</stp>
        <tr r="T1191" s="1"/>
      </tp>
      <tp t="s">
        <v>#N/A Field Not Applicable</v>
        <stp/>
        <stp>##V3_BDPV12</stp>
        <stp>912827S6 Govt</stp>
        <stp>IDX_RATIO</stp>
        <stp>[TREASURY.xlsx]Sheet1!R1182C20</stp>
        <tr r="T1182" s="1"/>
      </tp>
      <tp t="s">
        <v>USD</v>
        <stp/>
        <stp>##V3_BDPV12</stp>
        <stp>9128277E Govt</stp>
        <stp>CRNCY</stp>
        <stp>[TREASURY.xlsx]Sheet1!R1545C7</stp>
        <tr r="G1545" s="1"/>
      </tp>
      <tp t="s">
        <v>USD</v>
        <stp/>
        <stp>##V3_BDPV12</stp>
        <stp>9128274K Govt</stp>
        <stp>CRNCY</stp>
        <stp>[TREASURY.xlsx]Sheet1!R1366C7</stp>
        <tr r="G1366" s="1"/>
      </tp>
      <tp t="s">
        <v>USD</v>
        <stp/>
        <stp>##V3_BDPV12</stp>
        <stp>9128272H Govt</stp>
        <stp>CRNCY</stp>
        <stp>[TREASURY.xlsx]Sheet1!R1450C7</stp>
        <tr r="G1450" s="1"/>
      </tp>
      <tp t="s">
        <v>USD</v>
        <stp/>
        <stp>##V3_BDPV12</stp>
        <stp>9128276N Govt</stp>
        <stp>CRNCY</stp>
        <stp>[TREASURY.xlsx]Sheet1!R1024C7</stp>
        <tr r="G1024" s="1"/>
      </tp>
      <tp t="s">
        <v>T 0 1/8 10/15/23</v>
        <stp/>
        <stp>##V3_BDPV12</stp>
        <stp>91282CAP Govt</stp>
        <stp>SECURITY_NAME</stp>
        <stp>[TREASURY.xlsx]Sheet1!R151C16</stp>
        <tr r="P151" s="1"/>
      </tp>
      <tp t="s">
        <v>T 1 5/8 03/31/05</v>
        <stp/>
        <stp>##V3_BDPV12</stp>
        <stp>912828AW Govt</stp>
        <stp>SECURITY_NAME</stp>
        <stp>[TREASURY.xlsx]Sheet1!R667C16</stp>
        <tr r="P667" s="1"/>
      </tp>
      <tp t="s">
        <v>T 3 7/8 02/15/13</v>
        <stp/>
        <stp>##V3_BDPV12</stp>
        <stp>912828AU Govt</stp>
        <stp>SECURITY_NAME</stp>
        <stp>[TREASURY.xlsx]Sheet1!R474C16</stp>
        <tr r="P474" s="1"/>
      </tp>
      <tp t="s">
        <v>T 1 1/2 02/28/05</v>
        <stp/>
        <stp>##V3_BDPV12</stp>
        <stp>912828AV Govt</stp>
        <stp>SECURITY_NAME</stp>
        <stp>[TREASURY.xlsx]Sheet1!R602C16</stp>
        <tr r="P602" s="1"/>
      </tp>
      <tp t="s">
        <v>T 3 02/15/08</v>
        <stp/>
        <stp>##V3_BDPV12</stp>
        <stp>912828AT Govt</stp>
        <stp>SECURITY_NAME</stp>
        <stp>[TREASURY.xlsx]Sheet1!R635C16</stp>
        <tr r="P635" s="1"/>
      </tp>
      <tp t="s">
        <v>T 1 5/8 01/31/05</v>
        <stp/>
        <stp>##V3_BDPV12</stp>
        <stp>912828AS Govt</stp>
        <stp>SECURITY_NAME</stp>
        <stp>[TREASURY.xlsx]Sheet1!R785C16</stp>
        <tr r="P785" s="1"/>
      </tp>
      <tp t="s">
        <v>T 0 1/2 10/31/27</v>
        <stp/>
        <stp>##V3_BDPV12</stp>
        <stp>91282CAU Govt</stp>
        <stp>SECURITY_NAME</stp>
        <stp>[TREASURY.xlsx]Sheet1!R102C16</stp>
        <tr r="P102" s="1"/>
      </tp>
      <tp t="s">
        <v>T 2 11/30/04</v>
        <stp/>
        <stp>##V3_BDPV12</stp>
        <stp>912828AQ Govt</stp>
        <stp>SECURITY_NAME</stp>
        <stp>[TREASURY.xlsx]Sheet1!R512C16</stp>
        <tr r="P512" s="1"/>
      </tp>
      <tp t="s">
        <v>T 1 3/4 12/31/04</v>
        <stp/>
        <stp>##V3_BDPV12</stp>
        <stp>912828AR Govt</stp>
        <stp>SECURITY_NAME</stp>
        <stp>[TREASURY.xlsx]Sheet1!R658C16</stp>
        <tr r="P658" s="1"/>
      </tp>
      <tp t="s">
        <v>T 0 1/4 11/15/23</v>
        <stp/>
        <stp>##V3_BDPV12</stp>
        <stp>91282CAW Govt</stp>
        <stp>SECURITY_NAME</stp>
        <stp>[TREASURY.xlsx]Sheet1!R109C16</stp>
        <tr r="P109" s="1"/>
      </tp>
      <tp t="s">
        <v>T 0 5/8 11/30/27</v>
        <stp/>
        <stp>##V3_BDPV12</stp>
        <stp>91282CAY Govt</stp>
        <stp>SECURITY_NAME</stp>
        <stp>[TREASURY.xlsx]Sheet1!R144C16</stp>
        <tr r="P144" s="1"/>
      </tp>
      <tp t="s">
        <v>T 1 5/8 04/30/05</v>
        <stp/>
        <stp>##V3_BDPV12</stp>
        <stp>912828AX Govt</stp>
        <stp>SECURITY_NAME</stp>
        <stp>[TREASURY.xlsx]Sheet1!R502C16</stp>
        <tr r="P502" s="1"/>
      </tp>
      <tp t="s">
        <v>T 2 05/15/06</v>
        <stp/>
        <stp>##V3_BDPV12</stp>
        <stp>912828AY Govt</stp>
        <stp>SECURITY_NAME</stp>
        <stp>[TREASURY.xlsx]Sheet1!R507C16</stp>
        <tr r="P507" s="1"/>
      </tp>
      <tp t="s">
        <v>T 2 5/8 05/15/08</v>
        <stp/>
        <stp>##V3_BDPV12</stp>
        <stp>912828AZ Govt</stp>
        <stp>SECURITY_NAME</stp>
        <stp>[TREASURY.xlsx]Sheet1!R415C16</stp>
        <tr r="P415" s="1"/>
      </tp>
      <tp t="s">
        <v>T 3 1/4 05/31/04</v>
        <stp/>
        <stp>##V3_BDPV12</stp>
        <stp>912828AD Govt</stp>
        <stp>SECURITY_NAME</stp>
        <stp>[TREASURY.xlsx]Sheet1!R412C16</stp>
        <tr r="P412" s="1"/>
      </tp>
      <tp t="s">
        <v>T 2 7/8 06/30/04</v>
        <stp/>
        <stp>##V3_BDPV12</stp>
        <stp>912828AE Govt</stp>
        <stp>SECURITY_NAME</stp>
        <stp>[TREASURY.xlsx]Sheet1!R530C16</stp>
        <tr r="P530" s="1"/>
      </tp>
      <tp t="s">
        <v>T 0 1/8 07/31/22</v>
        <stp/>
        <stp>##V3_BDPV12</stp>
        <stp>91282CAC Govt</stp>
        <stp>SECURITY_NAME</stp>
        <stp>[TREASURY.xlsx]Sheet1!R120C16</stp>
        <tr r="P120" s="1"/>
      </tp>
      <tp t="s">
        <v>T 2 1/8 08/31/04</v>
        <stp/>
        <stp>##V3_BDPV12</stp>
        <stp>912828AK Govt</stp>
        <stp>SECURITY_NAME</stp>
        <stp>[TREASURY.xlsx]Sheet1!R959C16</stp>
        <tr r="P959" s="1"/>
      </tp>
      <tp t="s">
        <v>T 3 5/8 03/31/04</v>
        <stp/>
        <stp>##V3_BDPV12</stp>
        <stp>912828AA Govt</stp>
        <stp>SECURITY_NAME</stp>
        <stp>[TREASURY.xlsx]Sheet1!R426C16</stp>
        <tr r="P426" s="1"/>
      </tp>
      <tp t="s">
        <v>T 0 3/8 07/31/27</v>
        <stp/>
        <stp>##V3_BDPV12</stp>
        <stp>91282CAD Govt</stp>
        <stp>SECURITY_NAME</stp>
        <stp>[TREASURY.xlsx]Sheet1!R132C16</stp>
        <tr r="P132" s="1"/>
      </tp>
      <tp t="s">
        <v>T 0 1/8 08/15/23</v>
        <stp/>
        <stp>##V3_BDPV12</stp>
        <stp>91282CAF Govt</stp>
        <stp>SECURITY_NAME</stp>
        <stp>[TREASURY.xlsx]Sheet1!R195C16</stp>
        <tr r="P195" s="1"/>
      </tp>
      <tp t="s">
        <v>T 0 1/8 08/31/22</v>
        <stp/>
        <stp>##V3_BDPV12</stp>
        <stp>91282CAG Govt</stp>
        <stp>SECURITY_NAME</stp>
        <stp>[TREASURY.xlsx]Sheet1!R133C16</stp>
        <tr r="P133" s="1"/>
      </tp>
      <tp t="s">
        <v>T 0 1/2 08/31/27</v>
        <stp/>
        <stp>##V3_BDPV12</stp>
        <stp>91282CAH Govt</stp>
        <stp>SECURITY_NAME</stp>
        <stp>[TREASURY.xlsx]Sheet1!R167C16</stp>
        <tr r="P167" s="1"/>
      </tp>
      <tp t="s">
        <v>T 3 11/15/07</v>
        <stp/>
        <stp>##V3_BDPV12</stp>
        <stp>912828AN Govt</stp>
        <stp>SECURITY_NAME</stp>
        <stp>[TREASURY.xlsx]Sheet1!R657C16</stp>
        <tr r="P657" s="1"/>
      </tp>
      <tp t="s">
        <v>T 3 3/8 04/30/04</v>
        <stp/>
        <stp>##V3_BDPV12</stp>
        <stp>912828AB Govt</stp>
        <stp>SECURITY_NAME</stp>
        <stp>[TREASURY.xlsx]Sheet1!R958C16</stp>
        <tr r="P958" s="1"/>
      </tp>
      <tp t="s">
        <v>T 1 7/8 09/30/04</v>
        <stp/>
        <stp>##V3_BDPV12</stp>
        <stp>912828AL Govt</stp>
        <stp>SECURITY_NAME</stp>
        <stp>[TREASURY.xlsx]Sheet1!R666C16</stp>
        <tr r="P666" s="1"/>
      </tp>
      <tp t="s">
        <v>T 0 3/8 09/30/27</v>
        <stp/>
        <stp>##V3_BDPV12</stp>
        <stp>91282CAL Govt</stp>
        <stp>SECURITY_NAME</stp>
        <stp>[TREASURY.xlsx]Sheet1!R142C16</stp>
        <tr r="P142" s="1"/>
      </tp>
      <tp t="s">
        <v>T 4 3/8 08/15/12</v>
        <stp/>
        <stp>##V3_BDPV12</stp>
        <stp>912828AJ Govt</stp>
        <stp>SECURITY_NAME</stp>
        <stp>[TREASURY.xlsx]Sheet1!R531C16</stp>
        <tr r="P531" s="1"/>
      </tp>
      <tp t="s">
        <v>T 2 1/4 07/31/04</v>
        <stp/>
        <stp>##V3_BDPV12</stp>
        <stp>912828AG Govt</stp>
        <stp>SECURITY_NAME</stp>
        <stp>[TREASURY.xlsx]Sheet1!R837C16</stp>
        <tr r="P837" s="1"/>
      </tp>
      <tp t="s">
        <v>US91282CCY57</v>
        <stp/>
        <stp>##V3_BDPV12</stp>
        <stp>91282CCY Govt</stp>
        <stp>ID_ISIN</stp>
        <stp>[TREASURY.xlsx]Sheet1!R13C12</stp>
        <tr r="L13" s="1"/>
      </tp>
      <tp t="s">
        <v>US912810SY55</v>
        <stp/>
        <stp>##V3_BDPV12</stp>
        <stp>912810SY Govt</stp>
        <stp>ID_ISIN</stp>
        <stp>[TREASURY.xlsx]Sheet1!R21C12</stp>
        <tr r="L21" s="1"/>
      </tp>
      <tp t="s">
        <v>9128282R0</v>
        <stp/>
        <stp>##V3_BDPV12</stp>
        <stp>9128282R Govt</stp>
        <stp>ID_CUSIP</stp>
        <stp>[TREASURY.xlsx]Sheet1!R98C19</stp>
        <tr r="S98" s="1"/>
      </tp>
      <tp t="s">
        <v>9128285M8</v>
        <stp/>
        <stp>##V3_BDPV12</stp>
        <stp>9128285M Govt</stp>
        <stp>ID_CUSIP</stp>
        <stp>[TREASURY.xlsx]Sheet1!R51C19</stp>
        <tr r="S51" s="1"/>
      </tp>
      <tp t="s">
        <v>9128285D8</v>
        <stp/>
        <stp>##V3_BDPV12</stp>
        <stp>9128285D Govt</stp>
        <stp>ID_CUSIP</stp>
        <stp>[TREASURY.xlsx]Sheet1!R54C19</stp>
        <tr r="S54" s="1"/>
      </tp>
      <tp t="s">
        <v>9128286T2</v>
        <stp/>
        <stp>##V3_BDPV12</stp>
        <stp>9128286T Govt</stp>
        <stp>ID_CUSIP</stp>
        <stp>[TREASURY.xlsx]Sheet1!R48C19</stp>
        <tr r="S48" s="1"/>
      </tp>
      <tp t="s">
        <v>9128286B1</v>
        <stp/>
        <stp>##V3_BDPV12</stp>
        <stp>9128286B Govt</stp>
        <stp>ID_CUSIP</stp>
        <stp>[TREASURY.xlsx]Sheet1!R43C19</stp>
        <tr r="S43" s="1"/>
      </tp>
      <tp t="s">
        <v>9128284N7</v>
        <stp/>
        <stp>##V3_BDPV12</stp>
        <stp>9128284N Govt</stp>
        <stp>ID_CUSIP</stp>
        <stp>[TREASURY.xlsx]Sheet1!R71C19</stp>
        <tr r="S71" s="1"/>
      </tp>
      <tp t="s">
        <v>9128283W8</v>
        <stp/>
        <stp>##V3_BDPV12</stp>
        <stp>9128283W Govt</stp>
        <stp>ID_CUSIP</stp>
        <stp>[TREASURY.xlsx]Sheet1!R68C19</stp>
        <tr r="S68" s="1"/>
      </tp>
      <tp t="s">
        <v>9128283F5</v>
        <stp/>
        <stp>##V3_BDPV12</stp>
        <stp>9128283F Govt</stp>
        <stp>ID_CUSIP</stp>
        <stp>[TREASURY.xlsx]Sheet1!R65C19</stp>
        <tr r="S65" s="1"/>
      </tp>
      <tp t="s">
        <v>9128284V9</v>
        <stp/>
        <stp>##V3_BDPV12</stp>
        <stp>9128284V Govt</stp>
        <stp>ID_CUSIP</stp>
        <stp>[TREASURY.xlsx]Sheet1!R23C19</stp>
        <tr r="S23" s="1"/>
      </tp>
      <tp t="s">
        <v>9128282A7</v>
        <stp/>
        <stp>##V3_BDPV12</stp>
        <stp>9128282A Govt</stp>
        <stp>ID_CUSIP</stp>
        <stp>[TREASURY.xlsx]Sheet1!R56C19</stp>
        <tr r="S56" s="1"/>
      </tp>
      <tp t="s">
        <v>912828D56</v>
        <stp/>
        <stp>##V3_BDPV12</stp>
        <stp>912828D5 Govt</stp>
        <stp>ID_CUSIP</stp>
        <stp>[TREASURY.xlsx]Sheet1!R70C19</stp>
        <tr r="S70" s="1"/>
      </tp>
      <tp t="s">
        <v>912828J27</v>
        <stp/>
        <stp>##V3_BDPV12</stp>
        <stp>912828J2 Govt</stp>
        <stp>ID_CUSIP</stp>
        <stp>[TREASURY.xlsx]Sheet1!R94C19</stp>
        <tr r="S94" s="1"/>
      </tp>
      <tp t="s">
        <v>912828K74</v>
        <stp/>
        <stp>##V3_BDPV12</stp>
        <stp>912828K7 Govt</stp>
        <stp>ID_CUSIP</stp>
        <stp>[TREASURY.xlsx]Sheet1!R81C19</stp>
        <tr r="S81" s="1"/>
      </tp>
      <tp t="s">
        <v>912828Z94</v>
        <stp/>
        <stp>##V3_BDPV12</stp>
        <stp>912828Z9 Govt</stp>
        <stp>ID_CUSIP</stp>
        <stp>[TREASURY.xlsx]Sheet1!R25C19</stp>
        <tr r="S25" s="1"/>
      </tp>
      <tp t="s">
        <v>912828P46</v>
        <stp/>
        <stp>##V3_BDPV12</stp>
        <stp>912828P4 Govt</stp>
        <stp>ID_CUSIP</stp>
        <stp>[TREASURY.xlsx]Sheet1!R91C19</stp>
        <tr r="S91" s="1"/>
      </tp>
      <tp t="s">
        <v>912828ZQ6</v>
        <stp/>
        <stp>##V3_BDPV12</stp>
        <stp>912828ZQ Govt</stp>
        <stp>ID_CUSIP</stp>
        <stp>[TREASURY.xlsx]Sheet1!R31C19</stp>
        <tr r="S31" s="1"/>
      </tp>
      <tp t="s">
        <v>912828YS3</v>
        <stp/>
        <stp>##V3_BDPV12</stp>
        <stp>912828YS Govt</stp>
        <stp>ID_CUSIP</stp>
        <stp>[TREASURY.xlsx]Sheet1!R38C19</stp>
        <tr r="S38" s="1"/>
      </tp>
      <tp t="s">
        <v>912828YB0</v>
        <stp/>
        <stp>##V3_BDPV12</stp>
        <stp>912828YB Govt</stp>
        <stp>ID_CUSIP</stp>
        <stp>[TREASURY.xlsx]Sheet1!R26C19</stp>
        <tr r="S26" s="1"/>
      </tp>
      <tp t="s">
        <v>912828ZL7</v>
        <stp/>
        <stp>##V3_BDPV12</stp>
        <stp>912828ZL Govt</stp>
        <stp>ID_CUSIP</stp>
        <stp>[TREASURY.xlsx]Sheet1!R66C19</stp>
        <tr r="S66" s="1"/>
      </tp>
      <tp t="s">
        <v>912828ZG8</v>
        <stp/>
        <stp>##V3_BDPV12</stp>
        <stp>912828ZG Govt</stp>
        <stp>ID_CUSIP</stp>
        <stp>[TREASURY.xlsx]Sheet1!R62C19</stp>
        <tr r="S62" s="1"/>
      </tp>
      <tp t="s">
        <v>912828ZF0</v>
        <stp/>
        <stp>##V3_BDPV12</stp>
        <stp>912828ZF Govt</stp>
        <stp>ID_CUSIP</stp>
        <stp>[TREASURY.xlsx]Sheet1!R61C19</stp>
        <tr r="S61" s="1"/>
      </tp>
      <tp t="s">
        <v>912828U24</v>
        <stp/>
        <stp>##V3_BDPV12</stp>
        <stp>912828U2 Govt</stp>
        <stp>ID_CUSIP</stp>
        <stp>[TREASURY.xlsx]Sheet1!R84C19</stp>
        <tr r="S84" s="1"/>
      </tp>
      <tp t="s">
        <v>912828ZC7</v>
        <stp/>
        <stp>##V3_BDPV12</stp>
        <stp>912828ZC Govt</stp>
        <stp>ID_CUSIP</stp>
        <stp>[TREASURY.xlsx]Sheet1!R74C19</stp>
        <tr r="S74" s="1"/>
      </tp>
      <tp t="s">
        <v>912828YF1</v>
        <stp/>
        <stp>##V3_BDPV12</stp>
        <stp>912828YF Govt</stp>
        <stp>ID_CUSIP</stp>
        <stp>[TREASURY.xlsx]Sheet1!R76C19</stp>
        <tr r="S76" s="1"/>
      </tp>
      <tp t="s">
        <v>912828YG9</v>
        <stp/>
        <stp>##V3_BDPV12</stp>
        <stp>912828YG Govt</stp>
        <stp>ID_CUSIP</stp>
        <stp>[TREASURY.xlsx]Sheet1!R69C19</stp>
        <tr r="S69" s="1"/>
      </tp>
      <tp t="s">
        <v>912828X88</v>
        <stp/>
        <stp>##V3_BDPV12</stp>
        <stp>912828X8 Govt</stp>
        <stp>ID_CUSIP</stp>
        <stp>[TREASURY.xlsx]Sheet1!R97C19</stp>
        <tr r="S97" s="1"/>
      </tp>
      <tp t="s">
        <v>912828YQ7</v>
        <stp/>
        <stp>##V3_BDPV12</stp>
        <stp>912828YQ Govt</stp>
        <stp>ID_CUSIP</stp>
        <stp>[TREASURY.xlsx]Sheet1!R87C19</stp>
        <tr r="S87" s="1"/>
      </tp>
      <tp t="s">
        <v>912828YJ3</v>
        <stp/>
        <stp>##V3_BDPV12</stp>
        <stp>912828YJ Govt</stp>
        <stp>ID_CUSIP</stp>
        <stp>[TREASURY.xlsx]Sheet1!R80C19</stp>
        <tr r="S80" s="1"/>
      </tp>
      <tp t="s">
        <v>912828Z52</v>
        <stp/>
        <stp>##V3_BDPV12</stp>
        <stp>912828Z5 Govt</stp>
        <stp>ID_CUSIP</stp>
        <stp>[TREASURY.xlsx]Sheet1!R83C19</stp>
        <tr r="S83" s="1"/>
      </tp>
      <tp t="s">
        <v>912828ZT0</v>
        <stp/>
        <stp>##V3_BDPV12</stp>
        <stp>912828ZT Govt</stp>
        <stp>ID_CUSIP</stp>
        <stp>[TREASURY.xlsx]Sheet1!R85C19</stp>
        <tr r="S85" s="1"/>
      </tp>
      <tp t="s">
        <v>2/15/2041</v>
        <stp/>
        <stp>##V3_BDPV12</stp>
        <stp>912810SW Govt</stp>
        <stp>MATURITY</stp>
        <stp>[TREASURY.xlsx]Sheet1!R44C5</stp>
        <tr r="E44" s="1"/>
      </tp>
      <tp t="s">
        <v>8/15/2040</v>
        <stp/>
        <stp>##V3_BDPV12</stp>
        <stp>912810SQ Govt</stp>
        <stp>MATURITY</stp>
        <stp>[TREASURY.xlsx]Sheet1!R92C5</stp>
        <tr r="E92" s="1"/>
      </tp>
      <tp t="s">
        <v>2/15/2031</v>
        <stp/>
        <stp>##V3_BDPV12</stp>
        <stp>912810FP Govt</stp>
        <stp>MATURITY</stp>
        <stp>[TREASURY.xlsx]Sheet1!R93C5</stp>
        <tr r="E93" s="1"/>
      </tp>
      <tp t="s">
        <v>91282CAB7</v>
        <stp/>
        <stp>##V3_BDPV12</stp>
        <stp>91282CAB Govt</stp>
        <stp>ID_CUSIP</stp>
        <stp>[TREASURY.xlsx]Sheet1!R99C19</stp>
        <tr r="S99" s="1"/>
      </tp>
      <tp t="s">
        <v>91282CBV2</v>
        <stp/>
        <stp>##V3_BDPV12</stp>
        <stp>91282CBV Govt</stp>
        <stp>ID_CUSIP</stp>
        <stp>[TREASURY.xlsx]Sheet1!R89C19</stp>
        <tr r="S89" s="1"/>
      </tp>
      <tp t="s">
        <v>91282CBP5</v>
        <stp/>
        <stp>##V3_BDPV12</stp>
        <stp>91282CBP Govt</stp>
        <stp>ID_CUSIP</stp>
        <stp>[TREASURY.xlsx]Sheet1!R86C19</stp>
        <tr r="S86" s="1"/>
      </tp>
      <tp t="s">
        <v>91282CBN0</v>
        <stp/>
        <stp>##V3_BDPV12</stp>
        <stp>91282CBN Govt</stp>
        <stp>ID_CUSIP</stp>
        <stp>[TREASURY.xlsx]Sheet1!R82C19</stp>
        <tr r="S82" s="1"/>
      </tp>
      <tp t="s">
        <v>91282CCC3</v>
        <stp/>
        <stp>##V3_BDPV12</stp>
        <stp>91282CCC Govt</stp>
        <stp>ID_CUSIP</stp>
        <stp>[TREASURY.xlsx]Sheet1!R88C19</stp>
        <tr r="S88" s="1"/>
      </tp>
      <tp t="s">
        <v>91282CBW0</v>
        <stp/>
        <stp>##V3_BDPV12</stp>
        <stp>91282CBW Govt</stp>
        <stp>ID_CUSIP</stp>
        <stp>[TREASURY.xlsx]Sheet1!R29C19</stp>
        <tr r="S29" s="1"/>
      </tp>
      <tp t="s">
        <v>91282CAV3</v>
        <stp/>
        <stp>##V3_BDPV12</stp>
        <stp>91282CAV Govt</stp>
        <stp>ID_CUSIP</stp>
        <stp>[TREASURY.xlsx]Sheet1!R17C19</stp>
        <tr r="S17" s="1"/>
      </tp>
      <tp t="s">
        <v>91282CAE1</v>
        <stp/>
        <stp>##V3_BDPV12</stp>
        <stp>91282CAE Govt</stp>
        <stp>ID_CUSIP</stp>
        <stp>[TREASURY.xlsx]Sheet1!R18C19</stp>
        <tr r="S18" s="1"/>
      </tp>
      <tp t="s">
        <v>91282CCH2</v>
        <stp/>
        <stp>##V3_BDPV12</stp>
        <stp>91282CCH Govt</stp>
        <stp>ID_CUSIP</stp>
        <stp>[TREASURY.xlsx]Sheet1!R36C19</stp>
        <tr r="S36" s="1"/>
      </tp>
      <tp t="s">
        <v>91282CCL3</v>
        <stp/>
        <stp>##V3_BDPV12</stp>
        <stp>91282CCL Govt</stp>
        <stp>ID_CUSIP</stp>
        <stp>[TREASURY.xlsx]Sheet1!R32C19</stp>
        <tr r="S32" s="1"/>
      </tp>
      <tp t="s">
        <v>91282CCK5</v>
        <stp/>
        <stp>##V3_BDPV12</stp>
        <stp>91282CCK Govt</stp>
        <stp>ID_CUSIP</stp>
        <stp>[TREASURY.xlsx]Sheet1!R33C19</stp>
        <tr r="S33" s="1"/>
      </tp>
      <tp t="s">
        <v>91282CCF6</v>
        <stp/>
        <stp>##V3_BDPV12</stp>
        <stp>91282CCF Govt</stp>
        <stp>ID_CUSIP</stp>
        <stp>[TREASURY.xlsx]Sheet1!R34C19</stp>
        <tr r="S34" s="1"/>
      </tp>
      <tp t="s">
        <v>91282CBQ3</v>
        <stp/>
        <stp>##V3_BDPV12</stp>
        <stp>91282CBQ Govt</stp>
        <stp>ID_CUSIP</stp>
        <stp>[TREASURY.xlsx]Sheet1!R30C19</stp>
        <tr r="S30" s="1"/>
      </tp>
      <tp t="s">
        <v>91282CCR0</v>
        <stp/>
        <stp>##V3_BDPV12</stp>
        <stp>91282CCR Govt</stp>
        <stp>ID_CUSIP</stp>
        <stp>[TREASURY.xlsx]Sheet1!R20C19</stp>
        <tr r="S20" s="1"/>
      </tp>
      <tp t="s">
        <v>91282CCJ8</v>
        <stp/>
        <stp>##V3_BDPV12</stp>
        <stp>91282CCJ Govt</stp>
        <stp>ID_CUSIP</stp>
        <stp>[TREASURY.xlsx]Sheet1!R22C19</stp>
        <tr r="S22" s="1"/>
      </tp>
      <tp t="s">
        <v>91282CCN9</v>
        <stp/>
        <stp>##V3_BDPV12</stp>
        <stp>91282CCN Govt</stp>
        <stp>ID_CUSIP</stp>
        <stp>[TREASURY.xlsx]Sheet1!R24C19</stp>
        <tr r="S24" s="1"/>
      </tp>
      <tp t="s">
        <v>91282CAT8</v>
        <stp/>
        <stp>##V3_BDPV12</stp>
        <stp>91282CAT Govt</stp>
        <stp>ID_CUSIP</stp>
        <stp>[TREASURY.xlsx]Sheet1!R39C19</stp>
        <tr r="S39" s="1"/>
      </tp>
      <tp t="s">
        <v>91282CCP4</v>
        <stp/>
        <stp>##V3_BDPV12</stp>
        <stp>91282CCP Govt</stp>
        <stp>ID_CUSIP</stp>
        <stp>[TREASURY.xlsx]Sheet1!R19C19</stp>
        <tr r="S19" s="1"/>
      </tp>
      <tp t="s">
        <v>91282CCY5</v>
        <stp/>
        <stp>##V3_BDPV12</stp>
        <stp>91282CCY Govt</stp>
        <stp>ID_CUSIP</stp>
        <stp>[TREASURY.xlsx]Sheet1!R13C19</stp>
        <tr r="S13" s="1"/>
      </tp>
      <tp t="s">
        <v>91282CCT6</v>
        <stp/>
        <stp>##V3_BDPV12</stp>
        <stp>91282CCT Govt</stp>
        <stp>ID_CUSIP</stp>
        <stp>[TREASURY.xlsx]Sheet1!R16C19</stp>
        <tr r="S16" s="1"/>
      </tp>
      <tp t="s">
        <v>91282CCB5</v>
        <stp/>
        <stp>##V3_BDPV12</stp>
        <stp>91282CCB Govt</stp>
        <stp>ID_CUSIP</stp>
        <stp>[TREASURY.xlsx]Sheet1!R12C19</stp>
        <tr r="S12" s="1"/>
      </tp>
      <tp t="s">
        <v>91282CBL4</v>
        <stp/>
        <stp>##V3_BDPV12</stp>
        <stp>91282CBL Govt</stp>
        <stp>ID_CUSIP</stp>
        <stp>[TREASURY.xlsx]Sheet1!R14C19</stp>
        <tr r="S14" s="1"/>
      </tp>
      <tp t="s">
        <v>91282CCE9</v>
        <stp/>
        <stp>##V3_BDPV12</stp>
        <stp>91282CCE Govt</stp>
        <stp>ID_CUSIP</stp>
        <stp>[TREASURY.xlsx]Sheet1!R77C19</stp>
        <tr r="S77" s="1"/>
      </tp>
      <tp t="s">
        <v>91282CAZ4</v>
        <stp/>
        <stp>##V3_BDPV12</stp>
        <stp>91282CAZ Govt</stp>
        <stp>ID_CUSIP</stp>
        <stp>[TREASURY.xlsx]Sheet1!R45C19</stp>
        <tr r="S45" s="1"/>
      </tp>
      <tp t="s">
        <v>91282CBX8</v>
        <stp/>
        <stp>##V3_BDPV12</stp>
        <stp>91282CBX Govt</stp>
        <stp>ID_CUSIP</stp>
        <stp>[TREASURY.xlsx]Sheet1!R72C19</stp>
        <tr r="S72" s="1"/>
      </tp>
      <tp t="s">
        <v>91282CBS9</v>
        <stp/>
        <stp>##V3_BDPV12</stp>
        <stp>91282CBS Govt</stp>
        <stp>ID_CUSIP</stp>
        <stp>[TREASURY.xlsx]Sheet1!R75C19</stp>
        <tr r="S75" s="1"/>
      </tp>
      <tp t="s">
        <v>91282CAM3</v>
        <stp/>
        <stp>##V3_BDPV12</stp>
        <stp>91282CAM Govt</stp>
        <stp>ID_CUSIP</stp>
        <stp>[TREASURY.xlsx]Sheet1!R42C19</stp>
        <tr r="S42" s="1"/>
      </tp>
      <tp t="s">
        <v>91282CBA8</v>
        <stp/>
        <stp>##V3_BDPV12</stp>
        <stp>91282CBA Govt</stp>
        <stp>ID_CUSIP</stp>
        <stp>[TREASURY.xlsx]Sheet1!R78C19</stp>
        <tr r="S78" s="1"/>
      </tp>
      <tp t="s">
        <v>91282CAN1</v>
        <stp/>
        <stp>##V3_BDPV12</stp>
        <stp>91282CAN Govt</stp>
        <stp>ID_CUSIP</stp>
        <stp>[TREASURY.xlsx]Sheet1!R46C19</stp>
        <tr r="S46" s="1"/>
      </tp>
      <tp t="s">
        <v>91282CDA6</v>
        <stp/>
        <stp>##V3_BDPV12</stp>
        <stp>91282CDA Govt</stp>
        <stp>ID_CUSIP</stp>
        <stp>[TREASURY.xlsx]Sheet1!R11C19</stp>
        <tr r="S11" s="1"/>
      </tp>
      <tp t="s">
        <v>91282CAJ0</v>
        <stp/>
        <stp>##V3_BDPV12</stp>
        <stp>91282CAJ Govt</stp>
        <stp>ID_CUSIP</stp>
        <stp>[TREASURY.xlsx]Sheet1!R49C19</stp>
        <tr r="S49" s="1"/>
      </tp>
      <tp t="s">
        <v>91282CCD1</v>
        <stp/>
        <stp>##V3_BDPV12</stp>
        <stp>91282CCD Govt</stp>
        <stp>ID_CUSIP</stp>
        <stp>[TREASURY.xlsx]Sheet1!R58C19</stp>
        <tr r="S58" s="1"/>
      </tp>
      <tp t="s">
        <v>91282CBC4</v>
        <stp/>
        <stp>##V3_BDPV12</stp>
        <stp>91282CBC Govt</stp>
        <stp>ID_CUSIP</stp>
        <stp>[TREASURY.xlsx]Sheet1!R41C19</stp>
        <tr r="S41" s="1"/>
      </tp>
      <tp t="s">
        <v>91282CAX9</v>
        <stp/>
        <stp>##V3_BDPV12</stp>
        <stp>91282CAX Govt</stp>
        <stp>ID_CUSIP</stp>
        <stp>[TREASURY.xlsx]Sheet1!R67C19</stp>
        <tr r="S67" s="1"/>
      </tp>
      <tp t="s">
        <v>91282CBR1</v>
        <stp/>
        <stp>##V3_BDPV12</stp>
        <stp>91282CBR Govt</stp>
        <stp>ID_CUSIP</stp>
        <stp>[TREASURY.xlsx]Sheet1!R55C19</stp>
        <tr r="S55" s="1"/>
      </tp>
      <tp t="s">
        <v>91282CAR2</v>
        <stp/>
        <stp>##V3_BDPV12</stp>
        <stp>91282CAR Govt</stp>
        <stp>ID_CUSIP</stp>
        <stp>[TREASURY.xlsx]Sheet1!R64C19</stp>
        <tr r="S64" s="1"/>
      </tp>
      <tp t="s">
        <v>91282CBT7</v>
        <stp/>
        <stp>##V3_BDPV12</stp>
        <stp>91282CBT Govt</stp>
        <stp>ID_CUSIP</stp>
        <stp>[TREASURY.xlsx]Sheet1!R52C19</stp>
        <tr r="S52" s="1"/>
      </tp>
      <tp t="s">
        <v>91282CBU4</v>
        <stp/>
        <stp>##V3_BDPV12</stp>
        <stp>91282CBU Govt</stp>
        <stp>ID_CUSIP</stp>
        <stp>[TREASURY.xlsx]Sheet1!R53C19</stp>
        <tr r="S53" s="1"/>
      </tp>
      <tp t="s">
        <v>91282CAK7</v>
        <stp/>
        <stp>##V3_BDPV12</stp>
        <stp>91282CAK Govt</stp>
        <stp>ID_CUSIP</stp>
        <stp>[TREASURY.xlsx]Sheet1!R60C19</stp>
        <tr r="S60" s="1"/>
      </tp>
      <tp t="s">
        <v>91282CBD2</v>
        <stp/>
        <stp>##V3_BDPV12</stp>
        <stp>91282CBD Govt</stp>
        <stp>ID_CUSIP</stp>
        <stp>[TREASURY.xlsx]Sheet1!R50C19</stp>
        <tr r="S50" s="1"/>
      </tp>
      <tp t="s">
        <v>91282CBH3</v>
        <stp/>
        <stp>##V3_BDPV12</stp>
        <stp>91282CBH Govt</stp>
        <stp>ID_CUSIP</stp>
        <stp>[TREASURY.xlsx]Sheet1!R59C19</stp>
        <tr r="S59" s="1"/>
      </tp>
      <tp t="s">
        <v>91282CBG5</v>
        <stp/>
        <stp>##V3_BDPV12</stp>
        <stp>91282CBG Govt</stp>
        <stp>ID_CUSIP</stp>
        <stp>[TREASURY.xlsx]Sheet1!R57C19</stp>
        <tr r="S57" s="1"/>
      </tp>
      <tp t="s">
        <v>91282CCG4</v>
        <stp/>
        <stp>##V3_BDPV12</stp>
        <stp>91282CCG Govt</stp>
        <stp>ID_CUSIP</stp>
        <stp>[TREASURY.xlsx]Sheet1!R47C19</stp>
        <tr r="S47" s="1"/>
      </tp>
      <tp t="s">
        <v>T 2 11/30/20</v>
        <stp/>
        <stp>##V3_BDPV12</stp>
        <stp>912828A4 Govt</stp>
        <stp>SECURITY_NAME</stp>
        <stp>[TREASURY.xlsx]Sheet1!R555C16</stp>
        <tr r="P555" s="1"/>
      </tp>
      <tp t="s">
        <v>T</v>
        <stp/>
        <stp>##V3_BDPV12</stp>
        <stp>912828P5 Govt</stp>
        <stp>TICKER</stp>
        <stp>[TREASURY.xlsx]Sheet1!R1259C2</stp>
        <tr r="B1259" s="1"/>
      </tp>
      <tp t="s">
        <v>T</v>
        <stp/>
        <stp>##V3_BDPV12</stp>
        <stp>912828T8 Govt</stp>
        <stp>TICKER</stp>
        <stp>[TREASURY.xlsx]Sheet1!R1304C2</stp>
        <tr r="B1304" s="1"/>
      </tp>
      <tp t="s">
        <v>T</v>
        <stp/>
        <stp>##V3_BDPV12</stp>
        <stp>912827H9 Govt</stp>
        <stp>TICKER</stp>
        <stp>[TREASURY.xlsx]Sheet1!R1375C2</stp>
        <tr r="B1375" s="1"/>
      </tp>
      <tp t="s">
        <v>T</v>
        <stp/>
        <stp>##V3_BDPV12</stp>
        <stp>912827G8 Govt</stp>
        <stp>TICKER</stp>
        <stp>[TREASURY.xlsx]Sheet1!R1374C2</stp>
        <tr r="B1374" s="1"/>
      </tp>
      <tp t="s">
        <v>T</v>
        <stp/>
        <stp>##V3_BDPV12</stp>
        <stp>912827K5 Govt</stp>
        <stp>TICKER</stp>
        <stp>[TREASURY.xlsx]Sheet1!R1159C2</stp>
        <tr r="B1159" s="1"/>
      </tp>
      <tp t="s">
        <v>T</v>
        <stp/>
        <stp>##V3_BDPV12</stp>
        <stp>912827F8 Govt</stp>
        <stp>TICKER</stp>
        <stp>[TREASURY.xlsx]Sheet1!R1154C2</stp>
        <tr r="B1154" s="1"/>
      </tp>
      <tp t="s">
        <v>T</v>
        <stp/>
        <stp>##V3_BDPV12</stp>
        <stp>912827F9 Govt</stp>
        <stp>TICKER</stp>
        <stp>[TREASURY.xlsx]Sheet1!R1155C2</stp>
        <tr r="B1155" s="1"/>
      </tp>
      <tp t="s">
        <v>T</v>
        <stp/>
        <stp>##V3_BDPV12</stp>
        <stp>912827N4 Govt</stp>
        <stp>TICKER</stp>
        <stp>[TREASURY.xlsx]Sheet1!R1048C2</stp>
        <tr r="B1048" s="1"/>
      </tp>
      <tp t="s">
        <v>T</v>
        <stp/>
        <stp>##V3_BDPV12</stp>
        <stp>912827Z5 Govt</stp>
        <stp>TICKER</stp>
        <stp>[TREASURY.xlsx]Sheet1!R1609C2</stp>
        <tr r="B1609" s="1"/>
      </tp>
      <tp t="s">
        <v>T</v>
        <stp/>
        <stp>##V3_BDPV12</stp>
        <stp>912827T9 Govt</stp>
        <stp>TICKER</stp>
        <stp>[TREASURY.xlsx]Sheet1!R1505C2</stp>
        <tr r="B1505" s="1"/>
      </tp>
      <tp t="s">
        <v>T 1 1/2 12/31/18</v>
        <stp/>
        <stp>##V3_BDPV12</stp>
        <stp>912828A7 Govt</stp>
        <stp>SECURITY_NAME</stp>
        <stp>[TREASURY.xlsx]Sheet1!R481C16</stp>
        <tr r="P481" s="1"/>
      </tp>
      <tp t="s">
        <v>T 0 1/4 12/31/15</v>
        <stp/>
        <stp>##V3_BDPV12</stp>
        <stp>912828A6 Govt</stp>
        <stp>SECURITY_NAME</stp>
        <stp>[TREASURY.xlsx]Sheet1!R580C16</stp>
        <tr r="P580" s="1"/>
      </tp>
      <tp t="s">
        <v>USD</v>
        <stp/>
        <stp>##V3_BDPV12</stp>
        <stp>9128275P Govt</stp>
        <stp>CRNCY</stp>
        <stp>[TREASURY.xlsx]Sheet1!R1016C7</stp>
        <tr r="G1016" s="1"/>
      </tp>
      <tp t="s">
        <v>USD</v>
        <stp/>
        <stp>##V3_BDPV12</stp>
        <stp>9128273P Govt</stp>
        <stp>CRNCY</stp>
        <stp>[TREASURY.xlsx]Sheet1!R1530C7</stp>
        <tr r="G1530" s="1"/>
      </tp>
      <tp t="s">
        <v>USD</v>
        <stp/>
        <stp>##V3_BDPV12</stp>
        <stp>9128274Q Govt</stp>
        <stp>CRNCY</stp>
        <stp>[TREASURY.xlsx]Sheet1!R1367C7</stp>
        <tr r="G1367" s="1"/>
      </tp>
      <tp t="s">
        <v>T 1 1/4 11/30/18</v>
        <stp/>
        <stp>##V3_BDPV12</stp>
        <stp>912828A3 Govt</stp>
        <stp>SECURITY_NAME</stp>
        <stp>[TREASURY.xlsx]Sheet1!R627C16</stp>
        <tr r="P627" s="1"/>
      </tp>
      <tp t="s">
        <v>USD</v>
        <stp/>
        <stp>##V3_BDPV12</stp>
        <stp>9128273V Govt</stp>
        <stp>CRNCY</stp>
        <stp>[TREASURY.xlsx]Sheet1!R1360C7</stp>
        <tr r="G1360" s="1"/>
      </tp>
      <tp t="s">
        <v>USD</v>
        <stp/>
        <stp>##V3_BDPV12</stp>
        <stp>9128276T Govt</stp>
        <stp>CRNCY</stp>
        <stp>[TREASURY.xlsx]Sheet1!R1025C7</stp>
        <tr r="G1025" s="1"/>
      </tp>
      <tp t="s">
        <v>USD</v>
        <stp/>
        <stp>##V3_BDPV12</stp>
        <stp>9128272T Govt</stp>
        <stp>CRNCY</stp>
        <stp>[TREASURY.xlsx]Sheet1!R1521C7</stp>
        <tr r="G1521" s="1"/>
      </tp>
      <tp t="s">
        <v>T 2 3/8 12/31/20</v>
        <stp/>
        <stp>##V3_BDPV12</stp>
        <stp>912828A8 Govt</stp>
        <stp>SECURITY_NAME</stp>
        <stp>[TREASURY.xlsx]Sheet1!R434C16</stp>
        <tr r="P434" s="1"/>
      </tp>
      <tp t="s">
        <v>T 0 3/4 01/15/17</v>
        <stp/>
        <stp>##V3_BDPV12</stp>
        <stp>912828A9 Govt</stp>
        <stp>SECURITY_NAME</stp>
        <stp>[TREASURY.xlsx]Sheet1!R640C16</stp>
        <tr r="P640" s="1"/>
      </tp>
      <tp t="s">
        <v>USD</v>
        <stp/>
        <stp>##V3_BDPV12</stp>
        <stp>9128273C Govt</stp>
        <stp>CRNCY</stp>
        <stp>[TREASURY.xlsx]Sheet1!R1010C7</stp>
        <tr r="G1010" s="1"/>
      </tp>
      <tp t="s">
        <v>USD</v>
        <stp/>
        <stp>##V3_BDPV12</stp>
        <stp>9128277C Govt</stp>
        <stp>CRNCY</stp>
        <stp>[TREASURY.xlsx]Sheet1!R1544C7</stp>
        <tr r="G1544" s="1"/>
      </tp>
      <tp t="s">
        <v>#N/A Field Not Applicable</v>
        <stp/>
        <stp>##V3_BDPV12</stp>
        <stp>912827V7 Govt</stp>
        <stp>IDX_RATIO</stp>
        <stp>[TREASURY.xlsx]Sheet1!R1410C20</stp>
        <tr r="T1410" s="1"/>
      </tp>
      <tp t="s">
        <v>#N/A Field Not Applicable</v>
        <stp/>
        <stp>##V3_BDPV12</stp>
        <stp>912827W7 Govt</stp>
        <stp>IDX_RATIO</stp>
        <stp>[TREASURY.xlsx]Sheet1!R1416C20</stp>
        <tr r="T1416" s="1"/>
      </tp>
      <tp t="s">
        <v>#N/A Field Not Applicable</v>
        <stp/>
        <stp>##V3_BDPV12</stp>
        <stp>912827R7 Govt</stp>
        <stp>IDX_RATIO</stp>
        <stp>[TREASURY.xlsx]Sheet1!R1577C20</stp>
        <tr r="T1577" s="1"/>
      </tp>
      <tp t="s">
        <v>#N/A Field Not Applicable</v>
        <stp/>
        <stp>##V3_BDPV12</stp>
        <stp>912827J7 Govt</stp>
        <stp>IDX_RATIO</stp>
        <stp>[TREASURY.xlsx]Sheet1!R1562C20</stp>
        <tr r="T1562" s="1"/>
      </tp>
      <tp t="s">
        <v>#N/A Field Not Applicable</v>
        <stp/>
        <stp>##V3_BDPV12</stp>
        <stp>912827K7 Govt</stp>
        <stp>IDX_RATIO</stp>
        <stp>[TREASURY.xlsx]Sheet1!R1563C20</stp>
        <tr r="T1563" s="1"/>
      </tp>
      <tp t="s">
        <v>#N/A Field Not Applicable</v>
        <stp/>
        <stp>##V3_BDPV12</stp>
        <stp>912827L7 Govt</stp>
        <stp>IDX_RATIO</stp>
        <stp>[TREASURY.xlsx]Sheet1!R1565C20</stp>
        <tr r="T1565" s="1"/>
      </tp>
      <tp t="s">
        <v>#N/A Field Not Applicable</v>
        <stp/>
        <stp>##V3_BDPV12</stp>
        <stp>912827C7 Govt</stp>
        <stp>IDX_RATIO</stp>
        <stp>[TREASURY.xlsx]Sheet1!R1555C20</stp>
        <tr r="T1555" s="1"/>
      </tp>
      <tp t="s">
        <v>#N/A Field Not Applicable</v>
        <stp/>
        <stp>##V3_BDPV12</stp>
        <stp>912827B7 Govt</stp>
        <stp>IDX_RATIO</stp>
        <stp>[TREASURY.xlsx]Sheet1!R1551C20</stp>
        <tr r="T1551" s="1"/>
      </tp>
      <tp t="s">
        <v>#N/A Field Not Applicable</v>
        <stp/>
        <stp>##V3_BDPV12</stp>
        <stp>912827U7 Govt</stp>
        <stp>IDX_RATIO</stp>
        <stp>[TREASURY.xlsx]Sheet1!R1511C20</stp>
        <tr r="T1511" s="1"/>
      </tp>
      <tp t="s">
        <v>#N/A Field Not Applicable</v>
        <stp/>
        <stp>##V3_BDPV12</stp>
        <stp>912827S7 Govt</stp>
        <stp>IDX_RATIO</stp>
        <stp>[TREASURY.xlsx]Sheet1!R1504C20</stp>
        <tr r="T1504" s="1"/>
      </tp>
      <tp t="s">
        <v>USD</v>
        <stp/>
        <stp>##V3_BDPV12</stp>
        <stp>9128274A Govt</stp>
        <stp>CRNCY</stp>
        <stp>[TREASURY.xlsx]Sheet1!R1457C7</stp>
        <tr r="G1457" s="1"/>
      </tp>
      <tp t="s">
        <v>#N/A Field Not Applicable</v>
        <stp/>
        <stp>##V3_BDPV12</stp>
        <stp>912827Y7 Govt</stp>
        <stp>IDX_RATIO</stp>
        <stp>[TREASURY.xlsx]Sheet1!R1219C20</stp>
        <tr r="T1219" s="1"/>
      </tp>
      <tp t="s">
        <v>#N/A Field Not Applicable</v>
        <stp/>
        <stp>##V3_BDPV12</stp>
        <stp>912828B7 Govt</stp>
        <stp>IDX_RATIO</stp>
        <stp>[TREASURY.xlsx]Sheet1!R1270C20</stp>
        <tr r="T1270" s="1"/>
      </tp>
      <tp t="s">
        <v>USD</v>
        <stp/>
        <stp>##V3_BDPV12</stp>
        <stp>9128272F Govt</stp>
        <stp>CRNCY</stp>
        <stp>[TREASURY.xlsx]Sheet1!R1351C7</stp>
        <tr r="G1351" s="1"/>
      </tp>
      <tp t="s">
        <v>#N/A Field Not Applicable</v>
        <stp/>
        <stp>##V3_BDPV12</stp>
        <stp>912827P7 Govt</stp>
        <stp>IDX_RATIO</stp>
        <stp>[TREASURY.xlsx]Sheet1!R1338C20</stp>
        <tr r="T1338" s="1"/>
      </tp>
      <tp t="s">
        <v>#N/A Field Not Applicable</v>
        <stp/>
        <stp>##V3_BDPV12</stp>
        <stp>912827F7 Govt</stp>
        <stp>IDX_RATIO</stp>
        <stp>[TREASURY.xlsx]Sheet1!R1315C20</stp>
        <tr r="T1315" s="1"/>
      </tp>
      <tp t="s">
        <v>#N/A Field Not Applicable</v>
        <stp/>
        <stp>##V3_BDPV12</stp>
        <stp>912827T7 Govt</stp>
        <stp>IDX_RATIO</stp>
        <stp>[TREASURY.xlsx]Sheet1!R1070C20</stp>
        <tr r="T1070" s="1"/>
      </tp>
      <tp t="s">
        <v>#N/A Field Not Applicable</v>
        <stp/>
        <stp>##V3_BDPV12</stp>
        <stp>912827M7 Govt</stp>
        <stp>IDX_RATIO</stp>
        <stp>[TREASURY.xlsx]Sheet1!R1044C20</stp>
        <tr r="T1044" s="1"/>
      </tp>
      <tp t="s">
        <v>#N/A Field Not Applicable</v>
        <stp/>
        <stp>##V3_BDPV12</stp>
        <stp>912827A7 Govt</stp>
        <stp>IDX_RATIO</stp>
        <stp>[TREASURY.xlsx]Sheet1!R1031C20</stp>
        <tr r="T1031" s="1"/>
      </tp>
      <tp t="s">
        <v>#N/A Field Not Applicable</v>
        <stp/>
        <stp>##V3_BDPV12</stp>
        <stp>912827G7 Govt</stp>
        <stp>IDX_RATIO</stp>
        <stp>[TREASURY.xlsx]Sheet1!R1037C20</stp>
        <tr r="T1037" s="1"/>
      </tp>
      <tp t="s">
        <v>#N/A Field Not Applicable</v>
        <stp/>
        <stp>##V3_BDPV12</stp>
        <stp>912827X7 Govt</stp>
        <stp>IDX_RATIO</stp>
        <stp>[TREASURY.xlsx]Sheet1!R1095C20</stp>
        <tr r="T1095" s="1"/>
      </tp>
      <tp t="s">
        <v>USD</v>
        <stp/>
        <stp>##V3_BDPV12</stp>
        <stp>9128276D Govt</stp>
        <stp>CRNCY</stp>
        <stp>[TREASURY.xlsx]Sheet1!R1465C7</stp>
        <tr r="G1465" s="1"/>
      </tp>
      <tp t="s">
        <v>#N/A Field Not Applicable</v>
        <stp/>
        <stp>##V3_BDPV12</stp>
        <stp>912827Q7 Govt</stp>
        <stp>IDX_RATIO</stp>
        <stp>[TREASURY.xlsx]Sheet1!R1178C20</stp>
        <tr r="T1178" s="1"/>
      </tp>
      <tp t="s">
        <v>#N/A Field Not Applicable</v>
        <stp/>
        <stp>##V3_BDPV12</stp>
        <stp>912827H7 Govt</stp>
        <stp>IDX_RATIO</stp>
        <stp>[TREASURY.xlsx]Sheet1!R1158C20</stp>
        <tr r="T1158" s="1"/>
      </tp>
      <tp t="s">
        <v>USD</v>
        <stp/>
        <stp>##V3_BDPV12</stp>
        <stp>9128272J Govt</stp>
        <stp>CRNCY</stp>
        <stp>[TREASURY.xlsx]Sheet1!R1451C7</stp>
        <tr r="G1451" s="1"/>
      </tp>
      <tp t="s">
        <v>T 1 7/8 12/31/05</v>
        <stp/>
        <stp>##V3_BDPV12</stp>
        <stp>912828BU Govt</stp>
        <stp>SECURITY_NAME</stp>
        <stp>[TREASURY.xlsx]Sheet1!R533C16</stp>
        <tr r="P533" s="1"/>
      </tp>
      <tp t="s">
        <v>T 3 3/8 12/15/08</v>
        <stp/>
        <stp>##V3_BDPV12</stp>
        <stp>912828BT Govt</stp>
        <stp>SECURITY_NAME</stp>
        <stp>[TREASURY.xlsx]Sheet1!R787C16</stp>
        <tr r="P787" s="1"/>
      </tp>
      <tp t="s">
        <v>T 3 1/4 01/15/09</v>
        <stp/>
        <stp>##V3_BDPV12</stp>
        <stp>912828BV Govt</stp>
        <stp>SECURITY_NAME</stp>
        <stp>[TREASURY.xlsx]Sheet1!R495C16</stp>
        <tr r="P495" s="1"/>
      </tp>
      <tp t="s">
        <v>T 1 7/8 11/30/05</v>
        <stp/>
        <stp>##V3_BDPV12</stp>
        <stp>912828BS Govt</stp>
        <stp>SECURITY_NAME</stp>
        <stp>[TREASURY.xlsx]Sheet1!R628C16</stp>
        <tr r="P628" s="1"/>
      </tp>
      <tp t="s">
        <v>T 3 3/8 11/15/08</v>
        <stp/>
        <stp>##V3_BDPV12</stp>
        <stp>912828BQ Govt</stp>
        <stp>SECURITY_NAME</stp>
        <stp>[TREASURY.xlsx]Sheet1!R435C16</stp>
        <tr r="P435" s="1"/>
      </tp>
      <tp t="s">
        <v>T 4 1/4 11/15/13</v>
        <stp/>
        <stp>##V3_BDPV12</stp>
        <stp>912828BR Govt</stp>
        <stp>SECURITY_NAME</stp>
        <stp>[TREASURY.xlsx]Sheet1!R541C16</stp>
        <tr r="P541" s="1"/>
      </tp>
      <tp t="s">
        <v>T 2 5/8 11/15/06</v>
        <stp/>
        <stp>##V3_BDPV12</stp>
        <stp>912828BP Govt</stp>
        <stp>SECURITY_NAME</stp>
        <stp>[TREASURY.xlsx]Sheet1!R648C16</stp>
        <tr r="P648" s="1"/>
      </tp>
      <tp t="s">
        <v>T 1 1/4 04/30/28</v>
        <stp/>
        <stp>##V3_BDPV12</stp>
        <stp>91282CBZ Govt</stp>
        <stp>SECURITY_NAME</stp>
        <stp>[TREASURY.xlsx]Sheet1!R126C16</stp>
        <tr r="P126" s="1"/>
      </tp>
      <tp t="s">
        <v>T 1 7/8 01/31/06</v>
        <stp/>
        <stp>##V3_BDPV12</stp>
        <stp>912828BX Govt</stp>
        <stp>SECURITY_NAME</stp>
        <stp>[TREASURY.xlsx]Sheet1!R556C16</stp>
        <tr r="P556" s="1"/>
      </tp>
      <tp t="s">
        <v>T 2 1/4 02/15/07</v>
        <stp/>
        <stp>##V3_BDPV12</stp>
        <stp>912828BY Govt</stp>
        <stp>SECURITY_NAME</stp>
        <stp>[TREASURY.xlsx]Sheet1!R506C16</stp>
        <tr r="P506" s="1"/>
      </tp>
      <tp t="s">
        <v>T 3 02/15/09</v>
        <stp/>
        <stp>##V3_BDPV12</stp>
        <stp>912828BZ Govt</stp>
        <stp>SECURITY_NAME</stp>
        <stp>[TREASURY.xlsx]Sheet1!R436C16</stp>
        <tr r="P436" s="1"/>
      </tp>
      <tp t="s">
        <v>T 0 5/8 12/31/27</v>
        <stp/>
        <stp>##V3_BDPV12</stp>
        <stp>91282CBB Govt</stp>
        <stp>SECURITY_NAME</stp>
        <stp>[TREASURY.xlsx]Sheet1!R114C16</stp>
        <tr r="P114" s="1"/>
      </tp>
      <tp t="s">
        <v>T 3 1/4 08/15/08</v>
        <stp/>
        <stp>##V3_BDPV12</stp>
        <stp>912828BG Govt</stp>
        <stp>SECURITY_NAME</stp>
        <stp>[TREASURY.xlsx]Sheet1!R427C16</stp>
        <tr r="P427" s="1"/>
      </tp>
      <tp t="s">
        <v>T 3 5/8 05/15/13</v>
        <stp/>
        <stp>##V3_BDPV12</stp>
        <stp>912828BA Govt</stp>
        <stp>SECURITY_NAME</stp>
        <stp>[TREASURY.xlsx]Sheet1!R408C16</stp>
        <tr r="P408" s="1"/>
      </tp>
      <tp t="s">
        <v>T 1 1/8 06/30/05</v>
        <stp/>
        <stp>##V3_BDPV12</stp>
        <stp>912828BC Govt</stp>
        <stp>SECURITY_NAME</stp>
        <stp>[TREASURY.xlsx]Sheet1!R641C16</stp>
        <tr r="P641" s="1"/>
      </tp>
      <tp t="s">
        <v>T 0 1/8 01/15/24</v>
        <stp/>
        <stp>##V3_BDPV12</stp>
        <stp>91282CBE Govt</stp>
        <stp>SECURITY_NAME</stp>
        <stp>[TREASURY.xlsx]Sheet1!R115C16</stp>
        <tr r="P115" s="1"/>
      </tp>
      <tp t="s">
        <v>T 1 5/8 10/31/05</v>
        <stp/>
        <stp>##V3_BDPV12</stp>
        <stp>912828BN Govt</stp>
        <stp>SECURITY_NAME</stp>
        <stp>[TREASURY.xlsx]Sheet1!R960C16</stp>
        <tr r="P960" s="1"/>
      </tp>
      <tp t="s">
        <v>T 1 1/4 05/31/05</v>
        <stp/>
        <stp>##V3_BDPV12</stp>
        <stp>912828BB Govt</stp>
        <stp>SECURITY_NAME</stp>
        <stp>[TREASURY.xlsx]Sheet1!R482C16</stp>
        <tr r="P482" s="1"/>
      </tp>
      <tp t="s">
        <v>T 1 5/8 09/30/05</v>
        <stp/>
        <stp>##V3_BDPV12</stp>
        <stp>912828BL Govt</stp>
        <stp>SECURITY_NAME</stp>
        <stp>[TREASURY.xlsx]Sheet1!R513C16</stp>
        <tr r="P513" s="1"/>
      </tp>
      <tp t="s">
        <v>T 3 1/8 10/15/08</v>
        <stp/>
        <stp>##V3_BDPV12</stp>
        <stp>912828BM Govt</stp>
        <stp>SECURITY_NAME</stp>
        <stp>[TREASURY.xlsx]Sheet1!R453C16</stp>
        <tr r="P453" s="1"/>
      </tp>
      <tp t="s">
        <v>T 0 3/4 01/31/28</v>
        <stp/>
        <stp>##V3_BDPV12</stp>
        <stp>91282CBJ Govt</stp>
        <stp>SECURITY_NAME</stp>
        <stp>[TREASURY.xlsx]Sheet1!R123C16</stp>
        <tr r="P123" s="1"/>
      </tp>
      <tp t="s">
        <v>T 3 1/8 09/15/08</v>
        <stp/>
        <stp>##V3_BDPV12</stp>
        <stp>912828BK Govt</stp>
        <stp>SECURITY_NAME</stp>
        <stp>[TREASURY.xlsx]Sheet1!R786C16</stp>
        <tr r="P786" s="1"/>
      </tp>
      <tp t="s">
        <v>T 0 1/8 02/15/24</v>
        <stp/>
        <stp>##V3_BDPV12</stp>
        <stp>91282CBM Govt</stp>
        <stp>SECURITY_NAME</stp>
        <stp>[TREASURY.xlsx]Sheet1!R107C16</stp>
        <tr r="P107" s="1"/>
      </tp>
      <tp t="s">
        <v>T 2 08/31/05</v>
        <stp/>
        <stp>##V3_BDPV12</stp>
        <stp>912828BJ Govt</stp>
        <stp>SECURITY_NAME</stp>
        <stp>[TREASURY.xlsx]Sheet1!R642C16</stp>
        <tr r="P642" s="1"/>
      </tp>
      <tp t="s">
        <v>T 4 1/4 08/15/13</v>
        <stp/>
        <stp>##V3_BDPV12</stp>
        <stp>912828BH Govt</stp>
        <stp>SECURITY_NAME</stp>
        <stp>[TREASURY.xlsx]Sheet1!R452C16</stp>
        <tr r="P452" s="1"/>
      </tp>
      <tp t="s">
        <v>US91282CAZ41</v>
        <stp/>
        <stp>##V3_BDPV12</stp>
        <stp>91282CAZ Govt</stp>
        <stp>ID_ISIN</stp>
        <stp>[TREASURY.xlsx]Sheet1!R45C12</stp>
        <tr r="L45" s="1"/>
      </tp>
      <tp t="s">
        <v>912810FP8</v>
        <stp/>
        <stp>##V3_BDPV12</stp>
        <stp>912810FP Govt</stp>
        <stp>ID_CUSIP</stp>
        <stp>[TREASURY.xlsx]Sheet1!R93C19</stp>
        <tr r="S93" s="1"/>
      </tp>
      <tp t="s">
        <v>912810FT0</v>
        <stp/>
        <stp>##V3_BDPV12</stp>
        <stp>912810FT Govt</stp>
        <stp>ID_CUSIP</stp>
        <stp>[TREASURY.xlsx]Sheet1!R79C19</stp>
        <tr r="S79" s="1"/>
      </tp>
      <tp t="s">
        <v>912810ST6</v>
        <stp/>
        <stp>##V3_BDPV12</stp>
        <stp>912810ST Govt</stp>
        <stp>ID_CUSIP</stp>
        <stp>[TREASURY.xlsx]Sheet1!R90C19</stp>
        <tr r="S90" s="1"/>
      </tp>
      <tp t="s">
        <v>912810SQ2</v>
        <stp/>
        <stp>##V3_BDPV12</stp>
        <stp>912810SQ Govt</stp>
        <stp>ID_CUSIP</stp>
        <stp>[TREASURY.xlsx]Sheet1!R92C19</stp>
        <tr r="S92" s="1"/>
      </tp>
      <tp t="s">
        <v>912810SK5</v>
        <stp/>
        <stp>##V3_BDPV12</stp>
        <stp>912810SK Govt</stp>
        <stp>ID_CUSIP</stp>
        <stp>[TREASURY.xlsx]Sheet1!R95C19</stp>
        <tr r="S95" s="1"/>
      </tp>
      <tp t="s">
        <v>912810RT7</v>
        <stp/>
        <stp>##V3_BDPV12</stp>
        <stp>912810RT Govt</stp>
        <stp>ID_CUSIP</stp>
        <stp>[TREASURY.xlsx]Sheet1!R96C19</stp>
        <tr r="S96" s="1"/>
      </tp>
      <tp t="s">
        <v>912810RV2</v>
        <stp/>
        <stp>##V3_BDPV12</stp>
        <stp>912810RV Govt</stp>
        <stp>ID_CUSIP</stp>
        <stp>[TREASURY.xlsx]Sheet1!R28C19</stp>
        <tr r="S28" s="1"/>
      </tp>
      <tp t="s">
        <v>912810SP4</v>
        <stp/>
        <stp>##V3_BDPV12</stp>
        <stp>912810SP Govt</stp>
        <stp>ID_CUSIP</stp>
        <stp>[TREASURY.xlsx]Sheet1!R35C19</stp>
        <tr r="S35" s="1"/>
      </tp>
      <tp t="s">
        <v>912810SS8</v>
        <stp/>
        <stp>##V3_BDPV12</stp>
        <stp>912810SS Govt</stp>
        <stp>ID_CUSIP</stp>
        <stp>[TREASURY.xlsx]Sheet1!R37C19</stp>
        <tr r="S37" s="1"/>
      </tp>
      <tp t="s">
        <v>912810SY5</v>
        <stp/>
        <stp>##V3_BDPV12</stp>
        <stp>912810SY Govt</stp>
        <stp>ID_CUSIP</stp>
        <stp>[TREASURY.xlsx]Sheet1!R21C19</stp>
        <tr r="S21" s="1"/>
      </tp>
      <tp t="s">
        <v>912810SN9</v>
        <stp/>
        <stp>##V3_BDPV12</stp>
        <stp>912810SN Govt</stp>
        <stp>ID_CUSIP</stp>
        <stp>[TREASURY.xlsx]Sheet1!R27C19</stp>
        <tr r="S27" s="1"/>
      </tp>
      <tp t="s">
        <v>912810SU3</v>
        <stp/>
        <stp>##V3_BDPV12</stp>
        <stp>912810SU Govt</stp>
        <stp>ID_CUSIP</stp>
        <stp>[TREASURY.xlsx]Sheet1!R15C19</stp>
        <tr r="S15" s="1"/>
      </tp>
      <tp t="s">
        <v>912810SJ8</v>
        <stp/>
        <stp>##V3_BDPV12</stp>
        <stp>912810SJ Govt</stp>
        <stp>ID_CUSIP</stp>
        <stp>[TREASURY.xlsx]Sheet1!R73C19</stp>
        <tr r="S73" s="1"/>
      </tp>
      <tp t="s">
        <v>912810TA6</v>
        <stp/>
        <stp>##V3_BDPV12</stp>
        <stp>912810TA Govt</stp>
        <stp>ID_CUSIP</stp>
        <stp>[TREASURY.xlsx]Sheet1!R10C19</stp>
        <tr r="S10" s="1"/>
      </tp>
      <tp t="s">
        <v>912810PU6</v>
        <stp/>
        <stp>##V3_BDPV12</stp>
        <stp>912810PU Govt</stp>
        <stp>ID_CUSIP</stp>
        <stp>[TREASURY.xlsx]Sheet1!R63C19</stp>
        <tr r="S63" s="1"/>
      </tp>
      <tp t="s">
        <v>912810SW9</v>
        <stp/>
        <stp>##V3_BDPV12</stp>
        <stp>912810SW Govt</stp>
        <stp>ID_CUSIP</stp>
        <stp>[TREASURY.xlsx]Sheet1!R44C19</stp>
        <tr r="S44" s="1"/>
      </tp>
      <tp t="s">
        <v>912810SL3</v>
        <stp/>
        <stp>##V3_BDPV12</stp>
        <stp>912810SL Govt</stp>
        <stp>ID_CUSIP</stp>
        <stp>[TREASURY.xlsx]Sheet1!R40C19</stp>
        <tr r="S40" s="1"/>
      </tp>
      <tp t="s">
        <v>2/15/2051</v>
        <stp/>
        <stp>##V3_BDPV12</stp>
        <stp>912810SU Govt</stp>
        <stp>MATURITY</stp>
        <stp>[TREASURY.xlsx]Sheet1!R15C5</stp>
        <tr r="E15" s="1"/>
      </tp>
      <tp t="s">
        <v>5/15/2030</v>
        <stp/>
        <stp>##V3_BDPV12</stp>
        <stp>912828ZQ Govt</stp>
        <stp>MATURITY</stp>
        <stp>[TREASURY.xlsx]Sheet1!R31C5</stp>
        <tr r="E31" s="1"/>
      </tp>
      <tp t="s">
        <v>T</v>
        <stp/>
        <stp>##V3_BDPV12</stp>
        <stp>9128283U Govt</stp>
        <stp>TICKER</stp>
        <stp>[TREASURY.xlsx]Sheet1!R268C2</stp>
        <tr r="B268" s="1"/>
      </tp>
      <tp t="s">
        <v>T</v>
        <stp/>
        <stp>##V3_BDPV12</stp>
        <stp>9128282Q Govt</stp>
        <stp>TICKER</stp>
        <stp>[TREASURY.xlsx]Sheet1!R469C2</stp>
        <tr r="B469" s="1"/>
      </tp>
      <tp t="s">
        <v>NORMAL</v>
        <stp/>
        <stp>##V3_BDPV12</stp>
        <stp>912810FT Govt</stp>
        <stp>MTY_TYP</stp>
        <stp>[TREASURY.xlsx]Sheet1!R79C6</stp>
        <tr r="F79" s="1"/>
      </tp>
      <tp t="s">
        <v>T</v>
        <stp/>
        <stp>##V3_BDPV12</stp>
        <stp>9128282C Govt</stp>
        <stp>TICKER</stp>
        <stp>[TREASURY.xlsx]Sheet1!R439C2</stp>
        <tr r="B439" s="1"/>
      </tp>
      <tp t="s">
        <v>12/31/1997</v>
        <stp/>
        <stp>##V3_BDPV12</stp>
        <stp>9128273S Govt</stp>
        <stp>ISSUE_DT</stp>
        <stp>[TREASURY.xlsx]Sheet1!R1531C15</stp>
        <tr r="O1531" s="1"/>
      </tp>
      <tp t="s">
        <v>T 0 3/8 01/31/16</v>
        <stp/>
        <stp>##V3_BDPV12</stp>
        <stp>912828B4 Govt</stp>
        <stp>SECURITY_NAME</stp>
        <stp>[TREASURY.xlsx]Sheet1!R458C16</stp>
        <tr r="P458" s="1"/>
      </tp>
      <tp t="s">
        <v>T</v>
        <stp/>
        <stp>##V3_BDPV12</stp>
        <stp>912828L8 Govt</stp>
        <stp>TICKER</stp>
        <stp>[TREASURY.xlsx]Sheet1!R1127C2</stp>
        <tr r="B1127" s="1"/>
      </tp>
      <tp t="s">
        <v>T</v>
        <stp/>
        <stp>##V3_BDPV12</stp>
        <stp>912827J9 Govt</stp>
        <stp>TICKER</stp>
        <stp>[TREASURY.xlsx]Sheet1!R1376C2</stp>
        <tr r="B1376" s="1"/>
      </tp>
      <tp t="s">
        <v>T</v>
        <stp/>
        <stp>##V3_BDPV12</stp>
        <stp>912827P7 Govt</stp>
        <stp>TICKER</stp>
        <stp>[TREASURY.xlsx]Sheet1!R1338C2</stp>
        <tr r="B1338" s="1"/>
      </tp>
      <tp t="s">
        <v>T</v>
        <stp/>
        <stp>##V3_BDPV12</stp>
        <stp>912827M9 Govt</stp>
        <stp>TICKER</stp>
        <stp>[TREASURY.xlsx]Sheet1!R1166C2</stp>
        <tr r="B1166" s="1"/>
      </tp>
      <tp t="s">
        <v>T</v>
        <stp/>
        <stp>##V3_BDPV12</stp>
        <stp>912827H7 Govt</stp>
        <stp>TICKER</stp>
        <stp>[TREASURY.xlsx]Sheet1!R1158C2</stp>
        <tr r="B1158" s="1"/>
      </tp>
      <tp t="s">
        <v>T</v>
        <stp/>
        <stp>##V3_BDPV12</stp>
        <stp>912827Q7 Govt</stp>
        <stp>TICKER</stp>
        <stp>[TREASURY.xlsx]Sheet1!R1178C2</stp>
        <tr r="B1178" s="1"/>
      </tp>
      <tp t="s">
        <v>T</v>
        <stp/>
        <stp>##V3_BDPV12</stp>
        <stp>912827Y6 Govt</stp>
        <stp>TICKER</stp>
        <stp>[TREASURY.xlsx]Sheet1!R1099C2</stp>
        <tr r="B1099" s="1"/>
      </tp>
      <tp t="s">
        <v>T</v>
        <stp/>
        <stp>##V3_BDPV12</stp>
        <stp>912827C9 Govt</stp>
        <stp>TICKER</stp>
        <stp>[TREASURY.xlsx]Sheet1!R1556C2</stp>
        <tr r="B1556" s="1"/>
      </tp>
      <tp t="s">
        <v>T</v>
        <stp/>
        <stp>##V3_BDPV12</stp>
        <stp>912827G9 Govt</stp>
        <stp>TICKER</stp>
        <stp>[TREASURY.xlsx]Sheet1!R1486C2</stp>
        <tr r="B1486" s="1"/>
      </tp>
      <tp t="s">
        <v>T</v>
        <stp/>
        <stp>##V3_BDPV12</stp>
        <stp>912827H8 Govt</stp>
        <stp>TICKER</stp>
        <stp>[TREASURY.xlsx]Sheet1!R1487C2</stp>
        <tr r="B1487" s="1"/>
      </tp>
      <tp t="s">
        <v>2/2/1998</v>
        <stp/>
        <stp>##V3_BDPV12</stp>
        <stp>9128273V Govt</stp>
        <stp>ISSUE_DT</stp>
        <stp>[TREASURY.xlsx]Sheet1!R1360C15</stp>
        <tr r="O1360" s="1"/>
      </tp>
      <tp t="s">
        <v>12/1/1997</v>
        <stp/>
        <stp>##V3_BDPV12</stp>
        <stp>9128273P Govt</stp>
        <stp>ISSUE_DT</stp>
        <stp>[TREASURY.xlsx]Sheet1!R1530C15</stp>
        <tr r="O1530" s="1"/>
      </tp>
      <tp t="s">
        <v>T 2 1/8 01/31/21</v>
        <stp/>
        <stp>##V3_BDPV12</stp>
        <stp>912828B5 Govt</stp>
        <stp>SECURITY_NAME</stp>
        <stp>[TREASURY.xlsx]Sheet1!R647C16</stp>
        <tr r="P647" s="1"/>
      </tp>
      <tp t="s">
        <v>2/17/1998</v>
        <stp/>
        <stp>##V3_BDPV12</stp>
        <stp>9128273W Govt</stp>
        <stp>ISSUE_DT</stp>
        <stp>[TREASURY.xlsx]Sheet1!R1456C15</stp>
        <tr r="O1456" s="1"/>
      </tp>
      <tp t="s">
        <v>USD</v>
        <stp/>
        <stp>##V3_BDPV12</stp>
        <stp>9128272V Govt</stp>
        <stp>CRNCY</stp>
        <stp>[TREASURY.xlsx]Sheet1!R1522C7</stp>
        <tr r="G1522" s="1"/>
      </tp>
      <tp t="s">
        <v>12/1/1997</v>
        <stp/>
        <stp>##V3_BDPV12</stp>
        <stp>9128273Q Govt</stp>
        <stp>ISSUE_DT</stp>
        <stp>[TREASURY.xlsx]Sheet1!R1358C15</stp>
        <tr r="O1358" s="1"/>
      </tp>
      <tp t="s">
        <v>2/2/1998</v>
        <stp/>
        <stp>##V3_BDPV12</stp>
        <stp>9128273U Govt</stp>
        <stp>ISSUE_DT</stp>
        <stp>[TREASURY.xlsx]Sheet1!R1455C15</stp>
        <tr r="O1455" s="1"/>
      </tp>
      <tp t="s">
        <v>12/31/1997</v>
        <stp/>
        <stp>##V3_BDPV12</stp>
        <stp>9128273R Govt</stp>
        <stp>ISSUE_DT</stp>
        <stp>[TREASURY.xlsx]Sheet1!R1359C15</stp>
        <tr r="O1359" s="1"/>
      </tp>
      <tp t="s">
        <v>T 2 3/4 02/15/24</v>
        <stp/>
        <stp>##V3_BDPV12</stp>
        <stp>912828B6 Govt</stp>
        <stp>SECURITY_NAME</stp>
        <stp>[TREASURY.xlsx]Sheet1!R110C16</stp>
        <tr r="P110" s="1"/>
      </tp>
      <tp t="s">
        <v>USD</v>
        <stp/>
        <stp>##V3_BDPV12</stp>
        <stp>9128276Z Govt</stp>
        <stp>CRNCY</stp>
        <stp>[TREASURY.xlsx]Sheet1!R1026C7</stp>
        <tr r="G1026" s="1"/>
      </tp>
      <tp t="s">
        <v>USD</v>
        <stp/>
        <stp>##V3_BDPV12</stp>
        <stp>9128274Z Govt</stp>
        <stp>CRNCY</stp>
        <stp>[TREASURY.xlsx]Sheet1!R1534C7</stp>
        <tr r="G1534" s="1"/>
      </tp>
      <tp t="s">
        <v>T 2 02/28/21</v>
        <stp/>
        <stp>##V3_BDPV12</stp>
        <stp>912828B9 Govt</stp>
        <stp>SECURITY_NAME</stp>
        <stp>[TREASURY.xlsx]Sheet1!R371C16</stp>
        <tr r="P371" s="1"/>
      </tp>
      <tp t="s">
        <v>T 0 1/4 02/29/16</v>
        <stp/>
        <stp>##V3_BDPV12</stp>
        <stp>912828B8 Govt</stp>
        <stp>SECURITY_NAME</stp>
        <stp>[TREASURY.xlsx]Sheet1!R571C16</stp>
        <tr r="P571" s="1"/>
      </tp>
      <tp t="s">
        <v>2/15/2018</v>
        <stp/>
        <stp>##V3_BDPV12</stp>
        <stp>9128283X Govt</stp>
        <stp>ISSUE_DT</stp>
        <stp>[TREASURY.xlsx]Sheet1!R1269C15</stp>
        <tr r="O1269" s="1"/>
      </tp>
      <tp t="s">
        <v>3/2/1998</v>
        <stp/>
        <stp>##V3_BDPV12</stp>
        <stp>9128273Z Govt</stp>
        <stp>ISSUE_DT</stp>
        <stp>[TREASURY.xlsx]Sheet1!R1361C15</stp>
        <tr r="O1361" s="1"/>
      </tp>
      <tp t="s">
        <v>8/15/1997</v>
        <stp/>
        <stp>##V3_BDPV12</stp>
        <stp>9128273D Govt</stp>
        <stp>ISSUE_DT</stp>
        <stp>[TREASURY.xlsx]Sheet1!R1354C15</stp>
        <tr r="O1354" s="1"/>
      </tp>
      <tp t="s">
        <v>9/2/1997</v>
        <stp/>
        <stp>##V3_BDPV12</stp>
        <stp>9128273G Govt</stp>
        <stp>ISSUE_DT</stp>
        <stp>[TREASURY.xlsx]Sheet1!R1011C15</stp>
        <tr r="O1011" s="1"/>
      </tp>
      <tp t="s">
        <v>#N/A Field Not Applicable</v>
        <stp/>
        <stp>##V3_BDPV12</stp>
        <stp>912827Y4 Govt</stp>
        <stp>IDX_RATIO</stp>
        <stp>[TREASURY.xlsx]Sheet1!R1602C20</stp>
        <tr r="T1602" s="1"/>
      </tp>
      <tp t="s">
        <v>USD</v>
        <stp/>
        <stp>##V3_BDPV12</stp>
        <stp>9128273B Govt</stp>
        <stp>CRNCY</stp>
        <stp>[TREASURY.xlsx]Sheet1!R1353C7</stp>
        <tr r="G1353" s="1"/>
      </tp>
      <tp t="s">
        <v>USD</v>
        <stp/>
        <stp>##V3_BDPV12</stp>
        <stp>9128275C Govt</stp>
        <stp>CRNCY</stp>
        <stp>[TREASURY.xlsx]Sheet1!R1535C7</stp>
        <tr r="G1535" s="1"/>
      </tp>
      <tp t="s">
        <v>#N/A Field Not Applicable</v>
        <stp/>
        <stp>##V3_BDPV12</stp>
        <stp>912827B4 Govt</stp>
        <stp>IDX_RATIO</stp>
        <stp>[TREASURY.xlsx]Sheet1!R1476C20</stp>
        <tr r="T1476" s="1"/>
      </tp>
      <tp t="s">
        <v>9/2/1997</v>
        <stp/>
        <stp>##V3_BDPV12</stp>
        <stp>9128273F Govt</stp>
        <stp>ISSUE_DT</stp>
        <stp>[TREASURY.xlsx]Sheet1!R1355C15</stp>
        <tr r="O1355" s="1"/>
      </tp>
      <tp t="s">
        <v>#N/A Field Not Applicable</v>
        <stp/>
        <stp>##V3_BDPV12</stp>
        <stp>912827U4 Govt</stp>
        <stp>IDX_RATIO</stp>
        <stp>[TREASURY.xlsx]Sheet1!R1403C20</stp>
        <tr r="T1403" s="1"/>
      </tp>
      <tp t="s">
        <v>#N/A Field Not Applicable</v>
        <stp/>
        <stp>##V3_BDPV12</stp>
        <stp>912827R4 Govt</stp>
        <stp>IDX_RATIO</stp>
        <stp>[TREASURY.xlsx]Sheet1!R1499C20</stp>
        <tr r="T1499" s="1"/>
      </tp>
      <tp t="s">
        <v>#N/A Field Not Applicable</v>
        <stp/>
        <stp>##V3_BDPV12</stp>
        <stp>912827J4 Govt</stp>
        <stp>IDX_RATIO</stp>
        <stp>[TREASURY.xlsx]Sheet1!R1561C20</stp>
        <tr r="T1561" s="1"/>
      </tp>
      <tp t="s">
        <v>#N/A Field Not Applicable</v>
        <stp/>
        <stp>##V3_BDPV12</stp>
        <stp>912827F4 Govt</stp>
        <stp>IDX_RATIO</stp>
        <stp>[TREASURY.xlsx]Sheet1!R1559C20</stp>
        <tr r="T1559" s="1"/>
      </tp>
      <tp t="s">
        <v>#N/A Field Not Applicable</v>
        <stp/>
        <stp>##V3_BDPV12</stp>
        <stp>912827C4 Govt</stp>
        <stp>IDX_RATIO</stp>
        <stp>[TREASURY.xlsx]Sheet1!R1553C20</stp>
        <tr r="T1553" s="1"/>
      </tp>
      <tp t="s">
        <v>#N/A Field Not Applicable</v>
        <stp/>
        <stp>##V3_BDPV12</stp>
        <stp>912827D4 Govt</stp>
        <stp>IDX_RATIO</stp>
        <stp>[TREASURY.xlsx]Sheet1!R1557C20</stp>
        <tr r="T1557" s="1"/>
      </tp>
      <tp t="s">
        <v>#N/A Field Not Applicable</v>
        <stp/>
        <stp>##V3_BDPV12</stp>
        <stp>912827A4 Govt</stp>
        <stp>IDX_RATIO</stp>
        <stp>[TREASURY.xlsx]Sheet1!R1547C20</stp>
        <tr r="T1547" s="1"/>
      </tp>
      <tp t="s">
        <v>#N/A Field Not Applicable</v>
        <stp/>
        <stp>##V3_BDPV12</stp>
        <stp>912828G4 Govt</stp>
        <stp>IDX_RATIO</stp>
        <stp>[TREASURY.xlsx]Sheet1!R1281C20</stp>
        <tr r="T1281" s="1"/>
      </tp>
      <tp t="s">
        <v>#N/A Field Not Applicable</v>
        <stp/>
        <stp>##V3_BDPV12</stp>
        <stp>912827Z4 Govt</stp>
        <stp>IDX_RATIO</stp>
        <stp>[TREASURY.xlsx]Sheet1!R1225C20</stp>
        <tr r="T1225" s="1"/>
      </tp>
      <tp t="s">
        <v>7/31/1997</v>
        <stp/>
        <stp>##V3_BDPV12</stp>
        <stp>9128273C Govt</stp>
        <stp>ISSUE_DT</stp>
        <stp>[TREASURY.xlsx]Sheet1!R1010C15</stp>
        <tr r="O1010" s="1"/>
      </tp>
      <tp t="s">
        <v>#N/A Field Not Applicable</v>
        <stp/>
        <stp>##V3_BDPV12</stp>
        <stp>912828R4 Govt</stp>
        <stp>IDX_RATIO</stp>
        <stp>[TREASURY.xlsx]Sheet1!R1264C20</stp>
        <tr r="T1264" s="1"/>
      </tp>
      <tp t="s">
        <v>USD</v>
        <stp/>
        <stp>##V3_BDPV12</stp>
        <stp>9128277F Govt</stp>
        <stp>CRNCY</stp>
        <stp>[TREASURY.xlsx]Sheet1!R1027C7</stp>
        <tr r="G1027" s="1"/>
      </tp>
      <tp t="s">
        <v>USD</v>
        <stp/>
        <stp>##V3_BDPV12</stp>
        <stp>9128276F Govt</stp>
        <stp>CRNCY</stp>
        <stp>[TREASURY.xlsx]Sheet1!R1466C7</stp>
        <tr r="G1466" s="1"/>
      </tp>
      <tp t="s">
        <v>#N/A Field Not Applicable</v>
        <stp/>
        <stp>##V3_BDPV12</stp>
        <stp>912827E4 Govt</stp>
        <stp>IDX_RATIO</stp>
        <stp>[TREASURY.xlsx]Sheet1!R1313C20</stp>
        <tr r="T1313" s="1"/>
      </tp>
      <tp t="s">
        <v>#N/A Field Not Applicable</v>
        <stp/>
        <stp>##V3_BDPV12</stp>
        <stp>912827T4 Govt</stp>
        <stp>IDX_RATIO</stp>
        <stp>[TREASURY.xlsx]Sheet1!R1397C20</stp>
        <tr r="T1397" s="1"/>
      </tp>
      <tp t="s">
        <v>USD</v>
        <stp/>
        <stp>##V3_BDPV12</stp>
        <stp>9128274G Govt</stp>
        <stp>CRNCY</stp>
        <stp>[TREASURY.xlsx]Sheet1!R1364C7</stp>
        <tr r="G1364" s="1"/>
      </tp>
      <tp t="s">
        <v>7/31/1997</v>
        <stp/>
        <stp>##V3_BDPV12</stp>
        <stp>9128273B Govt</stp>
        <stp>ISSUE_DT</stp>
        <stp>[TREASURY.xlsx]Sheet1!R1353C15</stp>
        <tr r="O1353" s="1"/>
      </tp>
      <tp t="s">
        <v>#N/A Field Not Applicable</v>
        <stp/>
        <stp>##V3_BDPV12</stp>
        <stp>912827L4 Govt</stp>
        <stp>IDX_RATIO</stp>
        <stp>[TREASURY.xlsx]Sheet1!R1040C20</stp>
        <tr r="T1040" s="1"/>
      </tp>
      <tp t="s">
        <v>#N/A Field Not Applicable</v>
        <stp/>
        <stp>##V3_BDPV12</stp>
        <stp>912827N4 Govt</stp>
        <stp>IDX_RATIO</stp>
        <stp>[TREASURY.xlsx]Sheet1!R1048C20</stp>
        <tr r="T1048" s="1"/>
      </tp>
      <tp t="s">
        <v>#N/A Field Not Applicable</v>
        <stp/>
        <stp>##V3_BDPV12</stp>
        <stp>912827G4 Govt</stp>
        <stp>IDX_RATIO</stp>
        <stp>[TREASURY.xlsx]Sheet1!R1035C20</stp>
        <tr r="T1035" s="1"/>
      </tp>
      <tp t="s">
        <v>#N/A Field Not Applicable</v>
        <stp/>
        <stp>##V3_BDPV12</stp>
        <stp>912827Q4 Govt</stp>
        <stp>IDX_RATIO</stp>
        <stp>[TREASURY.xlsx]Sheet1!R1177C20</stp>
        <tr r="T1177" s="1"/>
      </tp>
      <tp t="s">
        <v>#N/A Field Not Applicable</v>
        <stp/>
        <stp>##V3_BDPV12</stp>
        <stp>912827P4 Govt</stp>
        <stp>IDX_RATIO</stp>
        <stp>[TREASURY.xlsx]Sheet1!R1171C20</stp>
        <tr r="T1171" s="1"/>
      </tp>
      <tp t="s">
        <v>#N/A Field Not Applicable</v>
        <stp/>
        <stp>##V3_BDPV12</stp>
        <stp>912827M4 Govt</stp>
        <stp>IDX_RATIO</stp>
        <stp>[TREASURY.xlsx]Sheet1!R1165C20</stp>
        <tr r="T1165" s="1"/>
      </tp>
      <tp t="s">
        <v>#N/A Field Not Applicable</v>
        <stp/>
        <stp>##V3_BDPV12</stp>
        <stp>912827H4 Govt</stp>
        <stp>IDX_RATIO</stp>
        <stp>[TREASURY.xlsx]Sheet1!R1157C20</stp>
        <tr r="T1157" s="1"/>
      </tp>
      <tp t="s">
        <v>8/15/1997</v>
        <stp/>
        <stp>##V3_BDPV12</stp>
        <stp>9128273E Govt</stp>
        <stp>ISSUE_DT</stp>
        <stp>[TREASURY.xlsx]Sheet1!R1526C15</stp>
        <tr r="O1526" s="1"/>
      </tp>
      <tp t="s">
        <v>#N/A Field Not Applicable</v>
        <stp/>
        <stp>##V3_BDPV12</stp>
        <stp>912828F4 Govt</stp>
        <stp>IDX_RATIO</stp>
        <stp>[TREASURY.xlsx]Sheet1!R1117C20</stp>
        <tr r="T1117" s="1"/>
      </tp>
      <tp t="s">
        <v>USD</v>
        <stp/>
        <stp>##V3_BDPV12</stp>
        <stp>9128276E Govt</stp>
        <stp>CRNCY</stp>
        <stp>[TREASURY.xlsx]Sheet1!R1536C7</stp>
        <tr r="G1536" s="1"/>
      </tp>
      <tp t="s">
        <v>9/30/1997</v>
        <stp/>
        <stp>##V3_BDPV12</stp>
        <stp>9128273J Govt</stp>
        <stp>ISSUE_DT</stp>
        <stp>[TREASURY.xlsx]Sheet1!R1528C15</stp>
        <tr r="O1528" s="1"/>
      </tp>
      <tp t="s">
        <v>11/17/1997</v>
        <stp/>
        <stp>##V3_BDPV12</stp>
        <stp>9128273M Govt</stp>
        <stp>ISSUE_DT</stp>
        <stp>[TREASURY.xlsx]Sheet1!R1357C15</stp>
        <tr r="O1357" s="1"/>
      </tp>
      <tp t="s">
        <v>9/30/1997</v>
        <stp/>
        <stp>##V3_BDPV12</stp>
        <stp>9128273H Govt</stp>
        <stp>ISSUE_DT</stp>
        <stp>[TREASURY.xlsx]Sheet1!R1527C15</stp>
        <tr r="O1527" s="1"/>
      </tp>
      <tp t="s">
        <v>USD</v>
        <stp/>
        <stp>##V3_BDPV12</stp>
        <stp>9128272N Govt</stp>
        <stp>CRNCY</stp>
        <stp>[TREASURY.xlsx]Sheet1!R1352C7</stp>
        <tr r="G1352" s="1"/>
      </tp>
      <tp t="s">
        <v>10/31/1997</v>
        <stp/>
        <stp>##V3_BDPV12</stp>
        <stp>9128273L Govt</stp>
        <stp>ISSUE_DT</stp>
        <stp>[TREASURY.xlsx]Sheet1!R1529C15</stp>
        <tr r="O1529" s="1"/>
      </tp>
      <tp t="s">
        <v>USD</v>
        <stp/>
        <stp>##V3_BDPV12</stp>
        <stp>9128272L Govt</stp>
        <stp>CRNCY</stp>
        <stp>[TREASURY.xlsx]Sheet1!R1452C7</stp>
        <tr r="G1452" s="1"/>
      </tp>
      <tp t="s">
        <v>10/31/1997</v>
        <stp/>
        <stp>##V3_BDPV12</stp>
        <stp>9128273K Govt</stp>
        <stp>ISSUE_DT</stp>
        <stp>[TREASURY.xlsx]Sheet1!R1356C15</stp>
        <tr r="O1356" s="1"/>
      </tp>
      <tp t="s">
        <v>USD</v>
        <stp/>
        <stp>##V3_BDPV12</stp>
        <stp>9128275M Govt</stp>
        <stp>CRNCY</stp>
        <stp>[TREASURY.xlsx]Sheet1!R1015C7</stp>
        <tr r="G1015" s="1"/>
      </tp>
      <tp t="s">
        <v>T 2 1/2 09/30/06</v>
        <stp/>
        <stp>##V3_BDPV12</stp>
        <stp>912828CW Govt</stp>
        <stp>SECURITY_NAME</stp>
        <stp>[TREASURY.xlsx]Sheet1!R603C16</stp>
        <tr r="P603" s="1"/>
      </tp>
      <tp t="s">
        <v>T 4 1/4 08/15/14</v>
        <stp/>
        <stp>##V3_BDPV12</stp>
        <stp>912828CT Govt</stp>
        <stp>SECURITY_NAME</stp>
        <stp>[TREASURY.xlsx]Sheet1!R514C16</stp>
        <tr r="P514" s="1"/>
      </tp>
      <tp t="s">
        <v>T 11 3/4 02/15/01</v>
        <stp/>
        <stp>##V3_BDPV12</stp>
        <stp>912810CT Govt</stp>
        <stp>SECURITY_NAME</stp>
        <stp>[TREASURY.xlsx]Sheet1!R501C16</stp>
        <tr r="P501" s="1"/>
      </tp>
      <tp t="s">
        <v>T 3 3/8 09/15/09</v>
        <stp/>
        <stp>##V3_BDPV12</stp>
        <stp>912828CV Govt</stp>
        <stp>SECURITY_NAME</stp>
        <stp>[TREASURY.xlsx]Sheet1!R508C16</stp>
        <tr r="P508" s="1"/>
      </tp>
      <tp t="s">
        <v>T 2 3/8 08/31/06</v>
        <stp/>
        <stp>##V3_BDPV12</stp>
        <stp>912828CU Govt</stp>
        <stp>SECURITY_NAME</stp>
        <stp>[TREASURY.xlsx]Sheet1!R636C16</stp>
        <tr r="P636" s="1"/>
      </tp>
      <tp t="s">
        <v>T 12 3/4 11/15/10</v>
        <stp/>
        <stp>##V3_BDPV12</stp>
        <stp>912810CS Govt</stp>
        <stp>SECURITY_NAME</stp>
        <stp>[TREASURY.xlsx]Sheet1!R660C16</stp>
        <tr r="P660" s="1"/>
      </tp>
      <tp t="s">
        <v>T 10 05/15/10</v>
        <stp/>
        <stp>##V3_BDPV12</stp>
        <stp>912810CP Govt</stp>
        <stp>SECURITY_NAME</stp>
        <stp>[TREASURY.xlsx]Sheet1!R405C16</stp>
        <tr r="P405" s="1"/>
      </tp>
      <tp t="s">
        <v>T 2 3/4 08/15/07</v>
        <stp/>
        <stp>##V3_BDPV12</stp>
        <stp>912828CR Govt</stp>
        <stp>SECURITY_NAME</stp>
        <stp>[TREASURY.xlsx]Sheet1!R510C16</stp>
        <tr r="P510" s="1"/>
      </tp>
      <tp t="s">
        <v>T 3 1/2 08/15/09</v>
        <stp/>
        <stp>##V3_BDPV12</stp>
        <stp>912828CS Govt</stp>
        <stp>SECURITY_NAME</stp>
        <stp>[TREASURY.xlsx]Sheet1!R462C16</stp>
        <tr r="P462" s="1"/>
      </tp>
      <tp t="s">
        <v>T 14 11/15/11</v>
        <stp/>
        <stp>##V3_BDPV12</stp>
        <stp>912810CY Govt</stp>
        <stp>SECURITY_NAME</stp>
        <stp>[TREASURY.xlsx]Sheet1!R414C16</stp>
        <tr r="P414" s="1"/>
      </tp>
      <tp t="s">
        <v>T 2 1/2 10/31/06</v>
        <stp/>
        <stp>##V3_BDPV12</stp>
        <stp>912828CY Govt</stp>
        <stp>SECURITY_NAME</stp>
        <stp>[TREASURY.xlsx]Sheet1!R477C16</stp>
        <tr r="P477" s="1"/>
      </tp>
      <tp t="s">
        <v>T 15 3/4 11/15/01</v>
        <stp/>
        <stp>##V3_BDPV12</stp>
        <stp>912810CX Govt</stp>
        <stp>SECURITY_NAME</stp>
        <stp>[TREASURY.xlsx]Sheet1!R661C16</stp>
        <tr r="P661" s="1"/>
      </tp>
      <tp t="s">
        <v>T 3 3/8 10/15/09</v>
        <stp/>
        <stp>##V3_BDPV12</stp>
        <stp>912828CX Govt</stp>
        <stp>SECURITY_NAME</stp>
        <stp>[TREASURY.xlsx]Sheet1!R659C16</stp>
        <tr r="P659" s="1"/>
      </tp>
      <tp t="s">
        <v>T 1 5/8 02/28/06</v>
        <stp/>
        <stp>##V3_BDPV12</stp>
        <stp>912828CB Govt</stp>
        <stp>SECURITY_NAME</stp>
        <stp>[TREASURY.xlsx]Sheet1!R331C16</stp>
        <tr r="P331" s="1"/>
      </tp>
      <tp t="s">
        <v>T 3 1/8 05/15/07</v>
        <stp/>
        <stp>##V3_BDPV12</stp>
        <stp>912828CG Govt</stp>
        <stp>SECURITY_NAME</stp>
        <stp>[TREASURY.xlsx]Sheet1!R789C16</stp>
        <tr r="P789" s="1"/>
      </tp>
      <tp t="s">
        <v>T 2 5/8 03/15/09</v>
        <stp/>
        <stp>##V3_BDPV12</stp>
        <stp>912828CC Govt</stp>
        <stp>SECURITY_NAME</stp>
        <stp>[TREASURY.xlsx]Sheet1!R325C16</stp>
        <tr r="P325" s="1"/>
      </tp>
      <tp t="s">
        <v>T 4 02/15/14</v>
        <stp/>
        <stp>##V3_BDPV12</stp>
        <stp>912828CA Govt</stp>
        <stp>SECURITY_NAME</stp>
        <stp>[TREASURY.xlsx]Sheet1!R337C16</stp>
        <tr r="P337" s="1"/>
      </tp>
      <tp t="s">
        <v>T 2 1/4 04/30/06</v>
        <stp/>
        <stp>##V3_BDPV12</stp>
        <stp>912828CF Govt</stp>
        <stp>SECURITY_NAME</stp>
        <stp>[TREASURY.xlsx]Sheet1!R465C16</stp>
        <tr r="P465" s="1"/>
      </tp>
      <tp t="s">
        <v>T 1 1/2 03/31/06</v>
        <stp/>
        <stp>##V3_BDPV12</stp>
        <stp>912828CD Govt</stp>
        <stp>SECURITY_NAME</stp>
        <stp>[TREASURY.xlsx]Sheet1!R384C16</stp>
        <tr r="P384" s="1"/>
      </tp>
      <tp t="s">
        <v>T 8 3/8 08/15/08</v>
        <stp/>
        <stp>##V3_BDPV12</stp>
        <stp>912810CC Govt</stp>
        <stp>SECURITY_NAME</stp>
        <stp>[TREASURY.xlsx]Sheet1!R526C16</stp>
        <tr r="P526" s="1"/>
      </tp>
      <tp t="s">
        <v>T 4 3/4 05/15/14</v>
        <stp/>
        <stp>##V3_BDPV12</stp>
        <stp>912828CJ Govt</stp>
        <stp>SECURITY_NAME</stp>
        <stp>[TREASURY.xlsx]Sheet1!R393C16</stp>
        <tr r="P393" s="1"/>
      </tp>
      <tp t="s">
        <v>T 2 3/4 06/30/06</v>
        <stp/>
        <stp>##V3_BDPV12</stp>
        <stp>912828CM Govt</stp>
        <stp>SECURITY_NAME</stp>
        <stp>[TREASURY.xlsx]Sheet1!R493C16</stp>
        <tr r="P493" s="1"/>
      </tp>
      <tp t="s">
        <v>T 4 06/15/09</v>
        <stp/>
        <stp>##V3_BDPV12</stp>
        <stp>912828CL Govt</stp>
        <stp>SECURITY_NAME</stp>
        <stp>[TREASURY.xlsx]Sheet1!R557C16</stp>
        <tr r="P557" s="1"/>
      </tp>
      <tp t="s">
        <v>T 3 5/8 07/15/09</v>
        <stp/>
        <stp>##V3_BDPV12</stp>
        <stp>912828CN Govt</stp>
        <stp>SECURITY_NAME</stp>
        <stp>[TREASURY.xlsx]Sheet1!R696C16</stp>
        <tr r="P696" s="1"/>
      </tp>
      <tp t="s">
        <v>T 3 7/8 05/15/09</v>
        <stp/>
        <stp>##V3_BDPV12</stp>
        <stp>912828CH Govt</stp>
        <stp>SECURITY_NAME</stp>
        <stp>[TREASURY.xlsx]Sheet1!R559C16</stp>
        <tr r="P559" s="1"/>
      </tp>
      <tp t="s">
        <v>T 2 1/2 05/31/06</v>
        <stp/>
        <stp>##V3_BDPV12</stp>
        <stp>912828CK Govt</stp>
        <stp>SECURITY_NAME</stp>
        <stp>[TREASURY.xlsx]Sheet1!R790C16</stp>
        <tr r="P790" s="1"/>
      </tp>
      <tp t="s">
        <v>8/15/2019</v>
        <stp/>
        <stp>##V3_BDPV12</stp>
        <stp>912810SJ Govt</stp>
        <stp>ISSUE_DT</stp>
        <stp>[TREASURY.xlsx]Sheet1!R73C15</stp>
        <tr r="O73" s="1"/>
      </tp>
      <tp t="s">
        <v>8/31/2021</v>
        <stp/>
        <stp>##V3_BDPV12</stp>
        <stp>912810TA Govt</stp>
        <stp>ISSUE_DT</stp>
        <stp>[TREASURY.xlsx]Sheet1!R10C15</stp>
        <tr r="O10" s="1"/>
      </tp>
      <tp t="s">
        <v>8/15/2007</v>
        <stp/>
        <stp>##V3_BDPV12</stp>
        <stp>912810PU Govt</stp>
        <stp>ISSUE_DT</stp>
        <stp>[TREASURY.xlsx]Sheet1!R63C15</stp>
        <tr r="O63" s="1"/>
      </tp>
      <tp t="s">
        <v>2/18/2020</v>
        <stp/>
        <stp>##V3_BDPV12</stp>
        <stp>912810SL Govt</stp>
        <stp>ISSUE_DT</stp>
        <stp>[TREASURY.xlsx]Sheet1!R40C15</stp>
        <tr r="O40" s="1"/>
      </tp>
      <tp t="s">
        <v>3/1/2021</v>
        <stp/>
        <stp>##V3_BDPV12</stp>
        <stp>912810SW Govt</stp>
        <stp>ISSUE_DT</stp>
        <stp>[TREASURY.xlsx]Sheet1!R44C15</stp>
        <tr r="O44" s="1"/>
      </tp>
      <tp t="s">
        <v>11/16/2020</v>
        <stp/>
        <stp>##V3_BDPV12</stp>
        <stp>912810SS Govt</stp>
        <stp>ISSUE_DT</stp>
        <stp>[TREASURY.xlsx]Sheet1!R37C15</stp>
        <tr r="O37" s="1"/>
      </tp>
      <tp t="s">
        <v>8/17/2020</v>
        <stp/>
        <stp>##V3_BDPV12</stp>
        <stp>912810SP Govt</stp>
        <stp>ISSUE_DT</stp>
        <stp>[TREASURY.xlsx]Sheet1!R35C15</stp>
        <tr r="O35" s="1"/>
      </tp>
      <tp t="s">
        <v>2/15/2017</v>
        <stp/>
        <stp>##V3_BDPV12</stp>
        <stp>912810RV Govt</stp>
        <stp>ISSUE_DT</stp>
        <stp>[TREASURY.xlsx]Sheet1!R28C15</stp>
        <tr r="O28" s="1"/>
      </tp>
      <tp t="s">
        <v>5/15/2020</v>
        <stp/>
        <stp>##V3_BDPV12</stp>
        <stp>912810SN Govt</stp>
        <stp>ISSUE_DT</stp>
        <stp>[TREASURY.xlsx]Sheet1!R27C15</stp>
        <tr r="O27" s="1"/>
      </tp>
      <tp t="s">
        <v>6/1/2021</v>
        <stp/>
        <stp>##V3_BDPV12</stp>
        <stp>912810SY Govt</stp>
        <stp>ISSUE_DT</stp>
        <stp>[TREASURY.xlsx]Sheet1!R21C15</stp>
        <tr r="O21" s="1"/>
      </tp>
      <tp t="s">
        <v>2/16/2021</v>
        <stp/>
        <stp>##V3_BDPV12</stp>
        <stp>912810SU Govt</stp>
        <stp>ISSUE_DT</stp>
        <stp>[TREASURY.xlsx]Sheet1!R15C15</stp>
        <tr r="O15" s="1"/>
      </tp>
      <tp t="s">
        <v>11/15/2019</v>
        <stp/>
        <stp>##V3_BDPV12</stp>
        <stp>912810SK Govt</stp>
        <stp>ISSUE_DT</stp>
        <stp>[TREASURY.xlsx]Sheet1!R95C15</stp>
        <tr r="O95" s="1"/>
      </tp>
      <tp t="s">
        <v>11/30/2020</v>
        <stp/>
        <stp>##V3_BDPV12</stp>
        <stp>912810ST Govt</stp>
        <stp>ISSUE_DT</stp>
        <stp>[TREASURY.xlsx]Sheet1!R90C15</stp>
        <tr r="O90" s="1"/>
      </tp>
      <tp t="s">
        <v>8/31/2020</v>
        <stp/>
        <stp>##V3_BDPV12</stp>
        <stp>912810SQ Govt</stp>
        <stp>ISSUE_DT</stp>
        <stp>[TREASURY.xlsx]Sheet1!R92C15</stp>
        <tr r="O92" s="1"/>
      </tp>
      <tp t="s">
        <v>8/15/2016</v>
        <stp/>
        <stp>##V3_BDPV12</stp>
        <stp>912810RT Govt</stp>
        <stp>ISSUE_DT</stp>
        <stp>[TREASURY.xlsx]Sheet1!R96C15</stp>
        <tr r="O96" s="1"/>
      </tp>
      <tp t="s">
        <v>2/15/2006</v>
        <stp/>
        <stp>##V3_BDPV12</stp>
        <stp>912810FT Govt</stp>
        <stp>ISSUE_DT</stp>
        <stp>[TREASURY.xlsx]Sheet1!R79C15</stp>
        <tr r="O79" s="1"/>
      </tp>
      <tp t="s">
        <v>2/15/2001</v>
        <stp/>
        <stp>##V3_BDPV12</stp>
        <stp>912810FP Govt</stp>
        <stp>ISSUE_DT</stp>
        <stp>[TREASURY.xlsx]Sheet1!R93C15</stp>
        <tr r="O93" s="1"/>
      </tp>
      <tp t="s">
        <v>NORMAL</v>
        <stp/>
        <stp>##V3_BDPV12</stp>
        <stp>912828J2 Govt</stp>
        <stp>MTY_TYP</stp>
        <stp>[TREASURY.xlsx]Sheet1!R94C6</stp>
        <tr r="F94" s="1"/>
      </tp>
      <tp t="s">
        <v>5/31/2025</v>
        <stp/>
        <stp>##V3_BDPV12</stp>
        <stp>912828ZT Govt</stp>
        <stp>MATURITY</stp>
        <stp>[TREASURY.xlsx]Sheet1!R85C5</stp>
        <tr r="E85" s="1"/>
      </tp>
      <tp t="s">
        <v>2/28/2026</v>
        <stp/>
        <stp>##V3_BDPV12</stp>
        <stp>91282CBQ Govt</stp>
        <stp>MATURITY</stp>
        <stp>[TREASURY.xlsx]Sheet1!R30C5</stp>
        <tr r="E30" s="1"/>
      </tp>
      <tp t="s">
        <v>11/15/2030</v>
        <stp/>
        <stp>##V3_BDPV12</stp>
        <stp>91282CAV Govt</stp>
        <stp>MATURITY</stp>
        <stp>[TREASURY.xlsx]Sheet1!R17C5</stp>
        <tr r="E17" s="1"/>
      </tp>
      <tp t="s">
        <v>T</v>
        <stp/>
        <stp>##V3_BDPV12</stp>
        <stp>9128282N Govt</stp>
        <stp>TICKER</stp>
        <stp>[TREASURY.xlsx]Sheet1!R258C2</stp>
        <tr r="B258" s="1"/>
      </tp>
      <tp t="s">
        <v>USD</v>
        <stp/>
        <stp>##V3_BDPV12</stp>
        <stp>9128272R Govt</stp>
        <stp>CRNCY</stp>
        <stp>[TREASURY.xlsx]Sheet1!R1453C7</stp>
        <tr r="G1453" s="1"/>
      </tp>
      <tp t="s">
        <v>4/30/1997</v>
        <stp/>
        <stp>##V3_BDPV12</stp>
        <stp>9128272R Govt</stp>
        <stp>ISSUE_DT</stp>
        <stp>[TREASURY.xlsx]Sheet1!R1453C15</stp>
        <tr r="O1453" s="1"/>
      </tp>
      <tp t="s">
        <v>4/30/1997</v>
        <stp/>
        <stp>##V3_BDPV12</stp>
        <stp>9128272S Govt</stp>
        <stp>ISSUE_DT</stp>
        <stp>[TREASURY.xlsx]Sheet1!R1520C15</stp>
        <tr r="O1520" s="1"/>
      </tp>
      <tp t="s">
        <v>T 0 3/8 03/31/16</v>
        <stp/>
        <stp>##V3_BDPV12</stp>
        <stp>912828C4 Govt</stp>
        <stp>SECURITY_NAME</stp>
        <stp>[TREASURY.xlsx]Sheet1!R492C16</stp>
        <tr r="P492" s="1"/>
      </tp>
      <tp t="s">
        <v>T</v>
        <stp/>
        <stp>##V3_BDPV12</stp>
        <stp>912828K6 Govt</stp>
        <stp>TICKER</stp>
        <stp>[TREASURY.xlsx]Sheet1!R1248C2</stp>
        <tr r="B1248" s="1"/>
      </tp>
      <tp t="s">
        <v>T</v>
        <stp/>
        <stp>##V3_BDPV12</stp>
        <stp>912827Y7 Govt</stp>
        <stp>TICKER</stp>
        <stp>[TREASURY.xlsx]Sheet1!R1219C2</stp>
        <tr r="B1219" s="1"/>
      </tp>
      <tp t="s">
        <v>T</v>
        <stp/>
        <stp>##V3_BDPV12</stp>
        <stp>912827S8 Govt</stp>
        <stp>TICKER</stp>
        <stp>[TREASURY.xlsx]Sheet1!R1586C2</stp>
        <tr r="B1586" s="1"/>
      </tp>
      <tp t="s">
        <v>3/31/1997</v>
        <stp/>
        <stp>##V3_BDPV12</stp>
        <stp>9128272P Govt</stp>
        <stp>ISSUE_DT</stp>
        <stp>[TREASURY.xlsx]Sheet1!R1519C15</stp>
        <tr r="O1519" s="1"/>
      </tp>
      <tp t="s">
        <v>T 0 7/8 04/15/17</v>
        <stp/>
        <stp>##V3_BDPV12</stp>
        <stp>912828C7 Govt</stp>
        <stp>SECURITY_NAME</stp>
        <stp>[TREASURY.xlsx]Sheet1!R416C16</stp>
        <tr r="P416" s="1"/>
      </tp>
      <tp t="s">
        <v>6/2/1997</v>
        <stp/>
        <stp>##V3_BDPV12</stp>
        <stp>9128272V Govt</stp>
        <stp>ISSUE_DT</stp>
        <stp>[TREASURY.xlsx]Sheet1!R1522C15</stp>
        <tr r="O1522" s="1"/>
      </tp>
      <tp t="s">
        <v>T 1 5/8 03/31/19</v>
        <stp/>
        <stp>##V3_BDPV12</stp>
        <stp>912828C6 Govt</stp>
        <stp>SECURITY_NAME</stp>
        <stp>[TREASURY.xlsx]Sheet1!R349C16</stp>
        <tr r="P349" s="1"/>
      </tp>
      <tp t="s">
        <v>6/2/1997</v>
        <stp/>
        <stp>##V3_BDPV12</stp>
        <stp>9128272W Govt</stp>
        <stp>ISSUE_DT</stp>
        <stp>[TREASURY.xlsx]Sheet1!R1523C15</stp>
        <tr r="O1523" s="1"/>
      </tp>
      <tp t="s">
        <v>T 1 1/2 02/28/19</v>
        <stp/>
        <stp>##V3_BDPV12</stp>
        <stp>912828C2 Govt</stp>
        <stp>SECURITY_NAME</stp>
        <stp>[TREASURY.xlsx]Sheet1!R688C16</stp>
        <tr r="P688" s="1"/>
      </tp>
      <tp t="s">
        <v>USD</v>
        <stp/>
        <stp>##V3_BDPV12</stp>
        <stp>9128272W Govt</stp>
        <stp>CRNCY</stp>
        <stp>[TREASURY.xlsx]Sheet1!R1523C7</stp>
        <tr r="G1523" s="1"/>
      </tp>
      <tp t="s">
        <v>5/15/1997</v>
        <stp/>
        <stp>##V3_BDPV12</stp>
        <stp>9128272U Govt</stp>
        <stp>ISSUE_DT</stp>
        <stp>[TREASURY.xlsx]Sheet1!R1454C15</stp>
        <tr r="O1454" s="1"/>
      </tp>
      <tp t="s">
        <v>5/15/1997</v>
        <stp/>
        <stp>##V3_BDPV12</stp>
        <stp>9128272T Govt</stp>
        <stp>ISSUE_DT</stp>
        <stp>[TREASURY.xlsx]Sheet1!R1521C15</stp>
        <tr r="O1521" s="1"/>
      </tp>
      <tp t="s">
        <v>T 2 1/4 03/31/21</v>
        <stp/>
        <stp>##V3_BDPV12</stp>
        <stp>912828C5 Govt</stp>
        <stp>SECURITY_NAME</stp>
        <stp>[TREASURY.xlsx]Sheet1!R342C16</stp>
        <tr r="P342" s="1"/>
      </tp>
      <tp t="s">
        <v>USD</v>
        <stp/>
        <stp>##V3_BDPV12</stp>
        <stp>9128276U Govt</stp>
        <stp>CRNCY</stp>
        <stp>[TREASURY.xlsx]Sheet1!R1467C7</stp>
        <tr r="G1467" s="1"/>
      </tp>
      <tp t="s">
        <v>#N/A Field Not Applicable</v>
        <stp/>
        <stp>##V3_BDPV12</stp>
        <stp>912810FT Govt</stp>
        <stp>IDX_RATIO</stp>
        <stp>[TREASURY.xlsx]Sheet1!R79C20</stp>
        <tr r="T79" s="1"/>
      </tp>
      <tp t="s">
        <v>#N/A Field Not Applicable</v>
        <stp/>
        <stp>##V3_BDPV12</stp>
        <stp>912810FP Govt</stp>
        <stp>IDX_RATIO</stp>
        <stp>[TREASURY.xlsx]Sheet1!R93C20</stp>
        <tr r="T93" s="1"/>
      </tp>
      <tp t="s">
        <v>6/30/1997</v>
        <stp/>
        <stp>##V3_BDPV12</stp>
        <stp>9128272X Govt</stp>
        <stp>ISSUE_DT</stp>
        <stp>[TREASURY.xlsx]Sheet1!R1524C15</stp>
        <tr r="O1524" s="1"/>
      </tp>
      <tp t="s">
        <v>T 0 3/4 03/15/17</v>
        <stp/>
        <stp>##V3_BDPV12</stp>
        <stp>912828C3 Govt</stp>
        <stp>SECURITY_NAME</stp>
        <stp>[TREASURY.xlsx]Sheet1!R838C16</stp>
        <tr r="P838" s="1"/>
      </tp>
      <tp t="s">
        <v>6/30/1997</v>
        <stp/>
        <stp>##V3_BDPV12</stp>
        <stp>9128272Y Govt</stp>
        <stp>ISSUE_DT</stp>
        <stp>[TREASURY.xlsx]Sheet1!R1525C15</stp>
        <tr r="O1525" s="1"/>
      </tp>
      <tp t="s">
        <v>10/16/2017</v>
        <stp/>
        <stp>##V3_BDPV12</stp>
        <stp>9128282Z Govt</stp>
        <stp>ISSUE_DT</stp>
        <stp>[TREASURY.xlsx]Sheet1!R1615C15</stp>
        <tr r="O1615" s="1"/>
      </tp>
      <tp t="s">
        <v>T 0 3/8 04/30/16</v>
        <stp/>
        <stp>##V3_BDPV12</stp>
        <stp>912828C8 Govt</stp>
        <stp>SECURITY_NAME</stp>
        <stp>[TREASURY.xlsx]Sheet1!R788C16</stp>
        <tr r="P788" s="1"/>
      </tp>
      <tp t="s">
        <v>12/2/1996</v>
        <stp/>
        <stp>##V3_BDPV12</stp>
        <stp>9128272C Govt</stp>
        <stp>ISSUE_DT</stp>
        <stp>[TREASURY.xlsx]Sheet1!R1449C15</stp>
        <tr r="O1449" s="1"/>
      </tp>
      <tp t="s">
        <v>12/31/1996</v>
        <stp/>
        <stp>##V3_BDPV12</stp>
        <stp>9128272D Govt</stp>
        <stp>ISSUE_DT</stp>
        <stp>[TREASURY.xlsx]Sheet1!R1350C15</stp>
        <tr r="O1350" s="1"/>
      </tp>
      <tp t="s">
        <v>#N/A Field Not Applicable</v>
        <stp/>
        <stp>##V3_BDPV12</stp>
        <stp>912827Z5 Govt</stp>
        <stp>IDX_RATIO</stp>
        <stp>[TREASURY.xlsx]Sheet1!R1609C20</stp>
        <tr r="T1609" s="1"/>
      </tp>
      <tp t="s">
        <v>9/15/2016</v>
        <stp/>
        <stp>##V3_BDPV12</stp>
        <stp>9128282G Govt</stp>
        <stp>ISSUE_DT</stp>
        <stp>[TREASURY.xlsx]Sheet1!R1105C15</stp>
        <tr r="O1105" s="1"/>
      </tp>
      <tp t="s">
        <v>#N/A Field Not Applicable</v>
        <stp/>
        <stp>##V3_BDPV12</stp>
        <stp>912827B5 Govt</stp>
        <stp>IDX_RATIO</stp>
        <stp>[TREASURY.xlsx]Sheet1!R1477C20</stp>
        <tr r="T1477" s="1"/>
      </tp>
      <tp t="s">
        <v>#N/A Field Not Applicable</v>
        <stp/>
        <stp>##V3_BDPV12</stp>
        <stp>912827A5 Govt</stp>
        <stp>IDX_RATIO</stp>
        <stp>[TREASURY.xlsx]Sheet1!R1473C20</stp>
        <tr r="T1473" s="1"/>
      </tp>
      <tp t="s">
        <v>1/31/1997</v>
        <stp/>
        <stp>##V3_BDPV12</stp>
        <stp>9128272F Govt</stp>
        <stp>ISSUE_DT</stp>
        <stp>[TREASURY.xlsx]Sheet1!R1351C15</stp>
        <tr r="O1351" s="1"/>
      </tp>
      <tp t="s">
        <v>12/31/1996</v>
        <stp/>
        <stp>##V3_BDPV12</stp>
        <stp>9128272E Govt</stp>
        <stp>ISSUE_DT</stp>
        <stp>[TREASURY.xlsx]Sheet1!R1009C15</stp>
        <tr r="O1009" s="1"/>
      </tp>
      <tp t="s">
        <v>#N/A Field Not Applicable</v>
        <stp/>
        <stp>##V3_BDPV12</stp>
        <stp>912827W5 Govt</stp>
        <stp>IDX_RATIO</stp>
        <stp>[TREASURY.xlsx]Sheet1!R1414C20</stp>
        <tr r="T1414" s="1"/>
      </tp>
      <tp t="s">
        <v>#N/A Field Not Applicable</v>
        <stp/>
        <stp>##V3_BDPV12</stp>
        <stp>912827D5 Govt</stp>
        <stp>IDX_RATIO</stp>
        <stp>[TREASURY.xlsx]Sheet1!R1484C20</stp>
        <tr r="T1484" s="1"/>
      </tp>
      <tp t="s">
        <v>#N/A Field Not Applicable</v>
        <stp/>
        <stp>##V3_BDPV12</stp>
        <stp>912827C5 Govt</stp>
        <stp>IDX_RATIO</stp>
        <stp>[TREASURY.xlsx]Sheet1!R1481C20</stp>
        <tr r="T1481" s="1"/>
      </tp>
      <tp t="s">
        <v>#N/A Field Not Applicable</v>
        <stp/>
        <stp>##V3_BDPV12</stp>
        <stp>912827J5 Govt</stp>
        <stp>IDX_RATIO</stp>
        <stp>[TREASURY.xlsx]Sheet1!R1488C20</stp>
        <tr r="T1488" s="1"/>
      </tp>
      <tp t="s">
        <v>#N/A Field Not Applicable</v>
        <stp/>
        <stp>##V3_BDPV12</stp>
        <stp>912827F5 Govt</stp>
        <stp>IDX_RATIO</stp>
        <stp>[TREASURY.xlsx]Sheet1!R1560C20</stp>
        <tr r="T1560" s="1"/>
      </tp>
      <tp t="s">
        <v>#N/A Field Not Applicable</v>
        <stp/>
        <stp>##V3_BDPV12</stp>
        <stp>912828R5 Govt</stp>
        <stp>IDX_RATIO</stp>
        <stp>[TREASURY.xlsx]Sheet1!R1284C20</stp>
        <tr r="T1284" s="1"/>
      </tp>
      <tp t="s">
        <v>#N/A Field Not Applicable</v>
        <stp/>
        <stp>##V3_BDPV12</stp>
        <stp>912828A5 Govt</stp>
        <stp>IDX_RATIO</stp>
        <stp>[TREASURY.xlsx]Sheet1!R1233C20</stp>
        <tr r="T1233" s="1"/>
      </tp>
      <tp t="s">
        <v>#N/A Field Not Applicable</v>
        <stp/>
        <stp>##V3_BDPV12</stp>
        <stp>912828F5 Govt</stp>
        <stp>IDX_RATIO</stp>
        <stp>[TREASURY.xlsx]Sheet1!R1240C20</stp>
        <tr r="T1240" s="1"/>
      </tp>
      <tp t="s">
        <v>#N/A Field Not Applicable</v>
        <stp/>
        <stp>##V3_BDPV12</stp>
        <stp>912828P5 Govt</stp>
        <stp>IDX_RATIO</stp>
        <stp>[TREASURY.xlsx]Sheet1!R1259C20</stp>
        <tr r="T1259" s="1"/>
      </tp>
      <tp t="s">
        <v>#N/A Field Not Applicable</v>
        <stp/>
        <stp>##V3_BDPV12</stp>
        <stp>912828Q5 Govt</stp>
        <stp>IDX_RATIO</stp>
        <stp>[TREASURY.xlsx]Sheet1!R1262C20</stp>
        <tr r="T1262" s="1"/>
      </tp>
      <tp t="s">
        <v>#N/A Field Not Applicable</v>
        <stp/>
        <stp>##V3_BDPV12</stp>
        <stp>912827P5 Govt</stp>
        <stp>IDX_RATIO</stp>
        <stp>[TREASURY.xlsx]Sheet1!R1337C20</stp>
        <tr r="T1337" s="1"/>
      </tp>
      <tp t="s">
        <v>12/2/1996</v>
        <stp/>
        <stp>##V3_BDPV12</stp>
        <stp>9128272B Govt</stp>
        <stp>ISSUE_DT</stp>
        <stp>[TREASURY.xlsx]Sheet1!R1008C15</stp>
        <tr r="O1008" s="1"/>
      </tp>
      <tp t="s">
        <v>1/31/1997</v>
        <stp/>
        <stp>##V3_BDPV12</stp>
        <stp>9128272G Govt</stp>
        <stp>ISSUE_DT</stp>
        <stp>[TREASURY.xlsx]Sheet1!R1517C15</stp>
        <tr r="O1517" s="1"/>
      </tp>
      <tp t="s">
        <v>#N/A Field Not Applicable</v>
        <stp/>
        <stp>##V3_BDPV12</stp>
        <stp>912827V5 Govt</stp>
        <stp>IDX_RATIO</stp>
        <stp>[TREASURY.xlsx]Sheet1!R1083C20</stp>
        <tr r="T1083" s="1"/>
      </tp>
      <tp t="s">
        <v>#N/A Field Not Applicable</v>
        <stp/>
        <stp>##V3_BDPV12</stp>
        <stp>912827G5 Govt</stp>
        <stp>IDX_RATIO</stp>
        <stp>[TREASURY.xlsx]Sheet1!R1156C20</stp>
        <tr r="T1156" s="1"/>
      </tp>
      <tp t="s">
        <v>#N/A Field Not Applicable</v>
        <stp/>
        <stp>##V3_BDPV12</stp>
        <stp>912827K5 Govt</stp>
        <stp>IDX_RATIO</stp>
        <stp>[TREASURY.xlsx]Sheet1!R1159C20</stp>
        <tr r="T1159" s="1"/>
      </tp>
      <tp t="s">
        <v>#N/A Field Not Applicable</v>
        <stp/>
        <stp>##V3_BDPV12</stp>
        <stp>912827U5 Govt</stp>
        <stp>IDX_RATIO</stp>
        <stp>[TREASURY.xlsx]Sheet1!R1197C20</stp>
        <tr r="T1197" s="1"/>
      </tp>
      <tp t="s">
        <v>USD</v>
        <stp/>
        <stp>##V3_BDPV12</stp>
        <stp>9128275J Govt</stp>
        <stp>CRNCY</stp>
        <stp>[TREASURY.xlsx]Sheet1!R1014C7</stp>
        <tr r="G1014" s="1"/>
      </tp>
      <tp t="s">
        <v>USD</v>
        <stp/>
        <stp>##V3_BDPV12</stp>
        <stp>9128274J Govt</stp>
        <stp>CRNCY</stp>
        <stp>[TREASURY.xlsx]Sheet1!R1365C7</stp>
        <tr r="G1365" s="1"/>
      </tp>
      <tp t="s">
        <v>2/18/1997</v>
        <stp/>
        <stp>##V3_BDPV12</stp>
        <stp>9128272J Govt</stp>
        <stp>ISSUE_DT</stp>
        <stp>[TREASURY.xlsx]Sheet1!R1451C15</stp>
        <tr r="O1451" s="1"/>
      </tp>
      <tp t="s">
        <v>2/28/1997</v>
        <stp/>
        <stp>##V3_BDPV12</stp>
        <stp>9128272K Govt</stp>
        <stp>ISSUE_DT</stp>
        <stp>[TREASURY.xlsx]Sheet1!R1518C15</stp>
        <tr r="O1518" s="1"/>
      </tp>
      <tp t="s">
        <v>3/31/1997</v>
        <stp/>
        <stp>##V3_BDPV12</stp>
        <stp>9128272N Govt</stp>
        <stp>ISSUE_DT</stp>
        <stp>[TREASURY.xlsx]Sheet1!R1352C15</stp>
        <tr r="O1352" s="1"/>
      </tp>
      <tp t="s">
        <v>USD</v>
        <stp/>
        <stp>##V3_BDPV12</stp>
        <stp>9128276H Govt</stp>
        <stp>CRNCY</stp>
        <stp>[TREASURY.xlsx]Sheet1!R1537C7</stp>
        <tr r="G1537" s="1"/>
      </tp>
      <tp t="s">
        <v>#N/A Field Not Applicable</v>
        <stp/>
        <stp>##V3_BDPV12</stp>
        <stp>912810TA Govt</stp>
        <stp>IDX_RATIO</stp>
        <stp>[TREASURY.xlsx]Sheet1!R10C20</stp>
        <tr r="T10" s="1"/>
      </tp>
      <tp t="s">
        <v>2/18/1997</v>
        <stp/>
        <stp>##V3_BDPV12</stp>
        <stp>9128272H Govt</stp>
        <stp>ISSUE_DT</stp>
        <stp>[TREASURY.xlsx]Sheet1!R1450C15</stp>
        <tr r="O1450" s="1"/>
      </tp>
      <tp t="s">
        <v>#N/A Field Not Applicable</v>
        <stp/>
        <stp>##V3_BDPV12</stp>
        <stp>912810RV Govt</stp>
        <stp>IDX_RATIO</stp>
        <stp>[TREASURY.xlsx]Sheet1!R28C20</stp>
        <tr r="T28" s="1"/>
      </tp>
      <tp t="s">
        <v>#N/A Field Not Applicable</v>
        <stp/>
        <stp>##V3_BDPV12</stp>
        <stp>912810RT Govt</stp>
        <stp>IDX_RATIO</stp>
        <stp>[TREASURY.xlsx]Sheet1!R96C20</stp>
        <tr r="T96" s="1"/>
      </tp>
      <tp t="s">
        <v>#N/A Field Not Applicable</v>
        <stp/>
        <stp>##V3_BDPV12</stp>
        <stp>912810SU Govt</stp>
        <stp>IDX_RATIO</stp>
        <stp>[TREASURY.xlsx]Sheet1!R15C20</stp>
        <tr r="T15" s="1"/>
      </tp>
      <tp t="s">
        <v>#N/A Field Not Applicable</v>
        <stp/>
        <stp>##V3_BDPV12</stp>
        <stp>912810SP Govt</stp>
        <stp>IDX_RATIO</stp>
        <stp>[TREASURY.xlsx]Sheet1!R35C20</stp>
        <tr r="T35" s="1"/>
      </tp>
      <tp t="s">
        <v>#N/A Field Not Applicable</v>
        <stp/>
        <stp>##V3_BDPV12</stp>
        <stp>912810SW Govt</stp>
        <stp>IDX_RATIO</stp>
        <stp>[TREASURY.xlsx]Sheet1!R44C20</stp>
        <tr r="T44" s="1"/>
      </tp>
      <tp t="s">
        <v>#N/A Field Not Applicable</v>
        <stp/>
        <stp>##V3_BDPV12</stp>
        <stp>912810SS Govt</stp>
        <stp>IDX_RATIO</stp>
        <stp>[TREASURY.xlsx]Sheet1!R37C20</stp>
        <tr r="T37" s="1"/>
      </tp>
      <tp t="s">
        <v>#N/A Field Not Applicable</v>
        <stp/>
        <stp>##V3_BDPV12</stp>
        <stp>912810ST Govt</stp>
        <stp>IDX_RATIO</stp>
        <stp>[TREASURY.xlsx]Sheet1!R90C20</stp>
        <tr r="T90" s="1"/>
      </tp>
      <tp t="s">
        <v>#N/A Field Not Applicable</v>
        <stp/>
        <stp>##V3_BDPV12</stp>
        <stp>912810SY Govt</stp>
        <stp>IDX_RATIO</stp>
        <stp>[TREASURY.xlsx]Sheet1!R21C20</stp>
        <tr r="T21" s="1"/>
      </tp>
      <tp t="s">
        <v>#N/A Field Not Applicable</v>
        <stp/>
        <stp>##V3_BDPV12</stp>
        <stp>912810SQ Govt</stp>
        <stp>IDX_RATIO</stp>
        <stp>[TREASURY.xlsx]Sheet1!R92C20</stp>
        <tr r="T92" s="1"/>
      </tp>
      <tp t="s">
        <v>#N/A Field Not Applicable</v>
        <stp/>
        <stp>##V3_BDPV12</stp>
        <stp>912810SK Govt</stp>
        <stp>IDX_RATIO</stp>
        <stp>[TREASURY.xlsx]Sheet1!R95C20</stp>
        <tr r="T95" s="1"/>
      </tp>
      <tp t="s">
        <v>#N/A Field Not Applicable</v>
        <stp/>
        <stp>##V3_BDPV12</stp>
        <stp>912810SN Govt</stp>
        <stp>IDX_RATIO</stp>
        <stp>[TREASURY.xlsx]Sheet1!R27C20</stp>
        <tr r="T27" s="1"/>
      </tp>
      <tp t="s">
        <v>#N/A Field Not Applicable</v>
        <stp/>
        <stp>##V3_BDPV12</stp>
        <stp>912810SJ Govt</stp>
        <stp>IDX_RATIO</stp>
        <stp>[TREASURY.xlsx]Sheet1!R73C20</stp>
        <tr r="T73" s="1"/>
      </tp>
      <tp t="s">
        <v>#N/A Field Not Applicable</v>
        <stp/>
        <stp>##V3_BDPV12</stp>
        <stp>912810SL Govt</stp>
        <stp>IDX_RATIO</stp>
        <stp>[TREASURY.xlsx]Sheet1!R40C20</stp>
        <tr r="T40" s="1"/>
      </tp>
      <tp t="s">
        <v>USD</v>
        <stp/>
        <stp>##V3_BDPV12</stp>
        <stp>9128277L Govt</stp>
        <stp>CRNCY</stp>
        <stp>[TREASURY.xlsx]Sheet1!R1546C7</stp>
        <tr r="G1546" s="1"/>
      </tp>
      <tp t="s">
        <v>USD</v>
        <stp/>
        <stp>##V3_BDPV12</stp>
        <stp>9128275L Govt</stp>
        <stp>CRNCY</stp>
        <stp>[TREASURY.xlsx]Sheet1!R1464C7</stp>
        <tr r="G1464" s="1"/>
      </tp>
      <tp t="s">
        <v>#N/A Field Not Applicable</v>
        <stp/>
        <stp>##V3_BDPV12</stp>
        <stp>912810PU Govt</stp>
        <stp>IDX_RATIO</stp>
        <stp>[TREASURY.xlsx]Sheet1!R63C20</stp>
        <tr r="T63" s="1"/>
      </tp>
      <tp t="s">
        <v>2/28/1997</v>
        <stp/>
        <stp>##V3_BDPV12</stp>
        <stp>9128272L Govt</stp>
        <stp>ISSUE_DT</stp>
        <stp>[TREASURY.xlsx]Sheet1!R1452C15</stp>
        <tr r="O1452" s="1"/>
      </tp>
      <tp t="s">
        <v>T 9 3/8 02/15/06</v>
        <stp/>
        <stp>##V3_BDPV12</stp>
        <stp>912810DU Govt</stp>
        <stp>SECURITY_NAME</stp>
        <stp>[TREASURY.xlsx]Sheet1!R432C16</stp>
        <tr r="P432" s="1"/>
      </tp>
      <tp t="s">
        <v>T 7 1/4 05/15/16</v>
        <stp/>
        <stp>##V3_BDPV12</stp>
        <stp>912810DW Govt</stp>
        <stp>SECURITY_NAME</stp>
        <stp>[TREASURY.xlsx]Sheet1!R609C16</stp>
        <tr r="P609" s="1"/>
      </tp>
      <tp t="s">
        <v>T 3 1/2 05/31/07</v>
        <stp/>
        <stp>##V3_BDPV12</stp>
        <stp>912828DW Govt</stp>
        <stp>SECURITY_NAME</stp>
        <stp>[TREASURY.xlsx]Sheet1!R793C16</stp>
        <tr r="P793" s="1"/>
      </tp>
      <tp t="s">
        <v>T 4 1/8 05/15/15</v>
        <stp/>
        <stp>##V3_BDPV12</stp>
        <stp>912828DV Govt</stp>
        <stp>SECURITY_NAME</stp>
        <stp>[TREASURY.xlsx]Sheet1!R620C16</stp>
        <tr r="P620" s="1"/>
      </tp>
      <tp t="s">
        <v>T 9 1/4 02/15/16</v>
        <stp/>
        <stp>##V3_BDPV12</stp>
        <stp>912810DV Govt</stp>
        <stp>SECURITY_NAME</stp>
        <stp>[TREASURY.xlsx]Sheet1!R527C16</stp>
        <tr r="P527" s="1"/>
      </tp>
      <tp t="s">
        <v>T 4 04/15/10</v>
        <stp/>
        <stp>##V3_BDPV12</stp>
        <stp>912828DR Govt</stp>
        <stp>SECURITY_NAME</stp>
        <stp>[TREASURY.xlsx]Sheet1!R792C16</stp>
        <tr r="P792" s="1"/>
      </tp>
      <tp t="s">
        <v>T 4 03/15/10</v>
        <stp/>
        <stp>##V3_BDPV12</stp>
        <stp>912828DP Govt</stp>
        <stp>SECURITY_NAME</stp>
        <stp>[TREASURY.xlsx]Sheet1!R517C16</stp>
        <tr r="P517" s="1"/>
      </tp>
      <tp t="s">
        <v>T 10 5/8 08/15/15</v>
        <stp/>
        <stp>##V3_BDPV12</stp>
        <stp>912810DS Govt</stp>
        <stp>SECURITY_NAME</stp>
        <stp>[TREASURY.xlsx]Sheet1!R454C16</stp>
        <tr r="P454" s="1"/>
      </tp>
      <tp t="s">
        <v>T 11 1/4 02/15/15</v>
        <stp/>
        <stp>##V3_BDPV12</stp>
        <stp>912810DP Govt</stp>
        <stp>SECURITY_NAME</stp>
        <stp>[TREASURY.xlsx]Sheet1!R698C16</stp>
        <tr r="P698" s="1"/>
      </tp>
      <tp t="s">
        <v>T 8 7/8 08/15/17</v>
        <stp/>
        <stp>##V3_BDPV12</stp>
        <stp>912810DZ Govt</stp>
        <stp>SECURITY_NAME</stp>
        <stp>[TREASURY.xlsx]Sheet1!R699C16</stp>
        <tr r="P699" s="1"/>
      </tp>
      <tp t="s">
        <v>T 7 1/2 11/15/16</v>
        <stp/>
        <stp>##V3_BDPV12</stp>
        <stp>912810DX Govt</stp>
        <stp>SECURITY_NAME</stp>
        <stp>[TREASURY.xlsx]Sheet1!R461C16</stp>
        <tr r="P461" s="1"/>
      </tp>
      <tp t="s">
        <v>T 4 1/4 11/15/14</v>
        <stp/>
        <stp>##V3_BDPV12</stp>
        <stp>912828DC Govt</stp>
        <stp>SECURITY_NAME</stp>
        <stp>[TREASURY.xlsx]Sheet1!R352C16</stp>
        <tr r="P352" s="1"/>
      </tp>
      <tp t="s">
        <v>T 2 7/8 11/30/06</v>
        <stp/>
        <stp>##V3_BDPV12</stp>
        <stp>912828DD Govt</stp>
        <stp>SECURITY_NAME</stp>
        <stp>[TREASURY.xlsx]Sheet1!R791C16</stp>
        <tr r="P791" s="1"/>
      </tp>
      <tp t="s">
        <v>T 3 1/2 02/15/10</v>
        <stp/>
        <stp>##V3_BDPV12</stp>
        <stp>912828DL Govt</stp>
        <stp>SECURITY_NAME</stp>
        <stp>[TREASURY.xlsx]Sheet1!R962C16</stp>
        <tr r="P962" s="1"/>
      </tp>
      <tp t="s">
        <v>T 11 5/8 11/15/02</v>
        <stp/>
        <stp>##V3_BDPV12</stp>
        <stp>912810DA Govt</stp>
        <stp>SECURITY_NAME</stp>
        <stp>[TREASURY.xlsx]Sheet1!R529C16</stp>
        <tr r="P529" s="1"/>
      </tp>
      <tp t="s">
        <v>T 3 1/2 11/15/09</v>
        <stp/>
        <stp>##V3_BDPV12</stp>
        <stp>912828DB Govt</stp>
        <stp>SECURITY_NAME</stp>
        <stp>[TREASURY.xlsx]Sheet1!R591C16</stp>
        <tr r="P591" s="1"/>
      </tp>
      <tp t="s">
        <v>T 3 3/8 02/28/07</v>
        <stp/>
        <stp>##V3_BDPV12</stp>
        <stp>912828DN Govt</stp>
        <stp>SECURITY_NAME</stp>
        <stp>[TREASURY.xlsx]Sheet1!R963C16</stp>
        <tr r="P963" s="1"/>
      </tp>
      <tp t="s">
        <v>T 13 1/4 05/15/14</v>
        <stp/>
        <stp>##V3_BDPV12</stp>
        <stp>912810DJ Govt</stp>
        <stp>SECURITY_NAME</stp>
        <stp>[TREASURY.xlsx]Sheet1!R399C16</stp>
        <tr r="P399" s="1"/>
      </tp>
      <tp t="s">
        <v>T 11 5/8 11/15/04</v>
        <stp/>
        <stp>##V3_BDPV12</stp>
        <stp>912810DM Govt</stp>
        <stp>SECURITY_NAME</stp>
        <stp>[TREASURY.xlsx]Sheet1!R697C16</stp>
        <tr r="P697" s="1"/>
      </tp>
      <tp t="s">
        <v>T 3 12/31/06</v>
        <stp/>
        <stp>##V3_BDPV12</stp>
        <stp>912828DF Govt</stp>
        <stp>SECURITY_NAME</stp>
        <stp>[TREASURY.xlsx]Sheet1!R840C16</stp>
        <tr r="P840" s="1"/>
      </tp>
      <tp t="s">
        <v>FIXED</v>
        <stp/>
        <stp>##V3_BDPV12</stp>
        <stp>91282CAX Govt</stp>
        <stp>CPN_TYP</stp>
        <stp>[TREASURY.xlsx]Sheet1!R67C11</stp>
        <tr r="K67" s="1"/>
      </tp>
      <tp t="s">
        <v>FIXED</v>
        <stp/>
        <stp>##V3_BDPV12</stp>
        <stp>91282CBX Govt</stp>
        <stp>CPN_TYP</stp>
        <stp>[TREASURY.xlsx]Sheet1!R72C11</stp>
        <tr r="K72" s="1"/>
      </tp>
      <tp t="s">
        <v>T</v>
        <stp/>
        <stp>##V3_BDPV12</stp>
        <stp>9128275Z Govt</stp>
        <stp>TICKER</stp>
        <stp>[TREASURY.xlsx]Sheet1!R428C2</stp>
        <tr r="B428" s="1"/>
      </tp>
      <tp t="s">
        <v>5/15/2037</v>
        <stp/>
        <stp>##V3_BDPV12</stp>
        <stp>912810PU Govt</stp>
        <stp>MATURITY</stp>
        <stp>[TREASURY.xlsx]Sheet1!R63C5</stp>
        <tr r="E63" s="1"/>
      </tp>
      <tp t="s">
        <v>10/31/2026</v>
        <stp/>
        <stp>##V3_BDPV12</stp>
        <stp>912828YQ Govt</stp>
        <stp>MATURITY</stp>
        <stp>[TREASURY.xlsx]Sheet1!R87C5</stp>
        <tr r="E87" s="1"/>
      </tp>
      <tp t="s">
        <v>3/31/2028</v>
        <stp/>
        <stp>##V3_BDPV12</stp>
        <stp>91282CBS Govt</stp>
        <stp>MATURITY</stp>
        <stp>[TREASURY.xlsx]Sheet1!R75C5</stp>
        <tr r="E75" s="1"/>
      </tp>
      <tp t="s">
        <v>10/31/2022</v>
        <stp/>
        <stp>##V3_BDPV12</stp>
        <stp>91282CAR Govt</stp>
        <stp>MATURITY</stp>
        <stp>[TREASURY.xlsx]Sheet1!R64C5</stp>
        <tr r="E64" s="1"/>
      </tp>
      <tp t="s">
        <v>3/31/2026</v>
        <stp/>
        <stp>##V3_BDPV12</stp>
        <stp>91282CBT Govt</stp>
        <stp>MATURITY</stp>
        <stp>[TREASURY.xlsx]Sheet1!R52C5</stp>
        <tr r="E52" s="1"/>
      </tp>
      <tp t="s">
        <v>3/31/2023</v>
        <stp/>
        <stp>##V3_BDPV12</stp>
        <stp>91282CBU Govt</stp>
        <stp>MATURITY</stp>
        <stp>[TREASURY.xlsx]Sheet1!R53C5</stp>
        <tr r="E53" s="1"/>
      </tp>
      <tp t="s">
        <v>2/29/2028</v>
        <stp/>
        <stp>##V3_BDPV12</stp>
        <stp>91282CBP Govt</stp>
        <stp>MATURITY</stp>
        <stp>[TREASURY.xlsx]Sheet1!R86C5</stp>
        <tr r="E86" s="1"/>
      </tp>
      <tp t="s">
        <v>NORMAL</v>
        <stp/>
        <stp>##V3_BDPV12</stp>
        <stp>91282CAE Govt</stp>
        <stp>MTY_TYP</stp>
        <stp>[TREASURY.xlsx]Sheet1!R18C6</stp>
        <tr r="F18" s="1"/>
      </tp>
      <tp t="s">
        <v>T</v>
        <stp/>
        <stp>##V3_BDPV12</stp>
        <stp>9128284L Govt</stp>
        <stp>TICKER</stp>
        <stp>[TREASURY.xlsx]Sheet1!R299C2</stp>
        <tr r="B299" s="1"/>
      </tp>
      <tp t="s">
        <v>T</v>
        <stp/>
        <stp>##V3_BDPV12</stp>
        <stp>9128285J Govt</stp>
        <stp>TICKER</stp>
        <stp>[TREASURY.xlsx]Sheet1!R248C2</stp>
        <tr r="B248" s="1"/>
      </tp>
      <tp t="s">
        <v>T</v>
        <stp/>
        <stp>##V3_BDPV12</stp>
        <stp>9128285G Govt</stp>
        <stp>TICKER</stp>
        <stp>[TREASURY.xlsx]Sheet1!R368C2</stp>
        <tr r="B368" s="1"/>
      </tp>
      <tp t="s">
        <v>T 6 1/8 12/31/96</v>
        <stp/>
        <stp>##V3_BDPV12</stp>
        <stp>912827D6 Govt</stp>
        <stp>SECURITY_NAME</stp>
        <stp>[TREASURY.xlsx]Sheet1!R700C16</stp>
        <tr r="P700" s="1"/>
      </tp>
      <tp t="s">
        <v>T 1 09/15/17</v>
        <stp/>
        <stp>##V3_BDPV12</stp>
        <stp>912828D9 Govt</stp>
        <stp>SECURITY_NAME</stp>
        <stp>[TREASURY.xlsx]Sheet1!R839C16</stp>
        <tr r="P839" s="1"/>
      </tp>
      <tp t="s">
        <v>USD</v>
        <stp/>
        <stp>##V3_BDPV12</stp>
        <stp>9128274R Govt</stp>
        <stp>CRNCY</stp>
        <stp>[TREASURY.xlsx]Sheet1!R1532C7</stp>
        <tr r="G1532" s="1"/>
      </tp>
      <tp t="s">
        <v>T 6 3/8 01/15/99</v>
        <stp/>
        <stp>##V3_BDPV12</stp>
        <stp>912827D7 Govt</stp>
        <stp>SECURITY_NAME</stp>
        <stp>[TREASURY.xlsx]Sheet1!R701C16</stp>
        <tr r="P701" s="1"/>
      </tp>
      <tp t="s">
        <v>T 0 1/2 08/31/16</v>
        <stp/>
        <stp>##V3_BDPV12</stp>
        <stp>912828D6 Govt</stp>
        <stp>SECURITY_NAME</stp>
        <stp>[TREASURY.xlsx]Sheet1!R613C16</stp>
        <tr r="P613" s="1"/>
      </tp>
      <tp t="s">
        <v>USD</v>
        <stp/>
        <stp>##V3_BDPV12</stp>
        <stp>9128276S Govt</stp>
        <stp>CRNCY</stp>
        <stp>[TREASURY.xlsx]Sheet1!R1540C7</stp>
        <tr r="G1540" s="1"/>
      </tp>
      <tp t="s">
        <v>T</v>
        <stp/>
        <stp>##V3_BDPV12</stp>
        <stp>912827N9 Govt</stp>
        <stp>TICKER</stp>
        <stp>[TREASURY.xlsx]Sheet1!R1330C2</stp>
        <tr r="B1330" s="1"/>
      </tp>
      <tp t="s">
        <v>T</v>
        <stp/>
        <stp>##V3_BDPV12</stp>
        <stp>912827K9 Govt</stp>
        <stp>TICKER</stp>
        <stp>[TREASURY.xlsx]Sheet1!R1160C2</stp>
        <tr r="B1160" s="1"/>
      </tp>
      <tp t="s">
        <v>T</v>
        <stp/>
        <stp>##V3_BDPV12</stp>
        <stp>912827T8 Govt</stp>
        <stp>TICKER</stp>
        <stp>[TREASURY.xlsx]Sheet1!R1071C2</stp>
        <tr r="B1071" s="1"/>
      </tp>
      <tp t="s">
        <v>11/15/1999</v>
        <stp/>
        <stp>##V3_BDPV12</stp>
        <stp>9128275S Govt</stp>
        <stp>ISSUE_DT</stp>
        <stp>[TREASURY.xlsx]Sheet1!R1019C15</stp>
        <tr r="O1019" s="1"/>
      </tp>
      <tp t="s">
        <v>11/1/1999</v>
        <stp/>
        <stp>##V3_BDPV12</stp>
        <stp>9128275R Govt</stp>
        <stp>ISSUE_DT</stp>
        <stp>[TREASURY.xlsx]Sheet1!R1018C15</stp>
        <tr r="O1018" s="1"/>
      </tp>
      <tp t="s">
        <v>T 1 5/8 04/30/19</v>
        <stp/>
        <stp>##V3_BDPV12</stp>
        <stp>912828D2 Govt</stp>
        <stp>SECURITY_NAME</stp>
        <stp>[TREASURY.xlsx]Sheet1!R619C16</stp>
        <tr r="P619" s="1"/>
      </tp>
      <tp t="s">
        <v>T 2 08/31/21</v>
        <stp/>
        <stp>##V3_BDPV12</stp>
        <stp>912828D7 Govt</stp>
        <stp>SECURITY_NAME</stp>
        <stp>[TREASURY.xlsx]Sheet1!R332C16</stp>
        <tr r="P332" s="1"/>
      </tp>
      <tp t="s">
        <v>9/30/1999</v>
        <stp/>
        <stp>##V3_BDPV12</stp>
        <stp>9128275Q Govt</stp>
        <stp>ISSUE_DT</stp>
        <stp>[TREASURY.xlsx]Sheet1!R1017C15</stp>
        <tr r="O1017" s="1"/>
      </tp>
      <tp t="s">
        <v>8/31/1999</v>
        <stp/>
        <stp>##V3_BDPV12</stp>
        <stp>9128275P Govt</stp>
        <stp>ISSUE_DT</stp>
        <stp>[TREASURY.xlsx]Sheet1!R1016C15</stp>
        <tr r="O1016" s="1"/>
      </tp>
      <tp t="s">
        <v>USD</v>
        <stp/>
        <stp>##V3_BDPV12</stp>
        <stp>9128274U Govt</stp>
        <stp>CRNCY</stp>
        <stp>[TREASURY.xlsx]Sheet1!R1012C7</stp>
        <tr r="G1012" s="1"/>
      </tp>
      <tp t="s">
        <v>USD</v>
        <stp/>
        <stp>##V3_BDPV12</stp>
        <stp>9128272U Govt</stp>
        <stp>CRNCY</stp>
        <stp>[TREASURY.xlsx]Sheet1!R1454C7</stp>
        <tr r="G1454" s="1"/>
      </tp>
      <tp t="s">
        <v>USD</v>
        <stp/>
        <stp>##V3_BDPV12</stp>
        <stp>9128273U Govt</stp>
        <stp>CRNCY</stp>
        <stp>[TREASURY.xlsx]Sheet1!R1455C7</stp>
        <tr r="G1455" s="1"/>
      </tp>
      <tp t="s">
        <v>USD</v>
        <stp/>
        <stp>##V3_BDPV12</stp>
        <stp>9128272X Govt</stp>
        <stp>CRNCY</stp>
        <stp>[TREASURY.xlsx]Sheet1!R1524C7</stp>
        <tr r="G1524" s="1"/>
      </tp>
      <tp t="s">
        <v>T 1 5/8 08/31/19</v>
        <stp/>
        <stp>##V3_BDPV12</stp>
        <stp>912828D8 Govt</stp>
        <stp>SECURITY_NAME</stp>
        <stp>[TREASURY.xlsx]Sheet1!R545C16</stp>
        <tr r="P545" s="1"/>
      </tp>
      <tp t="s">
        <v>T 0 7/8 08/15/17</v>
        <stp/>
        <stp>##V3_BDPV12</stp>
        <stp>912828D4 Govt</stp>
        <stp>SECURITY_NAME</stp>
        <stp>[TREASURY.xlsx]Sheet1!R961C16</stp>
        <tr r="P961" s="1"/>
      </tp>
      <tp t="s">
        <v>T 6 1/4 01/31/97</v>
        <stp/>
        <stp>##V3_BDPV12</stp>
        <stp>912827D9 Govt</stp>
        <stp>SECURITY_NAME</stp>
        <stp>[TREASURY.xlsx]Sheet1!R702C16</stp>
        <tr r="P702" s="1"/>
      </tp>
      <tp t="s">
        <v>USD</v>
        <stp/>
        <stp>##V3_BDPV12</stp>
        <stp>9128274B Govt</stp>
        <stp>CRNCY</stp>
        <stp>[TREASURY.xlsx]Sheet1!R1362C7</stp>
        <tr r="G1362" s="1"/>
      </tp>
      <tp t="s">
        <v>3/1/1999</v>
        <stp/>
        <stp>##V3_BDPV12</stp>
        <stp>9128275C Govt</stp>
        <stp>ISSUE_DT</stp>
        <stp>[TREASURY.xlsx]Sheet1!R1535C15</stp>
        <tr r="O1535" s="1"/>
      </tp>
      <tp t="s">
        <v>2/16/1999</v>
        <stp/>
        <stp>##V3_BDPV12</stp>
        <stp>9128275A Govt</stp>
        <stp>ISSUE_DT</stp>
        <stp>[TREASURY.xlsx]Sheet1!R1463C15</stp>
        <tr r="O1463" s="1"/>
      </tp>
      <tp t="s">
        <v>#N/A Field Not Applicable</v>
        <stp/>
        <stp>##V3_BDPV12</stp>
        <stp>912827C2 Govt</stp>
        <stp>IDX_RATIO</stp>
        <stp>[TREASURY.xlsx]Sheet1!R1479C20</stp>
        <tr r="T1479" s="1"/>
      </tp>
      <tp t="s">
        <v>#N/A Field Not Applicable</v>
        <stp/>
        <stp>##V3_BDPV12</stp>
        <stp>912827B2 Govt</stp>
        <stp>IDX_RATIO</stp>
        <stp>[TREASURY.xlsx]Sheet1!R1475C20</stp>
        <tr r="T1475" s="1"/>
      </tp>
      <tp t="s">
        <v>#N/A Field Not Applicable</v>
        <stp/>
        <stp>##V3_BDPV12</stp>
        <stp>912827K2 Govt</stp>
        <stp>IDX_RATIO</stp>
        <stp>[TREASURY.xlsx]Sheet1!R1489C20</stp>
        <tr r="T1489" s="1"/>
      </tp>
      <tp t="s">
        <v>5/17/1999</v>
        <stp/>
        <stp>##V3_BDPV12</stp>
        <stp>9128275G Govt</stp>
        <stp>ISSUE_DT</stp>
        <stp>[TREASURY.xlsx]Sheet1!R1369C15</stp>
        <tr r="O1369" s="1"/>
      </tp>
      <tp t="s">
        <v>3/31/1999</v>
        <stp/>
        <stp>##V3_BDPV12</stp>
        <stp>9128275D Govt</stp>
        <stp>ISSUE_DT</stp>
        <stp>[TREASURY.xlsx]Sheet1!R1013C15</stp>
        <tr r="O1013" s="1"/>
      </tp>
      <tp t="s">
        <v>USD</v>
        <stp/>
        <stp>##V3_BDPV12</stp>
        <stp>9128276A Govt</stp>
        <stp>CRNCY</stp>
        <stp>[TREASURY.xlsx]Sheet1!R1020C7</stp>
        <tr r="G1020" s="1"/>
      </tp>
      <tp t="s">
        <v>USD</v>
        <stp/>
        <stp>##V3_BDPV12</stp>
        <stp>9128275A Govt</stp>
        <stp>CRNCY</stp>
        <stp>[TREASURY.xlsx]Sheet1!R1463C7</stp>
        <tr r="G1463" s="1"/>
      </tp>
      <tp t="s">
        <v>#N/A Field Not Applicable</v>
        <stp/>
        <stp>##V3_BDPV12</stp>
        <stp>912828K2 Govt</stp>
        <stp>IDX_RATIO</stp>
        <stp>[TREASURY.xlsx]Sheet1!R1287C20</stp>
        <tr r="T1287" s="1"/>
      </tp>
      <tp t="s">
        <v>#N/A Field Not Applicable</v>
        <stp/>
        <stp>##V3_BDPV12</stp>
        <stp>912828G2 Govt</stp>
        <stp>IDX_RATIO</stp>
        <stp>[TREASURY.xlsx]Sheet1!R1280C20</stp>
        <tr r="T1280" s="1"/>
      </tp>
      <tp t="s">
        <v>#N/A Field Not Applicable</v>
        <stp/>
        <stp>##V3_BDPV12</stp>
        <stp>912827X2 Govt</stp>
        <stp>IDX_RATIO</stp>
        <stp>[TREASURY.xlsx]Sheet1!R1211C20</stp>
        <tr r="T1211" s="1"/>
      </tp>
      <tp t="s">
        <v>#N/A Field Not Applicable</v>
        <stp/>
        <stp>##V3_BDPV12</stp>
        <stp>912828A2 Govt</stp>
        <stp>IDX_RATIO</stp>
        <stp>[TREASURY.xlsx]Sheet1!R1232C20</stp>
        <tr r="T1232" s="1"/>
      </tp>
      <tp t="s">
        <v>USD</v>
        <stp/>
        <stp>##V3_BDPV12</stp>
        <stp>9128273F Govt</stp>
        <stp>CRNCY</stp>
        <stp>[TREASURY.xlsx]Sheet1!R1355C7</stp>
        <tr r="G1355" s="1"/>
      </tp>
      <tp t="s">
        <v>#N/A Field Not Applicable</v>
        <stp/>
        <stp>##V3_BDPV12</stp>
        <stp>912827N2 Govt</stp>
        <stp>IDX_RATIO</stp>
        <stp>[TREASURY.xlsx]Sheet1!R1329C20</stp>
        <tr r="T1329" s="1"/>
      </tp>
      <tp t="s">
        <v>USD</v>
        <stp/>
        <stp>##V3_BDPV12</stp>
        <stp>9128277G Govt</stp>
        <stp>CRNCY</stp>
        <stp>[TREASURY.xlsx]Sheet1!R1471C7</stp>
        <tr r="G1471" s="1"/>
      </tp>
      <tp t="s">
        <v>#N/A Field Not Applicable</v>
        <stp/>
        <stp>##V3_BDPV12</stp>
        <stp>912827D2 Govt</stp>
        <stp>IDX_RATIO</stp>
        <stp>[TREASURY.xlsx]Sheet1!R1033C20</stp>
        <tr r="T1033" s="1"/>
      </tp>
      <tp t="s">
        <v>#N/A Field Not Applicable</v>
        <stp/>
        <stp>##V3_BDPV12</stp>
        <stp>912827G2 Govt</stp>
        <stp>IDX_RATIO</stp>
        <stp>[TREASURY.xlsx]Sheet1!R1034C20</stp>
        <tr r="T1034" s="1"/>
      </tp>
      <tp t="s">
        <v>#N/A Field Not Applicable</v>
        <stp/>
        <stp>##V3_BDPV12</stp>
        <stp>912827A2 Govt</stp>
        <stp>IDX_RATIO</stp>
        <stp>[TREASURY.xlsx]Sheet1!R1029C20</stp>
        <tr r="T1029" s="1"/>
      </tp>
      <tp t="s">
        <v>#N/A Field Not Applicable</v>
        <stp/>
        <stp>##V3_BDPV12</stp>
        <stp>912827Y2 Govt</stp>
        <stp>IDX_RATIO</stp>
        <stp>[TREASURY.xlsx]Sheet1!R1098C20</stp>
        <tr r="T1098" s="1"/>
      </tp>
      <tp t="s">
        <v>#N/A Field Not Applicable</v>
        <stp/>
        <stp>##V3_BDPV12</stp>
        <stp>912827V2 Govt</stp>
        <stp>IDX_RATIO</stp>
        <stp>[TREASURY.xlsx]Sheet1!R1082C20</stp>
        <tr r="T1082" s="1"/>
      </tp>
      <tp t="s">
        <v>USD</v>
        <stp/>
        <stp>##V3_BDPV12</stp>
        <stp>9128275D Govt</stp>
        <stp>CRNCY</stp>
        <stp>[TREASURY.xlsx]Sheet1!R1013C7</stp>
        <tr r="G1013" s="1"/>
      </tp>
      <tp t="s">
        <v>#N/A Field Not Applicable</v>
        <stp/>
        <stp>##V3_BDPV12</stp>
        <stp>912827Q2 Govt</stp>
        <stp>IDX_RATIO</stp>
        <stp>[TREASURY.xlsx]Sheet1!R1176C20</stp>
        <tr r="T1176" s="1"/>
      </tp>
      <tp t="s">
        <v>#N/A Field Not Applicable</v>
        <stp/>
        <stp>##V3_BDPV12</stp>
        <stp>912827L2 Govt</stp>
        <stp>IDX_RATIO</stp>
        <stp>[TREASURY.xlsx]Sheet1!R1163C20</stp>
        <tr r="T1163" s="1"/>
      </tp>
      <tp t="s">
        <v>#N/A Field Not Applicable</v>
        <stp/>
        <stp>##V3_BDPV12</stp>
        <stp>912827M2 Govt</stp>
        <stp>IDX_RATIO</stp>
        <stp>[TREASURY.xlsx]Sheet1!R1164C20</stp>
        <tr r="T1164" s="1"/>
      </tp>
      <tp t="s">
        <v>#N/A Field Not Applicable</v>
        <stp/>
        <stp>##V3_BDPV12</stp>
        <stp>912827E2 Govt</stp>
        <stp>IDX_RATIO</stp>
        <stp>[TREASURY.xlsx]Sheet1!R1153C20</stp>
        <tr r="T1153" s="1"/>
      </tp>
      <tp t="s">
        <v>#N/A Field Not Applicable</v>
        <stp/>
        <stp>##V3_BDPV12</stp>
        <stp>912827S2 Govt</stp>
        <stp>IDX_RATIO</stp>
        <stp>[TREASURY.xlsx]Sheet1!R1181C20</stp>
        <tr r="T1181" s="1"/>
      </tp>
      <tp t="s">
        <v>8/16/1999</v>
        <stp/>
        <stp>##V3_BDPV12</stp>
        <stp>9128275M Govt</stp>
        <stp>ISSUE_DT</stp>
        <stp>[TREASURY.xlsx]Sheet1!R1015C15</stp>
        <tr r="O1015" s="1"/>
      </tp>
      <tp t="s">
        <v>6/1/1999</v>
        <stp/>
        <stp>##V3_BDPV12</stp>
        <stp>9128275H Govt</stp>
        <stp>ISSUE_DT</stp>
        <stp>[TREASURY.xlsx]Sheet1!R1370C15</stp>
        <tr r="O1370" s="1"/>
      </tp>
      <tp t="s">
        <v>USD</v>
        <stp/>
        <stp>##V3_BDPV12</stp>
        <stp>9128274N Govt</stp>
        <stp>CRNCY</stp>
        <stp>[TREASURY.xlsx]Sheet1!R1462C7</stp>
        <tr r="G1462" s="1"/>
      </tp>
      <tp t="s">
        <v>6/30/1999</v>
        <stp/>
        <stp>##V3_BDPV12</stp>
        <stp>9128275J Govt</stp>
        <stp>ISSUE_DT</stp>
        <stp>[TREASURY.xlsx]Sheet1!R1014C15</stp>
        <tr r="O1014" s="1"/>
      </tp>
      <tp t="s">
        <v>8/2/1999</v>
        <stp/>
        <stp>##V3_BDPV12</stp>
        <stp>9128275L Govt</stp>
        <stp>ISSUE_DT</stp>
        <stp>[TREASURY.xlsx]Sheet1!R1464C15</stp>
        <tr r="O1464" s="1"/>
      </tp>
      <tp t="s">
        <v>T 4 3/8 01/31/08</v>
        <stp/>
        <stp>##V3_BDPV12</stp>
        <stp>912828EU Govt</stp>
        <stp>SECURITY_NAME</stp>
        <stp>[TREASURY.xlsx]Sheet1!R466C16</stp>
        <tr r="P466" s="1"/>
      </tp>
      <tp t="s">
        <v>T 7 1/2 11/15/24</v>
        <stp/>
        <stp>##V3_BDPV12</stp>
        <stp>912810ES Govt</stp>
        <stp>SECURITY_NAME</stp>
        <stp>[TREASURY.xlsx]Sheet1!R312C16</stp>
        <tr r="P312" s="1"/>
      </tp>
      <tp t="s">
        <v>T 6 1/4 08/15/23</v>
        <stp/>
        <stp>##V3_BDPV12</stp>
        <stp>912810EQ Govt</stp>
        <stp>SECURITY_NAME</stp>
        <stp>[TREASURY.xlsx]Sheet1!R298C16</stp>
        <tr r="P298" s="1"/>
      </tp>
      <tp t="s">
        <v>T 7 1/8 02/15/23</v>
        <stp/>
        <stp>##V3_BDPV12</stp>
        <stp>912810EP Govt</stp>
        <stp>SECURITY_NAME</stp>
        <stp>[TREASURY.xlsx]Sheet1!R317C16</stp>
        <tr r="P317" s="1"/>
      </tp>
      <tp t="s">
        <v>T 6 7/8 08/15/25</v>
        <stp/>
        <stp>##V3_BDPV12</stp>
        <stp>912810EV Govt</stp>
        <stp>SECURITY_NAME</stp>
        <stp>[TREASURY.xlsx]Sheet1!R326C16</stp>
        <tr r="P326" s="1"/>
      </tp>
      <tp t="s">
        <v>T 6 02/15/26</v>
        <stp/>
        <stp>##V3_BDPV12</stp>
        <stp>912810EW Govt</stp>
        <stp>SECURITY_NAME</stp>
        <stp>[TREASURY.xlsx]Sheet1!R277C16</stp>
        <tr r="P277" s="1"/>
      </tp>
      <tp t="s">
        <v>T 4 3/8 12/31/07</v>
        <stp/>
        <stp>##V3_BDPV12</stp>
        <stp>912828ER Govt</stp>
        <stp>SECURITY_NAME</stp>
        <stp>[TREASURY.xlsx]Sheet1!R604C16</stp>
        <tr r="P604" s="1"/>
      </tp>
      <tp t="s">
        <v>T 4 3/8 12/15/10</v>
        <stp/>
        <stp>##V3_BDPV12</stp>
        <stp>912828EQ Govt</stp>
        <stp>SECURITY_NAME</stp>
        <stp>[TREASURY.xlsx]Sheet1!R524C16</stp>
        <tr r="P524" s="1"/>
      </tp>
      <tp t="s">
        <v>T 7 5/8 02/15/25</v>
        <stp/>
        <stp>##V3_BDPV12</stp>
        <stp>912810ET Govt</stp>
        <stp>SECURITY_NAME</stp>
        <stp>[TREASURY.xlsx]Sheet1!R313C16</stp>
        <tr r="P313" s="1"/>
      </tp>
      <tp t="s">
        <v>T 6 5/8 02/15/27</v>
        <stp/>
        <stp>##V3_BDPV12</stp>
        <stp>912810EZ Govt</stp>
        <stp>SECURITY_NAME</stp>
        <stp>[TREASURY.xlsx]Sheet1!R323C16</stp>
        <tr r="P323" s="1"/>
      </tp>
      <tp t="s">
        <v>T 4 1/4 11/30/07</v>
        <stp/>
        <stp>##V3_BDPV12</stp>
        <stp>912828EP Govt</stp>
        <stp>SECURITY_NAME</stp>
        <stp>[TREASURY.xlsx]Sheet1!R965C16</stp>
        <tr r="P965" s="1"/>
      </tp>
      <tp t="s">
        <v>T 4 1/2 02/28/11</v>
        <stp/>
        <stp>##V3_BDPV12</stp>
        <stp>912828EX Govt</stp>
        <stp>SECURITY_NAME</stp>
        <stp>[TREASURY.xlsx]Sheet1!R397C16</stp>
        <tr r="P397" s="1"/>
      </tp>
      <tp t="s">
        <v>T 6 3/4 08/15/26</v>
        <stp/>
        <stp>##V3_BDPV12</stp>
        <stp>912810EX Govt</stp>
        <stp>SECURITY_NAME</stp>
        <stp>[TREASURY.xlsx]Sheet1!R324C16</stp>
        <tr r="P324" s="1"/>
      </tp>
      <tp t="s">
        <v>T 6 1/2 11/15/26</v>
        <stp/>
        <stp>##V3_BDPV12</stp>
        <stp>912810EY Govt</stp>
        <stp>SECURITY_NAME</stp>
        <stp>[TREASURY.xlsx]Sheet1!R328C16</stp>
        <tr r="P328" s="1"/>
      </tp>
      <tp t="s">
        <v>T 4 1/2 02/15/16</v>
        <stp/>
        <stp>##V3_BDPV12</stp>
        <stp>912828EW Govt</stp>
        <stp>SECURITY_NAME</stp>
        <stp>[TREASURY.xlsx]Sheet1!R842C16</stp>
        <tr r="P842" s="1"/>
      </tp>
      <tp t="s">
        <v>T 4 5/8 03/31/08</v>
        <stp/>
        <stp>##V3_BDPV12</stp>
        <stp>912828EZ Govt</stp>
        <stp>SECURITY_NAME</stp>
        <stp>[TREASURY.xlsx]Sheet1!R572C16</stp>
        <tr r="P572" s="1"/>
      </tp>
      <tp t="s">
        <v>T 4 1/2 02/15/09</v>
        <stp/>
        <stp>##V3_BDPV12</stp>
        <stp>912828EV Govt</stp>
        <stp>SECURITY_NAME</stp>
        <stp>[TREASURY.xlsx]Sheet1!R841C16</stp>
        <tr r="P841" s="1"/>
      </tp>
      <tp t="s">
        <v>US912810EH78</v>
        <stp/>
        <stp>##V3_BDPV12</stp>
        <stp>912810EH Govt</stp>
        <stp>ID_ISIN</stp>
        <stp>[TREASURY.xlsx]Sheet1!R400C12</stp>
        <tr r="L400" s="1"/>
      </tp>
      <tp t="s">
        <v>US912810DU98</v>
        <stp/>
        <stp>##V3_BDPV12</stp>
        <stp>912810DU Govt</stp>
        <stp>ID_ISIN</stp>
        <stp>[TREASURY.xlsx]Sheet1!R432C12</stp>
        <tr r="L432" s="1"/>
      </tp>
      <tp t="s">
        <v>US912810DS43</v>
        <stp/>
        <stp>##V3_BDPV12</stp>
        <stp>912810DS Govt</stp>
        <stp>ID_ISIN</stp>
        <stp>[TREASURY.xlsx]Sheet1!R454C12</stp>
        <tr r="L454" s="1"/>
      </tp>
      <tp t="s">
        <v>US912810DX38</v>
        <stp/>
        <stp>##V3_BDPV12</stp>
        <stp>912810DX Govt</stp>
        <stp>ID_ISIN</stp>
        <stp>[TREASURY.xlsx]Sheet1!R461C12</stp>
        <tr r="L461" s="1"/>
      </tp>
      <tp t="s">
        <v>US912810CY20</v>
        <stp/>
        <stp>##V3_BDPV12</stp>
        <stp>912810CY Govt</stp>
        <stp>ID_ISIN</stp>
        <stp>[TREASURY.xlsx]Sheet1!R414C12</stp>
        <tr r="L414" s="1"/>
      </tp>
      <tp t="s">
        <v>US912810CP13</v>
        <stp/>
        <stp>##V3_BDPV12</stp>
        <stp>912810CP Govt</stp>
        <stp>ID_ISIN</stp>
        <stp>[TREASURY.xlsx]Sheet1!R405C12</stp>
        <tr r="L405" s="1"/>
      </tp>
      <tp t="s">
        <v>T 8 1/2 02/15/20</v>
        <stp/>
        <stp>##V3_BDPV12</stp>
        <stp>912810EE Govt</stp>
        <stp>SECURITY_NAME</stp>
        <stp>[TREASURY.xlsx]Sheet1!R503C16</stp>
        <tr r="P503" s="1"/>
      </tp>
      <tp t="s">
        <v>T 8 3/4 05/15/20</v>
        <stp/>
        <stp>##V3_BDPV12</stp>
        <stp>912810EF Govt</stp>
        <stp>SECURITY_NAME</stp>
        <stp>[TREASURY.xlsx]Sheet1!R606C16</stp>
        <tr r="P606" s="1"/>
      </tp>
      <tp t="s">
        <v>US912810EE48</v>
        <stp/>
        <stp>##V3_BDPV12</stp>
        <stp>912810EE Govt</stp>
        <stp>ID_ISIN</stp>
        <stp>[TREASURY.xlsx]Sheet1!R503C12</stp>
        <tr r="L503" s="1"/>
      </tp>
      <tp t="s">
        <v>US912810DV71</v>
        <stp/>
        <stp>##V3_BDPV12</stp>
        <stp>912810DV Govt</stp>
        <stp>ID_ISIN</stp>
        <stp>[TREASURY.xlsx]Sheet1!R527C12</stp>
        <tr r="L527" s="1"/>
      </tp>
      <tp t="s">
        <v>US912810DA35</v>
        <stp/>
        <stp>##V3_BDPV12</stp>
        <stp>912810DA Govt</stp>
        <stp>ID_ISIN</stp>
        <stp>[TREASURY.xlsx]Sheet1!R529C12</stp>
        <tr r="L529" s="1"/>
      </tp>
      <tp t="s">
        <v>US912810EJ35</v>
        <stp/>
        <stp>##V3_BDPV12</stp>
        <stp>912810EJ Govt</stp>
        <stp>ID_ISIN</stp>
        <stp>[TREASURY.xlsx]Sheet1!R521C12</stp>
        <tr r="L521" s="1"/>
      </tp>
      <tp t="s">
        <v>US912810CC00</v>
        <stp/>
        <stp>##V3_BDPV12</stp>
        <stp>912810CC Govt</stp>
        <stp>ID_ISIN</stp>
        <stp>[TREASURY.xlsx]Sheet1!R526C12</stp>
        <tr r="L526" s="1"/>
      </tp>
      <tp t="s">
        <v>US912810CT35</v>
        <stp/>
        <stp>##V3_BDPV12</stp>
        <stp>912810CT Govt</stp>
        <stp>ID_ISIN</stp>
        <stp>[TREASURY.xlsx]Sheet1!R501C12</stp>
        <tr r="L501" s="1"/>
      </tp>
      <tp t="s">
        <v>US912810DP04</v>
        <stp/>
        <stp>##V3_BDPV12</stp>
        <stp>912810DP Govt</stp>
        <stp>ID_ISIN</stp>
        <stp>[TREASURY.xlsx]Sheet1!R698C12</stp>
        <tr r="L698" s="1"/>
      </tp>
      <tp t="s">
        <v>US912810DZ85</v>
        <stp/>
        <stp>##V3_BDPV12</stp>
        <stp>912810DZ Govt</stp>
        <stp>ID_ISIN</stp>
        <stp>[TREASURY.xlsx]Sheet1!R699C12</stp>
        <tr r="L699" s="1"/>
      </tp>
      <tp t="s">
        <v>US912810DM72</v>
        <stp/>
        <stp>##V3_BDPV12</stp>
        <stp>912810DM Govt</stp>
        <stp>ID_ISIN</stp>
        <stp>[TREASURY.xlsx]Sheet1!R697C12</stp>
        <tr r="L697" s="1"/>
      </tp>
      <tp t="s">
        <v>US912810DW54</v>
        <stp/>
        <stp>##V3_BDPV12</stp>
        <stp>912810DW Govt</stp>
        <stp>ID_ISIN</stp>
        <stp>[TREASURY.xlsx]Sheet1!R609C12</stp>
        <tr r="L609" s="1"/>
      </tp>
      <tp t="s">
        <v>US912810EC81</v>
        <stp/>
        <stp>##V3_BDPV12</stp>
        <stp>912810EC Govt</stp>
        <stp>ID_ISIN</stp>
        <stp>[TREASURY.xlsx]Sheet1!R612C12</stp>
        <tr r="L612" s="1"/>
      </tp>
      <tp t="s">
        <v>US912810CX47</v>
        <stp/>
        <stp>##V3_BDPV12</stp>
        <stp>912810CX Govt</stp>
        <stp>ID_ISIN</stp>
        <stp>[TREASURY.xlsx]Sheet1!R661C12</stp>
        <tr r="L661" s="1"/>
      </tp>
      <tp t="s">
        <v>US912810CS51</v>
        <stp/>
        <stp>##V3_BDPV12</stp>
        <stp>912810CS Govt</stp>
        <stp>ID_ISIN</stp>
        <stp>[TREASURY.xlsx]Sheet1!R660C12</stp>
        <tr r="L660" s="1"/>
      </tp>
      <tp t="s">
        <v>US912810EF13</v>
        <stp/>
        <stp>##V3_BDPV12</stp>
        <stp>912810EF Govt</stp>
        <stp>ID_ISIN</stp>
        <stp>[TREASURY.xlsx]Sheet1!R606C12</stp>
        <tr r="L606" s="1"/>
      </tp>
      <tp t="s">
        <v>US912810ED64</v>
        <stp/>
        <stp>##V3_BDPV12</stp>
        <stp>912810ED Govt</stp>
        <stp>ID_ISIN</stp>
        <stp>[TREASURY.xlsx]Sheet1!R664C12</stp>
        <tr r="L664" s="1"/>
      </tp>
      <tp t="s">
        <v>T 3 7/8 09/15/10</v>
        <stp/>
        <stp>##V3_BDPV12</stp>
        <stp>912828EG Govt</stp>
        <stp>SECURITY_NAME</stp>
        <stp>[TREASURY.xlsx]Sheet1!R596C16</stp>
        <tr r="P596" s="1"/>
      </tp>
      <tp t="s">
        <v>T 4 1/4 08/15/15</v>
        <stp/>
        <stp>##V3_BDPV12</stp>
        <stp>912828EE Govt</stp>
        <stp>SECURITY_NAME</stp>
        <stp>[TREASURY.xlsx]Sheet1!R795C16</stp>
        <tr r="P795" s="1"/>
      </tp>
      <tp t="s">
        <v>T 8 1/8 08/15/19</v>
        <stp/>
        <stp>##V3_BDPV12</stp>
        <stp>912810ED Govt</stp>
        <stp>SECURITY_NAME</stp>
        <stp>[TREASURY.xlsx]Sheet1!R664C16</stp>
        <tr r="P664" s="1"/>
      </tp>
      <tp t="s">
        <v>T 8 7/8 02/15/19</v>
        <stp/>
        <stp>##V3_BDPV12</stp>
        <stp>912810EC Govt</stp>
        <stp>SECURITY_NAME</stp>
        <stp>[TREASURY.xlsx]Sheet1!R612C16</stp>
        <tr r="P612" s="1"/>
      </tp>
      <tp t="s">
        <v>T 4 1/8 08/15/08</v>
        <stp/>
        <stp>##V3_BDPV12</stp>
        <stp>912828EC Govt</stp>
        <stp>SECURITY_NAME</stp>
        <stp>[TREASURY.xlsx]Sheet1!R794C16</stp>
        <tr r="P794" s="1"/>
      </tp>
      <tp t="s">
        <v>US912810FM54</v>
        <stp/>
        <stp>##V3_BDPV12</stp>
        <stp>912810FM Govt</stp>
        <stp>ID_ISIN</stp>
        <stp>[TREASURY.xlsx]Sheet1!R188C12</stp>
        <tr r="L188" s="1"/>
      </tp>
      <tp t="s">
        <v>US912810RJ97</v>
        <stp/>
        <stp>##V3_BDPV12</stp>
        <stp>912810RJ Govt</stp>
        <stp>ID_ISIN</stp>
        <stp>[TREASURY.xlsx]Sheet1!R180C12</stp>
        <tr r="L180" s="1"/>
      </tp>
      <tp t="s">
        <v>US912810RY64</v>
        <stp/>
        <stp>##V3_BDPV12</stp>
        <stp>912810RY Govt</stp>
        <stp>ID_ISIN</stp>
        <stp>[TREASURY.xlsx]Sheet1!R191C12</stp>
        <tr r="L191" s="1"/>
      </tp>
      <tp t="s">
        <v>US912810RX81</v>
        <stp/>
        <stp>##V3_BDPV12</stp>
        <stp>912810RX Govt</stp>
        <stp>ID_ISIN</stp>
        <stp>[TREASURY.xlsx]Sheet1!R197C12</stp>
        <tr r="L197" s="1"/>
      </tp>
      <tp t="s">
        <v>US912810SD19</v>
        <stp/>
        <stp>##V3_BDPV12</stp>
        <stp>912810SD Govt</stp>
        <stp>ID_ISIN</stp>
        <stp>[TREASURY.xlsx]Sheet1!R181C12</stp>
        <tr r="L181" s="1"/>
      </tp>
      <tp t="s">
        <v>US912810RS96</v>
        <stp/>
        <stp>##V3_BDPV12</stp>
        <stp>912810RS Govt</stp>
        <stp>ID_ISIN</stp>
        <stp>[TREASURY.xlsx]Sheet1!R163C12</stp>
        <tr r="L163" s="1"/>
      </tp>
      <tp t="s">
        <v>US912810SF66</v>
        <stp/>
        <stp>##V3_BDPV12</stp>
        <stp>912810SF Govt</stp>
        <stp>ID_ISIN</stp>
        <stp>[TREASURY.xlsx]Sheet1!R177C12</stp>
        <tr r="L177" s="1"/>
      </tp>
      <tp t="s">
        <v>US912810RQ31</v>
        <stp/>
        <stp>##V3_BDPV12</stp>
        <stp>912810RQ Govt</stp>
        <stp>ID_ISIN</stp>
        <stp>[TREASURY.xlsx]Sheet1!R172C12</stp>
        <tr r="L172" s="1"/>
      </tp>
      <tp t="s">
        <v>US912810RM27</v>
        <stp/>
        <stp>##V3_BDPV12</stp>
        <stp>912810RM Govt</stp>
        <stp>ID_ISIN</stp>
        <stp>[TREASURY.xlsx]Sheet1!R176C12</stp>
        <tr r="L176" s="1"/>
      </tp>
      <tp t="s">
        <v>US912810SH23</v>
        <stp/>
        <stp>##V3_BDPV12</stp>
        <stp>912810SH Govt</stp>
        <stp>ID_ISIN</stp>
        <stp>[TREASURY.xlsx]Sheet1!R156C12</stp>
        <tr r="L156" s="1"/>
      </tp>
      <tp t="s">
        <v>US912810SE91</v>
        <stp/>
        <stp>##V3_BDPV12</stp>
        <stp>912810SE Govt</stp>
        <stp>ID_ISIN</stp>
        <stp>[TREASURY.xlsx]Sheet1!R152C12</stp>
        <tr r="L152" s="1"/>
      </tp>
      <tp t="s">
        <v>US912810RU43</v>
        <stp/>
        <stp>##V3_BDPV12</stp>
        <stp>912810RU Govt</stp>
        <stp>ID_ISIN</stp>
        <stp>[TREASURY.xlsx]Sheet1!R154C12</stp>
        <tr r="L154" s="1"/>
      </tp>
      <tp t="s">
        <v>US912810SA79</v>
        <stp/>
        <stp>##V3_BDPV12</stp>
        <stp>912810SA Govt</stp>
        <stp>ID_ISIN</stp>
        <stp>[TREASURY.xlsx]Sheet1!R146C12</stp>
        <tr r="L146" s="1"/>
      </tp>
      <tp t="s">
        <v>US912810RK60</v>
        <stp/>
        <stp>##V3_BDPV12</stp>
        <stp>912810RK Govt</stp>
        <stp>ID_ISIN</stp>
        <stp>[TREASURY.xlsx]Sheet1!R103C12</stp>
        <tr r="L103" s="1"/>
      </tp>
      <tp t="s">
        <v>US912810SR05</v>
        <stp/>
        <stp>##V3_BDPV12</stp>
        <stp>912810SR Govt</stp>
        <stp>ID_ISIN</stp>
        <stp>[TREASURY.xlsx]Sheet1!R100C12</stp>
        <tr r="L100" s="1"/>
      </tp>
      <tp t="s">
        <v>US912810EQ77</v>
        <stp/>
        <stp>##V3_BDPV12</stp>
        <stp>912810EQ Govt</stp>
        <stp>ID_ISIN</stp>
        <stp>[TREASURY.xlsx]Sheet1!R298C12</stp>
        <tr r="L298" s="1"/>
      </tp>
      <tp t="s">
        <v>US912810FF04</v>
        <stp/>
        <stp>##V3_BDPV12</stp>
        <stp>912810FF Govt</stp>
        <stp>ID_ISIN</stp>
        <stp>[TREASURY.xlsx]Sheet1!R292C12</stp>
        <tr r="L292" s="1"/>
      </tp>
      <tp t="s">
        <v>US912810EL80</v>
        <stp/>
        <stp>##V3_BDPV12</stp>
        <stp>912810EL Govt</stp>
        <stp>ID_ISIN</stp>
        <stp>[TREASURY.xlsx]Sheet1!R211C12</stp>
        <tr r="L211" s="1"/>
      </tp>
      <tp t="s">
        <v>US912810FG86</v>
        <stp/>
        <stp>##V3_BDPV12</stp>
        <stp>912810FG Govt</stp>
        <stp>ID_ISIN</stp>
        <stp>[TREASURY.xlsx]Sheet1!R223C12</stp>
        <tr r="L223" s="1"/>
      </tp>
      <tp t="s">
        <v>US912810FJ26</v>
        <stp/>
        <stp>##V3_BDPV12</stp>
        <stp>912810FJ Govt</stp>
        <stp>ID_ISIN</stp>
        <stp>[TREASURY.xlsx]Sheet1!R267C12</stp>
        <tr r="L267" s="1"/>
      </tp>
      <tp t="s">
        <v>US912810EW46</v>
        <stp/>
        <stp>##V3_BDPV12</stp>
        <stp>912810EW Govt</stp>
        <stp>ID_ISIN</stp>
        <stp>[TREASURY.xlsx]Sheet1!R277C12</stp>
        <tr r="L277" s="1"/>
      </tp>
      <tp t="s">
        <v>US912810FE39</v>
        <stp/>
        <stp>##V3_BDPV12</stp>
        <stp>912810FE Govt</stp>
        <stp>ID_ISIN</stp>
        <stp>[TREASURY.xlsx]Sheet1!R253C12</stp>
        <tr r="L253" s="1"/>
      </tp>
      <tp t="s">
        <v>US912810PX00</v>
        <stp/>
        <stp>##V3_BDPV12</stp>
        <stp>912810PX Govt</stp>
        <stp>ID_ISIN</stp>
        <stp>[TREASURY.xlsx]Sheet1!R282C12</stp>
        <tr r="L282" s="1"/>
      </tp>
      <tp t="s">
        <v>US912810PW27</v>
        <stp/>
        <stp>##V3_BDPV12</stp>
        <stp>912810PW Govt</stp>
        <stp>ID_ISIN</stp>
        <stp>[TREASURY.xlsx]Sheet1!R289C12</stp>
        <tr r="L289" s="1"/>
      </tp>
      <tp t="s">
        <v>US912810QN19</v>
        <stp/>
        <stp>##V3_BDPV12</stp>
        <stp>912810QN Govt</stp>
        <stp>ID_ISIN</stp>
        <stp>[TREASURY.xlsx]Sheet1!R291C12</stp>
        <tr r="L291" s="1"/>
      </tp>
      <tp t="s">
        <v>US912810QU51</v>
        <stp/>
        <stp>##V3_BDPV12</stp>
        <stp>912810QU Govt</stp>
        <stp>ID_ISIN</stp>
        <stp>[TREASURY.xlsx]Sheet1!R287C12</stp>
        <tr r="L287" s="1"/>
      </tp>
      <tp t="s">
        <v>US912810QW18</v>
        <stp/>
        <stp>##V3_BDPV12</stp>
        <stp>912810QW Govt</stp>
        <stp>ID_ISIN</stp>
        <stp>[TREASURY.xlsx]Sheet1!R286C12</stp>
        <tr r="L286" s="1"/>
      </tp>
      <tp t="s">
        <v>US912810QA97</v>
        <stp/>
        <stp>##V3_BDPV12</stp>
        <stp>912810QA Govt</stp>
        <stp>ID_ISIN</stp>
        <stp>[TREASURY.xlsx]Sheet1!R280C12</stp>
        <tr r="L280" s="1"/>
      </tp>
      <tp t="s">
        <v>US912810RG58</v>
        <stp/>
        <stp>##V3_BDPV12</stp>
        <stp>912810RG Govt</stp>
        <stp>ID_ISIN</stp>
        <stp>[TREASURY.xlsx]Sheet1!R284C12</stp>
        <tr r="L284" s="1"/>
      </tp>
      <tp t="s">
        <v>US912810RN00</v>
        <stp/>
        <stp>##V3_BDPV12</stp>
        <stp>912810RN Govt</stp>
        <stp>ID_ISIN</stp>
        <stp>[TREASURY.xlsx]Sheet1!R293C12</stp>
        <tr r="L293" s="1"/>
      </tp>
      <tp t="s">
        <v>US912810RE01</v>
        <stp/>
        <stp>##V3_BDPV12</stp>
        <stp>912810RE Govt</stp>
        <stp>ID_ISIN</stp>
        <stp>[TREASURY.xlsx]Sheet1!R295C12</stp>
        <tr r="L295" s="1"/>
      </tp>
      <tp t="s">
        <v>US912810RB61</v>
        <stp/>
        <stp>##V3_BDPV12</stp>
        <stp>912810RB Govt</stp>
        <stp>ID_ISIN</stp>
        <stp>[TREASURY.xlsx]Sheet1!R269C12</stp>
        <tr r="L269" s="1"/>
      </tp>
      <tp t="s">
        <v>US912810RC45</v>
        <stp/>
        <stp>##V3_BDPV12</stp>
        <stp>912810RC Govt</stp>
        <stp>ID_ISIN</stp>
        <stp>[TREASURY.xlsx]Sheet1!R263C12</stp>
        <tr r="L263" s="1"/>
      </tp>
      <tp t="s">
        <v>US912810RZ30</v>
        <stp/>
        <stp>##V3_BDPV12</stp>
        <stp>912810RZ Govt</stp>
        <stp>ID_ISIN</stp>
        <stp>[TREASURY.xlsx]Sheet1!R273C12</stp>
        <tr r="L273" s="1"/>
      </tp>
      <tp t="s">
        <v>US912810RP57</v>
        <stp/>
        <stp>##V3_BDPV12</stp>
        <stp>912810RP Govt</stp>
        <stp>ID_ISIN</stp>
        <stp>[TREASURY.xlsx]Sheet1!R278C12</stp>
        <tr r="L278" s="1"/>
      </tp>
      <tp t="s">
        <v>US912810QY73</v>
        <stp/>
        <stp>##V3_BDPV12</stp>
        <stp>912810QY Govt</stp>
        <stp>ID_ISIN</stp>
        <stp>[TREASURY.xlsx]Sheet1!R270C12</stp>
        <tr r="L270" s="1"/>
      </tp>
      <tp t="s">
        <v>US912810QX90</v>
        <stp/>
        <stp>##V3_BDPV12</stp>
        <stp>912810QX Govt</stp>
        <stp>ID_ISIN</stp>
        <stp>[TREASURY.xlsx]Sheet1!R275C12</stp>
        <tr r="L275" s="1"/>
      </tp>
      <tp t="s">
        <v>US912810QB70</v>
        <stp/>
        <stp>##V3_BDPV12</stp>
        <stp>912810QB Govt</stp>
        <stp>ID_ISIN</stp>
        <stp>[TREASURY.xlsx]Sheet1!R274C12</stp>
        <tr r="L274" s="1"/>
      </tp>
      <tp t="s">
        <v>US912810RH32</v>
        <stp/>
        <stp>##V3_BDPV12</stp>
        <stp>912810RH Govt</stp>
        <stp>ID_ISIN</stp>
        <stp>[TREASURY.xlsx]Sheet1!R259C12</stp>
        <tr r="L259" s="1"/>
      </tp>
      <tp t="s">
        <v>US912810SC36</v>
        <stp/>
        <stp>##V3_BDPV12</stp>
        <stp>912810SC Govt</stp>
        <stp>ID_ISIN</stp>
        <stp>[TREASURY.xlsx]Sheet1!R243C12</stp>
        <tr r="L243" s="1"/>
      </tp>
      <tp t="s">
        <v>US912810RD28</v>
        <stp/>
        <stp>##V3_BDPV12</stp>
        <stp>912810RD Govt</stp>
        <stp>ID_ISIN</stp>
        <stp>[TREASURY.xlsx]Sheet1!R235C12</stp>
        <tr r="L235" s="1"/>
      </tp>
      <tp t="s">
        <v>US912810QT88</v>
        <stp/>
        <stp>##V3_BDPV12</stp>
        <stp>912810QT Govt</stp>
        <stp>ID_ISIN</stp>
        <stp>[TREASURY.xlsx]Sheet1!R237C12</stp>
        <tr r="L237" s="1"/>
      </tp>
      <tp t="s">
        <v>US912810PT97</v>
        <stp/>
        <stp>##V3_BDPV12</stp>
        <stp>912810PT Govt</stp>
        <stp>ID_ISIN</stp>
        <stp>[TREASURY.xlsx]Sheet1!R226C12</stp>
        <tr r="L226" s="1"/>
      </tp>
      <tp t="s">
        <v>US912810QK79</v>
        <stp/>
        <stp>##V3_BDPV12</stp>
        <stp>912810QK Govt</stp>
        <stp>ID_ISIN</stp>
        <stp>[TREASURY.xlsx]Sheet1!R238C12</stp>
        <tr r="L238" s="1"/>
      </tp>
      <tp t="s">
        <v>US912810DJ44</v>
        <stp/>
        <stp>##V3_BDPV12</stp>
        <stp>912810DJ Govt</stp>
        <stp>ID_ISIN</stp>
        <stp>[TREASURY.xlsx]Sheet1!R399C12</stp>
        <tr r="L399" s="1"/>
      </tp>
      <tp t="s">
        <v>US912810ES34</v>
        <stp/>
        <stp>##V3_BDPV12</stp>
        <stp>912810ES Govt</stp>
        <stp>ID_ISIN</stp>
        <stp>[TREASURY.xlsx]Sheet1!R312C12</stp>
        <tr r="L312" s="1"/>
      </tp>
      <tp t="s">
        <v>US912810EP94</v>
        <stp/>
        <stp>##V3_BDPV12</stp>
        <stp>912810EP Govt</stp>
        <stp>ID_ISIN</stp>
        <stp>[TREASURY.xlsx]Sheet1!R317C12</stp>
        <tr r="L317" s="1"/>
      </tp>
      <tp t="s">
        <v>US912810ET17</v>
        <stp/>
        <stp>##V3_BDPV12</stp>
        <stp>912810ET Govt</stp>
        <stp>ID_ISIN</stp>
        <stp>[TREASURY.xlsx]Sheet1!R313C12</stp>
        <tr r="L313" s="1"/>
      </tp>
      <tp t="s">
        <v>US912810FB99</v>
        <stp/>
        <stp>##V3_BDPV12</stp>
        <stp>912810FB Govt</stp>
        <stp>ID_ISIN</stp>
        <stp>[TREASURY.xlsx]Sheet1!R320C12</stp>
        <tr r="L320" s="1"/>
      </tp>
      <tp t="s">
        <v>US912810EN47</v>
        <stp/>
        <stp>##V3_BDPV12</stp>
        <stp>912810EN Govt</stp>
        <stp>ID_ISIN</stp>
        <stp>[TREASURY.xlsx]Sheet1!R319C12</stp>
        <tr r="L319" s="1"/>
      </tp>
      <tp t="s">
        <v>US912810EM63</v>
        <stp/>
        <stp>##V3_BDPV12</stp>
        <stp>912810EM Govt</stp>
        <stp>ID_ISIN</stp>
        <stp>[TREASURY.xlsx]Sheet1!R304C12</stp>
        <tr r="L304" s="1"/>
      </tp>
      <tp t="s">
        <v>US912810EZ76</v>
        <stp/>
        <stp>##V3_BDPV12</stp>
        <stp>912810EZ Govt</stp>
        <stp>ID_ISIN</stp>
        <stp>[TREASURY.xlsx]Sheet1!R323C12</stp>
        <tr r="L323" s="1"/>
      </tp>
      <tp t="s">
        <v>US912810EX29</v>
        <stp/>
        <stp>##V3_BDPV12</stp>
        <stp>912810EX Govt</stp>
        <stp>ID_ISIN</stp>
        <stp>[TREASURY.xlsx]Sheet1!R324C12</stp>
        <tr r="L324" s="1"/>
      </tp>
      <tp t="s">
        <v>US912810EY02</v>
        <stp/>
        <stp>##V3_BDPV12</stp>
        <stp>912810EY Govt</stp>
        <stp>ID_ISIN</stp>
        <stp>[TREASURY.xlsx]Sheet1!R328C12</stp>
        <tr r="L328" s="1"/>
      </tp>
      <tp t="s">
        <v>US912810EV62</v>
        <stp/>
        <stp>##V3_BDPV12</stp>
        <stp>912810EV Govt</stp>
        <stp>ID_ISIN</stp>
        <stp>[TREASURY.xlsx]Sheet1!R326C12</stp>
        <tr r="L326" s="1"/>
      </tp>
      <tp t="s">
        <v>US912810FA17</v>
        <stp/>
        <stp>##V3_BDPV12</stp>
        <stp>912810FA Govt</stp>
        <stp>ID_ISIN</stp>
        <stp>[TREASURY.xlsx]Sheet1!R314C12</stp>
        <tr r="L314" s="1"/>
      </tp>
      <tp t="s">
        <v>US912810EK08</v>
        <stp/>
        <stp>##V3_BDPV12</stp>
        <stp>912810EK Govt</stp>
        <stp>ID_ISIN</stp>
        <stp>[TREASURY.xlsx]Sheet1!R357C12</stp>
        <tr r="L357" s="1"/>
      </tp>
      <tp t="s">
        <v>US912810QZ49</v>
        <stp/>
        <stp>##V3_BDPV12</stp>
        <stp>912810QZ Govt</stp>
        <stp>ID_ISIN</stp>
        <stp>[TREASURY.xlsx]Sheet1!R310C12</stp>
        <tr r="L310" s="1"/>
      </tp>
      <tp t="s">
        <v>US912810QQ40</v>
        <stp/>
        <stp>##V3_BDPV12</stp>
        <stp>912810QQ Govt</stp>
        <stp>ID_ISIN</stp>
        <stp>[TREASURY.xlsx]Sheet1!R315C12</stp>
        <tr r="L315" s="1"/>
      </tp>
      <tp t="s">
        <v>US912810QC53</v>
        <stp/>
        <stp>##V3_BDPV12</stp>
        <stp>912810QC Govt</stp>
        <stp>ID_ISIN</stp>
        <stp>[TREASURY.xlsx]Sheet1!R318C12</stp>
        <tr r="L318" s="1"/>
      </tp>
      <tp t="s">
        <v>US912810QH41</v>
        <stp/>
        <stp>##V3_BDPV12</stp>
        <stp>912810QH Govt</stp>
        <stp>ID_ISIN</stp>
        <stp>[TREASURY.xlsx]Sheet1!R316C12</stp>
        <tr r="L316" s="1"/>
      </tp>
      <tp t="s">
        <v>US912810QD37</v>
        <stp/>
        <stp>##V3_BDPV12</stp>
        <stp>912810QD Govt</stp>
        <stp>ID_ISIN</stp>
        <stp>[TREASURY.xlsx]Sheet1!R311C12</stp>
        <tr r="L311" s="1"/>
      </tp>
      <tp t="s">
        <v>US912810QS06</v>
        <stp/>
        <stp>##V3_BDPV12</stp>
        <stp>912810QS Govt</stp>
        <stp>ID_ISIN</stp>
        <stp>[TREASURY.xlsx]Sheet1!R303C12</stp>
        <tr r="L303" s="1"/>
      </tp>
      <tp t="s">
        <v>US912810QE10</v>
        <stp/>
        <stp>##V3_BDPV12</stp>
        <stp>912810QE Govt</stp>
        <stp>ID_ISIN</stp>
        <stp>[TREASURY.xlsx]Sheet1!R302C12</stp>
        <tr r="L302" s="1"/>
      </tp>
      <tp t="s">
        <v>US912810QL52</v>
        <stp/>
        <stp>##V3_BDPV12</stp>
        <stp>912810QL Govt</stp>
        <stp>ID_ISIN</stp>
        <stp>[TREASURY.xlsx]Sheet1!R321C12</stp>
        <tr r="L321" s="1"/>
      </tp>
      <tp t="s">
        <v>T 4 1/2 11/15/15</v>
        <stp/>
        <stp>##V3_BDPV12</stp>
        <stp>912828EN Govt</stp>
        <stp>SECURITY_NAME</stp>
        <stp>[TREASURY.xlsx]Sheet1!R649C16</stp>
        <tr r="P649" s="1"/>
      </tp>
      <tp t="s">
        <v>T 8 1/8 08/15/21</v>
        <stp/>
        <stp>##V3_BDPV12</stp>
        <stp>912810EK Govt</stp>
        <stp>SECURITY_NAME</stp>
        <stp>[TREASURY.xlsx]Sheet1!R357C16</stp>
        <tr r="P357" s="1"/>
      </tp>
      <tp t="s">
        <v>T 4 3/8 11/15/08</v>
        <stp/>
        <stp>##V3_BDPV12</stp>
        <stp>912828EL Govt</stp>
        <stp>SECURITY_NAME</stp>
        <stp>[TREASURY.xlsx]Sheet1!R797C16</stp>
        <tr r="P797" s="1"/>
      </tp>
      <tp t="s">
        <v>T 7 5/8 11/15/22</v>
        <stp/>
        <stp>##V3_BDPV12</stp>
        <stp>912810EN Govt</stp>
        <stp>SECURITY_NAME</stp>
        <stp>[TREASURY.xlsx]Sheet1!R319C16</stp>
        <tr r="P319" s="1"/>
      </tp>
      <tp t="s">
        <v>T 4 1/8 08/15/10</v>
        <stp/>
        <stp>##V3_BDPV12</stp>
        <stp>912828ED Govt</stp>
        <stp>SECURITY_NAME</stp>
        <stp>[TREASURY.xlsx]Sheet1!R964C16</stp>
        <tr r="P964" s="1"/>
      </tp>
      <tp t="s">
        <v>T 4 1/4 10/31/07</v>
        <stp/>
        <stp>##V3_BDPV12</stp>
        <stp>912828EK Govt</stp>
        <stp>SECURITY_NAME</stp>
        <stp>[TREASURY.xlsx]Sheet1!R796C16</stp>
        <tr r="P796" s="1"/>
      </tp>
      <tp t="s">
        <v>T 7 7/8 02/15/21</v>
        <stp/>
        <stp>##V3_BDPV12</stp>
        <stp>912810EH Govt</stp>
        <stp>SECURITY_NAME</stp>
        <stp>[TREASURY.xlsx]Sheet1!R400C16</stp>
        <tr r="P400" s="1"/>
      </tp>
      <tp t="s">
        <v>T 8 1/8 05/15/21</v>
        <stp/>
        <stp>##V3_BDPV12</stp>
        <stp>912810EJ Govt</stp>
        <stp>SECURITY_NAME</stp>
        <stp>[TREASURY.xlsx]Sheet1!R521C16</stp>
        <tr r="P521" s="1"/>
      </tp>
      <tp t="s">
        <v>T 8 11/15/21</v>
        <stp/>
        <stp>##V3_BDPV12</stp>
        <stp>912810EL Govt</stp>
        <stp>SECURITY_NAME</stp>
        <stp>[TREASURY.xlsx]Sheet1!R211C16</stp>
        <tr r="P211" s="1"/>
      </tp>
      <tp t="s">
        <v>T 7 1/4 08/15/22</v>
        <stp/>
        <stp>##V3_BDPV12</stp>
        <stp>912810EM Govt</stp>
        <stp>SECURITY_NAME</stp>
        <stp>[TREASURY.xlsx]Sheet1!R304C16</stp>
        <tr r="P304" s="1"/>
      </tp>
      <tp t="s">
        <v>FIXED</v>
        <stp/>
        <stp>##V3_BDPV12</stp>
        <stp>912810SY Govt</stp>
        <stp>CPN_TYP</stp>
        <stp>[TREASURY.xlsx]Sheet1!R21C11</stp>
        <tr r="K21" s="1"/>
      </tp>
      <tp t="s">
        <v>FIXED</v>
        <stp/>
        <stp>##V3_BDPV12</stp>
        <stp>91282CCY Govt</stp>
        <stp>CPN_TYP</stp>
        <stp>[TREASURY.xlsx]Sheet1!R13C11</stp>
        <tr r="K13" s="1"/>
      </tp>
      <tp t="s">
        <v>NORMAL</v>
        <stp/>
        <stp>##V3_BDPV12</stp>
        <stp>91282CAJ Govt</stp>
        <stp>MTY_TYP</stp>
        <stp>[TREASURY.xlsx]Sheet1!R49C6</stp>
        <tr r="F49" s="1"/>
      </tp>
      <tp t="s">
        <v>3/15/2024</v>
        <stp/>
        <stp>##V3_BDPV12</stp>
        <stp>91282CBR Govt</stp>
        <stp>MATURITY</stp>
        <stp>[TREASURY.xlsx]Sheet1!R55C5</stp>
        <tr r="E55" s="1"/>
      </tp>
      <tp t="s">
        <v>T</v>
        <stp/>
        <stp>##V3_BDPV12</stp>
        <stp>9128285V Govt</stp>
        <stp>TICKER</stp>
        <stp>[TREASURY.xlsx]Sheet1!R179C2</stp>
        <tr r="B179" s="1"/>
      </tp>
      <tp t="s">
        <v>T</v>
        <stp/>
        <stp>##V3_BDPV12</stp>
        <stp>9128285T Govt</stp>
        <stp>TICKER</stp>
        <stp>[TREASURY.xlsx]Sheet1!R239C2</stp>
        <tr r="B239" s="1"/>
      </tp>
      <tp t="s">
        <v>NORMAL</v>
        <stp/>
        <stp>##V3_BDPV12</stp>
        <stp>91282CAB Govt</stp>
        <stp>MTY_TYP</stp>
        <stp>[TREASURY.xlsx]Sheet1!R99C6</stp>
        <tr r="F99" s="1"/>
      </tp>
      <tp t="s">
        <v>T</v>
        <stp/>
        <stp>##V3_BDPV12</stp>
        <stp>9128284U Govt</stp>
        <stp>TICKER</stp>
        <stp>[TREASURY.xlsx]Sheet1!R128C2</stp>
        <tr r="B128" s="1"/>
      </tp>
      <tp t="s">
        <v>T</v>
        <stp/>
        <stp>##V3_BDPV12</stp>
        <stp>9128285S Govt</stp>
        <stp>TICKER</stp>
        <stp>[TREASURY.xlsx]Sheet1!R429C2</stp>
        <tr r="B429" s="1"/>
      </tp>
      <tp t="s">
        <v>T</v>
        <stp/>
        <stp>##V3_BDPV12</stp>
        <stp>9128285K Govt</stp>
        <stp>TICKER</stp>
        <stp>[TREASURY.xlsx]Sheet1!R229C2</stp>
        <tr r="B229" s="1"/>
      </tp>
      <tp t="s">
        <v>T</v>
        <stp/>
        <stp>##V3_BDPV12</stp>
        <stp>9128274F Govt</stp>
        <stp>TICKER</stp>
        <stp>[TREASURY.xlsx]Sheet1!R578C2</stp>
        <tr r="B578" s="1"/>
      </tp>
      <tp t="s">
        <v>NORMAL</v>
        <stp/>
        <stp>##V3_BDPV12</stp>
        <stp>91282CAT Govt</stp>
        <stp>MTY_TYP</stp>
        <stp>[TREASURY.xlsx]Sheet1!R39C6</stp>
        <tr r="F39" s="1"/>
      </tp>
      <tp t="s">
        <v>T</v>
        <stp/>
        <stp>##V3_BDPV12</stp>
        <stp>9128284A Govt</stp>
        <stp>TICKER</stp>
        <stp>[TREASURY.xlsx]Sheet1!R288C2</stp>
        <tr r="B288" s="1"/>
      </tp>
      <tp t="s">
        <v>9/30/1998</v>
        <stp/>
        <stp>##V3_BDPV12</stp>
        <stp>9128274R Govt</stp>
        <stp>ISSUE_DT</stp>
        <stp>[TREASURY.xlsx]Sheet1!R1532C15</stp>
        <tr r="O1532" s="1"/>
      </tp>
      <tp t="s">
        <v>T 6 3/4 02/28/97</v>
        <stp/>
        <stp>##V3_BDPV12</stp>
        <stp>912827E5 Govt</stp>
        <stp>SECURITY_NAME</stp>
        <stp>[TREASURY.xlsx]Sheet1!R579C16</stp>
        <tr r="P579" s="1"/>
      </tp>
      <tp t="s">
        <v>11/16/1998</v>
        <stp/>
        <stp>##V3_BDPV12</stp>
        <stp>9128274U Govt</stp>
        <stp>ISSUE_DT</stp>
        <stp>[TREASURY.xlsx]Sheet1!R1012C15</stp>
        <tr r="O1012" s="1"/>
      </tp>
      <tp t="s">
        <v>T 6 7/8 03/31/97</v>
        <stp/>
        <stp>##V3_BDPV12</stp>
        <stp>912827E7 Govt</stp>
        <stp>SECURITY_NAME</stp>
        <stp>[TREASURY.xlsx]Sheet1!R590C16</stp>
        <tr r="P590" s="1"/>
      </tp>
      <tp t="s">
        <v>11/16/1998</v>
        <stp/>
        <stp>##V3_BDPV12</stp>
        <stp>9128274V Govt</stp>
        <stp>ISSUE_DT</stp>
        <stp>[TREASURY.xlsx]Sheet1!R1533C15</stp>
        <tr r="O1533" s="1"/>
      </tp>
      <tp t="s">
        <v>USD</v>
        <stp/>
        <stp>##V3_BDPV12</stp>
        <stp>9128274V Govt</stp>
        <stp>CRNCY</stp>
        <stp>[TREASURY.xlsx]Sheet1!R1533C7</stp>
        <tr r="G1533" s="1"/>
      </tp>
      <tp t="s">
        <v>8/31/1998</v>
        <stp/>
        <stp>##V3_BDPV12</stp>
        <stp>9128274Q Govt</stp>
        <stp>ISSUE_DT</stp>
        <stp>[TREASURY.xlsx]Sheet1!R1367C15</stp>
        <tr r="O1367" s="1"/>
      </tp>
      <tp t="s">
        <v>USD</v>
        <stp/>
        <stp>##V3_BDPV12</stp>
        <stp>9128276W Govt</stp>
        <stp>CRNCY</stp>
        <stp>[TREASURY.xlsx]Sheet1!R1541C7</stp>
        <tr r="G1541" s="1"/>
      </tp>
      <tp t="s">
        <v>2/1/1999</v>
        <stp/>
        <stp>##V3_BDPV12</stp>
        <stp>9128274Z Govt</stp>
        <stp>ISSUE_DT</stp>
        <stp>[TREASURY.xlsx]Sheet1!R1534C15</stp>
        <tr r="O1534" s="1"/>
      </tp>
      <tp t="s">
        <v>USD</v>
        <stp/>
        <stp>##V3_BDPV12</stp>
        <stp>9128282Z Govt</stp>
        <stp>CRNCY</stp>
        <stp>[TREASURY.xlsx]Sheet1!R1615C7</stp>
        <tr r="G1615" s="1"/>
      </tp>
      <tp t="s">
        <v>USD</v>
        <stp/>
        <stp>##V3_BDPV12</stp>
        <stp>9128272Y Govt</stp>
        <stp>CRNCY</stp>
        <stp>[TREASURY.xlsx]Sheet1!R1525C7</stp>
        <tr r="G1525" s="1"/>
      </tp>
      <tp t="s">
        <v>12/31/1998</v>
        <stp/>
        <stp>##V3_BDPV12</stp>
        <stp>9128274X Govt</stp>
        <stp>ISSUE_DT</stp>
        <stp>[TREASURY.xlsx]Sheet1!R1368C15</stp>
        <tr r="O1368" s="1"/>
      </tp>
      <tp t="s">
        <v>4/30/1998</v>
        <stp/>
        <stp>##V3_BDPV12</stp>
        <stp>9128274C Govt</stp>
        <stp>ISSUE_DT</stp>
        <stp>[TREASURY.xlsx]Sheet1!R1458C15</stp>
        <tr r="O1458" s="1"/>
      </tp>
      <tp t="s">
        <v>#N/A Field Not Applicable</v>
        <stp/>
        <stp>##V3_BDPV12</stp>
        <stp>912827Y3 Govt</stp>
        <stp>IDX_RATIO</stp>
        <stp>[TREASURY.xlsx]Sheet1!R1601C20</stp>
        <tr r="T1601" s="1"/>
      </tp>
      <tp t="s">
        <v>#N/A Field Not Applicable</v>
        <stp/>
        <stp>##V3_BDPV12</stp>
        <stp>912827Z3 Govt</stp>
        <stp>IDX_RATIO</stp>
        <stp>[TREASURY.xlsx]Sheet1!R1608C20</stp>
        <tr r="T1608" s="1"/>
      </tp>
      <tp t="s">
        <v>USD</v>
        <stp/>
        <stp>##V3_BDPV12</stp>
        <stp>9128276B Govt</stp>
        <stp>CRNCY</stp>
        <stp>[TREASURY.xlsx]Sheet1!R1021C7</stp>
        <tr r="G1021" s="1"/>
      </tp>
      <tp t="s">
        <v>5/15/1998</v>
        <stp/>
        <stp>##V3_BDPV12</stp>
        <stp>9128274E Govt</stp>
        <stp>ISSUE_DT</stp>
        <stp>[TREASURY.xlsx]Sheet1!R1363C15</stp>
        <tr r="O1363" s="1"/>
      </tp>
      <tp t="s">
        <v>3/31/1998</v>
        <stp/>
        <stp>##V3_BDPV12</stp>
        <stp>9128274A Govt</stp>
        <stp>ISSUE_DT</stp>
        <stp>[TREASURY.xlsx]Sheet1!R1457C15</stp>
        <tr r="O1457" s="1"/>
      </tp>
      <tp t="s">
        <v>#N/A Field Not Applicable</v>
        <stp/>
        <stp>##V3_BDPV12</stp>
        <stp>912827Q3 Govt</stp>
        <stp>IDX_RATIO</stp>
        <stp>[TREASURY.xlsx]Sheet1!R1494C20</stp>
        <tr r="T1494" s="1"/>
      </tp>
      <tp t="s">
        <v>#N/A Field Not Applicable</v>
        <stp/>
        <stp>##V3_BDPV12</stp>
        <stp>912827D3 Govt</stp>
        <stp>IDX_RATIO</stp>
        <stp>[TREASURY.xlsx]Sheet1!R1483C20</stp>
        <tr r="T1483" s="1"/>
      </tp>
      <tp t="s">
        <v>#N/A Field Not Applicable</v>
        <stp/>
        <stp>##V3_BDPV12</stp>
        <stp>912827C3 Govt</stp>
        <stp>IDX_RATIO</stp>
        <stp>[TREASURY.xlsx]Sheet1!R1480C20</stp>
        <tr r="T1480" s="1"/>
      </tp>
      <tp t="s">
        <v>6/1/1998</v>
        <stp/>
        <stp>##V3_BDPV12</stp>
        <stp>9128274G Govt</stp>
        <stp>ISSUE_DT</stp>
        <stp>[TREASURY.xlsx]Sheet1!R1364C15</stp>
        <tr r="O1364" s="1"/>
      </tp>
      <tp t="s">
        <v>#N/A Field Not Applicable</v>
        <stp/>
        <stp>##V3_BDPV12</stp>
        <stp>912827L3 Govt</stp>
        <stp>IDX_RATIO</stp>
        <stp>[TREASURY.xlsx]Sheet1!R1564C20</stp>
        <tr r="T1564" s="1"/>
      </tp>
      <tp t="s">
        <v>#N/A Field Not Applicable</v>
        <stp/>
        <stp>##V3_BDPV12</stp>
        <stp>912827M3 Govt</stp>
        <stp>IDX_RATIO</stp>
        <stp>[TREASURY.xlsx]Sheet1!R1568C20</stp>
        <tr r="T1568" s="1"/>
      </tp>
      <tp t="s">
        <v>#N/A Field Not Applicable</v>
        <stp/>
        <stp>##V3_BDPV12</stp>
        <stp>912827B3 Govt</stp>
        <stp>IDX_RATIO</stp>
        <stp>[TREASURY.xlsx]Sheet1!R1549C20</stp>
        <tr r="T1549" s="1"/>
      </tp>
      <tp t="s">
        <v>#N/A Field Not Applicable</v>
        <stp/>
        <stp>##V3_BDPV12</stp>
        <stp>912827V3 Govt</stp>
        <stp>IDX_RATIO</stp>
        <stp>[TREASURY.xlsx]Sheet1!R1591C20</stp>
        <tr r="T1591" s="1"/>
      </tp>
      <tp t="s">
        <v>#N/A Field Not Applicable</v>
        <stp/>
        <stp>##V3_BDPV12</stp>
        <stp>912827S3 Govt</stp>
        <stp>IDX_RATIO</stp>
        <stp>[TREASURY.xlsx]Sheet1!R1585C20</stp>
        <tr r="T1585" s="1"/>
      </tp>
      <tp t="s">
        <v>3/15/2018</v>
        <stp/>
        <stp>##V3_BDPV12</stp>
        <stp>9128284B Govt</stp>
        <stp>ISSUE_DT</stp>
        <stp>[TREASURY.xlsx]Sheet1!R1106C15</stp>
        <tr r="O1106" s="1"/>
      </tp>
      <tp t="s">
        <v>#N/A Field Not Applicable</v>
        <stp/>
        <stp>##V3_BDPV12</stp>
        <stp>912828J3 Govt</stp>
        <stp>IDX_RATIO</stp>
        <stp>[TREASURY.xlsx]Sheet1!R1246C20</stp>
        <tr r="T1246" s="1"/>
      </tp>
      <tp t="s">
        <v>#N/A Field Not Applicable</v>
        <stp/>
        <stp>##V3_BDPV12</stp>
        <stp>912827H3 Govt</stp>
        <stp>IDX_RATIO</stp>
        <stp>[TREASURY.xlsx]Sheet1!R1316C20</stp>
        <tr r="T1316" s="1"/>
      </tp>
      <tp t="s">
        <v>#N/A Field Not Applicable</v>
        <stp/>
        <stp>##V3_BDPV12</stp>
        <stp>912827F3 Govt</stp>
        <stp>IDX_RATIO</stp>
        <stp>[TREASURY.xlsx]Sheet1!R1314C20</stp>
        <tr r="T1314" s="1"/>
      </tp>
      <tp t="s">
        <v>#N/A Field Not Applicable</v>
        <stp/>
        <stp>##V3_BDPV12</stp>
        <stp>912827P3 Govt</stp>
        <stp>IDX_RATIO</stp>
        <stp>[TREASURY.xlsx]Sheet1!R1386C20</stp>
        <tr r="T1386" s="1"/>
      </tp>
      <tp t="s">
        <v>USD</v>
        <stp/>
        <stp>##V3_BDPV12</stp>
        <stp>9128282G Govt</stp>
        <stp>CRNCY</stp>
        <stp>[TREASURY.xlsx]Sheet1!R1105C7</stp>
        <tr r="G1105" s="1"/>
      </tp>
      <tp t="s">
        <v>3/31/1998</v>
        <stp/>
        <stp>##V3_BDPV12</stp>
        <stp>9128274B Govt</stp>
        <stp>ISSUE_DT</stp>
        <stp>[TREASURY.xlsx]Sheet1!R1362C15</stp>
        <tr r="O1362" s="1"/>
      </tp>
      <tp t="s">
        <v>#N/A Field Not Applicable</v>
        <stp/>
        <stp>##V3_BDPV12</stp>
        <stp>912827T3 Govt</stp>
        <stp>IDX_RATIO</stp>
        <stp>[TREASURY.xlsx]Sheet1!R1069C20</stp>
        <tr r="T1069" s="1"/>
      </tp>
      <tp t="s">
        <v>#N/A Field Not Applicable</v>
        <stp/>
        <stp>##V3_BDPV12</stp>
        <stp>912827R3 Govt</stp>
        <stp>IDX_RATIO</stp>
        <stp>[TREASURY.xlsx]Sheet1!R1060C20</stp>
        <tr r="T1060" s="1"/>
      </tp>
      <tp t="s">
        <v>#N/A Field Not Applicable</v>
        <stp/>
        <stp>##V3_BDPV12</stp>
        <stp>912827A3 Govt</stp>
        <stp>IDX_RATIO</stp>
        <stp>[TREASURY.xlsx]Sheet1!R1030C20</stp>
        <tr r="T1030" s="1"/>
      </tp>
      <tp t="s">
        <v>#N/A Field Not Applicable</v>
        <stp/>
        <stp>##V3_BDPV12</stp>
        <stp>912827K3 Govt</stp>
        <stp>IDX_RATIO</stp>
        <stp>[TREASURY.xlsx]Sheet1!R1039C20</stp>
        <tr r="T1039" s="1"/>
      </tp>
      <tp t="s">
        <v>#N/A Field Not Applicable</v>
        <stp/>
        <stp>##V3_BDPV12</stp>
        <stp>912827X3 Govt</stp>
        <stp>IDX_RATIO</stp>
        <stp>[TREASURY.xlsx]Sheet1!R1094C20</stp>
        <tr r="T1094" s="1"/>
      </tp>
      <tp t="s">
        <v>USD</v>
        <stp/>
        <stp>##V3_BDPV12</stp>
        <stp>9128273D Govt</stp>
        <stp>CRNCY</stp>
        <stp>[TREASURY.xlsx]Sheet1!R1354C7</stp>
        <tr r="G1354" s="1"/>
      </tp>
      <tp t="s">
        <v>USD</v>
        <stp/>
        <stp>##V3_BDPV12</stp>
        <stp>9128277D Govt</stp>
        <stp>CRNCY</stp>
        <stp>[TREASURY.xlsx]Sheet1!R1470C7</stp>
        <tr r="G1470" s="1"/>
      </tp>
      <tp t="s">
        <v>4/30/1998</v>
        <stp/>
        <stp>##V3_BDPV12</stp>
        <stp>9128274D Govt</stp>
        <stp>ISSUE_DT</stp>
        <stp>[TREASURY.xlsx]Sheet1!R1459C15</stp>
        <tr r="O1459" s="1"/>
      </tp>
      <tp t="s">
        <v>#N/A Field Not Applicable</v>
        <stp/>
        <stp>##V3_BDPV12</stp>
        <stp>912828B3 Govt</stp>
        <stp>IDX_RATIO</stp>
        <stp>[TREASURY.xlsx]Sheet1!R1108C20</stp>
        <tr r="T1108" s="1"/>
      </tp>
      <tp t="s">
        <v>USD</v>
        <stp/>
        <stp>##V3_BDPV12</stp>
        <stp>9128274E Govt</stp>
        <stp>CRNCY</stp>
        <stp>[TREASURY.xlsx]Sheet1!R1363C7</stp>
        <tr r="G1363" s="1"/>
      </tp>
      <tp t="s">
        <v>6/1/1998</v>
        <stp/>
        <stp>##V3_BDPV12</stp>
        <stp>9128274H Govt</stp>
        <stp>ISSUE_DT</stp>
        <stp>[TREASURY.xlsx]Sheet1!R1460C15</stp>
        <tr r="O1460" s="1"/>
      </tp>
      <tp t="s">
        <v>8/17/1998</v>
        <stp/>
        <stp>##V3_BDPV12</stp>
        <stp>9128274N Govt</stp>
        <stp>ISSUE_DT</stp>
        <stp>[TREASURY.xlsx]Sheet1!R1462C15</stp>
        <tr r="O1462" s="1"/>
      </tp>
      <tp t="s">
        <v>7/31/1998</v>
        <stp/>
        <stp>##V3_BDPV12</stp>
        <stp>9128274M Govt</stp>
        <stp>ISSUE_DT</stp>
        <stp>[TREASURY.xlsx]Sheet1!R1461C15</stp>
        <tr r="O1461" s="1"/>
      </tp>
      <tp t="s">
        <v>6/30/1998</v>
        <stp/>
        <stp>##V3_BDPV12</stp>
        <stp>9128274J Govt</stp>
        <stp>ISSUE_DT</stp>
        <stp>[TREASURY.xlsx]Sheet1!R1365C15</stp>
        <tr r="O1365" s="1"/>
      </tp>
      <tp t="s">
        <v>6/30/1998</v>
        <stp/>
        <stp>##V3_BDPV12</stp>
        <stp>9128274K Govt</stp>
        <stp>ISSUE_DT</stp>
        <stp>[TREASURY.xlsx]Sheet1!R1366C15</stp>
        <tr r="O1366" s="1"/>
      </tp>
      <tp t="s">
        <v>T 4 5/8 09/30/08</v>
        <stp/>
        <stp>##V3_BDPV12</stp>
        <stp>912828FT Govt</stp>
        <stp>SECURITY_NAME</stp>
        <stp>[TREASURY.xlsx]Sheet1!R597C16</stp>
        <tr r="P597" s="1"/>
      </tp>
      <tp t="s">
        <v>T 4 1/2 09/30/11</v>
        <stp/>
        <stp>##V3_BDPV12</stp>
        <stp>912828FU Govt</stp>
        <stp>SECURITY_NAME</stp>
        <stp>[TREASURY.xlsx]Sheet1!R614C16</stp>
        <tr r="P614" s="1"/>
      </tp>
      <tp t="s">
        <v>T 4 7/8 08/15/16</v>
        <stp/>
        <stp>##V3_BDPV12</stp>
        <stp>912828FQ Govt</stp>
        <stp>SECURITY_NAME</stp>
        <stp>[TREASURY.xlsx]Sheet1!R534C16</stp>
        <tr r="P534" s="1"/>
      </tp>
      <tp t="s">
        <v>T 4 5/8 08/31/11</v>
        <stp/>
        <stp>##V3_BDPV12</stp>
        <stp>912828FS Govt</stp>
        <stp>SECURITY_NAME</stp>
        <stp>[TREASURY.xlsx]Sheet1!R800C16</stp>
        <tr r="P800" s="1"/>
      </tp>
      <tp t="s">
        <v>T 4 5/8 11/15/16</v>
        <stp/>
        <stp>##V3_BDPV12</stp>
        <stp>912828FY Govt</stp>
        <stp>SECURITY_NAME</stp>
        <stp>[TREASURY.xlsx]Sheet1!R394C16</stp>
        <tr r="P394" s="1"/>
      </tp>
      <tp t="s">
        <v>T 4 5/8 10/31/11</v>
        <stp/>
        <stp>##V3_BDPV12</stp>
        <stp>912828FW Govt</stp>
        <stp>SECURITY_NAME</stp>
        <stp>[TREASURY.xlsx]Sheet1!R846C16</stp>
        <tr r="P846" s="1"/>
      </tp>
      <tp t="s">
        <v>T 4 7/8 10/31/08</v>
        <stp/>
        <stp>##V3_BDPV12</stp>
        <stp>912828FV Govt</stp>
        <stp>SECURITY_NAME</stp>
        <stp>[TREASURY.xlsx]Sheet1!R845C16</stp>
        <tr r="P845" s="1"/>
      </tp>
      <tp t="s">
        <v>US9128277B27</v>
        <stp/>
        <stp>##V3_BDPV12</stp>
        <stp>9128277B Govt</stp>
        <stp>ID_ISIN</stp>
        <stp>[TREASURY.xlsx]Sheet1!R354C12</stp>
        <tr r="L354" s="1"/>
      </tp>
      <tp t="s">
        <v>T 6 1/8 11/15/27</v>
        <stp/>
        <stp>##V3_BDPV12</stp>
        <stp>912810FB Govt</stp>
        <stp>SECURITY_NAME</stp>
        <stp>[TREASURY.xlsx]Sheet1!R320C16</stp>
        <tr r="P320" s="1"/>
      </tp>
      <tp t="s">
        <v>US912827KW15</v>
        <stp/>
        <stp>##V3_BDPV12</stp>
        <stp>912827KW Govt</stp>
        <stp>ID_ISIN</stp>
        <stp>[TREASURY.xlsx]Sheet1!R392C12</stp>
        <tr r="L392" s="1"/>
      </tp>
      <tp t="s">
        <v>T 4 7/8 05/31/11</v>
        <stp/>
        <stp>##V3_BDPV12</stp>
        <stp>912828FH Govt</stp>
        <stp>SECURITY_NAME</stp>
        <stp>[TREASURY.xlsx]Sheet1!R843C16</stp>
        <tr r="P843" s="1"/>
      </tp>
      <tp t="s">
        <v>T 5 1/8 06/30/11</v>
        <stp/>
        <stp>##V3_BDPV12</stp>
        <stp>912828FK Govt</stp>
        <stp>SECURITY_NAME</stp>
        <stp>[TREASURY.xlsx]Sheet1!R844C16</stp>
        <tr r="P844" s="1"/>
      </tp>
      <tp t="s">
        <v>T 6 3/8 08/15/27</v>
        <stp/>
        <stp>##V3_BDPV12</stp>
        <stp>912810FA Govt</stp>
        <stp>SECURITY_NAME</stp>
        <stp>[TREASURY.xlsx]Sheet1!R314C16</stp>
        <tr r="P314" s="1"/>
      </tp>
      <tp t="s">
        <v>T 4 7/8 04/30/11</v>
        <stp/>
        <stp>##V3_BDPV12</stp>
        <stp>912828FD Govt</stp>
        <stp>SECURITY_NAME</stp>
        <stp>[TREASURY.xlsx]Sheet1!R650C16</stp>
        <tr r="P650" s="1"/>
      </tp>
      <tp t="s">
        <v>T 5 1/8 05/15/16</v>
        <stp/>
        <stp>##V3_BDPV12</stp>
        <stp>912828FF Govt</stp>
        <stp>SECURITY_NAME</stp>
        <stp>[TREASURY.xlsx]Sheet1!R475C16</stp>
        <tr r="P475" s="1"/>
      </tp>
      <tp t="s">
        <v>T 5 1/4 02/15/29</v>
        <stp/>
        <stp>##V3_BDPV12</stp>
        <stp>912810FG Govt</stp>
        <stp>SECURITY_NAME</stp>
        <stp>[TREASURY.xlsx]Sheet1!R223C16</stp>
        <tr r="P223" s="1"/>
      </tp>
      <tp t="s">
        <v>US912828HB97</v>
        <stp/>
        <stp>##V3_BDPV12</stp>
        <stp>912828HB Govt</stp>
        <stp>ID_ISIN</stp>
        <stp>[TREASURY.xlsx]Sheet1!R849C12</stp>
        <tr r="L849" s="1"/>
      </tp>
      <tp t="s">
        <v>US912828MB33</v>
        <stp/>
        <stp>##V3_BDPV12</stp>
        <stp>912828MB Govt</stp>
        <stp>ID_ISIN</stp>
        <stp>[TREASURY.xlsx]Sheet1!R819C12</stp>
        <tr r="L819" s="1"/>
      </tp>
      <tp t="s">
        <v>US912827M666</v>
        <stp/>
        <stp>##V3_BDPV12</stp>
        <stp>912827M6 Govt</stp>
        <stp>ID_ISIN</stp>
        <stp>[TREASURY.xlsx]Sheet1!R719C12</stp>
        <tr r="L719" s="1"/>
      </tp>
      <tp t="s">
        <v>US912827N656</v>
        <stp/>
        <stp>##V3_BDPV12</stp>
        <stp>912827N6 Govt</stp>
        <stp>ID_ISIN</stp>
        <stp>[TREASURY.xlsx]Sheet1!R728C12</stp>
        <tr r="L728" s="1"/>
      </tp>
      <tp t="s">
        <v>US912827M583</v>
        <stp/>
        <stp>##V3_BDPV12</stp>
        <stp>912827M5 Govt</stp>
        <stp>ID_ISIN</stp>
        <stp>[TREASURY.xlsx]Sheet1!R718C12</stp>
        <tr r="L718" s="1"/>
      </tp>
      <tp t="s">
        <v>US912827N573</v>
        <stp/>
        <stp>##V3_BDPV12</stp>
        <stp>912827N5 Govt</stp>
        <stp>ID_ISIN</stp>
        <stp>[TREASURY.xlsx]Sheet1!R727C12</stp>
        <tr r="L727" s="1"/>
      </tp>
      <tp t="s">
        <v>US912827N813</v>
        <stp/>
        <stp>##V3_BDPV12</stp>
        <stp>912827N8 Govt</stp>
        <stp>ID_ISIN</stp>
        <stp>[TREASURY.xlsx]Sheet1!R729C12</stp>
        <tr r="L729" s="1"/>
      </tp>
      <tp t="s">
        <v>US912827N326</v>
        <stp/>
        <stp>##V3_BDPV12</stp>
        <stp>912827N3 Govt</stp>
        <stp>ID_ISIN</stp>
        <stp>[TREASURY.xlsx]Sheet1!R726C12</stp>
        <tr r="L726" s="1"/>
      </tp>
      <tp t="s">
        <v>US912828LU23</v>
        <stp/>
        <stp>##V3_BDPV12</stp>
        <stp>912828LU Govt</stp>
        <stp>ID_ISIN</stp>
        <stp>[TREASURY.xlsx]Sheet1!R818C12</stp>
        <tr r="L818" s="1"/>
      </tp>
      <tp t="s">
        <v>US912827NP37</v>
        <stp/>
        <stp>##V3_BDPV12</stp>
        <stp>912827NP Govt</stp>
        <stp>ID_ISIN</stp>
        <stp>[TREASURY.xlsx]Sheet1!R733C12</stp>
        <tr r="L733" s="1"/>
      </tp>
      <tp t="s">
        <v>US912827NV05</v>
        <stp/>
        <stp>##V3_BDPV12</stp>
        <stp>912827NV Govt</stp>
        <stp>ID_ISIN</stp>
        <stp>[TREASURY.xlsx]Sheet1!R734C12</stp>
        <tr r="L734" s="1"/>
      </tp>
      <tp t="s">
        <v>US912827LV23</v>
        <stp/>
        <stp>##V3_BDPV12</stp>
        <stp>912827LV Govt</stp>
        <stp>ID_ISIN</stp>
        <stp>[TREASURY.xlsx]Sheet1!R717C12</stp>
        <tr r="L717" s="1"/>
      </tp>
      <tp t="s">
        <v>US912828LP38</v>
        <stp/>
        <stp>##V3_BDPV12</stp>
        <stp>912828LP Govt</stp>
        <stp>ID_ISIN</stp>
        <stp>[TREASURY.xlsx]Sheet1!R816C12</stp>
        <tr r="L816" s="1"/>
      </tp>
      <tp t="s">
        <v>US912828HT06</v>
        <stp/>
        <stp>##V3_BDPV12</stp>
        <stp>912828HT Govt</stp>
        <stp>ID_ISIN</stp>
        <stp>[TREASURY.xlsx]Sheet1!R851C12</stp>
        <tr r="L851" s="1"/>
      </tp>
      <tp t="s">
        <v>US912828LR93</v>
        <stp/>
        <stp>##V3_BDPV12</stp>
        <stp>912828LR Govt</stp>
        <stp>ID_ISIN</stp>
        <stp>[TREASURY.xlsx]Sheet1!R817C12</stp>
        <tr r="L817" s="1"/>
      </tp>
      <tp t="s">
        <v>US912827LM24</v>
        <stp/>
        <stp>##V3_BDPV12</stp>
        <stp>912827LM Govt</stp>
        <stp>ID_ISIN</stp>
        <stp>[TREASURY.xlsx]Sheet1!R715C12</stp>
        <tr r="L715" s="1"/>
      </tp>
      <tp t="s">
        <v>US912827LN07</v>
        <stp/>
        <stp>##V3_BDPV12</stp>
        <stp>912827LN Govt</stp>
        <stp>ID_ISIN</stp>
        <stp>[TREASURY.xlsx]Sheet1!R716C12</stp>
        <tr r="L716" s="1"/>
      </tp>
      <tp t="s">
        <v>US912827NM06</v>
        <stp/>
        <stp>##V3_BDPV12</stp>
        <stp>912827NM Govt</stp>
        <stp>ID_ISIN</stp>
        <stp>[TREASURY.xlsx]Sheet1!R732C12</stp>
        <tr r="L732" s="1"/>
      </tp>
      <tp t="s">
        <v>US912827NC24</v>
        <stp/>
        <stp>##V3_BDPV12</stp>
        <stp>912827NC Govt</stp>
        <stp>ID_ISIN</stp>
        <stp>[TREASURY.xlsx]Sheet1!R730C12</stp>
        <tr r="L730" s="1"/>
      </tp>
      <tp t="s">
        <v>US912828LG39</v>
        <stp/>
        <stp>##V3_BDPV12</stp>
        <stp>912828LG Govt</stp>
        <stp>ID_ISIN</stp>
        <stp>[TREASURY.xlsx]Sheet1!R815C12</stp>
        <tr r="L815" s="1"/>
      </tp>
      <tp t="s">
        <v>US912828LD08</v>
        <stp/>
        <stp>##V3_BDPV12</stp>
        <stp>912828LD Govt</stp>
        <stp>ID_ISIN</stp>
        <stp>[TREASURY.xlsx]Sheet1!R814C12</stp>
        <tr r="L814" s="1"/>
      </tp>
      <tp t="s">
        <v>US912827ND07</v>
        <stp/>
        <stp>##V3_BDPV12</stp>
        <stp>912827ND Govt</stp>
        <stp>ID_ISIN</stp>
        <stp>[TREASURY.xlsx]Sheet1!R731C12</stp>
        <tr r="L731" s="1"/>
      </tp>
      <tp t="s">
        <v>US912828HE37</v>
        <stp/>
        <stp>##V3_BDPV12</stp>
        <stp>912828HE Govt</stp>
        <stp>ID_ISIN</stp>
        <stp>[TREASURY.xlsx]Sheet1!R850C12</stp>
        <tr r="L850" s="1"/>
      </tp>
      <tp t="s">
        <v>US912827L916</v>
        <stp/>
        <stp>##V3_BDPV12</stp>
        <stp>912827L9 Govt</stp>
        <stp>ID_ISIN</stp>
        <stp>[TREASURY.xlsx]Sheet1!R714C12</stp>
        <tr r="L714" s="1"/>
      </tp>
      <tp t="s">
        <v>US912828KL33</v>
        <stp/>
        <stp>##V3_BDPV12</stp>
        <stp>912828KL Govt</stp>
        <stp>ID_ISIN</stp>
        <stp>[TREASURY.xlsx]Sheet1!R857C12</stp>
        <tr r="L857" s="1"/>
      </tp>
      <tp t="s">
        <v>US912828KA77</v>
        <stp/>
        <stp>##V3_BDPV12</stp>
        <stp>912828KA Govt</stp>
        <stp>ID_ISIN</stp>
        <stp>[TREASURY.xlsx]Sheet1!R856C12</stp>
        <tr r="L856" s="1"/>
      </tp>
      <tp t="s">
        <v>US912828MX52</v>
        <stp/>
        <stp>##V3_BDPV12</stp>
        <stp>912828MX Govt</stp>
        <stp>ID_ISIN</stp>
        <stp>[TREASURY.xlsx]Sheet1!R825C12</stp>
        <tr r="L825" s="1"/>
      </tp>
      <tp t="s">
        <v>US912827MY52</v>
        <stp/>
        <stp>##V3_BDPV12</stp>
        <stp>912827MY Govt</stp>
        <stp>ID_ISIN</stp>
        <stp>[TREASURY.xlsx]Sheet1!R725C12</stp>
        <tr r="L725" s="1"/>
      </tp>
      <tp t="s">
        <v>US912827MQ29</v>
        <stp/>
        <stp>##V3_BDPV12</stp>
        <stp>912827MQ Govt</stp>
        <stp>ID_ISIN</stp>
        <stp>[TREASURY.xlsx]Sheet1!R723C12</stp>
        <tr r="L723" s="1"/>
      </tp>
      <tp t="s">
        <v>US912828MV96</v>
        <stp/>
        <stp>##V3_BDPV12</stp>
        <stp>912828MV Govt</stp>
        <stp>ID_ISIN</stp>
        <stp>[TREASURY.xlsx]Sheet1!R824C12</stp>
        <tr r="L824" s="1"/>
      </tp>
      <tp t="s">
        <v>US912828MR84</v>
        <stp/>
        <stp>##V3_BDPV12</stp>
        <stp>912828MR Govt</stp>
        <stp>ID_ISIN</stp>
        <stp>[TREASURY.xlsx]Sheet1!R823C12</stp>
        <tr r="L823" s="1"/>
      </tp>
      <tp t="s">
        <v>US912827MT67</v>
        <stp/>
        <stp>##V3_BDPV12</stp>
        <stp>912827MT Govt</stp>
        <stp>ID_ISIN</stp>
        <stp>[TREASURY.xlsx]Sheet1!R724C12</stp>
        <tr r="L724" s="1"/>
      </tp>
      <tp t="s">
        <v>US912828JU50</v>
        <stp/>
        <stp>##V3_BDPV12</stp>
        <stp>912828JU Govt</stp>
        <stp>ID_ISIN</stp>
        <stp>[TREASURY.xlsx]Sheet1!R855C12</stp>
        <tr r="L855" s="1"/>
      </tp>
      <tp t="s">
        <v>US912828MJ68</v>
        <stp/>
        <stp>##V3_BDPV12</stp>
        <stp>912828MJ Govt</stp>
        <stp>ID_ISIN</stp>
        <stp>[TREASURY.xlsx]Sheet1!R820C12</stp>
        <tr r="L820" s="1"/>
      </tp>
      <tp t="s">
        <v>US912828JK78</v>
        <stp/>
        <stp>##V3_BDPV12</stp>
        <stp>912828JK Govt</stp>
        <stp>ID_ISIN</stp>
        <stp>[TREASURY.xlsx]Sheet1!R854C12</stp>
        <tr r="L854" s="1"/>
      </tp>
      <tp t="s">
        <v>US912828MM97</v>
        <stp/>
        <stp>##V3_BDPV12</stp>
        <stp>912828MM Govt</stp>
        <stp>ID_ISIN</stp>
        <stp>[TREASURY.xlsx]Sheet1!R821C12</stp>
        <tr r="L821" s="1"/>
      </tp>
      <tp t="s">
        <v>US912828MN70</v>
        <stp/>
        <stp>##V3_BDPV12</stp>
        <stp>912828MN Govt</stp>
        <stp>ID_ISIN</stp>
        <stp>[TREASURY.xlsx]Sheet1!R822C12</stp>
        <tr r="L822" s="1"/>
      </tp>
      <tp t="s">
        <v>US912827MB59</v>
        <stp/>
        <stp>##V3_BDPV12</stp>
        <stp>912827MB Govt</stp>
        <stp>ID_ISIN</stp>
        <stp>[TREASURY.xlsx]Sheet1!R721C12</stp>
        <tr r="L721" s="1"/>
      </tp>
      <tp t="s">
        <v>US912827MA76</v>
        <stp/>
        <stp>##V3_BDPV12</stp>
        <stp>912827MA Govt</stp>
        <stp>ID_ISIN</stp>
        <stp>[TREASURY.xlsx]Sheet1!R720C12</stp>
        <tr r="L720" s="1"/>
      </tp>
      <tp t="s">
        <v>US912828JC52</v>
        <stp/>
        <stp>##V3_BDPV12</stp>
        <stp>912828JC Govt</stp>
        <stp>ID_ISIN</stp>
        <stp>[TREASURY.xlsx]Sheet1!R853C12</stp>
        <tr r="L853" s="1"/>
      </tp>
      <tp t="s">
        <v>US912827MF63</v>
        <stp/>
        <stp>##V3_BDPV12</stp>
        <stp>912827MF Govt</stp>
        <stp>ID_ISIN</stp>
        <stp>[TREASURY.xlsx]Sheet1!R722C12</stp>
        <tr r="L722" s="1"/>
      </tp>
      <tp t="s">
        <v>US912828J926</v>
        <stp/>
        <stp>##V3_BDPV12</stp>
        <stp>912828J9 Govt</stp>
        <stp>ID_ISIN</stp>
        <stp>[TREASURY.xlsx]Sheet1!R852C12</stp>
        <tr r="L852" s="1"/>
      </tp>
      <tp t="s">
        <v>US912828HU78</v>
        <stp/>
        <stp>##V3_BDPV12</stp>
        <stp>912828HU Govt</stp>
        <stp>ID_ISIN</stp>
        <stp>[TREASURY.xlsx]Sheet1!R808C12</stp>
        <tr r="L808" s="1"/>
      </tp>
      <tp t="s">
        <v>US912828HX18</v>
        <stp/>
        <stp>##V3_BDPV12</stp>
        <stp>912828HX Govt</stp>
        <stp>ID_ISIN</stp>
        <stp>[TREASURY.xlsx]Sheet1!R809C12</stp>
        <tr r="L809" s="1"/>
      </tp>
      <tp t="s">
        <v>US912828NP10</v>
        <stp/>
        <stp>##V3_BDPV12</stp>
        <stp>912828NP Govt</stp>
        <stp>ID_ISIN</stp>
        <stp>[TREASURY.xlsx]Sheet1!R865C12</stp>
        <tr r="L865" s="1"/>
      </tp>
      <tp t="s">
        <v>US912828NN61</v>
        <stp/>
        <stp>##V3_BDPV12</stp>
        <stp>912828NN Govt</stp>
        <stp>ID_ISIN</stp>
        <stp>[TREASURY.xlsx]Sheet1!R864C12</stp>
        <tr r="L864" s="1"/>
      </tp>
      <tp t="s">
        <v>US912828NL06</v>
        <stp/>
        <stp>##V3_BDPV12</stp>
        <stp>912828NL Govt</stp>
        <stp>ID_ISIN</stp>
        <stp>[TREASURY.xlsx]Sheet1!R863C12</stp>
        <tr r="L863" s="1"/>
      </tp>
      <tp t="s">
        <v>US912828HJ24</v>
        <stp/>
        <stp>##V3_BDPV12</stp>
        <stp>912828HJ Govt</stp>
        <stp>ID_ISIN</stp>
        <stp>[TREASURY.xlsx]Sheet1!R807C12</stp>
        <tr r="L807" s="1"/>
      </tp>
      <tp t="s">
        <v>US912828MD98</v>
        <stp/>
        <stp>##V3_BDPV12</stp>
        <stp>912828MD Govt</stp>
        <stp>ID_ISIN</stp>
        <stp>[TREASURY.xlsx]Sheet1!R859C12</stp>
        <tr r="L859" s="1"/>
      </tp>
      <tp t="s">
        <v>US912828HG84</v>
        <stp/>
        <stp>##V3_BDPV12</stp>
        <stp>912828HG Govt</stp>
        <stp>ID_ISIN</stp>
        <stp>[TREASURY.xlsx]Sheet1!R806C12</stp>
        <tr r="L806" s="1"/>
      </tp>
      <tp t="s">
        <v>US912828NC07</v>
        <stp/>
        <stp>##V3_BDPV12</stp>
        <stp>912828NC Govt</stp>
        <stp>ID_ISIN</stp>
        <stp>[TREASURY.xlsx]Sheet1!R862C12</stp>
        <tr r="L862" s="1"/>
      </tp>
      <tp t="s">
        <v>US912827H542</v>
        <stp/>
        <stp>##V3_BDPV12</stp>
        <stp>912827H5 Govt</stp>
        <stp>ID_ISIN</stp>
        <stp>[TREASURY.xlsx]Sheet1!R705C12</stp>
        <tr r="L705" s="1"/>
      </tp>
      <tp t="s">
        <v>US912827H211</v>
        <stp/>
        <stp>##V3_BDPV12</stp>
        <stp>912827H2 Govt</stp>
        <stp>ID_ISIN</stp>
        <stp>[TREASURY.xlsx]Sheet1!R704C12</stp>
        <tr r="L704" s="1"/>
      </tp>
      <tp t="s">
        <v>US912828LS76</v>
        <stp/>
        <stp>##V3_BDPV12</stp>
        <stp>912828LS Govt</stp>
        <stp>ID_ISIN</stp>
        <stp>[TREASURY.xlsx]Sheet1!R858C12</stp>
        <tr r="L858" s="1"/>
      </tp>
      <tp t="s">
        <v>US912827KY70</v>
        <stp/>
        <stp>##V3_BDPV12</stp>
        <stp>912827KY Govt</stp>
        <stp>ID_ISIN</stp>
        <stp>[TREASURY.xlsx]Sheet1!R712C12</stp>
        <tr r="L712" s="1"/>
      </tp>
      <tp t="s">
        <v>US912827KZ46</v>
        <stp/>
        <stp>##V3_BDPV12</stp>
        <stp>912827KZ Govt</stp>
        <stp>ID_ISIN</stp>
        <stp>[TREASURY.xlsx]Sheet1!R713C12</stp>
        <tr r="L713" s="1"/>
      </tp>
      <tp t="s">
        <v>US912827KQ47</v>
        <stp/>
        <stp>##V3_BDPV12</stp>
        <stp>912827KQ Govt</stp>
        <stp>ID_ISIN</stp>
        <stp>[TREASURY.xlsx]Sheet1!R710C12</stp>
        <tr r="L710" s="1"/>
      </tp>
      <tp t="s">
        <v>US912827KV32</v>
        <stp/>
        <stp>##V3_BDPV12</stp>
        <stp>912827KV Govt</stp>
        <stp>ID_ISIN</stp>
        <stp>[TREASURY.xlsx]Sheet1!R711C12</stp>
        <tr r="L711" s="1"/>
      </tp>
      <tp t="s">
        <v>US912828KU32</v>
        <stp/>
        <stp>##V3_BDPV12</stp>
        <stp>912828KU Govt</stp>
        <stp>ID_ISIN</stp>
        <stp>[TREASURY.xlsx]Sheet1!R813C12</stp>
        <tr r="L813" s="1"/>
      </tp>
      <tp t="s">
        <v>US912828KF64</v>
        <stp/>
        <stp>##V3_BDPV12</stp>
        <stp>912828KF Govt</stp>
        <stp>ID_ISIN</stp>
        <stp>[TREASURY.xlsx]Sheet1!R812C12</stp>
        <tr r="L812" s="1"/>
      </tp>
      <tp t="s">
        <v>US912827J290</v>
        <stp/>
        <stp>##V3_BDPV12</stp>
        <stp>912827J2 Govt</stp>
        <stp>ID_ISIN</stp>
        <stp>[TREASURY.xlsx]Sheet1!R706C12</stp>
        <tr r="L706" s="1"/>
      </tp>
      <tp t="s">
        <v>US912827J373</v>
        <stp/>
        <stp>##V3_BDPV12</stp>
        <stp>912827J3 Govt</stp>
        <stp>ID_ISIN</stp>
        <stp>[TREASURY.xlsx]Sheet1!R707C12</stp>
        <tr r="L707" s="1"/>
      </tp>
      <tp t="s">
        <v>US912828MS67</v>
        <stp/>
        <stp>##V3_BDPV12</stp>
        <stp>912828MS Govt</stp>
        <stp>ID_ISIN</stp>
        <stp>[TREASURY.xlsx]Sheet1!R861C12</stp>
        <tr r="L861" s="1"/>
      </tp>
      <tp t="s">
        <v>US912828JQ49</v>
        <stp/>
        <stp>##V3_BDPV12</stp>
        <stp>912828JQ Govt</stp>
        <stp>ID_ISIN</stp>
        <stp>[TREASURY.xlsx]Sheet1!R811C12</stp>
        <tr r="L811" s="1"/>
      </tp>
      <tp t="s">
        <v>US912828JM35</v>
        <stp/>
        <stp>##V3_BDPV12</stp>
        <stp>912828JM Govt</stp>
        <stp>ID_ISIN</stp>
        <stp>[TREASURY.xlsx]Sheet1!R810C12</stp>
        <tr r="L810" s="1"/>
      </tp>
      <tp t="s">
        <v>US912827KK76</v>
        <stp/>
        <stp>##V3_BDPV12</stp>
        <stp>912827KK Govt</stp>
        <stp>ID_ISIN</stp>
        <stp>[TREASURY.xlsx]Sheet1!R708C12</stp>
        <tr r="L708" s="1"/>
      </tp>
      <tp t="s">
        <v>US912828MG20</v>
        <stp/>
        <stp>##V3_BDPV12</stp>
        <stp>912828MG Govt</stp>
        <stp>ID_ISIN</stp>
        <stp>[TREASURY.xlsx]Sheet1!R860C12</stp>
        <tr r="L860" s="1"/>
      </tp>
      <tp t="s">
        <v>US912827KM33</v>
        <stp/>
        <stp>##V3_BDPV12</stp>
        <stp>912827KM Govt</stp>
        <stp>ID_ISIN</stp>
        <stp>[TREASURY.xlsx]Sheet1!R709C12</stp>
        <tr r="L709" s="1"/>
      </tp>
      <tp t="s">
        <v>US912827D905</v>
        <stp/>
        <stp>##V3_BDPV12</stp>
        <stp>912827D9 Govt</stp>
        <stp>ID_ISIN</stp>
        <stp>[TREASURY.xlsx]Sheet1!R702C12</stp>
        <tr r="L702" s="1"/>
      </tp>
      <tp t="s">
        <v>US912827D665</v>
        <stp/>
        <stp>##V3_BDPV12</stp>
        <stp>912827D6 Govt</stp>
        <stp>ID_ISIN</stp>
        <stp>[TREASURY.xlsx]Sheet1!R700C12</stp>
        <tr r="L700" s="1"/>
      </tp>
      <tp t="s">
        <v>US912827D749</v>
        <stp/>
        <stp>##V3_BDPV12</stp>
        <stp>912827D7 Govt</stp>
        <stp>ID_ISIN</stp>
        <stp>[TREASURY.xlsx]Sheet1!R701C12</stp>
        <tr r="L701" s="1"/>
      </tp>
      <tp t="s">
        <v>US912828FS41</v>
        <stp/>
        <stp>##V3_BDPV12</stp>
        <stp>912828FS Govt</stp>
        <stp>ID_ISIN</stp>
        <stp>[TREASURY.xlsx]Sheet1!R800C12</stp>
        <tr r="L800" s="1"/>
      </tp>
      <tp t="s">
        <v>US912828GP92</v>
        <stp/>
        <stp>##V3_BDPV12</stp>
        <stp>912828GP Govt</stp>
        <stp>ID_ISIN</stp>
        <stp>[TREASURY.xlsx]Sheet1!R803C12</stp>
        <tr r="L803" s="1"/>
      </tp>
      <tp t="s">
        <v>US912828GV60</v>
        <stp/>
        <stp>##V3_BDPV12</stp>
        <stp>912828GV Govt</stp>
        <stp>ID_ISIN</stp>
        <stp>[TREASURY.xlsx]Sheet1!R805C12</stp>
        <tr r="L805" s="1"/>
      </tp>
      <tp t="s">
        <v>US912828GT15</v>
        <stp/>
        <stp>##V3_BDPV12</stp>
        <stp>912828GT Govt</stp>
        <stp>ID_ISIN</stp>
        <stp>[TREASURY.xlsx]Sheet1!R804C12</stp>
        <tr r="L804" s="1"/>
      </tp>
      <tp t="s">
        <v>US912828GJ33</v>
        <stp/>
        <stp>##V3_BDPV12</stp>
        <stp>912828GJ Govt</stp>
        <stp>ID_ISIN</stp>
        <stp>[TREASURY.xlsx]Sheet1!R802C12</stp>
        <tr r="L802" s="1"/>
      </tp>
      <tp t="s">
        <v>US912828GA24</v>
        <stp/>
        <stp>##V3_BDPV12</stp>
        <stp>912828GA Govt</stp>
        <stp>ID_ISIN</stp>
        <stp>[TREASURY.xlsx]Sheet1!R801C12</stp>
        <tr r="L801" s="1"/>
      </tp>
      <tp t="s">
        <v>US912827G304</v>
        <stp/>
        <stp>##V3_BDPV12</stp>
        <stp>912827G3 Govt</stp>
        <stp>ID_ISIN</stp>
        <stp>[TREASURY.xlsx]Sheet1!R703C12</stp>
        <tr r="L703" s="1"/>
      </tp>
      <tp t="s">
        <v>US912828D986</v>
        <stp/>
        <stp>##V3_BDPV12</stp>
        <stp>912828D9 Govt</stp>
        <stp>ID_ISIN</stp>
        <stp>[TREASURY.xlsx]Sheet1!R839C12</stp>
        <tr r="L839" s="1"/>
      </tp>
      <tp t="s">
        <v>US912828DF48</v>
        <stp/>
        <stp>##V3_BDPV12</stp>
        <stp>912828DF Govt</stp>
        <stp>ID_ISIN</stp>
        <stp>[TREASURY.xlsx]Sheet1!R840C12</stp>
        <tr r="L840" s="1"/>
      </tp>
      <tp t="s">
        <v>US912828C327</v>
        <stp/>
        <stp>##V3_BDPV12</stp>
        <stp>912828C3 Govt</stp>
        <stp>ID_ISIN</stp>
        <stp>[TREASURY.xlsx]Sheet1!R838C12</stp>
        <tr r="L838" s="1"/>
      </tp>
      <tp t="s">
        <v>US912828EV88</v>
        <stp/>
        <stp>##V3_BDPV12</stp>
        <stp>912828EV Govt</stp>
        <stp>ID_ISIN</stp>
        <stp>[TREASURY.xlsx]Sheet1!R841C12</stp>
        <tr r="L841" s="1"/>
      </tp>
      <tp t="s">
        <v>US912828EW61</v>
        <stp/>
        <stp>##V3_BDPV12</stp>
        <stp>912828EW Govt</stp>
        <stp>ID_ISIN</stp>
        <stp>[TREASURY.xlsx]Sheet1!R842C12</stp>
        <tr r="L842" s="1"/>
      </tp>
      <tp t="s">
        <v>US912828FV79</v>
        <stp/>
        <stp>##V3_BDPV12</stp>
        <stp>912828FV Govt</stp>
        <stp>ID_ISIN</stp>
        <stp>[TREASURY.xlsx]Sheet1!R845C12</stp>
        <tr r="L845" s="1"/>
      </tp>
      <tp t="s">
        <v>US912828FW52</v>
        <stp/>
        <stp>##V3_BDPV12</stp>
        <stp>912828FW Govt</stp>
        <stp>ID_ISIN</stp>
        <stp>[TREASURY.xlsx]Sheet1!R846C12</stp>
        <tr r="L846" s="1"/>
      </tp>
      <tp t="s">
        <v>US912828FH85</v>
        <stp/>
        <stp>##V3_BDPV12</stp>
        <stp>912828FH Govt</stp>
        <stp>ID_ISIN</stp>
        <stp>[TREASURY.xlsx]Sheet1!R843C12</stp>
        <tr r="L843" s="1"/>
      </tp>
      <tp t="s">
        <v>US912828FK15</v>
        <stp/>
        <stp>##V3_BDPV12</stp>
        <stp>912828FK Govt</stp>
        <stp>ID_ISIN</stp>
        <stp>[TREASURY.xlsx]Sheet1!R844C12</stp>
        <tr r="L844" s="1"/>
      </tp>
      <tp t="s">
        <v>US912828AG57</v>
        <stp/>
        <stp>##V3_BDPV12</stp>
        <stp>912828AG Govt</stp>
        <stp>ID_ISIN</stp>
        <stp>[TREASURY.xlsx]Sheet1!R837C12</stp>
        <tr r="L837" s="1"/>
      </tp>
      <tp t="s">
        <v>US912828GU87</v>
        <stp/>
        <stp>##V3_BDPV12</stp>
        <stp>912828GU Govt</stp>
        <stp>ID_ISIN</stp>
        <stp>[TREASURY.xlsx]Sheet1!R848C12</stp>
        <tr r="L848" s="1"/>
      </tp>
      <tp t="s">
        <v>US912828GL88</v>
        <stp/>
        <stp>##V3_BDPV12</stp>
        <stp>912828GL Govt</stp>
        <stp>ID_ISIN</stp>
        <stp>[TREASURY.xlsx]Sheet1!R847C12</stp>
        <tr r="L847" s="1"/>
      </tp>
      <tp t="s">
        <v>US912827ZC95</v>
        <stp/>
        <stp>##V3_BDPV12</stp>
        <stp>912827ZC Govt</stp>
        <stp>ID_ISIN</stp>
        <stp>[TREASURY.xlsx]Sheet1!R779C12</stp>
        <tr r="L779" s="1"/>
      </tp>
      <tp t="s">
        <v>US912827Z965</v>
        <stp/>
        <stp>##V3_BDPV12</stp>
        <stp>912827Z9 Govt</stp>
        <stp>ID_ISIN</stp>
        <stp>[TREASURY.xlsx]Sheet1!R778C12</stp>
        <tr r="L778" s="1"/>
      </tp>
      <tp t="s">
        <v>US912827Z700</v>
        <stp/>
        <stp>##V3_BDPV12</stp>
        <stp>912827Z7 Govt</stp>
        <stp>ID_ISIN</stp>
        <stp>[TREASURY.xlsx]Sheet1!R777C12</stp>
        <tr r="L777" s="1"/>
      </tp>
      <tp t="s">
        <v>US912828VQ01</v>
        <stp/>
        <stp>##V3_BDPV12</stp>
        <stp>912828VQ Govt</stp>
        <stp>ID_ISIN</stp>
        <stp>[TREASURY.xlsx]Sheet1!R880C12</stp>
        <tr r="L880" s="1"/>
      </tp>
      <tp t="s">
        <v>US912827YN69</v>
        <stp/>
        <stp>##V3_BDPV12</stp>
        <stp>912827YN Govt</stp>
        <stp>ID_ISIN</stp>
        <stp>[TREASURY.xlsx]Sheet1!R776C12</stp>
        <tr r="L776" s="1"/>
      </tp>
      <tp t="s">
        <v>US912827YJ57</v>
        <stp/>
        <stp>##V3_BDPV12</stp>
        <stp>912827YJ Govt</stp>
        <stp>ID_ISIN</stp>
        <stp>[TREASURY.xlsx]Sheet1!R775C12</stp>
        <tr r="L775" s="1"/>
      </tp>
      <tp t="s">
        <v>US912827X499</v>
        <stp/>
        <stp>##V3_BDPV12</stp>
        <stp>912827X4 Govt</stp>
        <stp>ID_ISIN</stp>
        <stp>[TREASURY.xlsx]Sheet1!R769C12</stp>
        <tr r="L769" s="1"/>
      </tp>
      <tp t="s">
        <v>US912828WX43</v>
        <stp/>
        <stp>##V3_BDPV12</stp>
        <stp>912828WX Govt</stp>
        <stp>ID_ISIN</stp>
        <stp>[TREASURY.xlsx]Sheet1!R881C12</stp>
        <tr r="L881" s="1"/>
      </tp>
      <tp t="s">
        <v>US912827XT49</v>
        <stp/>
        <stp>##V3_BDPV12</stp>
        <stp>912827XT Govt</stp>
        <stp>ID_ISIN</stp>
        <stp>[TREASURY.xlsx]Sheet1!R774C12</stp>
        <tr r="L774" s="1"/>
      </tp>
      <tp t="s">
        <v>US912827XH01</v>
        <stp/>
        <stp>##V3_BDPV12</stp>
        <stp>912827XH Govt</stp>
        <stp>ID_ISIN</stp>
        <stp>[TREASURY.xlsx]Sheet1!R772C12</stp>
        <tr r="L772" s="1"/>
      </tp>
      <tp t="s">
        <v>US912827XK30</v>
        <stp/>
        <stp>##V3_BDPV12</stp>
        <stp>912827XK Govt</stp>
        <stp>ID_ISIN</stp>
        <stp>[TREASURY.xlsx]Sheet1!R773C12</stp>
        <tr r="L773" s="1"/>
      </tp>
      <tp t="s">
        <v>US912827XC14</v>
        <stp/>
        <stp>##V3_BDPV12</stp>
        <stp>912827XC Govt</stp>
        <stp>ID_ISIN</stp>
        <stp>[TREASURY.xlsx]Sheet1!R771C12</stp>
        <tr r="L771" s="1"/>
      </tp>
      <tp t="s">
        <v>US912827X986</v>
        <stp/>
        <stp>##V3_BDPV12</stp>
        <stp>912827X9 Govt</stp>
        <stp>ID_ISIN</stp>
        <stp>[TREASURY.xlsx]Sheet1!R770C12</stp>
        <tr r="L770" s="1"/>
      </tp>
      <tp t="s">
        <v>US912828SX98</v>
        <stp/>
        <stp>##V3_BDPV12</stp>
        <stp>912828SX Govt</stp>
        <stp>ID_ISIN</stp>
        <stp>[TREASURY.xlsx]Sheet1!R870C12</stp>
        <tr r="L870" s="1"/>
      </tp>
      <tp t="s">
        <v>US912828RG74</v>
        <stp/>
        <stp>##V3_BDPV12</stp>
        <stp>912828RG Govt</stp>
        <stp>ID_ISIN</stp>
        <stp>[TREASURY.xlsx]Sheet1!R869C12</stp>
        <tr r="L869" s="1"/>
      </tp>
      <tp t="s">
        <v>US912828RE27</v>
        <stp/>
        <stp>##V3_BDPV12</stp>
        <stp>912828RE Govt</stp>
        <stp>ID_ISIN</stp>
        <stp>[TREASURY.xlsx]Sheet1!R868C12</stp>
        <tr r="L868" s="1"/>
      </tp>
      <tp t="s">
        <v>US912827QP00</v>
        <stp/>
        <stp>##V3_BDPV12</stp>
        <stp>912827QP Govt</stp>
        <stp>ID_ISIN</stp>
        <stp>[TREASURY.xlsx]Sheet1!R742C12</stp>
        <tr r="L742" s="1"/>
      </tp>
      <tp t="s">
        <v>US912827QL95</v>
        <stp/>
        <stp>##V3_BDPV12</stp>
        <stp>912827QL Govt</stp>
        <stp>ID_ISIN</stp>
        <stp>[TREASURY.xlsx]Sheet1!R741C12</stp>
        <tr r="L741" s="1"/>
      </tp>
      <tp t="s">
        <v>US912827QE52</v>
        <stp/>
        <stp>##V3_BDPV12</stp>
        <stp>912827QE Govt</stp>
        <stp>ID_ISIN</stp>
        <stp>[TREASURY.xlsx]Sheet1!R740C12</stp>
        <tr r="L740" s="1"/>
      </tp>
      <tp t="s">
        <v>US912827RB05</v>
        <stp/>
        <stp>##V3_BDPV12</stp>
        <stp>912827RB Govt</stp>
        <stp>ID_ISIN</stp>
        <stp>[TREASURY.xlsx]Sheet1!R744C12</stp>
        <tr r="L744" s="1"/>
      </tp>
      <tp t="s">
        <v>US912827R202</v>
        <stp/>
        <stp>##V3_BDPV12</stp>
        <stp>912827R2 Govt</stp>
        <stp>ID_ISIN</stp>
        <stp>[TREASURY.xlsx]Sheet1!R743C12</stp>
        <tr r="L743" s="1"/>
      </tp>
      <tp t="s">
        <v>US912828QT05</v>
        <stp/>
        <stp>##V3_BDPV12</stp>
        <stp>912828QT Govt</stp>
        <stp>ID_ISIN</stp>
        <stp>[TREASURY.xlsx]Sheet1!R867C12</stp>
        <tr r="L867" s="1"/>
      </tp>
      <tp t="s">
        <v>US912827SX16</v>
        <stp/>
        <stp>##V3_BDPV12</stp>
        <stp>912827SX Govt</stp>
        <stp>ID_ISIN</stp>
        <stp>[TREASURY.xlsx]Sheet1!R749C12</stp>
        <tr r="L749" s="1"/>
      </tp>
      <tp t="s">
        <v>US912828QR49</v>
        <stp/>
        <stp>##V3_BDPV12</stp>
        <stp>912828QR Govt</stp>
        <stp>ID_ISIN</stp>
        <stp>[TREASURY.xlsx]Sheet1!R866C12</stp>
        <tr r="L866" s="1"/>
      </tp>
      <tp t="s">
        <v>US912827SM50</v>
        <stp/>
        <stp>##V3_BDPV12</stp>
        <stp>912827SM Govt</stp>
        <stp>ID_ISIN</stp>
        <stp>[TREASURY.xlsx]Sheet1!R748C12</stp>
        <tr r="L748" s="1"/>
      </tp>
      <tp t="s">
        <v>US912827SC78</v>
        <stp/>
        <stp>##V3_BDPV12</stp>
        <stp>912827SC Govt</stp>
        <stp>ID_ISIN</stp>
        <stp>[TREASURY.xlsx]Sheet1!R747C12</stp>
        <tr r="L747" s="1"/>
      </tp>
      <tp t="s">
        <v>US912827S945</v>
        <stp/>
        <stp>##V3_BDPV12</stp>
        <stp>912827S9 Govt</stp>
        <stp>ID_ISIN</stp>
        <stp>[TREASURY.xlsx]Sheet1!R746C12</stp>
        <tr r="L746" s="1"/>
      </tp>
      <tp t="s">
        <v>US912827S457</v>
        <stp/>
        <stp>##V3_BDPV12</stp>
        <stp>912827S4 Govt</stp>
        <stp>ID_ISIN</stp>
        <stp>[TREASURY.xlsx]Sheet1!R745C12</stp>
        <tr r="L745" s="1"/>
      </tp>
      <tp t="s">
        <v>US912827VY51</v>
        <stp/>
        <stp>##V3_BDPV12</stp>
        <stp>912827VY Govt</stp>
        <stp>ID_ISIN</stp>
        <stp>[TREASURY.xlsx]Sheet1!R766C12</stp>
        <tr r="L766" s="1"/>
      </tp>
      <tp t="s">
        <v>US912827UT75</v>
        <stp/>
        <stp>##V3_BDPV12</stp>
        <stp>912827UT Govt</stp>
        <stp>ID_ISIN</stp>
        <stp>[TREASURY.xlsx]Sheet1!R756C12</stp>
        <tr r="L756" s="1"/>
      </tp>
      <tp t="s">
        <v>US912827VQ28</v>
        <stp/>
        <stp>##V3_BDPV12</stp>
        <stp>912827VQ Govt</stp>
        <stp>ID_ISIN</stp>
        <stp>[TREASURY.xlsx]Sheet1!R763C12</stp>
        <tr r="L763" s="1"/>
      </tp>
      <tp t="s">
        <v>US912827VT66</v>
        <stp/>
        <stp>##V3_BDPV12</stp>
        <stp>912827VT Govt</stp>
        <stp>ID_ISIN</stp>
        <stp>[TREASURY.xlsx]Sheet1!R765C12</stp>
        <tr r="L765" s="1"/>
      </tp>
      <tp t="s">
        <v>US912827VR01</v>
        <stp/>
        <stp>##V3_BDPV12</stp>
        <stp>912827VR Govt</stp>
        <stp>ID_ISIN</stp>
        <stp>[TREASURY.xlsx]Sheet1!R764C12</stp>
        <tr r="L764" s="1"/>
      </tp>
      <tp t="s">
        <v>US912828XV77</v>
        <stp/>
        <stp>##V3_BDPV12</stp>
        <stp>912828XV Govt</stp>
        <stp>ID_ISIN</stp>
        <stp>[TREASURY.xlsx]Sheet1!R883C12</stp>
        <tr r="L883" s="1"/>
      </tp>
      <tp t="s">
        <v>US912827VK57</v>
        <stp/>
        <stp>##V3_BDPV12</stp>
        <stp>912827VK Govt</stp>
        <stp>ID_ISIN</stp>
        <stp>[TREASURY.xlsx]Sheet1!R762C12</stp>
        <tr r="L762" s="1"/>
      </tp>
      <tp t="s">
        <v>US912827UJ93</v>
        <stp/>
        <stp>##V3_BDPV12</stp>
        <stp>912827UJ Govt</stp>
        <stp>ID_ISIN</stp>
        <stp>[TREASURY.xlsx]Sheet1!R755C12</stp>
        <tr r="L755" s="1"/>
      </tp>
      <tp t="s">
        <v>US912828RF91</v>
        <stp/>
        <stp>##V3_BDPV12</stp>
        <stp>912828RF Govt</stp>
        <stp>ID_ISIN</stp>
        <stp>[TREASURY.xlsx]Sheet1!R828C12</stp>
        <tr r="L828" s="1"/>
      </tp>
      <tp t="s">
        <v>US912827VC32</v>
        <stp/>
        <stp>##V3_BDPV12</stp>
        <stp>912827VC Govt</stp>
        <stp>ID_ISIN</stp>
        <stp>[TREASURY.xlsx]Sheet1!R760C12</stp>
        <tr r="L760" s="1"/>
      </tp>
      <tp t="s">
        <v>US912827UB67</v>
        <stp/>
        <stp>##V3_BDPV12</stp>
        <stp>912827UB Govt</stp>
        <stp>ID_ISIN</stp>
        <stp>[TREASURY.xlsx]Sheet1!R753C12</stp>
        <tr r="L753" s="1"/>
      </tp>
      <tp t="s">
        <v>US912827UC41</v>
        <stp/>
        <stp>##V3_BDPV12</stp>
        <stp>912827UC Govt</stp>
        <stp>ID_ISIN</stp>
        <stp>[TREASURY.xlsx]Sheet1!R754C12</stp>
        <tr r="L754" s="1"/>
      </tp>
      <tp t="s">
        <v>US912827VG46</v>
        <stp/>
        <stp>##V3_BDPV12</stp>
        <stp>912827VG Govt</stp>
        <stp>ID_ISIN</stp>
        <stp>[TREASURY.xlsx]Sheet1!R761C12</stp>
        <tr r="L761" s="1"/>
      </tp>
      <tp t="s">
        <v>US912827U917</v>
        <stp/>
        <stp>##V3_BDPV12</stp>
        <stp>912827U9 Govt</stp>
        <stp>ID_ISIN</stp>
        <stp>[TREASURY.xlsx]Sheet1!R752C12</stp>
        <tr r="L752" s="1"/>
      </tp>
      <tp t="s">
        <v>US912828X968</v>
        <stp/>
        <stp>##V3_BDPV12</stp>
        <stp>912828X9 Govt</stp>
        <stp>ID_ISIN</stp>
        <stp>[TREASURY.xlsx]Sheet1!R882C12</stp>
        <tr r="L882" s="1"/>
      </tp>
      <tp t="s">
        <v>US912827U677</v>
        <stp/>
        <stp>##V3_BDPV12</stp>
        <stp>912827U6 Govt</stp>
        <stp>ID_ISIN</stp>
        <stp>[TREASURY.xlsx]Sheet1!R751C12</stp>
        <tr r="L751" s="1"/>
      </tp>
      <tp t="s">
        <v>US912827TS12</v>
        <stp/>
        <stp>##V3_BDPV12</stp>
        <stp>912827TS Govt</stp>
        <stp>ID_ISIN</stp>
        <stp>[TREASURY.xlsx]Sheet1!R750C12</stp>
        <tr r="L750" s="1"/>
      </tp>
      <tp t="s">
        <v>US912827WC23</v>
        <stp/>
        <stp>##V3_BDPV12</stp>
        <stp>912827WC Govt</stp>
        <stp>ID_ISIN</stp>
        <stp>[TREASURY.xlsx]Sheet1!R768C12</stp>
        <tr r="L768" s="1"/>
      </tp>
      <tp t="s">
        <v>US912828VN79</v>
        <stp/>
        <stp>##V3_BDPV12</stp>
        <stp>912828VN Govt</stp>
        <stp>ID_ISIN</stp>
        <stp>[TREASURY.xlsx]Sheet1!R879C12</stp>
        <tr r="L879" s="1"/>
      </tp>
      <tp t="s">
        <v>US912828VL14</v>
        <stp/>
        <stp>##V3_BDPV12</stp>
        <stp>912828VL Govt</stp>
        <stp>ID_ISIN</stp>
        <stp>[TREASURY.xlsx]Sheet1!R878C12</stp>
        <tr r="L878" s="1"/>
      </tp>
      <tp t="s">
        <v>US912827W244</v>
        <stp/>
        <stp>##V3_BDPV12</stp>
        <stp>912827W2 Govt</stp>
        <stp>ID_ISIN</stp>
        <stp>[TREASURY.xlsx]Sheet1!R767C12</stp>
        <tr r="L767" s="1"/>
      </tp>
      <tp t="s">
        <v>US912828V319</v>
        <stp/>
        <stp>##V3_BDPV12</stp>
        <stp>912828V3 Govt</stp>
        <stp>ID_ISIN</stp>
        <stp>[TREASURY.xlsx]Sheet1!R877C12</stp>
        <tr r="L877" s="1"/>
      </tp>
      <tp t="s">
        <v>US912827ZR64</v>
        <stp/>
        <stp>##V3_BDPV12</stp>
        <stp>912827ZR Govt</stp>
        <stp>ID_ISIN</stp>
        <stp>[TREASURY.xlsx]Sheet1!R783C12</stp>
        <tr r="L783" s="1"/>
      </tp>
      <tp t="s">
        <v>US912827ZJ49</v>
        <stp/>
        <stp>##V3_BDPV12</stp>
        <stp>912827ZJ Govt</stp>
        <stp>ID_ISIN</stp>
        <stp>[TREASURY.xlsx]Sheet1!R781C12</stp>
        <tr r="L781" s="1"/>
      </tp>
      <tp t="s">
        <v>US912827ZL94</v>
        <stp/>
        <stp>##V3_BDPV12</stp>
        <stp>912827ZL Govt</stp>
        <stp>ID_ISIN</stp>
        <stp>[TREASURY.xlsx]Sheet1!R782C12</stp>
        <tr r="L782" s="1"/>
      </tp>
      <tp t="s">
        <v>US912827ZE51</v>
        <stp/>
        <stp>##V3_BDPV12</stp>
        <stp>912827ZE Govt</stp>
        <stp>ID_ISIN</stp>
        <stp>[TREASURY.xlsx]Sheet1!R780C12</stp>
        <tr r="L780" s="1"/>
      </tp>
      <tp t="s">
        <v>US912828U402</v>
        <stp/>
        <stp>##V3_BDPV12</stp>
        <stp>912828U4 Govt</stp>
        <stp>ID_ISIN</stp>
        <stp>[TREASURY.xlsx]Sheet1!R876C12</stp>
        <tr r="L876" s="1"/>
      </tp>
      <tp t="s">
        <v>US912828TZ38</v>
        <stp/>
        <stp>##V3_BDPV12</stp>
        <stp>912828TZ Govt</stp>
        <stp>ID_ISIN</stp>
        <stp>[TREASURY.xlsx]Sheet1!R875C12</stp>
        <tr r="L875" s="1"/>
      </tp>
      <tp t="s">
        <v>US912827PW69</v>
        <stp/>
        <stp>##V3_BDPV12</stp>
        <stp>912827PW Govt</stp>
        <stp>ID_ISIN</stp>
        <stp>[TREASURY.xlsx]Sheet1!R739C12</stp>
        <tr r="L739" s="1"/>
      </tp>
      <tp t="s">
        <v>US912828QY99</v>
        <stp/>
        <stp>##V3_BDPV12</stp>
        <stp>912828QY Govt</stp>
        <stp>ID_ISIN</stp>
        <stp>[TREASURY.xlsx]Sheet1!R827C12</stp>
        <tr r="L827" s="1"/>
      </tp>
      <tp t="s">
        <v>US912828QU77</v>
        <stp/>
        <stp>##V3_BDPV12</stp>
        <stp>912828QU Govt</stp>
        <stp>ID_ISIN</stp>
        <stp>[TREASURY.xlsx]Sheet1!R826C12</stp>
        <tr r="L826" s="1"/>
      </tp>
      <tp t="s">
        <v>US912828TQ39</v>
        <stp/>
        <stp>##V3_BDPV12</stp>
        <stp>912828TQ Govt</stp>
        <stp>ID_ISIN</stp>
        <stp>[TREASURY.xlsx]Sheet1!R874C12</stp>
        <tr r="L874" s="1"/>
      </tp>
      <tp t="s">
        <v>US912827VA75</v>
        <stp/>
        <stp>##V3_BDPV12</stp>
        <stp>912827VA Govt</stp>
        <stp>ID_ISIN</stp>
        <stp>[TREASURY.xlsx]Sheet1!R759C12</stp>
        <tr r="L759" s="1"/>
      </tp>
      <tp t="s">
        <v>US912828TM25</v>
        <stp/>
        <stp>##V3_BDPV12</stp>
        <stp>912828TM Govt</stp>
        <stp>ID_ISIN</stp>
        <stp>[TREASURY.xlsx]Sheet1!R873C12</stp>
        <tr r="L873" s="1"/>
      </tp>
      <tp t="s">
        <v>US912827PF37</v>
        <stp/>
        <stp>##V3_BDPV12</stp>
        <stp>912827PF Govt</stp>
        <stp>ID_ISIN</stp>
        <stp>[TREASURY.xlsx]Sheet1!R737C12</stp>
        <tr r="L737" s="1"/>
      </tp>
      <tp t="s">
        <v>US912828TD26</v>
        <stp/>
        <stp>##V3_BDPV12</stp>
        <stp>912828TD Govt</stp>
        <stp>ID_ISIN</stp>
        <stp>[TREASURY.xlsx]Sheet1!R872C12</stp>
        <tr r="L872" s="1"/>
      </tp>
      <tp t="s">
        <v>US912827PC06</v>
        <stp/>
        <stp>##V3_BDPV12</stp>
        <stp>912827PC Govt</stp>
        <stp>ID_ISIN</stp>
        <stp>[TREASURY.xlsx]Sheet1!R736C12</stp>
        <tr r="L736" s="1"/>
      </tp>
      <tp t="s">
        <v>US912827PL05</v>
        <stp/>
        <stp>##V3_BDPV12</stp>
        <stp>912827PL Govt</stp>
        <stp>ID_ISIN</stp>
        <stp>[TREASURY.xlsx]Sheet1!R738C12</stp>
        <tr r="L738" s="1"/>
      </tp>
      <tp t="s">
        <v>US912827V410</v>
        <stp/>
        <stp>##V3_BDPV12</stp>
        <stp>912827V4 Govt</stp>
        <stp>ID_ISIN</stp>
        <stp>[TREASURY.xlsx]Sheet1!R757C12</stp>
        <tr r="L757" s="1"/>
      </tp>
      <tp t="s">
        <v>US912827V824</v>
        <stp/>
        <stp>##V3_BDPV12</stp>
        <stp>912827V8 Govt</stp>
        <stp>ID_ISIN</stp>
        <stp>[TREASURY.xlsx]Sheet1!R758C12</stp>
        <tr r="L758" s="1"/>
      </tp>
      <tp t="s">
        <v>US912827P222</v>
        <stp/>
        <stp>##V3_BDPV12</stp>
        <stp>912827P2 Govt</stp>
        <stp>ID_ISIN</stp>
        <stp>[TREASURY.xlsx]Sheet1!R735C12</stp>
        <tr r="L735" s="1"/>
      </tp>
      <tp t="s">
        <v>US912828T420</v>
        <stp/>
        <stp>##V3_BDPV12</stp>
        <stp>912828T4 Govt</stp>
        <stp>ID_ISIN</stp>
        <stp>[TREASURY.xlsx]Sheet1!R871C12</stp>
        <tr r="L871" s="1"/>
      </tp>
      <tp t="s">
        <v>US9128274T61</v>
        <stp/>
        <stp>##V3_BDPV12</stp>
        <stp>9128274T Govt</stp>
        <stp>ID_ISIN</stp>
        <stp>[TREASURY.xlsx]Sheet1!R610C12</stp>
        <tr r="L610" s="1"/>
      </tp>
      <tp t="s">
        <v>US9128275X64</v>
        <stp/>
        <stp>##V3_BDPV12</stp>
        <stp>9128275X Govt</stp>
        <stp>ID_ISIN</stp>
        <stp>[TREASURY.xlsx]Sheet1!R633C12</stp>
        <tr r="L633" s="1"/>
      </tp>
      <tp t="s">
        <v>US9128282K52</v>
        <stp/>
        <stp>##V3_BDPV12</stp>
        <stp>9128282K Govt</stp>
        <stp>ID_ISIN</stp>
        <stp>[TREASURY.xlsx]Sheet1!R957C12</stp>
        <tr r="L957" s="1"/>
      </tp>
      <tp t="s">
        <v>US9128275N82</v>
        <stp/>
        <stp>##V3_BDPV12</stp>
        <stp>9128275N Govt</stp>
        <stp>ID_ISIN</stp>
        <stp>[TREASURY.xlsx]Sheet1!R674C12</stp>
        <tr r="L674" s="1"/>
      </tp>
      <tp t="s">
        <v>US9128273Y65</v>
        <stp/>
        <stp>##V3_BDPV12</stp>
        <stp>9128273Y Govt</stp>
        <stp>ID_ISIN</stp>
        <stp>[TREASURY.xlsx]Sheet1!R607C12</stp>
        <tr r="L607" s="1"/>
      </tp>
      <tp t="s">
        <v>US9128275F58</v>
        <stp/>
        <stp>##V3_BDPV12</stp>
        <stp>9128275F Govt</stp>
        <stp>ID_ISIN</stp>
        <stp>[TREASURY.xlsx]Sheet1!R662C12</stp>
        <tr r="L662" s="1"/>
      </tp>
      <tp t="s">
        <v>T 4 7/8 04/30/08</v>
        <stp/>
        <stp>##V3_BDPV12</stp>
        <stp>912828FC Govt</stp>
        <stp>SECURITY_NAME</stp>
        <stp>[TREASURY.xlsx]Sheet1!R798C16</stp>
        <tr r="P798" s="1"/>
      </tp>
      <tp t="s">
        <v>T 5 1/4 11/15/28</v>
        <stp/>
        <stp>##V3_BDPV12</stp>
        <stp>912810FF Govt</stp>
        <stp>SECURITY_NAME</stp>
        <stp>[TREASURY.xlsx]Sheet1!R292C16</stp>
        <tr r="P292" s="1"/>
      </tp>
      <tp t="s">
        <v>US912828KZ29</v>
        <stp/>
        <stp>##V3_BDPV12</stp>
        <stp>912828KZ Govt</stp>
        <stp>ID_ISIN</stp>
        <stp>[TREASURY.xlsx]Sheet1!R974C12</stp>
        <tr r="L974" s="1"/>
      </tp>
      <tp t="s">
        <v>US912828KT68</v>
        <stp/>
        <stp>##V3_BDPV12</stp>
        <stp>912828KT Govt</stp>
        <stp>ID_ISIN</stp>
        <stp>[TREASURY.xlsx]Sheet1!R973C12</stp>
        <tr r="L973" s="1"/>
      </tp>
      <tp t="s">
        <v>US912827KS03</v>
        <stp/>
        <stp>##V3_BDPV12</stp>
        <stp>912827KS Govt</stp>
        <stp>ID_ISIN</stp>
        <stp>[TREASURY.xlsx]Sheet1!R668C12</stp>
        <tr r="L668" s="1"/>
      </tp>
      <tp t="s">
        <v>US912828JV34</v>
        <stp/>
        <stp>##V3_BDPV12</stp>
        <stp>912828JV Govt</stp>
        <stp>ID_ISIN</stp>
        <stp>[TREASURY.xlsx]Sheet1!R972C12</stp>
        <tr r="L972" s="1"/>
      </tp>
      <tp t="s">
        <v>US912828JD36</v>
        <stp/>
        <stp>##V3_BDPV12</stp>
        <stp>912828JD Govt</stp>
        <stp>ID_ISIN</stp>
        <stp>[TREASURY.xlsx]Sheet1!R971C12</stp>
        <tr r="L971" s="1"/>
      </tp>
      <tp t="s">
        <v>US912828HD53</v>
        <stp/>
        <stp>##V3_BDPV12</stp>
        <stp>912828HD Govt</stp>
        <stp>ID_ISIN</stp>
        <stp>[TREASURY.xlsx]Sheet1!R969C12</stp>
        <tr r="L969" s="1"/>
      </tp>
      <tp t="s">
        <v>US912828H375</v>
        <stp/>
        <stp>##V3_BDPV12</stp>
        <stp>912828H3 Govt</stp>
        <stp>ID_ISIN</stp>
        <stp>[TREASURY.xlsx]Sheet1!R968C12</stp>
        <tr r="L968" s="1"/>
      </tp>
      <tp t="s">
        <v>US912828HF02</v>
        <stp/>
        <stp>##V3_BDPV12</stp>
        <stp>912828HF Govt</stp>
        <stp>ID_ISIN</stp>
        <stp>[TREASURY.xlsx]Sheet1!R970C12</stp>
        <tr r="L970" s="1"/>
      </tp>
      <tp t="s">
        <v>US912828NS58</v>
        <stp/>
        <stp>##V3_BDPV12</stp>
        <stp>912828NS Govt</stp>
        <stp>ID_ISIN</stp>
        <stp>[TREASURY.xlsx]Sheet1!R979C12</stp>
        <tr r="L979" s="1"/>
      </tp>
      <tp t="s">
        <v>US912828NK23</v>
        <stp/>
        <stp>##V3_BDPV12</stp>
        <stp>912828NK Govt</stp>
        <stp>ID_ISIN</stp>
        <stp>[TREASURY.xlsx]Sheet1!R978C12</stp>
        <tr r="L978" s="1"/>
      </tp>
      <tp t="s">
        <v>US912828NE62</v>
        <stp/>
        <stp>##V3_BDPV12</stp>
        <stp>912828NE Govt</stp>
        <stp>ID_ISIN</stp>
        <stp>[TREASURY.xlsx]Sheet1!R977C12</stp>
        <tr r="L977" s="1"/>
      </tp>
      <tp t="s">
        <v>US912827LF72</v>
        <stp/>
        <stp>##V3_BDPV12</stp>
        <stp>912827LF Govt</stp>
        <stp>ID_ISIN</stp>
        <stp>[TREASURY.xlsx]Sheet1!R656C12</stp>
        <tr r="L656" s="1"/>
      </tp>
      <tp t="s">
        <v>US912828MH03</v>
        <stp/>
        <stp>##V3_BDPV12</stp>
        <stp>912828MH Govt</stp>
        <stp>ID_ISIN</stp>
        <stp>[TREASURY.xlsx]Sheet1!R976C12</stp>
        <tr r="L976" s="1"/>
      </tp>
      <tp t="s">
        <v>US912828LT59</v>
        <stp/>
        <stp>##V3_BDPV12</stp>
        <stp>912828LT Govt</stp>
        <stp>ID_ISIN</stp>
        <stp>[TREASURY.xlsx]Sheet1!R975C12</stp>
        <tr r="L975" s="1"/>
      </tp>
      <tp t="s">
        <v>US912827KC50</v>
        <stp/>
        <stp>##V3_BDPV12</stp>
        <stp>912827KC Govt</stp>
        <stp>ID_ISIN</stp>
        <stp>[TREASURY.xlsx]Sheet1!R608C12</stp>
        <tr r="L608" s="1"/>
      </tp>
      <tp t="s">
        <v>US912828AB60</v>
        <stp/>
        <stp>##V3_BDPV12</stp>
        <stp>912828AB Govt</stp>
        <stp>ID_ISIN</stp>
        <stp>[TREASURY.xlsx]Sheet1!R958C12</stp>
        <tr r="L958" s="1"/>
      </tp>
      <tp t="s">
        <v>US912828BN99</v>
        <stp/>
        <stp>##V3_BDPV12</stp>
        <stp>912828BN Govt</stp>
        <stp>ID_ISIN</stp>
        <stp>[TREASURY.xlsx]Sheet1!R960C12</stp>
        <tr r="L960" s="1"/>
      </tp>
      <tp t="s">
        <v>US912828AK69</v>
        <stp/>
        <stp>##V3_BDPV12</stp>
        <stp>912828AK Govt</stp>
        <stp>ID_ISIN</stp>
        <stp>[TREASURY.xlsx]Sheet1!R959C12</stp>
        <tr r="L959" s="1"/>
      </tp>
      <tp t="s">
        <v>US912828NX44</v>
        <stp/>
        <stp>##V3_BDPV12</stp>
        <stp>912828NX Govt</stp>
        <stp>ID_ISIN</stp>
        <stp>[TREASURY.xlsx]Sheet1!R980C12</stp>
        <tr r="L980" s="1"/>
      </tp>
      <tp t="s">
        <v>US912827F231</v>
        <stp/>
        <stp>##V3_BDPV12</stp>
        <stp>912827F2 Govt</stp>
        <stp>ID_ISIN</stp>
        <stp>[TREASURY.xlsx]Sheet1!R663C12</stp>
        <tr r="L663" s="1"/>
      </tp>
      <tp t="s">
        <v>US912828GG93</v>
        <stp/>
        <stp>##V3_BDPV12</stp>
        <stp>912828GG Govt</stp>
        <stp>ID_ISIN</stp>
        <stp>[TREASURY.xlsx]Sheet1!R967C12</stp>
        <tr r="L967" s="1"/>
      </tp>
      <tp t="s">
        <v>US912828G617</v>
        <stp/>
        <stp>##V3_BDPV12</stp>
        <stp>912828G6 Govt</stp>
        <stp>ID_ISIN</stp>
        <stp>[TREASURY.xlsx]Sheet1!R966C12</stp>
        <tr r="L966" s="1"/>
      </tp>
      <tp t="s">
        <v>US912828DL16</v>
        <stp/>
        <stp>##V3_BDPV12</stp>
        <stp>912828DL Govt</stp>
        <stp>ID_ISIN</stp>
        <stp>[TREASURY.xlsx]Sheet1!R962C12</stp>
        <tr r="L962" s="1"/>
      </tp>
      <tp t="s">
        <v>US912828DN71</v>
        <stp/>
        <stp>##V3_BDPV12</stp>
        <stp>912828DN Govt</stp>
        <stp>ID_ISIN</stp>
        <stp>[TREASURY.xlsx]Sheet1!R963C12</stp>
        <tr r="L963" s="1"/>
      </tp>
      <tp t="s">
        <v>US912828D499</v>
        <stp/>
        <stp>##V3_BDPV12</stp>
        <stp>912828D4 Govt</stp>
        <stp>ID_ISIN</stp>
        <stp>[TREASURY.xlsx]Sheet1!R961C12</stp>
        <tr r="L961" s="1"/>
      </tp>
      <tp t="s">
        <v>US912827KU58</v>
        <stp/>
        <stp>##V3_BDPV12</stp>
        <stp>912827KU Govt</stp>
        <stp>ID_ISIN</stp>
        <stp>[TREASURY.xlsx]Sheet1!R683C12</stp>
        <tr r="L683" s="1"/>
      </tp>
      <tp t="s">
        <v>US912828EP11</v>
        <stp/>
        <stp>##V3_BDPV12</stp>
        <stp>912828EP Govt</stp>
        <stp>ID_ISIN</stp>
        <stp>[TREASURY.xlsx]Sheet1!R965C12</stp>
        <tr r="L965" s="1"/>
      </tp>
      <tp t="s">
        <v>US912828ED80</v>
        <stp/>
        <stp>##V3_BDPV12</stp>
        <stp>912828ED Govt</stp>
        <stp>ID_ISIN</stp>
        <stp>[TREASURY.xlsx]Sheet1!R964C12</stp>
        <tr r="L964" s="1"/>
      </tp>
      <tp t="s">
        <v>US912828UJ76</v>
        <stp/>
        <stp>##V3_BDPV12</stp>
        <stp>912828UJ Govt</stp>
        <stp>ID_ISIN</stp>
        <stp>[TREASURY.xlsx]Sheet1!R999C12</stp>
        <tr r="L999" s="1"/>
      </tp>
      <tp t="s">
        <v>US912828TP55</v>
        <stp/>
        <stp>##V3_BDPV12</stp>
        <stp>912828TP Govt</stp>
        <stp>ID_ISIN</stp>
        <stp>[TREASURY.xlsx]Sheet1!R998C12</stp>
        <tr r="L998" s="1"/>
      </tp>
      <tp t="s">
        <v>US912828TF73</v>
        <stp/>
        <stp>##V3_BDPV12</stp>
        <stp>912828TF Govt</stp>
        <stp>ID_ISIN</stp>
        <stp>[TREASURY.xlsx]Sheet1!R997C12</stp>
        <tr r="L997" s="1"/>
      </tp>
      <tp t="s">
        <v>US912828QS22</v>
        <stp/>
        <stp>##V3_BDPV12</stp>
        <stp>912828QS Govt</stp>
        <stp>ID_ISIN</stp>
        <stp>[TREASURY.xlsx]Sheet1!R992C12</stp>
        <tr r="L992" s="1"/>
      </tp>
      <tp t="s">
        <v>US912828PW43</v>
        <stp/>
        <stp>##V3_BDPV12</stp>
        <stp>912828PW Govt</stp>
        <stp>ID_ISIN</stp>
        <stp>[TREASURY.xlsx]Sheet1!R987C12</stp>
        <tr r="L987" s="1"/>
      </tp>
      <tp t="s">
        <v>US912828QQ65</v>
        <stp/>
        <stp>##V3_BDPV12</stp>
        <stp>912828QQ Govt</stp>
        <stp>ID_ISIN</stp>
        <stp>[TREASURY.xlsx]Sheet1!R991C12</stp>
        <tr r="L991" s="1"/>
      </tp>
      <tp t="s">
        <v>US912828PS31</v>
        <stp/>
        <stp>##V3_BDPV12</stp>
        <stp>912828PS Govt</stp>
        <stp>ID_ISIN</stp>
        <stp>[TREASURY.xlsx]Sheet1!R986C12</stp>
        <tr r="L986" s="1"/>
      </tp>
      <tp t="s">
        <v>US912828PQ74</v>
        <stp/>
        <stp>##V3_BDPV12</stp>
        <stp>912828PQ Govt</stp>
        <stp>ID_ISIN</stp>
        <stp>[TREASURY.xlsx]Sheet1!R985C12</stp>
        <tr r="L985" s="1"/>
      </tp>
      <tp t="s">
        <v>US912828PN44</v>
        <stp/>
        <stp>##V3_BDPV12</stp>
        <stp>912828PN Govt</stp>
        <stp>ID_ISIN</stp>
        <stp>[TREASURY.xlsx]Sheet1!R984C12</stp>
        <tr r="L984" s="1"/>
      </tp>
      <tp t="s">
        <v>US912828PK05</v>
        <stp/>
        <stp>##V3_BDPV12</stp>
        <stp>912828PK Govt</stp>
        <stp>ID_ISIN</stp>
        <stp>[TREASURY.xlsx]Sheet1!R982C12</stp>
        <tr r="L982" s="1"/>
      </tp>
      <tp t="s">
        <v>US912828PL87</v>
        <stp/>
        <stp>##V3_BDPV12</stp>
        <stp>912828PL Govt</stp>
        <stp>ID_ISIN</stp>
        <stp>[TREASURY.xlsx]Sheet1!R983C12</stp>
        <tr r="L983" s="1"/>
      </tp>
      <tp t="s">
        <v>US912828QG83</v>
        <stp/>
        <stp>##V3_BDPV12</stp>
        <stp>912828QG Govt</stp>
        <stp>ID_ISIN</stp>
        <stp>[TREASURY.xlsx]Sheet1!R990C12</stp>
        <tr r="L990" s="1"/>
      </tp>
      <tp t="s">
        <v>US912828P204</v>
        <stp/>
        <stp>##V3_BDPV12</stp>
        <stp>912828P2 Govt</stp>
        <stp>ID_ISIN</stp>
        <stp>[TREASURY.xlsx]Sheet1!R981C12</stp>
        <tr r="L981" s="1"/>
      </tp>
      <tp t="s">
        <v>US912828QB96</v>
        <stp/>
        <stp>##V3_BDPV12</stp>
        <stp>912828QB Govt</stp>
        <stp>ID_ISIN</stp>
        <stp>[TREASURY.xlsx]Sheet1!R988C12</stp>
        <tr r="L988" s="1"/>
      </tp>
      <tp t="s">
        <v>US912827ZH82</v>
        <stp/>
        <stp>##V3_BDPV12</stp>
        <stp>912827ZH Govt</stp>
        <stp>ID_ISIN</stp>
        <stp>[TREASURY.xlsx]Sheet1!R634C12</stp>
        <tr r="L634" s="1"/>
      </tp>
      <tp t="s">
        <v>US912828QE36</v>
        <stp/>
        <stp>##V3_BDPV12</stp>
        <stp>912828QE Govt</stp>
        <stp>ID_ISIN</stp>
        <stp>[TREASURY.xlsx]Sheet1!R989C12</stp>
        <tr r="L989" s="1"/>
      </tp>
      <tp t="s">
        <v>US912828SP64</v>
        <stp/>
        <stp>##V3_BDPV12</stp>
        <stp>912828SP Govt</stp>
        <stp>ID_ISIN</stp>
        <stp>[TREASURY.xlsx]Sheet1!R995C12</stp>
        <tr r="L995" s="1"/>
      </tp>
      <tp t="s">
        <v>US912828SS04</v>
        <stp/>
        <stp>##V3_BDPV12</stp>
        <stp>912828SS Govt</stp>
        <stp>ID_ISIN</stp>
        <stp>[TREASURY.xlsx]Sheet1!R996C12</stp>
        <tr r="L996" s="1"/>
      </tp>
      <tp t="s">
        <v>US912828RQ56</v>
        <stp/>
        <stp>##V3_BDPV12</stp>
        <stp>912828RQ Govt</stp>
        <stp>ID_ISIN</stp>
        <stp>[TREASURY.xlsx]Sheet1!R994C12</stp>
        <tr r="L994" s="1"/>
      </tp>
      <tp t="s">
        <v>US912828RJ14</v>
        <stp/>
        <stp>##V3_BDPV12</stp>
        <stp>912828RJ Govt</stp>
        <stp>ID_ISIN</stp>
        <stp>[TREASURY.xlsx]Sheet1!R993C12</stp>
        <tr r="L993" s="1"/>
      </tp>
      <tp t="s">
        <v>US912827VE97</v>
        <stp/>
        <stp>##V3_BDPV12</stp>
        <stp>912827VE Govt</stp>
        <stp>ID_ISIN</stp>
        <stp>[TREASURY.xlsx]Sheet1!R626C12</stp>
        <tr r="L626" s="1"/>
      </tp>
      <tp t="s">
        <v>US912827PQ91</v>
        <stp/>
        <stp>##V3_BDPV12</stp>
        <stp>912827PQ Govt</stp>
        <stp>ID_ISIN</stp>
        <stp>[TREASURY.xlsx]Sheet1!R665C12</stp>
        <tr r="L665" s="1"/>
      </tp>
      <tp t="s">
        <v>US912827WE88</v>
        <stp/>
        <stp>##V3_BDPV12</stp>
        <stp>912827WE Govt</stp>
        <stp>ID_ISIN</stp>
        <stp>[TREASURY.xlsx]Sheet1!R601C12</stp>
        <tr r="L601" s="1"/>
      </tp>
      <tp t="s">
        <v>US912827YR73</v>
        <stp/>
        <stp>##V3_BDPV12</stp>
        <stp>912827YR Govt</stp>
        <stp>ID_ISIN</stp>
        <stp>[TREASURY.xlsx]Sheet1!R684C12</stp>
        <tr r="L684" s="1"/>
      </tp>
      <tp t="s">
        <v>US912827ZN50</v>
        <stp/>
        <stp>##V3_BDPV12</stp>
        <stp>912827ZN Govt</stp>
        <stp>ID_ISIN</stp>
        <stp>[TREASURY.xlsx]Sheet1!R685C12</stp>
        <tr r="L685" s="1"/>
      </tp>
      <tp t="s">
        <v>US9128277K26</v>
        <stp/>
        <stp>##V3_BDPV12</stp>
        <stp>9128277K Govt</stp>
        <stp>ID_ISIN</stp>
        <stp>[TREASURY.xlsx]Sheet1!R528C12</stp>
        <tr r="L528" s="1"/>
      </tp>
      <tp t="s">
        <v>US9128274W90</v>
        <stp/>
        <stp>##V3_BDPV12</stp>
        <stp>9128274W Govt</stp>
        <stp>ID_ISIN</stp>
        <stp>[TREASURY.xlsx]Sheet1!R522C12</stp>
        <tr r="L522" s="1"/>
      </tp>
      <tp t="s">
        <v>US9128275E83</v>
        <stp/>
        <stp>##V3_BDPV12</stp>
        <stp>9128275E Govt</stp>
        <stp>ID_ISIN</stp>
        <stp>[TREASURY.xlsx]Sheet1!R553C12</stp>
        <tr r="L553" s="1"/>
      </tp>
      <tp t="s">
        <v>US9128273X82</v>
        <stp/>
        <stp>##V3_BDPV12</stp>
        <stp>9128273X Govt</stp>
        <stp>ID_ISIN</stp>
        <stp>[TREASURY.xlsx]Sheet1!R500C12</stp>
        <tr r="L500" s="1"/>
      </tp>
      <tp t="s">
        <v>US9128274F67</v>
        <stp/>
        <stp>##V3_BDPV12</stp>
        <stp>9128274F Govt</stp>
        <stp>ID_ISIN</stp>
        <stp>[TREASURY.xlsx]Sheet1!R578C12</stp>
        <tr r="L578" s="1"/>
      </tp>
      <tp t="s">
        <v>T 5 1/2 08/15/28</v>
        <stp/>
        <stp>##V3_BDPV12</stp>
        <stp>912810FE Govt</stp>
        <stp>SECURITY_NAME</stp>
        <stp>[TREASURY.xlsx]Sheet1!R253C16</stp>
        <tr r="P253" s="1"/>
      </tp>
      <tp t="s">
        <v>US912827E739</v>
        <stp/>
        <stp>##V3_BDPV12</stp>
        <stp>912827E7 Govt</stp>
        <stp>ID_ISIN</stp>
        <stp>[TREASURY.xlsx]Sheet1!R590C12</stp>
        <tr r="L590" s="1"/>
      </tp>
      <tp t="s">
        <v>US912827KN16</v>
        <stp/>
        <stp>##V3_BDPV12</stp>
        <stp>912827KN Govt</stp>
        <stp>ID_ISIN</stp>
        <stp>[TREASURY.xlsx]Sheet1!R569C12</stp>
        <tr r="L569" s="1"/>
      </tp>
      <tp t="s">
        <v>US912827K439</v>
        <stp/>
        <stp>##V3_BDPV12</stp>
        <stp>912827K4 Govt</stp>
        <stp>ID_ISIN</stp>
        <stp>[TREASURY.xlsx]Sheet1!R568C12</stp>
        <tr r="L568" s="1"/>
      </tp>
      <tp t="s">
        <v>US912827MH20</v>
        <stp/>
        <stp>##V3_BDPV12</stp>
        <stp>912827MH Govt</stp>
        <stp>ID_ISIN</stp>
        <stp>[TREASURY.xlsx]Sheet1!R544C12</stp>
        <tr r="L544" s="1"/>
      </tp>
      <tp t="s">
        <v>US912827E572</v>
        <stp/>
        <stp>##V3_BDPV12</stp>
        <stp>912827E5 Govt</stp>
        <stp>ID_ISIN</stp>
        <stp>[TREASURY.xlsx]Sheet1!R579C12</stp>
        <tr r="L579" s="1"/>
      </tp>
      <tp t="s">
        <v>US912827XE79</v>
        <stp/>
        <stp>##V3_BDPV12</stp>
        <stp>912827XE Govt</stp>
        <stp>ID_ISIN</stp>
        <stp>[TREASURY.xlsx]Sheet1!R570C12</stp>
        <tr r="L570" s="1"/>
      </tp>
      <tp t="s">
        <v>US9128276J61</v>
        <stp/>
        <stp>##V3_BDPV12</stp>
        <stp>9128276J Govt</stp>
        <stp>ID_ISIN</stp>
        <stp>[TREASURY.xlsx]Sheet1!R438C12</stp>
        <tr r="L438" s="1"/>
      </tp>
      <tp t="s">
        <v>US9128275Z13</v>
        <stp/>
        <stp>##V3_BDPV12</stp>
        <stp>9128275Z Govt</stp>
        <stp>ID_ISIN</stp>
        <stp>[TREASURY.xlsx]Sheet1!R428C12</stp>
        <tr r="L428" s="1"/>
      </tp>
      <tp t="s">
        <v>US9128276P22</v>
        <stp/>
        <stp>##V3_BDPV12</stp>
        <stp>9128276P Govt</stp>
        <stp>ID_ISIN</stp>
        <stp>[TREASURY.xlsx]Sheet1!R441C12</stp>
        <tr r="L441" s="1"/>
      </tp>
      <tp t="s">
        <v>US912827KH48</v>
        <stp/>
        <stp>##V3_BDPV12</stp>
        <stp>912827KH Govt</stp>
        <stp>ID_ISIN</stp>
        <stp>[TREASURY.xlsx]Sheet1!R455C12</stp>
        <tr r="L455" s="1"/>
      </tp>
      <tp t="s">
        <v>US912827PH92</v>
        <stp/>
        <stp>##V3_BDPV12</stp>
        <stp>912827PH Govt</stp>
        <stp>ID_ISIN</stp>
        <stp>[TREASURY.xlsx]Sheet1!R499C12</stp>
        <tr r="L499" s="1"/>
      </tp>
      <tp t="s">
        <v>US912827UW05</v>
        <stp/>
        <stp>##V3_BDPV12</stp>
        <stp>912827UW Govt</stp>
        <stp>ID_ISIN</stp>
        <stp>[TREASURY.xlsx]Sheet1!R460C12</stp>
        <tr r="L460" s="1"/>
      </tp>
      <tp t="s">
        <v>US9128282Q23</v>
        <stp/>
        <stp>##V3_BDPV12</stp>
        <stp>9128282Q Govt</stp>
        <stp>ID_ISIN</stp>
        <stp>[TREASURY.xlsx]Sheet1!R469C12</stp>
        <tr r="L469" s="1"/>
      </tp>
      <tp t="s">
        <v>US9128285Q95</v>
        <stp/>
        <stp>##V3_BDPV12</stp>
        <stp>9128285Q Govt</stp>
        <stp>ID_ISIN</stp>
        <stp>[TREASURY.xlsx]Sheet1!R410C12</stp>
        <tr r="L410" s="1"/>
      </tp>
      <tp t="s">
        <v>US9128285S51</v>
        <stp/>
        <stp>##V3_BDPV12</stp>
        <stp>9128285S Govt</stp>
        <stp>ID_ISIN</stp>
        <stp>[TREASURY.xlsx]Sheet1!R429C12</stp>
        <tr r="L429" s="1"/>
      </tp>
      <tp t="s">
        <v>US9128283S79</v>
        <stp/>
        <stp>##V3_BDPV12</stp>
        <stp>9128283S Govt</stp>
        <stp>ID_ISIN</stp>
        <stp>[TREASURY.xlsx]Sheet1!R433C12</stp>
        <tr r="L433" s="1"/>
      </tp>
      <tp t="s">
        <v>US9128282C37</v>
        <stp/>
        <stp>##V3_BDPV12</stp>
        <stp>9128282C Govt</stp>
        <stp>ID_ISIN</stp>
        <stp>[TREASURY.xlsx]Sheet1!R439C12</stp>
        <tr r="L439" s="1"/>
      </tp>
      <tp t="s">
        <v>US9128285B27</v>
        <stp/>
        <stp>##V3_BDPV12</stp>
        <stp>9128285B Govt</stp>
        <stp>ID_ISIN</stp>
        <stp>[TREASURY.xlsx]Sheet1!R442C12</stp>
        <tr r="L442" s="1"/>
      </tp>
      <tp t="s">
        <v>US912828HY90</v>
        <stp/>
        <stp>##V3_BDPV12</stp>
        <stp>912828HY Govt</stp>
        <stp>ID_ISIN</stp>
        <stp>[TREASURY.xlsx]Sheet1!R450C12</stp>
        <tr r="L450" s="1"/>
      </tp>
      <tp t="s">
        <v>US912828JZ48</v>
        <stp/>
        <stp>##V3_BDPV12</stp>
        <stp>912828JZ Govt</stp>
        <stp>ID_ISIN</stp>
        <stp>[TREASURY.xlsx]Sheet1!R478C12</stp>
        <tr r="L478" s="1"/>
      </tp>
      <tp t="s">
        <v>US912828JT87</v>
        <stp/>
        <stp>##V3_BDPV12</stp>
        <stp>912828JT Govt</stp>
        <stp>ID_ISIN</stp>
        <stp>[TREASURY.xlsx]Sheet1!R471C12</stp>
        <tr r="L471" s="1"/>
      </tp>
      <tp t="s">
        <v>US912828HR40</v>
        <stp/>
        <stp>##V3_BDPV12</stp>
        <stp>912828HR Govt</stp>
        <stp>ID_ISIN</stp>
        <stp>[TREASURY.xlsx]Sheet1!R476C12</stp>
        <tr r="L476" s="1"/>
      </tp>
      <tp t="s">
        <v>US912828HH67</v>
        <stp/>
        <stp>##V3_BDPV12</stp>
        <stp>912828HH Govt</stp>
        <stp>ID_ISIN</stp>
        <stp>[TREASURY.xlsx]Sheet1!R470C12</stp>
        <tr r="L470" s="1"/>
      </tp>
      <tp t="s">
        <v>US912828J843</v>
        <stp/>
        <stp>##V3_BDPV12</stp>
        <stp>912828J8 Govt</stp>
        <stp>ID_ISIN</stp>
        <stp>[TREASURY.xlsx]Sheet1!R451C12</stp>
        <tr r="L451" s="1"/>
      </tp>
      <tp t="s">
        <v>US912828L658</v>
        <stp/>
        <stp>##V3_BDPV12</stp>
        <stp>912828L6 Govt</stp>
        <stp>ID_ISIN</stp>
        <stp>[TREASURY.xlsx]Sheet1!R430C12</stp>
        <tr r="L430" s="1"/>
      </tp>
      <tp t="s">
        <v>US912828N480</v>
        <stp/>
        <stp>##V3_BDPV12</stp>
        <stp>912828N4 Govt</stp>
        <stp>ID_ISIN</stp>
        <stp>[TREASURY.xlsx]Sheet1!R463C12</stp>
        <tr r="L463" s="1"/>
      </tp>
      <tp t="s">
        <v>US912828H524</v>
        <stp/>
        <stp>##V3_BDPV12</stp>
        <stp>912828H5 Govt</stp>
        <stp>ID_ISIN</stp>
        <stp>[TREASURY.xlsx]Sheet1!R419C12</stp>
        <tr r="L419" s="1"/>
      </tp>
      <tp t="s">
        <v>US912828A750</v>
        <stp/>
        <stp>##V3_BDPV12</stp>
        <stp>912828A7 Govt</stp>
        <stp>ID_ISIN</stp>
        <stp>[TREASURY.xlsx]Sheet1!R481C12</stp>
        <tr r="L481" s="1"/>
      </tp>
      <tp t="s">
        <v>US912828M722</v>
        <stp/>
        <stp>##V3_BDPV12</stp>
        <stp>912828M7 Govt</stp>
        <stp>ID_ISIN</stp>
        <stp>[TREASURY.xlsx]Sheet1!R443C12</stp>
        <tr r="L443" s="1"/>
      </tp>
      <tp t="s">
        <v>US912828KS85</v>
        <stp/>
        <stp>##V3_BDPV12</stp>
        <stp>912828KS Govt</stp>
        <stp>ID_ISIN</stp>
        <stp>[TREASURY.xlsx]Sheet1!R418C12</stp>
        <tr r="L418" s="1"/>
      </tp>
      <tp t="s">
        <v>US912828HL79</v>
        <stp/>
        <stp>##V3_BDPV12</stp>
        <stp>912828HL Govt</stp>
        <stp>ID_ISIN</stp>
        <stp>[TREASURY.xlsx]Sheet1!R424C12</stp>
        <tr r="L424" s="1"/>
      </tp>
      <tp t="s">
        <v>US912828CM08</v>
        <stp/>
        <stp>##V3_BDPV12</stp>
        <stp>912828CM Govt</stp>
        <stp>ID_ISIN</stp>
        <stp>[TREASURY.xlsx]Sheet1!R493C12</stp>
        <tr r="L493" s="1"/>
      </tp>
      <tp t="s">
        <v>US912828BB51</v>
        <stp/>
        <stp>##V3_BDPV12</stp>
        <stp>912828BB Govt</stp>
        <stp>ID_ISIN</stp>
        <stp>[TREASURY.xlsx]Sheet1!R482C12</stp>
        <tr r="L482" s="1"/>
      </tp>
      <tp t="s">
        <v>US912828N225</v>
        <stp/>
        <stp>##V3_BDPV12</stp>
        <stp>912828N2 Govt</stp>
        <stp>ID_ISIN</stp>
        <stp>[TREASURY.xlsx]Sheet1!R440C12</stp>
        <tr r="L440" s="1"/>
      </tp>
      <tp t="s">
        <v>US912828C400</v>
        <stp/>
        <stp>##V3_BDPV12</stp>
        <stp>912828C4 Govt</stp>
        <stp>ID_ISIN</stp>
        <stp>[TREASURY.xlsx]Sheet1!R492C12</stp>
        <tr r="L492" s="1"/>
      </tp>
      <tp t="s">
        <v>US912828J504</v>
        <stp/>
        <stp>##V3_BDPV12</stp>
        <stp>912828J5 Govt</stp>
        <stp>ID_ISIN</stp>
        <stp>[TREASURY.xlsx]Sheet1!R403C12</stp>
        <tr r="L403" s="1"/>
      </tp>
      <tp t="s">
        <v>US912828BV16</v>
        <stp/>
        <stp>##V3_BDPV12</stp>
        <stp>912828BV Govt</stp>
        <stp>ID_ISIN</stp>
        <stp>[TREASURY.xlsx]Sheet1!R495C12</stp>
        <tr r="L495" s="1"/>
      </tp>
      <tp t="s">
        <v>US912828JG66</v>
        <stp/>
        <stp>##V3_BDPV12</stp>
        <stp>912828JG Govt</stp>
        <stp>ID_ISIN</stp>
        <stp>[TREASURY.xlsx]Sheet1!R417C12</stp>
        <tr r="L417" s="1"/>
      </tp>
      <tp t="s">
        <v>US912828CY46</v>
        <stp/>
        <stp>##V3_BDPV12</stp>
        <stp>912828CY Govt</stp>
        <stp>ID_ISIN</stp>
        <stp>[TREASURY.xlsx]Sheet1!R477C12</stp>
        <tr r="L477" s="1"/>
      </tp>
      <tp t="s">
        <v>US912828MU14</v>
        <stp/>
        <stp>##V3_BDPV12</stp>
        <stp>912828MU Govt</stp>
        <stp>ID_ISIN</stp>
        <stp>[TREASURY.xlsx]Sheet1!R494C12</stp>
        <tr r="L494" s="1"/>
      </tp>
      <tp t="s">
        <v>US912828LQ11</v>
        <stp/>
        <stp>##V3_BDPV12</stp>
        <stp>912828LQ Govt</stp>
        <stp>ID_ISIN</stp>
        <stp>[TREASURY.xlsx]Sheet1!R486C12</stp>
        <tr r="L486" s="1"/>
      </tp>
      <tp t="s">
        <v>US912828LJ77</v>
        <stp/>
        <stp>##V3_BDPV12</stp>
        <stp>912828LJ Govt</stp>
        <stp>ID_ISIN</stp>
        <stp>[TREASURY.xlsx]Sheet1!R485C12</stp>
        <tr r="L485" s="1"/>
      </tp>
      <tp t="s">
        <v>US912828MQ02</v>
        <stp/>
        <stp>##V3_BDPV12</stp>
        <stp>912828MQ Govt</stp>
        <stp>ID_ISIN</stp>
        <stp>[TREASURY.xlsx]Sheet1!R483C12</stp>
        <tr r="L483" s="1"/>
      </tp>
      <tp t="s">
        <v>US912828CS77</v>
        <stp/>
        <stp>##V3_BDPV12</stp>
        <stp>912828CS Govt</stp>
        <stp>ID_ISIN</stp>
        <stp>[TREASURY.xlsx]Sheet1!R462C12</stp>
        <tr r="L462" s="1"/>
      </tp>
      <tp t="s">
        <v>US912828CF56</v>
        <stp/>
        <stp>##V3_BDPV12</stp>
        <stp>912828CF Govt</stp>
        <stp>ID_ISIN</stp>
        <stp>[TREASURY.xlsx]Sheet1!R465C12</stp>
        <tr r="L465" s="1"/>
      </tp>
      <tp t="s">
        <v>US912828G955</v>
        <stp/>
        <stp>##V3_BDPV12</stp>
        <stp>912828G9 Govt</stp>
        <stp>ID_ISIN</stp>
        <stp>[TREASURY.xlsx]Sheet1!R422C12</stp>
        <tr r="L422" s="1"/>
      </tp>
      <tp t="s">
        <v>US912828AU42</v>
        <stp/>
        <stp>##V3_BDPV12</stp>
        <stp>912828AU Govt</stp>
        <stp>ID_ISIN</stp>
        <stp>[TREASURY.xlsx]Sheet1!R474C12</stp>
        <tr r="L474" s="1"/>
      </tp>
      <tp t="s">
        <v>US912828F395</v>
        <stp/>
        <stp>##V3_BDPV12</stp>
        <stp>912828F3 Govt</stp>
        <stp>ID_ISIN</stp>
        <stp>[TREASURY.xlsx]Sheet1!R406C12</stp>
        <tr r="L406" s="1"/>
      </tp>
      <tp t="s">
        <v>US912828BH22</v>
        <stp/>
        <stp>##V3_BDPV12</stp>
        <stp>912828BH Govt</stp>
        <stp>ID_ISIN</stp>
        <stp>[TREASURY.xlsx]Sheet1!R452C12</stp>
        <tr r="L452" s="1"/>
      </tp>
      <tp t="s">
        <v>US912828BM17</v>
        <stp/>
        <stp>##V3_BDPV12</stp>
        <stp>912828BM Govt</stp>
        <stp>ID_ISIN</stp>
        <stp>[TREASURY.xlsx]Sheet1!R453C12</stp>
        <tr r="L453" s="1"/>
      </tp>
      <tp t="s">
        <v>US912828B410</v>
        <stp/>
        <stp>##V3_BDPV12</stp>
        <stp>912828B4 Govt</stp>
        <stp>ID_ISIN</stp>
        <stp>[TREASURY.xlsx]Sheet1!R458C12</stp>
        <tr r="L458" s="1"/>
      </tp>
      <tp t="s">
        <v>US912828F627</v>
        <stp/>
        <stp>##V3_BDPV12</stp>
        <stp>912828F6 Govt</stp>
        <stp>ID_ISIN</stp>
        <stp>[TREASURY.xlsx]Sheet1!R411C12</stp>
        <tr r="L411" s="1"/>
      </tp>
      <tp t="s">
        <v>US912828AZ39</v>
        <stp/>
        <stp>##V3_BDPV12</stp>
        <stp>912828AZ Govt</stp>
        <stp>ID_ISIN</stp>
        <stp>[TREASURY.xlsx]Sheet1!R415C12</stp>
        <tr r="L415" s="1"/>
      </tp>
      <tp t="s">
        <v>US912828BG49</v>
        <stp/>
        <stp>##V3_BDPV12</stp>
        <stp>912828BG Govt</stp>
        <stp>ID_ISIN</stp>
        <stp>[TREASURY.xlsx]Sheet1!R427C12</stp>
        <tr r="L427" s="1"/>
      </tp>
      <tp t="s">
        <v>US912828AD27</v>
        <stp/>
        <stp>##V3_BDPV12</stp>
        <stp>912828AD Govt</stp>
        <stp>ID_ISIN</stp>
        <stp>[TREASURY.xlsx]Sheet1!R412C12</stp>
        <tr r="L412" s="1"/>
      </tp>
      <tp t="s">
        <v>US912828BZ20</v>
        <stp/>
        <stp>##V3_BDPV12</stp>
        <stp>912828BZ Govt</stp>
        <stp>ID_ISIN</stp>
        <stp>[TREASURY.xlsx]Sheet1!R436C12</stp>
        <tr r="L436" s="1"/>
      </tp>
      <tp t="s">
        <v>US912828BQ21</v>
        <stp/>
        <stp>##V3_BDPV12</stp>
        <stp>912828BQ Govt</stp>
        <stp>ID_ISIN</stp>
        <stp>[TREASURY.xlsx]Sheet1!R435C12</stp>
        <tr r="L435" s="1"/>
      </tp>
      <tp t="s">
        <v>US912828FF20</v>
        <stp/>
        <stp>##V3_BDPV12</stp>
        <stp>912828FF Govt</stp>
        <stp>ID_ISIN</stp>
        <stp>[TREASURY.xlsx]Sheet1!R475C12</stp>
        <tr r="L475" s="1"/>
      </tp>
      <tp t="s">
        <v>US912828BA78</v>
        <stp/>
        <stp>##V3_BDPV12</stp>
        <stp>912828BA Govt</stp>
        <stp>ID_ISIN</stp>
        <stp>[TREASURY.xlsx]Sheet1!R408C12</stp>
        <tr r="L408" s="1"/>
      </tp>
      <tp t="s">
        <v>US912828A834</v>
        <stp/>
        <stp>##V3_BDPV12</stp>
        <stp>912828A8 Govt</stp>
        <stp>ID_ISIN</stp>
        <stp>[TREASURY.xlsx]Sheet1!R434C12</stp>
        <tr r="L434" s="1"/>
      </tp>
      <tp t="s">
        <v>US912828C731</v>
        <stp/>
        <stp>##V3_BDPV12</stp>
        <stp>912828C7 Govt</stp>
        <stp>ID_ISIN</stp>
        <stp>[TREASURY.xlsx]Sheet1!R416C12</stp>
        <tr r="L416" s="1"/>
      </tp>
      <tp t="s">
        <v>US912828EU06</v>
        <stp/>
        <stp>##V3_BDPV12</stp>
        <stp>912828EU Govt</stp>
        <stp>ID_ISIN</stp>
        <stp>[TREASURY.xlsx]Sheet1!R466C12</stp>
        <tr r="L466" s="1"/>
      </tp>
      <tp t="s">
        <v>US912828AA87</v>
        <stp/>
        <stp>##V3_BDPV12</stp>
        <stp>912828AA Govt</stp>
        <stp>ID_ISIN</stp>
        <stp>[TREASURY.xlsx]Sheet1!R426C12</stp>
        <tr r="L426" s="1"/>
      </tp>
      <tp t="s">
        <v>US912828XE52</v>
        <stp/>
        <stp>##V3_BDPV12</stp>
        <stp>912828XE Govt</stp>
        <stp>ID_ISIN</stp>
        <stp>[TREASURY.xlsx]Sheet1!R448C12</stp>
        <tr r="L448" s="1"/>
      </tp>
      <tp t="s">
        <v>US912828U329</v>
        <stp/>
        <stp>##V3_BDPV12</stp>
        <stp>912828U3 Govt</stp>
        <stp>ID_ISIN</stp>
        <stp>[TREASURY.xlsx]Sheet1!R491C12</stp>
        <tr r="L491" s="1"/>
      </tp>
      <tp t="s">
        <v>US912828TV24</v>
        <stp/>
        <stp>##V3_BDPV12</stp>
        <stp>912828TV Govt</stp>
        <stp>ID_ISIN</stp>
        <stp>[TREASURY.xlsx]Sheet1!R498C12</stp>
        <tr r="L498" s="1"/>
      </tp>
      <tp t="s">
        <v>US912828TS94</v>
        <stp/>
        <stp>##V3_BDPV12</stp>
        <stp>912828TS Govt</stp>
        <stp>ID_ISIN</stp>
        <stp>[TREASURY.xlsx]Sheet1!R490C12</stp>
        <tr r="L490" s="1"/>
      </tp>
      <tp t="s">
        <v>US912828U733</v>
        <stp/>
        <stp>##V3_BDPV12</stp>
        <stp>912828U7 Govt</stp>
        <stp>ID_ISIN</stp>
        <stp>[TREASURY.xlsx]Sheet1!R484C12</stp>
        <tr r="L484" s="1"/>
      </tp>
      <tp t="s">
        <v>US912828XH83</v>
        <stp/>
        <stp>##V3_BDPV12</stp>
        <stp>912828XH Govt</stp>
        <stp>ID_ISIN</stp>
        <stp>[TREASURY.xlsx]Sheet1!R468C12</stp>
        <tr r="L468" s="1"/>
      </tp>
      <tp t="s">
        <v>US912828XY17</v>
        <stp/>
        <stp>##V3_BDPV12</stp>
        <stp>912828XY Govt</stp>
        <stp>ID_ISIN</stp>
        <stp>[TREASURY.xlsx]Sheet1!R473C12</stp>
        <tr r="L473" s="1"/>
      </tp>
      <tp t="s">
        <v>US912828WP19</v>
        <stp/>
        <stp>##V3_BDPV12</stp>
        <stp>912828WP Govt</stp>
        <stp>ID_ISIN</stp>
        <stp>[TREASURY.xlsx]Sheet1!R488C12</stp>
        <tr r="L488" s="1"/>
      </tp>
      <tp t="s">
        <v>US912828W630</v>
        <stp/>
        <stp>##V3_BDPV12</stp>
        <stp>912828W6 Govt</stp>
        <stp>ID_ISIN</stp>
        <stp>[TREASURY.xlsx]Sheet1!R480C12</stp>
        <tr r="L480" s="1"/>
      </tp>
      <tp t="s">
        <v>US912828ST86</v>
        <stp/>
        <stp>##V3_BDPV12</stp>
        <stp>912828ST Govt</stp>
        <stp>ID_ISIN</stp>
        <stp>[TREASURY.xlsx]Sheet1!R497C12</stp>
        <tr r="L497" s="1"/>
      </tp>
      <tp t="s">
        <v>US912828SG65</v>
        <stp/>
        <stp>##V3_BDPV12</stp>
        <stp>912828SG Govt</stp>
        <stp>ID_ISIN</stp>
        <stp>[TREASURY.xlsx]Sheet1!R496C12</stp>
        <tr r="L496" s="1"/>
      </tp>
      <tp t="s">
        <v>US912828SJ05</v>
        <stp/>
        <stp>##V3_BDPV12</stp>
        <stp>912828SJ Govt</stp>
        <stp>ID_ISIN</stp>
        <stp>[TREASURY.xlsx]Sheet1!R489C12</stp>
        <tr r="L489" s="1"/>
      </tp>
      <tp t="s">
        <v>US912828S430</v>
        <stp/>
        <stp>##V3_BDPV12</stp>
        <stp>912828S4 Govt</stp>
        <stp>ID_ISIN</stp>
        <stp>[TREASURY.xlsx]Sheet1!R487C12</stp>
        <tr r="L487" s="1"/>
      </tp>
      <tp t="s">
        <v>US912828TR12</v>
        <stp/>
        <stp>##V3_BDPV12</stp>
        <stp>912828TR Govt</stp>
        <stp>ID_ISIN</stp>
        <stp>[TREASURY.xlsx]Sheet1!R402C12</stp>
        <tr r="L402" s="1"/>
      </tp>
      <tp t="s">
        <v>US912828TL42</v>
        <stp/>
        <stp>##V3_BDPV12</stp>
        <stp>912828TL Govt</stp>
        <stp>ID_ISIN</stp>
        <stp>[TREASURY.xlsx]Sheet1!R409C12</stp>
        <tr r="L409" s="1"/>
      </tp>
      <tp t="s">
        <v>US912828QZ64</v>
        <stp/>
        <stp>##V3_BDPV12</stp>
        <stp>912828QZ Govt</stp>
        <stp>ID_ISIN</stp>
        <stp>[TREASURY.xlsx]Sheet1!R449C12</stp>
        <tr r="L449" s="1"/>
      </tp>
      <tp t="s">
        <v>US912828RS13</v>
        <stp/>
        <stp>##V3_BDPV12</stp>
        <stp>912828RS Govt</stp>
        <stp>ID_ISIN</stp>
        <stp>[TREASURY.xlsx]Sheet1!R444C12</stp>
        <tr r="L444" s="1"/>
      </tp>
      <tp t="s">
        <v>US912828PH75</v>
        <stp/>
        <stp>##V3_BDPV12</stp>
        <stp>912828PH Govt</stp>
        <stp>ID_ISIN</stp>
        <stp>[TREASURY.xlsx]Sheet1!R464C12</stp>
        <tr r="L464" s="1"/>
      </tp>
      <tp t="s">
        <v>US912828UQ10</v>
        <stp/>
        <stp>##V3_BDPV12</stp>
        <stp>912828UQ Govt</stp>
        <stp>ID_ISIN</stp>
        <stp>[TREASURY.xlsx]Sheet1!R421C12</stp>
        <tr r="L421" s="1"/>
      </tp>
      <tp t="s">
        <v>US912828RB87</v>
        <stp/>
        <stp>##V3_BDPV12</stp>
        <stp>912828RB Govt</stp>
        <stp>ID_ISIN</stp>
        <stp>[TREASURY.xlsx]Sheet1!R459C12</stp>
        <tr r="L459" s="1"/>
      </tp>
      <tp t="s">
        <v>US912828RH57</v>
        <stp/>
        <stp>##V3_BDPV12</stp>
        <stp>912828RH Govt</stp>
        <stp>ID_ISIN</stp>
        <stp>[TREASURY.xlsx]Sheet1!R456C12</stp>
        <tr r="L456" s="1"/>
      </tp>
      <tp t="s">
        <v>US912828RT95</v>
        <stp/>
        <stp>##V3_BDPV12</stp>
        <stp>912828RT Govt</stp>
        <stp>ID_ISIN</stp>
        <stp>[TREASURY.xlsx]Sheet1!R420C12</stp>
        <tr r="L420" s="1"/>
      </tp>
      <tp t="s">
        <v>US912828Q376</v>
        <stp/>
        <stp>##V3_BDPV12</stp>
        <stp>912828Q3 Govt</stp>
        <stp>ID_ISIN</stp>
        <stp>[TREASURY.xlsx]Sheet1!R413C12</stp>
        <tr r="L413" s="1"/>
      </tp>
      <tp t="s">
        <v>US912828VP28</v>
        <stp/>
        <stp>##V3_BDPV12</stp>
        <stp>912828VP Govt</stp>
        <stp>ID_ISIN</stp>
        <stp>[TREASURY.xlsx]Sheet1!R479C12</stp>
        <tr r="L479" s="1"/>
      </tp>
      <tp t="s">
        <v>US912828UZ19</v>
        <stp/>
        <stp>##V3_BDPV12</stp>
        <stp>912828UZ Govt</stp>
        <stp>ID_ISIN</stp>
        <stp>[TREASURY.xlsx]Sheet1!R445C12</stp>
        <tr r="L445" s="1"/>
      </tp>
      <tp t="s">
        <v>US912828QJ23</v>
        <stp/>
        <stp>##V3_BDPV12</stp>
        <stp>912828QJ Govt</stp>
        <stp>ID_ISIN</stp>
        <stp>[TREASURY.xlsx]Sheet1!R407C12</stp>
        <tr r="L407" s="1"/>
      </tp>
      <tp t="s">
        <v>US912828QL78</v>
        <stp/>
        <stp>##V3_BDPV12</stp>
        <stp>912828QL Govt</stp>
        <stp>ID_ISIN</stp>
        <stp>[TREASURY.xlsx]Sheet1!R401C12</stp>
        <tr r="L401" s="1"/>
      </tp>
      <tp t="s">
        <v>US912828UE89</v>
        <stp/>
        <stp>##V3_BDPV12</stp>
        <stp>912828UE Govt</stp>
        <stp>ID_ISIN</stp>
        <stp>[TREASURY.xlsx]Sheet1!R446C12</stp>
        <tr r="L446" s="1"/>
      </tp>
      <tp t="s">
        <v>US912828R937</v>
        <stp/>
        <stp>##V3_BDPV12</stp>
        <stp>912828R9 Govt</stp>
        <stp>ID_ISIN</stp>
        <stp>[TREASURY.xlsx]Sheet1!R437C12</stp>
        <tr r="L437" s="1"/>
      </tp>
      <tp t="s">
        <v>US912828TX89</v>
        <stp/>
        <stp>##V3_BDPV12</stp>
        <stp>912828TX Govt</stp>
        <stp>ID_ISIN</stp>
        <stp>[TREASURY.xlsx]Sheet1!R467C12</stp>
        <tr r="L467" s="1"/>
      </tp>
      <tp t="s">
        <v>US912828UM06</v>
        <stp/>
        <stp>##V3_BDPV12</stp>
        <stp>912828UM Govt</stp>
        <stp>ID_ISIN</stp>
        <stp>[TREASURY.xlsx]Sheet1!R472C12</stp>
        <tr r="L472" s="1"/>
      </tp>
      <tp t="s">
        <v>US912828VJ67</v>
        <stp/>
        <stp>##V3_BDPV12</stp>
        <stp>912828VJ Govt</stp>
        <stp>ID_ISIN</stp>
        <stp>[TREASURY.xlsx]Sheet1!R447C12</stp>
        <tr r="L447" s="1"/>
      </tp>
      <tp t="s">
        <v>US912828WB23</v>
        <stp/>
        <stp>##V3_BDPV12</stp>
        <stp>912828WB Govt</stp>
        <stp>ID_ISIN</stp>
        <stp>[TREASURY.xlsx]Sheet1!R457C12</stp>
        <tr r="L457" s="1"/>
      </tp>
      <tp t="s">
        <v>US912828SU59</v>
        <stp/>
        <stp>##V3_BDPV12</stp>
        <stp>912828SU Govt</stp>
        <stp>ID_ISIN</stp>
        <stp>[TREASURY.xlsx]Sheet1!R404C12</stp>
        <tr r="L404" s="1"/>
      </tp>
      <tp t="s">
        <v>US912828P956</v>
        <stp/>
        <stp>##V3_BDPV12</stp>
        <stp>912828P9 Govt</stp>
        <stp>ID_ISIN</stp>
        <stp>[TREASURY.xlsx]Sheet1!R431C12</stp>
        <tr r="L431" s="1"/>
      </tp>
      <tp t="s">
        <v>US912828Q947</v>
        <stp/>
        <stp>##V3_BDPV12</stp>
        <stp>912828Q9 Govt</stp>
        <stp>ID_ISIN</stp>
        <stp>[TREASURY.xlsx]Sheet1!R425C12</stp>
        <tr r="L425" s="1"/>
      </tp>
      <tp t="s">
        <v>US912828Q459</v>
        <stp/>
        <stp>##V3_BDPV12</stp>
        <stp>912828Q4 Govt</stp>
        <stp>ID_ISIN</stp>
        <stp>[TREASURY.xlsx]Sheet1!R423C12</stp>
        <tr r="L423" s="1"/>
      </tp>
      <tp t="s">
        <v>US9128286V71</v>
        <stp/>
        <stp>##V3_BDPV12</stp>
        <stp>9128286V Govt</stp>
        <stp>ID_ISIN</stp>
        <stp>[TREASURY.xlsx]Sheet1!R523C12</stp>
        <tr r="L523" s="1"/>
      </tp>
      <tp t="s">
        <v>US9128284C19</v>
        <stp/>
        <stp>##V3_BDPV12</stp>
        <stp>9128284C Govt</stp>
        <stp>ID_ISIN</stp>
        <stp>[TREASURY.xlsx]Sheet1!R505C12</stp>
        <tr r="L505" s="1"/>
      </tp>
      <tp t="s">
        <v>US9128282X73</v>
        <stp/>
        <stp>##V3_BDPV12</stp>
        <stp>9128282X Govt</stp>
        <stp>ID_ISIN</stp>
        <stp>[TREASURY.xlsx]Sheet1!R554C12</stp>
        <tr r="L554" s="1"/>
      </tp>
      <tp t="s">
        <v>T 5 07/31/08</v>
        <stp/>
        <stp>##V3_BDPV12</stp>
        <stp>912828FM Govt</stp>
        <stp>SECURITY_NAME</stp>
        <stp>[TREASURY.xlsx]Sheet1!R532C16</stp>
        <tr r="P532" s="1"/>
      </tp>
      <tp t="s">
        <v>T 6 1/8 08/15/29</v>
        <stp/>
        <stp>##V3_BDPV12</stp>
        <stp>912810FJ Govt</stp>
        <stp>SECURITY_NAME</stp>
        <stp>[TREASURY.xlsx]Sheet1!R267C16</stp>
        <tr r="P267" s="1"/>
      </tp>
      <tp t="s">
        <v>US912828EG12</v>
        <stp/>
        <stp>##V3_BDPV12</stp>
        <stp>912828EG Govt</stp>
        <stp>ID_ISIN</stp>
        <stp>[TREASURY.xlsx]Sheet1!R596C12</stp>
        <tr r="L596" s="1"/>
      </tp>
      <tp t="s">
        <v>US912828LZ10</v>
        <stp/>
        <stp>##V3_BDPV12</stp>
        <stp>912828LZ Govt</stp>
        <stp>ID_ISIN</stp>
        <stp>[TREASURY.xlsx]Sheet1!R515C12</stp>
        <tr r="L515" s="1"/>
      </tp>
      <tp t="s">
        <v>US912828KJ86</v>
        <stp/>
        <stp>##V3_BDPV12</stp>
        <stp>912828KJ Govt</stp>
        <stp>ID_ISIN</stp>
        <stp>[TREASURY.xlsx]Sheet1!R561C12</stp>
        <tr r="L561" s="1"/>
      </tp>
      <tp t="s">
        <v>US912828DB34</v>
        <stp/>
        <stp>##V3_BDPV12</stp>
        <stp>912828DB Govt</stp>
        <stp>ID_ISIN</stp>
        <stp>[TREASURY.xlsx]Sheet1!R591C12</stp>
        <tr r="L591" s="1"/>
      </tp>
      <tp t="s">
        <v>US912828JH40</v>
        <stp/>
        <stp>##V3_BDPV12</stp>
        <stp>912828JH Govt</stp>
        <stp>ID_ISIN</stp>
        <stp>[TREASURY.xlsx]Sheet1!R542C12</stp>
        <tr r="L542" s="1"/>
      </tp>
      <tp t="s">
        <v>US912828MK32</v>
        <stp/>
        <stp>##V3_BDPV12</stp>
        <stp>912828MK Govt</stp>
        <stp>ID_ISIN</stp>
        <stp>[TREASURY.xlsx]Sheet1!R538C12</stp>
        <tr r="L538" s="1"/>
      </tp>
      <tp t="s">
        <v>US912828LX61</v>
        <stp/>
        <stp>##V3_BDPV12</stp>
        <stp>912828LX Govt</stp>
        <stp>ID_ISIN</stp>
        <stp>[TREASURY.xlsx]Sheet1!R535C12</stp>
        <tr r="L535" s="1"/>
      </tp>
      <tp t="s">
        <v>US912828FT24</v>
        <stp/>
        <stp>##V3_BDPV12</stp>
        <stp>912828FT Govt</stp>
        <stp>ID_ISIN</stp>
        <stp>[TREASURY.xlsx]Sheet1!R597C12</stp>
        <tr r="L597" s="1"/>
      </tp>
      <tp t="s">
        <v>US912828HM52</v>
        <stp/>
        <stp>##V3_BDPV12</stp>
        <stp>912828HM Govt</stp>
        <stp>ID_ISIN</stp>
        <stp>[TREASURY.xlsx]Sheet1!R573C12</stp>
        <tr r="L573" s="1"/>
      </tp>
      <tp t="s">
        <v>US912828LK41</v>
        <stp/>
        <stp>##V3_BDPV12</stp>
        <stp>912828LK Govt</stp>
        <stp>ID_ISIN</stp>
        <stp>[TREASURY.xlsx]Sheet1!R546C12</stp>
        <tr r="L546" s="1"/>
      </tp>
      <tp t="s">
        <v>US912828NG11</v>
        <stp/>
        <stp>##V3_BDPV12</stp>
        <stp>912828NG Govt</stp>
        <stp>ID_ISIN</stp>
        <stp>[TREASURY.xlsx]Sheet1!R562C12</stp>
        <tr r="L562" s="1"/>
      </tp>
      <tp t="s">
        <v>US912828LB42</v>
        <stp/>
        <stp>##V3_BDPV12</stp>
        <stp>912828LB Govt</stp>
        <stp>ID_ISIN</stp>
        <stp>[TREASURY.xlsx]Sheet1!R558C12</stp>
        <tr r="L558" s="1"/>
      </tp>
      <tp t="s">
        <v>US912828JF83</v>
        <stp/>
        <stp>##V3_BDPV12</stp>
        <stp>912828JF Govt</stp>
        <stp>ID_ISIN</stp>
        <stp>[TREASURY.xlsx]Sheet1!R537C12</stp>
        <tr r="L537" s="1"/>
      </tp>
      <tp t="s">
        <v>US912828A677</v>
        <stp/>
        <stp>##V3_BDPV12</stp>
        <stp>912828A6 Govt</stp>
        <stp>ID_ISIN</stp>
        <stp>[TREASURY.xlsx]Sheet1!R580C12</stp>
        <tr r="L580" s="1"/>
      </tp>
      <tp t="s">
        <v>US912828NU05</v>
        <stp/>
        <stp>##V3_BDPV12</stp>
        <stp>912828NU Govt</stp>
        <stp>ID_ISIN</stp>
        <stp>[TREASURY.xlsx]Sheet1!R547C12</stp>
        <tr r="L547" s="1"/>
      </tp>
      <tp t="s">
        <v>US912828HK96</v>
        <stp/>
        <stp>##V3_BDPV12</stp>
        <stp>912828HK Govt</stp>
        <stp>ID_ISIN</stp>
        <stp>[TREASURY.xlsx]Sheet1!R525C12</stp>
        <tr r="L525" s="1"/>
      </tp>
      <tp t="s">
        <v>US912828ME71</v>
        <stp/>
        <stp>##V3_BDPV12</stp>
        <stp>912828ME Govt</stp>
        <stp>ID_ISIN</stp>
        <stp>[TREASURY.xlsx]Sheet1!R574C12</stp>
        <tr r="L574" s="1"/>
      </tp>
      <tp t="s">
        <v>US912828K585</v>
        <stp/>
        <stp>##V3_BDPV12</stp>
        <stp>912828K5 Govt</stp>
        <stp>ID_ISIN</stp>
        <stp>[TREASURY.xlsx]Sheet1!R518C12</stp>
        <tr r="L518" s="1"/>
      </tp>
      <tp t="s">
        <v>US912828MW79</v>
        <stp/>
        <stp>##V3_BDPV12</stp>
        <stp>912828MW Govt</stp>
        <stp>ID_ISIN</stp>
        <stp>[TREASURY.xlsx]Sheet1!R599C12</stp>
        <tr r="L599" s="1"/>
      </tp>
      <tp t="s">
        <v>US912828LF55</v>
        <stp/>
        <stp>##V3_BDPV12</stp>
        <stp>912828LF Govt</stp>
        <stp>ID_ISIN</stp>
        <stp>[TREASURY.xlsx]Sheet1!R584C12</stp>
        <tr r="L584" s="1"/>
      </tp>
      <tp t="s">
        <v>US912828M987</v>
        <stp/>
        <stp>##V3_BDPV12</stp>
        <stp>912828M9 Govt</stp>
        <stp>ID_ISIN</stp>
        <stp>[TREASURY.xlsx]Sheet1!R592C12</stp>
        <tr r="L592" s="1"/>
      </tp>
      <tp t="s">
        <v>US912828A420</v>
        <stp/>
        <stp>##V3_BDPV12</stp>
        <stp>912828A4 Govt</stp>
        <stp>ID_ISIN</stp>
        <stp>[TREASURY.xlsx]Sheet1!R555C12</stp>
        <tr r="L555" s="1"/>
      </tp>
      <tp t="s">
        <v>US912828DP20</v>
        <stp/>
        <stp>##V3_BDPV12</stp>
        <stp>912828DP Govt</stp>
        <stp>ID_ISIN</stp>
        <stp>[TREASURY.xlsx]Sheet1!R517C12</stp>
        <tr r="L517" s="1"/>
      </tp>
      <tp t="s">
        <v>US912828FQ84</v>
        <stp/>
        <stp>##V3_BDPV12</stp>
        <stp>912828FQ Govt</stp>
        <stp>ID_ISIN</stp>
        <stp>[TREASURY.xlsx]Sheet1!R534C12</stp>
        <tr r="L534" s="1"/>
      </tp>
      <tp t="s">
        <v>US912828FM70</v>
        <stp/>
        <stp>##V3_BDPV12</stp>
        <stp>912828FM Govt</stp>
        <stp>ID_ISIN</stp>
        <stp>[TREASURY.xlsx]Sheet1!R532C12</stp>
        <tr r="L532" s="1"/>
      </tp>
      <tp t="s">
        <v>US912828B824</v>
        <stp/>
        <stp>##V3_BDPV12</stp>
        <stp>912828B8 Govt</stp>
        <stp>ID_ISIN</stp>
        <stp>[TREASURY.xlsx]Sheet1!R571C12</stp>
        <tr r="L571" s="1"/>
      </tp>
      <tp t="s">
        <v>US912828BR04</v>
        <stp/>
        <stp>##V3_BDPV12</stp>
        <stp>912828BR Govt</stp>
        <stp>ID_ISIN</stp>
        <stp>[TREASURY.xlsx]Sheet1!R541C12</stp>
        <tr r="L541" s="1"/>
      </tp>
      <tp t="s">
        <v>US912828CL25</v>
        <stp/>
        <stp>##V3_BDPV12</stp>
        <stp>912828CL Govt</stp>
        <stp>ID_ISIN</stp>
        <stp>[TREASURY.xlsx]Sheet1!R557C12</stp>
        <tr r="L557" s="1"/>
      </tp>
      <tp t="s">
        <v>US912828CH13</v>
        <stp/>
        <stp>##V3_BDPV12</stp>
        <stp>912828CH Govt</stp>
        <stp>ID_ISIN</stp>
        <stp>[TREASURY.xlsx]Sheet1!R559C12</stp>
        <tr r="L559" s="1"/>
      </tp>
      <tp t="s">
        <v>US912828BX71</v>
        <stp/>
        <stp>##V3_BDPV12</stp>
        <stp>912828BX Govt</stp>
        <stp>ID_ISIN</stp>
        <stp>[TREASURY.xlsx]Sheet1!R556C12</stp>
        <tr r="L556" s="1"/>
      </tp>
      <tp t="s">
        <v>US912828GR58</v>
        <stp/>
        <stp>##V3_BDPV12</stp>
        <stp>912828GR Govt</stp>
        <stp>ID_ISIN</stp>
        <stp>[TREASURY.xlsx]Sheet1!R504C12</stp>
        <tr r="L504" s="1"/>
      </tp>
      <tp t="s">
        <v>US912828EQ93</v>
        <stp/>
        <stp>##V3_BDPV12</stp>
        <stp>912828EQ Govt</stp>
        <stp>ID_ISIN</stp>
        <stp>[TREASURY.xlsx]Sheet1!R524C12</stp>
        <tr r="L524" s="1"/>
      </tp>
      <tp t="s">
        <v>US912828AQ30</v>
        <stp/>
        <stp>##V3_BDPV12</stp>
        <stp>912828AQ Govt</stp>
        <stp>ID_ISIN</stp>
        <stp>[TREASURY.xlsx]Sheet1!R512C12</stp>
        <tr r="L512" s="1"/>
      </tp>
      <tp t="s">
        <v>US912828D804</v>
        <stp/>
        <stp>##V3_BDPV12</stp>
        <stp>912828D8 Govt</stp>
        <stp>ID_ISIN</stp>
        <stp>[TREASURY.xlsx]Sheet1!R545C12</stp>
        <tr r="L545" s="1"/>
      </tp>
      <tp t="s">
        <v>US912828H292</v>
        <stp/>
        <stp>##V3_BDPV12</stp>
        <stp>912828H2 Govt</stp>
        <stp>ID_ISIN</stp>
        <stp>[TREASURY.xlsx]Sheet1!R581C12</stp>
        <tr r="L581" s="1"/>
      </tp>
      <tp t="s">
        <v>US912828AX80</v>
        <stp/>
        <stp>##V3_BDPV12</stp>
        <stp>912828AX Govt</stp>
        <stp>ID_ISIN</stp>
        <stp>[TREASURY.xlsx]Sheet1!R502C12</stp>
        <tr r="L502" s="1"/>
      </tp>
      <tp t="s">
        <v>US912828AY63</v>
        <stp/>
        <stp>##V3_BDPV12</stp>
        <stp>912828AY Govt</stp>
        <stp>ID_ISIN</stp>
        <stp>[TREASURY.xlsx]Sheet1!R507C12</stp>
        <tr r="L507" s="1"/>
      </tp>
      <tp t="s">
        <v>US912828BU33</v>
        <stp/>
        <stp>##V3_BDPV12</stp>
        <stp>912828BU Govt</stp>
        <stp>ID_ISIN</stp>
        <stp>[TREASURY.xlsx]Sheet1!R533C12</stp>
        <tr r="L533" s="1"/>
      </tp>
      <tp t="s">
        <v>US912828G799</v>
        <stp/>
        <stp>##V3_BDPV12</stp>
        <stp>912828G7 Govt</stp>
        <stp>ID_ISIN</stp>
        <stp>[TREASURY.xlsx]Sheet1!R560C12</stp>
        <tr r="L560" s="1"/>
      </tp>
      <tp t="s">
        <v>US912828EZ92</v>
        <stp/>
        <stp>##V3_BDPV12</stp>
        <stp>912828EZ Govt</stp>
        <stp>ID_ISIN</stp>
        <stp>[TREASURY.xlsx]Sheet1!R572C12</stp>
        <tr r="L572" s="1"/>
      </tp>
      <tp t="s">
        <v>US912828BY54</v>
        <stp/>
        <stp>##V3_BDPV12</stp>
        <stp>912828BY Govt</stp>
        <stp>ID_ISIN</stp>
        <stp>[TREASURY.xlsx]Sheet1!R506C12</stp>
        <tr r="L506" s="1"/>
      </tp>
      <tp t="s">
        <v>US912828CR94</v>
        <stp/>
        <stp>##V3_BDPV12</stp>
        <stp>912828CR Govt</stp>
        <stp>ID_ISIN</stp>
        <stp>[TREASURY.xlsx]Sheet1!R510C12</stp>
        <tr r="L510" s="1"/>
      </tp>
      <tp t="s">
        <v>US912828CT50</v>
        <stp/>
        <stp>##V3_BDPV12</stp>
        <stp>912828CT Govt</stp>
        <stp>ID_ISIN</stp>
        <stp>[TREASURY.xlsx]Sheet1!R514C12</stp>
        <tr r="L514" s="1"/>
      </tp>
      <tp t="s">
        <v>US912828AJ96</v>
        <stp/>
        <stp>##V3_BDPV12</stp>
        <stp>912828AJ Govt</stp>
        <stp>ID_ISIN</stp>
        <stp>[TREASURY.xlsx]Sheet1!R531C12</stp>
        <tr r="L531" s="1"/>
      </tp>
      <tp t="s">
        <v>US912828AE00</v>
        <stp/>
        <stp>##V3_BDPV12</stp>
        <stp>912828AE Govt</stp>
        <stp>ID_ISIN</stp>
        <stp>[TREASURY.xlsx]Sheet1!R530C12</stp>
        <tr r="L530" s="1"/>
      </tp>
      <tp t="s">
        <v>US912828CV07</v>
        <stp/>
        <stp>##V3_BDPV12</stp>
        <stp>912828CV Govt</stp>
        <stp>ID_ISIN</stp>
        <stp>[TREASURY.xlsx]Sheet1!R508C12</stp>
        <tr r="L508" s="1"/>
      </tp>
      <tp t="s">
        <v>US912828KQ20</v>
        <stp/>
        <stp>##V3_BDPV12</stp>
        <stp>912828KQ Govt</stp>
        <stp>ID_ISIN</stp>
        <stp>[TREASURY.xlsx]Sheet1!R583C12</stp>
        <tr r="L583" s="1"/>
      </tp>
      <tp t="s">
        <v>US912828JB79</v>
        <stp/>
        <stp>##V3_BDPV12</stp>
        <stp>912828JB Govt</stp>
        <stp>ID_ISIN</stp>
        <stp>[TREASURY.xlsx]Sheet1!R598C12</stp>
        <tr r="L598" s="1"/>
      </tp>
      <tp t="s">
        <v>US912828BL34</v>
        <stp/>
        <stp>##V3_BDPV12</stp>
        <stp>912828BL Govt</stp>
        <stp>ID_ISIN</stp>
        <stp>[TREASURY.xlsx]Sheet1!R513C12</stp>
        <tr r="L513" s="1"/>
      </tp>
      <tp t="s">
        <v>US912828KE99</v>
        <stp/>
        <stp>##V3_BDPV12</stp>
        <stp>912828KE Govt</stp>
        <stp>ID_ISIN</stp>
        <stp>[TREASURY.xlsx]Sheet1!R582C12</stp>
        <tr r="L582" s="1"/>
      </tp>
      <tp t="s">
        <v>US912828TH30</v>
        <stp/>
        <stp>##V3_BDPV12</stp>
        <stp>912828TH Govt</stp>
        <stp>ID_ISIN</stp>
        <stp>[TREASURY.xlsx]Sheet1!R585C12</stp>
        <tr r="L585" s="1"/>
      </tp>
      <tp t="s">
        <v>US912828UD07</v>
        <stp/>
        <stp>##V3_BDPV12</stp>
        <stp>912828UD Govt</stp>
        <stp>ID_ISIN</stp>
        <stp>[TREASURY.xlsx]Sheet1!R586C12</stp>
        <tr r="L586" s="1"/>
      </tp>
      <tp t="s">
        <v>US912828VG29</v>
        <stp/>
        <stp>##V3_BDPV12</stp>
        <stp>912828VG Govt</stp>
        <stp>ID_ISIN</stp>
        <stp>[TREASURY.xlsx]Sheet1!R587C12</stp>
        <tr r="L587" s="1"/>
      </tp>
      <tp t="s">
        <v>US912828QH66</v>
        <stp/>
        <stp>##V3_BDPV12</stp>
        <stp>912828QH Govt</stp>
        <stp>ID_ISIN</stp>
        <stp>[TREASURY.xlsx]Sheet1!R595C12</stp>
        <tr r="L595" s="1"/>
      </tp>
      <tp t="s">
        <v>US912828PY09</v>
        <stp/>
        <stp>##V3_BDPV12</stp>
        <stp>912828PY Govt</stp>
        <stp>ID_ISIN</stp>
        <stp>[TREASURY.xlsx]Sheet1!R594C12</stp>
        <tr r="L594" s="1"/>
      </tp>
      <tp t="s">
        <v>US912828PM60</v>
        <stp/>
        <stp>##V3_BDPV12</stp>
        <stp>912828PM Govt</stp>
        <stp>ID_ISIN</stp>
        <stp>[TREASURY.xlsx]Sheet1!R593C12</stp>
        <tr r="L593" s="1"/>
      </tp>
      <tp t="s">
        <v>US912828XM78</v>
        <stp/>
        <stp>##V3_BDPV12</stp>
        <stp>912828XM Govt</stp>
        <stp>ID_ISIN</stp>
        <stp>[TREASURY.xlsx]Sheet1!R536C12</stp>
        <tr r="L536" s="1"/>
      </tp>
      <tp t="s">
        <v>US912828QP82</v>
        <stp/>
        <stp>##V3_BDPV12</stp>
        <stp>912828QP Govt</stp>
        <stp>ID_ISIN</stp>
        <stp>[TREASURY.xlsx]Sheet1!R550C12</stp>
        <tr r="L550" s="1"/>
      </tp>
      <tp t="s">
        <v>US912828RM43</v>
        <stp/>
        <stp>##V3_BDPV12</stp>
        <stp>912828RM Govt</stp>
        <stp>ID_ISIN</stp>
        <stp>[TREASURY.xlsx]Sheet1!R563C12</stp>
        <tr r="L563" s="1"/>
      </tp>
      <tp t="s">
        <v>US912828PE45</v>
        <stp/>
        <stp>##V3_BDPV12</stp>
        <stp>912828PE Govt</stp>
        <stp>ID_ISIN</stp>
        <stp>[TREASURY.xlsx]Sheet1!R548C12</stp>
        <tr r="L548" s="1"/>
      </tp>
      <tp t="s">
        <v>US912828SB78</v>
        <stp/>
        <stp>##V3_BDPV12</stp>
        <stp>912828SB Govt</stp>
        <stp>ID_ISIN</stp>
        <stp>[TREASURY.xlsx]Sheet1!R564C12</stp>
        <tr r="L564" s="1"/>
      </tp>
      <tp t="s">
        <v>US912828SZ47</v>
        <stp/>
        <stp>##V3_BDPV12</stp>
        <stp>912828SZ Govt</stp>
        <stp>ID_ISIN</stp>
        <stp>[TREASURY.xlsx]Sheet1!R551C12</stp>
        <tr r="L551" s="1"/>
      </tp>
      <tp t="s">
        <v>US912828RP73</v>
        <stp/>
        <stp>##V3_BDPV12</stp>
        <stp>912828RP Govt</stp>
        <stp>ID_ISIN</stp>
        <stp>[TREASURY.xlsx]Sheet1!R549C12</stp>
        <tr r="L549" s="1"/>
      </tp>
      <tp t="s">
        <v>US912828TA86</v>
        <stp/>
        <stp>##V3_BDPV12</stp>
        <stp>912828TA Govt</stp>
        <stp>ID_ISIN</stp>
        <stp>[TREASURY.xlsx]Sheet1!R520C12</stp>
        <tr r="L520" s="1"/>
      </tp>
      <tp t="s">
        <v>US912828QF01</v>
        <stp/>
        <stp>##V3_BDPV12</stp>
        <stp>912828QF Govt</stp>
        <stp>ID_ISIN</stp>
        <stp>[TREASURY.xlsx]Sheet1!R576C12</stp>
        <tr r="L576" s="1"/>
      </tp>
      <tp t="s">
        <v>US912828PZ73</v>
        <stp/>
        <stp>##V3_BDPV12</stp>
        <stp>912828PZ Govt</stp>
        <stp>ID_ISIN</stp>
        <stp>[TREASURY.xlsx]Sheet1!R575C12</stp>
        <tr r="L575" s="1"/>
      </tp>
      <tp t="s">
        <v>US912828TU41</v>
        <stp/>
        <stp>##V3_BDPV12</stp>
        <stp>912828TU Govt</stp>
        <stp>ID_ISIN</stp>
        <stp>[TREASURY.xlsx]Sheet1!R539C12</stp>
        <tr r="L539" s="1"/>
      </tp>
      <tp t="s">
        <v>US912828XP00</v>
        <stp/>
        <stp>##V3_BDPV12</stp>
        <stp>912828XP Govt</stp>
        <stp>ID_ISIN</stp>
        <stp>[TREASURY.xlsx]Sheet1!R588C12</stp>
        <tr r="L588" s="1"/>
      </tp>
      <tp t="s">
        <v>US912828QX17</v>
        <stp/>
        <stp>##V3_BDPV12</stp>
        <stp>912828QX Govt</stp>
        <stp>ID_ISIN</stp>
        <stp>[TREASURY.xlsx]Sheet1!R519C12</stp>
        <tr r="L519" s="1"/>
      </tp>
      <tp t="s">
        <v>US912828UT58</v>
        <stp/>
        <stp>##V3_BDPV12</stp>
        <stp>912828UT Govt</stp>
        <stp>ID_ISIN</stp>
        <stp>[TREASURY.xlsx]Sheet1!R552C12</stp>
        <tr r="L552" s="1"/>
      </tp>
      <tp t="s">
        <v>US912828VR83</v>
        <stp/>
        <stp>##V3_BDPV12</stp>
        <stp>912828VR Govt</stp>
        <stp>ID_ISIN</stp>
        <stp>[TREASURY.xlsx]Sheet1!R566C12</stp>
        <tr r="L566" s="1"/>
      </tp>
      <tp t="s">
        <v>US912828WM87</v>
        <stp/>
        <stp>##V3_BDPV12</stp>
        <stp>912828WM Govt</stp>
        <stp>ID_ISIN</stp>
        <stp>[TREASURY.xlsx]Sheet1!R567C12</stp>
        <tr r="L567" s="1"/>
      </tp>
      <tp t="s">
        <v>US912828QA14</v>
        <stp/>
        <stp>##V3_BDPV12</stp>
        <stp>912828QA Govt</stp>
        <stp>ID_ISIN</stp>
        <stp>[TREASURY.xlsx]Sheet1!R509C12</stp>
        <tr r="L509" s="1"/>
      </tp>
      <tp t="s">
        <v>US912828UB41</v>
        <stp/>
        <stp>##V3_BDPV12</stp>
        <stp>912828UB Govt</stp>
        <stp>ID_ISIN</stp>
        <stp>[TREASURY.xlsx]Sheet1!R540C12</stp>
        <tr r="L540" s="1"/>
      </tp>
      <tp t="s">
        <v>US912828VC15</v>
        <stp/>
        <stp>##V3_BDPV12</stp>
        <stp>912828VC Govt</stp>
        <stp>ID_ISIN</stp>
        <stp>[TREASURY.xlsx]Sheet1!R577C12</stp>
        <tr r="L577" s="1"/>
      </tp>
      <tp t="s">
        <v>US912828Y461</v>
        <stp/>
        <stp>##V3_BDPV12</stp>
        <stp>912828Y4 Govt</stp>
        <stp>ID_ISIN</stp>
        <stp>[TREASURY.xlsx]Sheet1!R589C12</stp>
        <tr r="L589" s="1"/>
      </tp>
      <tp t="s">
        <v>US912828SM34</v>
        <stp/>
        <stp>##V3_BDPV12</stp>
        <stp>912828SM Govt</stp>
        <stp>ID_ISIN</stp>
        <stp>[TREASURY.xlsx]Sheet1!R516C12</stp>
        <tr r="L516" s="1"/>
      </tp>
      <tp t="s">
        <v>US912828TK68</v>
        <stp/>
        <stp>##V3_BDPV12</stp>
        <stp>912828TK Govt</stp>
        <stp>ID_ISIN</stp>
        <stp>[TREASURY.xlsx]Sheet1!R565C12</stp>
        <tr r="L565" s="1"/>
      </tp>
      <tp t="s">
        <v>US912828SL50</v>
        <stp/>
        <stp>##V3_BDPV12</stp>
        <stp>912828SL Govt</stp>
        <stp>ID_ISIN</stp>
        <stp>[TREASURY.xlsx]Sheet1!R511C12</stp>
        <tr r="L511" s="1"/>
      </tp>
      <tp t="s">
        <v>US912828WS57</v>
        <stp/>
        <stp>##V3_BDPV12</stp>
        <stp>912828WS Govt</stp>
        <stp>ID_ISIN</stp>
        <stp>[TREASURY.xlsx]Sheet1!R543C12</stp>
        <tr r="L543" s="1"/>
      </tp>
      <tp t="s">
        <v>US9128284Q05</v>
        <stp/>
        <stp>##V3_BDPV12</stp>
        <stp>9128284Q Govt</stp>
        <stp>ID_ISIN</stp>
        <stp>[TREASURY.xlsx]Sheet1!R675C12</stp>
        <tr r="L675" s="1"/>
      </tp>
      <tp t="s">
        <v>US9128282J89</v>
        <stp/>
        <stp>##V3_BDPV12</stp>
        <stp>9128282J Govt</stp>
        <stp>ID_ISIN</stp>
        <stp>[TREASURY.xlsx]Sheet1!R611C12</stp>
        <tr r="L611" s="1"/>
      </tp>
      <tp t="s">
        <v>US912828KR03</v>
        <stp/>
        <stp>##V3_BDPV12</stp>
        <stp>912828KR Govt</stp>
        <stp>ID_ISIN</stp>
        <stp>[TREASURY.xlsx]Sheet1!R676C12</stp>
        <tr r="L676" s="1"/>
      </tp>
      <tp t="s">
        <v>US912828NH93</v>
        <stp/>
        <stp>##V3_BDPV12</stp>
        <stp>912828NH Govt</stp>
        <stp>ID_ISIN</stp>
        <stp>[TREASURY.xlsx]Sheet1!R622C12</stp>
        <tr r="L622" s="1"/>
      </tp>
      <tp t="s">
        <v>US912828N639</v>
        <stp/>
        <stp>##V3_BDPV12</stp>
        <stp>912828N6 Govt</stp>
        <stp>ID_ISIN</stp>
        <stp>[TREASURY.xlsx]Sheet1!R621C12</stp>
        <tr r="L621" s="1"/>
      </tp>
      <tp t="s">
        <v>US912828HV51</v>
        <stp/>
        <stp>##V3_BDPV12</stp>
        <stp>912828HV Govt</stp>
        <stp>ID_ISIN</stp>
        <stp>[TREASURY.xlsx]Sheet1!R651C12</stp>
        <tr r="L651" s="1"/>
      </tp>
      <tp t="s">
        <v>US912828LW88</v>
        <stp/>
        <stp>##V3_BDPV12</stp>
        <stp>912828LW Govt</stp>
        <stp>ID_ISIN</stp>
        <stp>[TREASURY.xlsx]Sheet1!R629C12</stp>
        <tr r="L629" s="1"/>
      </tp>
      <tp t="s">
        <v>US912828JW17</v>
        <stp/>
        <stp>##V3_BDPV12</stp>
        <stp>912828JW Govt</stp>
        <stp>ID_ISIN</stp>
        <stp>[TREASURY.xlsx]Sheet1!R643C12</stp>
        <tr r="L643" s="1"/>
      </tp>
      <tp t="s">
        <v>US912827NK40</v>
        <stp/>
        <stp>##V3_BDPV12</stp>
        <stp>912827NK Govt</stp>
        <stp>ID_ISIN</stp>
        <stp>[TREASURY.xlsx]Sheet1!R901C12</stp>
        <tr r="L901" s="1"/>
      </tp>
      <tp t="s">
        <v>US912827NL23</v>
        <stp/>
        <stp>##V3_BDPV12</stp>
        <stp>912827NL Govt</stp>
        <stp>ID_ISIN</stp>
        <stp>[TREASURY.xlsx]Sheet1!R902C12</stp>
        <tr r="L902" s="1"/>
      </tp>
      <tp t="s">
        <v>US912827N730</v>
        <stp/>
        <stp>##V3_BDPV12</stp>
        <stp>912827N7 Govt</stp>
        <stp>ID_ISIN</stp>
        <stp>[TREASURY.xlsx]Sheet1!R900C12</stp>
        <tr r="L900" s="1"/>
      </tp>
      <tp t="s">
        <v>US912828N555</v>
        <stp/>
        <stp>##V3_BDPV12</stp>
        <stp>912828N5 Govt</stp>
        <stp>ID_ISIN</stp>
        <stp>[TREASURY.xlsx]Sheet1!R600C12</stp>
        <tr r="L600" s="1"/>
      </tp>
      <tp t="s">
        <v>US912828KY53</v>
        <stp/>
        <stp>##V3_BDPV12</stp>
        <stp>912828KY Govt</stp>
        <stp>ID_ISIN</stp>
        <stp>[TREASURY.xlsx]Sheet1!R644C12</stp>
        <tr r="L644" s="1"/>
      </tp>
      <tp t="s">
        <v>US912828H789</v>
        <stp/>
        <stp>##V3_BDPV12</stp>
        <stp>912828H7 Govt</stp>
        <stp>ID_ISIN</stp>
        <stp>[TREASURY.xlsx]Sheet1!R605C12</stp>
        <tr r="L605" s="1"/>
      </tp>
      <tp t="s">
        <v>US912828KV15</v>
        <stp/>
        <stp>##V3_BDPV12</stp>
        <stp>912828KV Govt</stp>
        <stp>ID_ISIN</stp>
        <stp>[TREASURY.xlsx]Sheet1!R616C12</stp>
        <tr r="L616" s="1"/>
      </tp>
      <tp t="s">
        <v>US912828KW97</v>
        <stp/>
        <stp>##V3_BDPV12</stp>
        <stp>912828KW Govt</stp>
        <stp>ID_ISIN</stp>
        <stp>[TREASURY.xlsx]Sheet1!R617C12</stp>
        <tr r="L617" s="1"/>
      </tp>
      <tp t="s">
        <v>US912828CN80</v>
        <stp/>
        <stp>##V3_BDPV12</stp>
        <stp>912828CN Govt</stp>
        <stp>ID_ISIN</stp>
        <stp>[TREASURY.xlsx]Sheet1!R696C12</stp>
        <tr r="L696" s="1"/>
      </tp>
      <tp t="s">
        <v>US912828ND89</v>
        <stp/>
        <stp>##V3_BDPV12</stp>
        <stp>912828ND Govt</stp>
        <stp>ID_ISIN</stp>
        <stp>[TREASURY.xlsx]Sheet1!R645C12</stp>
        <tr r="L645" s="1"/>
      </tp>
      <tp t="s">
        <v>US912828L401</v>
        <stp/>
        <stp>##V3_BDPV12</stp>
        <stp>912828L4 Govt</stp>
        <stp>ID_ISIN</stp>
        <stp>[TREASURY.xlsx]Sheet1!R669C12</stp>
        <tr r="L669" s="1"/>
      </tp>
      <tp t="s">
        <v>US912828C244</v>
        <stp/>
        <stp>##V3_BDPV12</stp>
        <stp>912828C2 Govt</stp>
        <stp>ID_ISIN</stp>
        <stp>[TREASURY.xlsx]Sheet1!R688C12</stp>
        <tr r="L688" s="1"/>
      </tp>
      <tp t="s">
        <v>US912828AR13</v>
        <stp/>
        <stp>##V3_BDPV12</stp>
        <stp>912828AR Govt</stp>
        <stp>ID_ISIN</stp>
        <stp>[TREASURY.xlsx]Sheet1!R658C12</stp>
        <tr r="L658" s="1"/>
      </tp>
      <tp t="s">
        <v>US912828AN09</v>
        <stp/>
        <stp>##V3_BDPV12</stp>
        <stp>912828AN Govt</stp>
        <stp>ID_ISIN</stp>
        <stp>[TREASURY.xlsx]Sheet1!R657C12</stp>
        <tr r="L657" s="1"/>
      </tp>
      <tp t="s">
        <v>US912828ER76</v>
        <stp/>
        <stp>##V3_BDPV12</stp>
        <stp>912828ER Govt</stp>
        <stp>ID_ISIN</stp>
        <stp>[TREASURY.xlsx]Sheet1!R604C12</stp>
        <tr r="L604" s="1"/>
      </tp>
      <tp t="s">
        <v>US912828D234</v>
        <stp/>
        <stp>##V3_BDPV12</stp>
        <stp>912828D2 Govt</stp>
        <stp>ID_ISIN</stp>
        <stp>[TREASURY.xlsx]Sheet1!R619C12</stp>
        <tr r="L619" s="1"/>
      </tp>
      <tp t="s">
        <v>US912828A917</v>
        <stp/>
        <stp>##V3_BDPV12</stp>
        <stp>912828A9 Govt</stp>
        <stp>ID_ISIN</stp>
        <stp>[TREASURY.xlsx]Sheet1!R640C12</stp>
        <tr r="L640" s="1"/>
      </tp>
      <tp t="s">
        <v>US912828D648</v>
        <stp/>
        <stp>##V3_BDPV12</stp>
        <stp>912828D6 Govt</stp>
        <stp>ID_ISIN</stp>
        <stp>[TREASURY.xlsx]Sheet1!R613C12</stp>
        <tr r="L613" s="1"/>
      </tp>
      <tp t="s">
        <v>US912828BP48</v>
        <stp/>
        <stp>##V3_BDPV12</stp>
        <stp>912828BP Govt</stp>
        <stp>ID_ISIN</stp>
        <stp>[TREASURY.xlsx]Sheet1!R648C12</stp>
        <tr r="L648" s="1"/>
      </tp>
      <tp t="s">
        <v>US912828CX62</v>
        <stp/>
        <stp>##V3_BDPV12</stp>
        <stp>912828CX Govt</stp>
        <stp>ID_ISIN</stp>
        <stp>[TREASURY.xlsx]Sheet1!R659C12</stp>
        <tr r="L659" s="1"/>
      </tp>
      <tp t="s">
        <v>US912828DV97</v>
        <stp/>
        <stp>##V3_BDPV12</stp>
        <stp>912828DV Govt</stp>
        <stp>ID_ISIN</stp>
        <stp>[TREASURY.xlsx]Sheet1!R620C12</stp>
        <tr r="L620" s="1"/>
      </tp>
      <tp t="s">
        <v>US912828GS32</v>
        <stp/>
        <stp>##V3_BDPV12</stp>
        <stp>912828GS Govt</stp>
        <stp>ID_ISIN</stp>
        <stp>[TREASURY.xlsx]Sheet1!R615C12</stp>
        <tr r="L615" s="1"/>
      </tp>
      <tp t="s">
        <v>US912828BJ87</v>
        <stp/>
        <stp>##V3_BDPV12</stp>
        <stp>912828BJ Govt</stp>
        <stp>ID_ISIN</stp>
        <stp>[TREASURY.xlsx]Sheet1!R642C12</stp>
        <tr r="L642" s="1"/>
      </tp>
      <tp t="s">
        <v>US912828BC35</v>
        <stp/>
        <stp>##V3_BDPV12</stp>
        <stp>912828BC Govt</stp>
        <stp>ID_ISIN</stp>
        <stp>[TREASURY.xlsx]Sheet1!R641C12</stp>
        <tr r="L641" s="1"/>
      </tp>
      <tp t="s">
        <v>US912828B584</v>
        <stp/>
        <stp>##V3_BDPV12</stp>
        <stp>912828B5 Govt</stp>
        <stp>ID_ISIN</stp>
        <stp>[TREASURY.xlsx]Sheet1!R647C12</stp>
        <tr r="L647" s="1"/>
      </tp>
      <tp t="s">
        <v>US912828FU96</v>
        <stp/>
        <stp>##V3_BDPV12</stp>
        <stp>912828FU Govt</stp>
        <stp>ID_ISIN</stp>
        <stp>[TREASURY.xlsx]Sheet1!R614C12</stp>
        <tr r="L614" s="1"/>
      </tp>
      <tp t="s">
        <v>US912828AW08</v>
        <stp/>
        <stp>##V3_BDPV12</stp>
        <stp>912828AW Govt</stp>
        <stp>ID_ISIN</stp>
        <stp>[TREASURY.xlsx]Sheet1!R667C12</stp>
        <tr r="L667" s="1"/>
      </tp>
      <tp t="s">
        <v>US912828AL43</v>
        <stp/>
        <stp>##V3_BDPV12</stp>
        <stp>912828AL Govt</stp>
        <stp>ID_ISIN</stp>
        <stp>[TREASURY.xlsx]Sheet1!R666C12</stp>
        <tr r="L666" s="1"/>
      </tp>
      <tp t="s">
        <v>US912828BS86</v>
        <stp/>
        <stp>##V3_BDPV12</stp>
        <stp>912828BS Govt</stp>
        <stp>ID_ISIN</stp>
        <stp>[TREASURY.xlsx]Sheet1!R628C12</stp>
        <tr r="L628" s="1"/>
      </tp>
      <tp t="s">
        <v>US912828CU24</v>
        <stp/>
        <stp>##V3_BDPV12</stp>
        <stp>912828CU Govt</stp>
        <stp>ID_ISIN</stp>
        <stp>[TREASURY.xlsx]Sheet1!R636C12</stp>
        <tr r="L636" s="1"/>
      </tp>
      <tp t="s">
        <v>US912828GQ75</v>
        <stp/>
        <stp>##V3_BDPV12</stp>
        <stp>912828GQ Govt</stp>
        <stp>ID_ISIN</stp>
        <stp>[TREASURY.xlsx]Sheet1!R672C12</stp>
        <tr r="L672" s="1"/>
      </tp>
      <tp t="s">
        <v>US912828AV25</v>
        <stp/>
        <stp>##V3_BDPV12</stp>
        <stp>912828AV Govt</stp>
        <stp>ID_ISIN</stp>
        <stp>[TREASURY.xlsx]Sheet1!R602C12</stp>
        <tr r="L602" s="1"/>
      </tp>
      <tp t="s">
        <v>US912828EN62</v>
        <stp/>
        <stp>##V3_BDPV12</stp>
        <stp>912828EN Govt</stp>
        <stp>ID_ISIN</stp>
        <stp>[TREASURY.xlsx]Sheet1!R649C12</stp>
        <tr r="L649" s="1"/>
      </tp>
      <tp t="s">
        <v>US912828AT78</v>
        <stp/>
        <stp>##V3_BDPV12</stp>
        <stp>912828AT Govt</stp>
        <stp>ID_ISIN</stp>
        <stp>[TREASURY.xlsx]Sheet1!R635C12</stp>
        <tr r="L635" s="1"/>
      </tp>
      <tp t="s">
        <v>US912828J686</v>
        <stp/>
        <stp>##V3_BDPV12</stp>
        <stp>912828J6 Govt</stp>
        <stp>ID_ISIN</stp>
        <stp>[TREASURY.xlsx]Sheet1!R686C12</stp>
        <tr r="L686" s="1"/>
      </tp>
      <tp t="s">
        <v>US912828JY72</v>
        <stp/>
        <stp>##V3_BDPV12</stp>
        <stp>912828JY Govt</stp>
        <stp>ID_ISIN</stp>
        <stp>[TREASURY.xlsx]Sheet1!R691C12</stp>
        <tr r="L691" s="1"/>
      </tp>
      <tp t="s">
        <v>US912828CW89</v>
        <stp/>
        <stp>##V3_BDPV12</stp>
        <stp>912828CW Govt</stp>
        <stp>ID_ISIN</stp>
        <stp>[TREASURY.xlsx]Sheet1!R603C12</stp>
        <tr r="L603" s="1"/>
      </tp>
      <tp t="s">
        <v>US912828JJ06</v>
        <stp/>
        <stp>##V3_BDPV12</stp>
        <stp>912828JJ Govt</stp>
        <stp>ID_ISIN</stp>
        <stp>[TREASURY.xlsx]Sheet1!R690C12</stp>
        <tr r="L690" s="1"/>
      </tp>
      <tp t="s">
        <v>US912828FD71</v>
        <stp/>
        <stp>##V3_BDPV12</stp>
        <stp>912828FD Govt</stp>
        <stp>ID_ISIN</stp>
        <stp>[TREASURY.xlsx]Sheet1!R650C12</stp>
        <tr r="L650" s="1"/>
      </tp>
      <tp t="s">
        <v>US912828A347</v>
        <stp/>
        <stp>##V3_BDPV12</stp>
        <stp>912828A3 Govt</stp>
        <stp>ID_ISIN</stp>
        <stp>[TREASURY.xlsx]Sheet1!R627C12</stp>
        <tr r="L627" s="1"/>
      </tp>
      <tp t="s">
        <v>US912827YZ99</v>
        <stp/>
        <stp>##V3_BDPV12</stp>
        <stp>912827YZ Govt</stp>
        <stp>ID_ISIN</stp>
        <stp>[TREASURY.xlsx]Sheet1!R950C12</stp>
        <tr r="L950" s="1"/>
      </tp>
      <tp t="s">
        <v>US912828UV05</v>
        <stp/>
        <stp>##V3_BDPV12</stp>
        <stp>912828UV Govt</stp>
        <stp>ID_ISIN</stp>
        <stp>[TREASURY.xlsx]Sheet1!R693C12</stp>
        <tr r="L693" s="1"/>
      </tp>
      <tp t="s">
        <v>US912827YV85</v>
        <stp/>
        <stp>##V3_BDPV12</stp>
        <stp>912827YV Govt</stp>
        <stp>ID_ISIN</stp>
        <stp>[TREASURY.xlsx]Sheet1!R947C12</stp>
        <tr r="L947" s="1"/>
      </tp>
      <tp t="s">
        <v>US912827YX42</v>
        <stp/>
        <stp>##V3_BDPV12</stp>
        <stp>912827YX Govt</stp>
        <stp>ID_ISIN</stp>
        <stp>[TREASURY.xlsx]Sheet1!R948C12</stp>
        <tr r="L948" s="1"/>
      </tp>
      <tp t="s">
        <v>US912827YY25</v>
        <stp/>
        <stp>##V3_BDPV12</stp>
        <stp>912827YY Govt</stp>
        <stp>ID_ISIN</stp>
        <stp>[TREASURY.xlsx]Sheet1!R949C12</stp>
        <tr r="L949" s="1"/>
      </tp>
      <tp t="s">
        <v>US912827YS56</v>
        <stp/>
        <stp>##V3_BDPV12</stp>
        <stp>912827YS Govt</stp>
        <stp>ID_ISIN</stp>
        <stp>[TREASURY.xlsx]Sheet1!R946C12</stp>
        <tr r="L946" s="1"/>
      </tp>
      <tp t="s">
        <v>US912827YM86</v>
        <stp/>
        <stp>##V3_BDPV12</stp>
        <stp>912827YM Govt</stp>
        <stp>ID_ISIN</stp>
        <stp>[TREASURY.xlsx]Sheet1!R945C12</stp>
        <tr r="L945" s="1"/>
      </tp>
      <tp t="s">
        <v>US912827YA49</v>
        <stp/>
        <stp>##V3_BDPV12</stp>
        <stp>912827YA Govt</stp>
        <stp>ID_ISIN</stp>
        <stp>[TREASURY.xlsx]Sheet1!R942C12</stp>
        <tr r="L942" s="1"/>
      </tp>
      <tp t="s">
        <v>US912827YG19</v>
        <stp/>
        <stp>##V3_BDPV12</stp>
        <stp>912827YG Govt</stp>
        <stp>ID_ISIN</stp>
        <stp>[TREASURY.xlsx]Sheet1!R944C12</stp>
        <tr r="L944" s="1"/>
      </tp>
      <tp t="s">
        <v>US912827YE60</v>
        <stp/>
        <stp>##V3_BDPV12</stp>
        <stp>912827YE Govt</stp>
        <stp>ID_ISIN</stp>
        <stp>[TREASURY.xlsx]Sheet1!R943C12</stp>
        <tr r="L943" s="1"/>
      </tp>
      <tp t="s">
        <v>US912827Y893</v>
        <stp/>
        <stp>##V3_BDPV12</stp>
        <stp>912827Y8 Govt</stp>
        <stp>ID_ISIN</stp>
        <stp>[TREASURY.xlsx]Sheet1!R941C12</stp>
        <tr r="L941" s="1"/>
      </tp>
      <tp t="s">
        <v>US912827Y554</v>
        <stp/>
        <stp>##V3_BDPV12</stp>
        <stp>912827Y5 Govt</stp>
        <stp>ID_ISIN</stp>
        <stp>[TREASURY.xlsx]Sheet1!R940C12</stp>
        <tr r="L940" s="1"/>
      </tp>
      <tp t="s">
        <v>US912828VZ00</v>
        <stp/>
        <stp>##V3_BDPV12</stp>
        <stp>912828VZ Govt</stp>
        <stp>ID_ISIN</stp>
        <stp>[TREASURY.xlsx]Sheet1!R695C12</stp>
        <tr r="L695" s="1"/>
      </tp>
      <tp t="s">
        <v>US912827ZX33</v>
        <stp/>
        <stp>##V3_BDPV12</stp>
        <stp>912827ZX Govt</stp>
        <stp>ID_ISIN</stp>
        <stp>[TREASURY.xlsx]Sheet1!R956C12</stp>
        <tr r="L956" s="1"/>
      </tp>
      <tp t="s">
        <v>US912827ZP09</v>
        <stp/>
        <stp>##V3_BDPV12</stp>
        <stp>912827ZP Govt</stp>
        <stp>ID_ISIN</stp>
        <stp>[TREASURY.xlsx]Sheet1!R953C12</stp>
        <tr r="L953" s="1"/>
      </tp>
      <tp t="s">
        <v>US912827ZU93</v>
        <stp/>
        <stp>##V3_BDPV12</stp>
        <stp>912827ZU Govt</stp>
        <stp>ID_ISIN</stp>
        <stp>[TREASURY.xlsx]Sheet1!R955C12</stp>
        <tr r="L955" s="1"/>
      </tp>
      <tp t="s">
        <v>US912827ZS48</v>
        <stp/>
        <stp>##V3_BDPV12</stp>
        <stp>912827ZS Govt</stp>
        <stp>ID_ISIN</stp>
        <stp>[TREASURY.xlsx]Sheet1!R954C12</stp>
        <tr r="L954" s="1"/>
      </tp>
      <tp t="s">
        <v>US912827ZK12</v>
        <stp/>
        <stp>##V3_BDPV12</stp>
        <stp>912827ZK Govt</stp>
        <stp>ID_ISIN</stp>
        <stp>[TREASURY.xlsx]Sheet1!R952C12</stp>
        <tr r="L952" s="1"/>
      </tp>
      <tp t="s">
        <v>US912828VF46</v>
        <stp/>
        <stp>##V3_BDPV12</stp>
        <stp>912828VF Govt</stp>
        <stp>ID_ISIN</stp>
        <stp>[TREASURY.xlsx]Sheet1!R694C12</stp>
        <tr r="L694" s="1"/>
      </tp>
      <tp t="s">
        <v>US912828WD88</v>
        <stp/>
        <stp>##V3_BDPV12</stp>
        <stp>912828WD Govt</stp>
        <stp>ID_ISIN</stp>
        <stp>[TREASURY.xlsx]Sheet1!R682C12</stp>
        <tr r="L682" s="1"/>
      </tp>
      <tp t="s">
        <v>US912828WF37</v>
        <stp/>
        <stp>##V3_BDPV12</stp>
        <stp>912828WF Govt</stp>
        <stp>ID_ISIN</stp>
        <stp>[TREASURY.xlsx]Sheet1!R680C12</stp>
        <tr r="L680" s="1"/>
      </tp>
      <tp t="s">
        <v>US912827Z213</v>
        <stp/>
        <stp>##V3_BDPV12</stp>
        <stp>912827Z2 Govt</stp>
        <stp>ID_ISIN</stp>
        <stp>[TREASURY.xlsx]Sheet1!R951C12</stp>
        <tr r="L951" s="1"/>
      </tp>
      <tp t="s">
        <v>US912828W309</v>
        <stp/>
        <stp>##V3_BDPV12</stp>
        <stp>912828W3 Govt</stp>
        <stp>ID_ISIN</stp>
        <stp>[TREASURY.xlsx]Sheet1!R681C12</stp>
        <tr r="L681" s="1"/>
      </tp>
      <tp t="s">
        <v>US912828RV42</v>
        <stp/>
        <stp>##V3_BDPV12</stp>
        <stp>912828RV Govt</stp>
        <stp>ID_ISIN</stp>
        <stp>[TREASURY.xlsx]Sheet1!R687C12</stp>
        <tr r="L687" s="1"/>
      </tp>
      <tp t="s">
        <v>US912828XK13</v>
        <stp/>
        <stp>##V3_BDPV12</stp>
        <stp>912828XK Govt</stp>
        <stp>ID_ISIN</stp>
        <stp>[TREASURY.xlsx]Sheet1!R625C12</stp>
        <tr r="L625" s="1"/>
      </tp>
      <tp t="s">
        <v>US912828R853</v>
        <stp/>
        <stp>##V3_BDPV12</stp>
        <stp>912828R8 Govt</stp>
        <stp>ID_ISIN</stp>
        <stp>[TREASURY.xlsx]Sheet1!R689C12</stp>
        <tr r="L689" s="1"/>
      </tp>
      <tp t="s">
        <v>US912828X216</v>
        <stp/>
        <stp>##V3_BDPV12</stp>
        <stp>912828X2 Govt</stp>
        <stp>ID_ISIN</stp>
        <stp>[TREASURY.xlsx]Sheet1!R624C12</stp>
        <tr r="L624" s="1"/>
      </tp>
      <tp t="s">
        <v>US912828S687</v>
        <stp/>
        <stp>##V3_BDPV12</stp>
        <stp>912828S6 Govt</stp>
        <stp>ID_ISIN</stp>
        <stp>[TREASURY.xlsx]Sheet1!R692C12</stp>
        <tr r="L692" s="1"/>
      </tp>
      <tp t="s">
        <v>US912827XS65</v>
        <stp/>
        <stp>##V3_BDPV12</stp>
        <stp>912827XS Govt</stp>
        <stp>ID_ISIN</stp>
        <stp>[TREASURY.xlsx]Sheet1!R938C12</stp>
        <tr r="L938" s="1"/>
      </tp>
      <tp t="s">
        <v>US912828XU94</v>
        <stp/>
        <stp>##V3_BDPV12</stp>
        <stp>912828XU Govt</stp>
        <stp>ID_ISIN</stp>
        <stp>[TREASURY.xlsx]Sheet1!R639C12</stp>
        <tr r="L639" s="1"/>
      </tp>
      <tp t="s">
        <v>US912827XX50</v>
        <stp/>
        <stp>##V3_BDPV12</stp>
        <stp>912827XX Govt</stp>
        <stp>ID_ISIN</stp>
        <stp>[TREASURY.xlsx]Sheet1!R939C12</stp>
        <tr r="L939" s="1"/>
      </tp>
      <tp t="s">
        <v>US912827XP27</v>
        <stp/>
        <stp>##V3_BDPV12</stp>
        <stp>912827XP Govt</stp>
        <stp>ID_ISIN</stp>
        <stp>[TREASURY.xlsx]Sheet1!R937C12</stp>
        <tr r="L937" s="1"/>
      </tp>
      <tp t="s">
        <v>US912827XJ66</v>
        <stp/>
        <stp>##V3_BDPV12</stp>
        <stp>912827XJ Govt</stp>
        <stp>ID_ISIN</stp>
        <stp>[TREASURY.xlsx]Sheet1!R936C12</stp>
        <tr r="L936" s="1"/>
      </tp>
      <tp t="s">
        <v>US912827XD96</v>
        <stp/>
        <stp>##V3_BDPV12</stp>
        <stp>912827XD Govt</stp>
        <stp>ID_ISIN</stp>
        <stp>[TREASURY.xlsx]Sheet1!R935C12</stp>
        <tr r="L935" s="1"/>
      </tp>
      <tp t="s">
        <v>US912827X564</v>
        <stp/>
        <stp>##V3_BDPV12</stp>
        <stp>912827X5 Govt</stp>
        <stp>ID_ISIN</stp>
        <stp>[TREASURY.xlsx]Sheet1!R934C12</stp>
        <tr r="L934" s="1"/>
      </tp>
      <tp t="s">
        <v>US912827VX78</v>
        <stp/>
        <stp>##V3_BDPV12</stp>
        <stp>912827VX Govt</stp>
        <stp>ID_ISIN</stp>
        <stp>[TREASURY.xlsx]Sheet1!R927C12</stp>
        <tr r="L927" s="1"/>
      </tp>
      <tp t="s">
        <v>US912827WR91</v>
        <stp/>
        <stp>##V3_BDPV12</stp>
        <stp>912827WR Govt</stp>
        <stp>ID_ISIN</stp>
        <stp>[TREASURY.xlsx]Sheet1!R933C12</stp>
        <tr r="L933" s="1"/>
      </tp>
      <tp t="s">
        <v>US912827VV13</v>
        <stp/>
        <stp>##V3_BDPV12</stp>
        <stp>912827VV Govt</stp>
        <stp>ID_ISIN</stp>
        <stp>[TREASURY.xlsx]Sheet1!R926C12</stp>
        <tr r="L926" s="1"/>
      </tp>
      <tp t="s">
        <v>US912827VN96</v>
        <stp/>
        <stp>##V3_BDPV12</stp>
        <stp>912827VN Govt</stp>
        <stp>ID_ISIN</stp>
        <stp>[TREASURY.xlsx]Sheet1!R925C12</stp>
        <tr r="L925" s="1"/>
      </tp>
      <tp t="s">
        <v>US912827WK49</v>
        <stp/>
        <stp>##V3_BDPV12</stp>
        <stp>912827WK Govt</stp>
        <stp>ID_ISIN</stp>
        <stp>[TREASURY.xlsx]Sheet1!R932C12</stp>
        <tr r="L932" s="1"/>
      </tp>
      <tp t="s">
        <v>US912828SN17</v>
        <stp/>
        <stp>##V3_BDPV12</stp>
        <stp>912828SN Govt</stp>
        <stp>ID_ISIN</stp>
        <stp>[TREASURY.xlsx]Sheet1!R670C12</stp>
        <tr r="L670" s="1"/>
      </tp>
      <tp t="s">
        <v>US912827VH29</v>
        <stp/>
        <stp>##V3_BDPV12</stp>
        <stp>912827VH Govt</stp>
        <stp>ID_ISIN</stp>
        <stp>[TREASURY.xlsx]Sheet1!R924C12</stp>
        <tr r="L924" s="1"/>
      </tp>
      <tp t="s">
        <v>US912827WB40</v>
        <stp/>
        <stp>##V3_BDPV12</stp>
        <stp>912827WB Govt</stp>
        <stp>ID_ISIN</stp>
        <stp>[TREASURY.xlsx]Sheet1!R931C12</stp>
        <tr r="L931" s="1"/>
      </tp>
      <tp t="s">
        <v>US912827V907</v>
        <stp/>
        <stp>##V3_BDPV12</stp>
        <stp>912827V9 Govt</stp>
        <stp>ID_ISIN</stp>
        <stp>[TREASURY.xlsx]Sheet1!R923C12</stp>
        <tr r="L923" s="1"/>
      </tp>
      <tp t="s">
        <v>US912827W814</v>
        <stp/>
        <stp>##V3_BDPV12</stp>
        <stp>912827W8 Govt</stp>
        <stp>ID_ISIN</stp>
        <stp>[TREASURY.xlsx]Sheet1!R930C12</stp>
        <tr r="L930" s="1"/>
      </tp>
      <tp t="s">
        <v>US912828QW34</v>
        <stp/>
        <stp>##V3_BDPV12</stp>
        <stp>912828QW Govt</stp>
        <stp>ID_ISIN</stp>
        <stp>[TREASURY.xlsx]Sheet1!R646C12</stp>
        <tr r="L646" s="1"/>
      </tp>
      <tp t="s">
        <v>US912828PV69</v>
        <stp/>
        <stp>##V3_BDPV12</stp>
        <stp>912828PV Govt</stp>
        <stp>ID_ISIN</stp>
        <stp>[TREASURY.xlsx]Sheet1!R652C12</stp>
        <tr r="L652" s="1"/>
      </tp>
      <tp t="s">
        <v>US912828VH02</v>
        <stp/>
        <stp>##V3_BDPV12</stp>
        <stp>912828VH Govt</stp>
        <stp>ID_ISIN</stp>
        <stp>[TREASURY.xlsx]Sheet1!R632C12</stp>
        <tr r="L632" s="1"/>
      </tp>
      <tp t="s">
        <v>US912828VA58</v>
        <stp/>
        <stp>##V3_BDPV12</stp>
        <stp>912828VA Govt</stp>
        <stp>ID_ISIN</stp>
        <stp>[TREASURY.xlsx]Sheet1!R638C12</stp>
        <tr r="L638" s="1"/>
      </tp>
      <tp t="s">
        <v>US912828RA05</v>
        <stp/>
        <stp>##V3_BDPV12</stp>
        <stp>912828RA Govt</stp>
        <stp>ID_ISIN</stp>
        <stp>[TREASURY.xlsx]Sheet1!R677C12</stp>
        <tr r="L677" s="1"/>
      </tp>
      <tp t="s">
        <v>US912827W327</v>
        <stp/>
        <stp>##V3_BDPV12</stp>
        <stp>912827W3 Govt</stp>
        <stp>ID_ISIN</stp>
        <stp>[TREASURY.xlsx]Sheet1!R928C12</stp>
        <tr r="L928" s="1"/>
      </tp>
      <tp t="s">
        <v>US912827W400</v>
        <stp/>
        <stp>##V3_BDPV12</stp>
        <stp>912827W4 Govt</stp>
        <stp>ID_ISIN</stp>
        <stp>[TREASURY.xlsx]Sheet1!R929C12</stp>
        <tr r="L929" s="1"/>
      </tp>
      <tp t="s">
        <v>US912827T513</v>
        <stp/>
        <stp>##V3_BDPV12</stp>
        <stp>912827T5 Govt</stp>
        <stp>ID_ISIN</stp>
        <stp>[TREASURY.xlsx]Sheet1!R919C12</stp>
        <tr r="L919" s="1"/>
      </tp>
      <tp t="s">
        <v>US912827TZ54</v>
        <stp/>
        <stp>##V3_BDPV12</stp>
        <stp>912827TZ Govt</stp>
        <stp>ID_ISIN</stp>
        <stp>[TREASURY.xlsx]Sheet1!R920C12</stp>
        <tr r="L920" s="1"/>
      </tp>
      <tp t="s">
        <v>US912828SW16</v>
        <stp/>
        <stp>##V3_BDPV12</stp>
        <stp>912828SW Govt</stp>
        <stp>ID_ISIN</stp>
        <stp>[TREASURY.xlsx]Sheet1!R653C12</stp>
        <tr r="L653" s="1"/>
      </tp>
      <tp t="s">
        <v>US912827UV22</v>
        <stp/>
        <stp>##V3_BDPV12</stp>
        <stp>912827UV Govt</stp>
        <stp>ID_ISIN</stp>
        <stp>[TREASURY.xlsx]Sheet1!R922C12</stp>
        <tr r="L922" s="1"/>
      </tp>
      <tp t="s">
        <v>US912828TB69</v>
        <stp/>
        <stp>##V3_BDPV12</stp>
        <stp>912828TB Govt</stp>
        <stp>ID_ISIN</stp>
        <stp>[TREASURY.xlsx]Sheet1!R637C12</stp>
        <tr r="L637" s="1"/>
      </tp>
      <tp t="s">
        <v>US912827U347</v>
        <stp/>
        <stp>##V3_BDPV12</stp>
        <stp>912827U3 Govt</stp>
        <stp>ID_ISIN</stp>
        <stp>[TREASURY.xlsx]Sheet1!R921C12</stp>
        <tr r="L921" s="1"/>
      </tp>
      <tp t="s">
        <v>US912828T594</v>
        <stp/>
        <stp>##V3_BDPV12</stp>
        <stp>912828T5 Govt</stp>
        <stp>ID_ISIN</stp>
        <stp>[TREASURY.xlsx]Sheet1!R631C12</stp>
        <tr r="L631" s="1"/>
      </tp>
      <tp t="s">
        <v>US912827PP19</v>
        <stp/>
        <stp>##V3_BDPV12</stp>
        <stp>912827PP Govt</stp>
        <stp>ID_ISIN</stp>
        <stp>[TREASURY.xlsx]Sheet1!R904C12</stp>
        <tr r="L904" s="1"/>
      </tp>
      <tp t="s">
        <v>US912827PN60</v>
        <stp/>
        <stp>##V3_BDPV12</stp>
        <stp>912827PN Govt</stp>
        <stp>ID_ISIN</stp>
        <stp>[TREASURY.xlsx]Sheet1!R903C12</stp>
        <tr r="L903" s="1"/>
      </tp>
      <tp t="s">
        <v>US912828W226</v>
        <stp/>
        <stp>##V3_BDPV12</stp>
        <stp>912828W2 Govt</stp>
        <stp>ID_ISIN</stp>
        <stp>[TREASURY.xlsx]Sheet1!R679C12</stp>
        <tr r="L679" s="1"/>
      </tp>
      <tp t="s">
        <v>US912827QR65</v>
        <stp/>
        <stp>##V3_BDPV12</stp>
        <stp>912827QR Govt</stp>
        <stp>ID_ISIN</stp>
        <stp>[TREASURY.xlsx]Sheet1!R908C12</stp>
        <tr r="L908" s="1"/>
      </tp>
      <tp t="s">
        <v>US912827QJ40</v>
        <stp/>
        <stp>##V3_BDPV12</stp>
        <stp>912827QJ Govt</stp>
        <stp>ID_ISIN</stp>
        <stp>[TREASURY.xlsx]Sheet1!R907C12</stp>
        <tr r="L907" s="1"/>
      </tp>
      <tp t="s">
        <v>US912828TG56</v>
        <stp/>
        <stp>##V3_BDPV12</stp>
        <stp>912828TG Govt</stp>
        <stp>ID_ISIN</stp>
        <stp>[TREASURY.xlsx]Sheet1!R654C12</stp>
        <tr r="L654" s="1"/>
      </tp>
      <tp t="s">
        <v>US912827QG01</v>
        <stp/>
        <stp>##V3_BDPV12</stp>
        <stp>912827QG Govt</stp>
        <stp>ID_ISIN</stp>
        <stp>[TREASURY.xlsx]Sheet1!R906C12</stp>
        <tr r="L906" s="1"/>
      </tp>
      <tp t="s">
        <v>US912828SD35</v>
        <stp/>
        <stp>##V3_BDPV12</stp>
        <stp>912828SD Govt</stp>
        <stp>ID_ISIN</stp>
        <stp>[TREASURY.xlsx]Sheet1!R623C12</stp>
        <tr r="L623" s="1"/>
      </tp>
      <tp t="s">
        <v>US912828VE70</v>
        <stp/>
        <stp>##V3_BDPV12</stp>
        <stp>912828VE Govt</stp>
        <stp>ID_ISIN</stp>
        <stp>[TREASURY.xlsx]Sheet1!R673C12</stp>
        <tr r="L673" s="1"/>
      </tp>
      <tp t="s">
        <v>US912827Q543</v>
        <stp/>
        <stp>##V3_BDPV12</stp>
        <stp>912827Q5 Govt</stp>
        <stp>ID_ISIN</stp>
        <stp>[TREASURY.xlsx]Sheet1!R905C12</stp>
        <tr r="L905" s="1"/>
      </tp>
      <tp t="s">
        <v>US912827SV59</v>
        <stp/>
        <stp>##V3_BDPV12</stp>
        <stp>912827SV Govt</stp>
        <stp>ID_ISIN</stp>
        <stp>[TREASURY.xlsx]Sheet1!R918C12</stp>
        <tr r="L918" s="1"/>
      </tp>
      <tp t="s">
        <v>US912827SL77</v>
        <stp/>
        <stp>##V3_BDPV12</stp>
        <stp>912827SL Govt</stp>
        <stp>ID_ISIN</stp>
        <stp>[TREASURY.xlsx]Sheet1!R917C12</stp>
        <tr r="L917" s="1"/>
      </tp>
      <tp t="s">
        <v>US912828SE18</v>
        <stp/>
        <stp>##V3_BDPV12</stp>
        <stp>912828SE Govt</stp>
        <stp>ID_ISIN</stp>
        <stp>[TREASURY.xlsx]Sheet1!R618C12</stp>
        <tr r="L618" s="1"/>
      </tp>
      <tp t="s">
        <v>US912827SD51</v>
        <stp/>
        <stp>##V3_BDPV12</stp>
        <stp>912827SD Govt</stp>
        <stp>ID_ISIN</stp>
        <stp>[TREASURY.xlsx]Sheet1!R916C12</stp>
        <tr r="L916" s="1"/>
      </tp>
      <tp t="s">
        <v>US912828UF54</v>
        <stp/>
        <stp>##V3_BDPV12</stp>
        <stp>912828UF Govt</stp>
        <stp>ID_ISIN</stp>
        <stp>[TREASURY.xlsx]Sheet1!R671C12</stp>
        <tr r="L671" s="1"/>
      </tp>
      <tp t="s">
        <v>US912827R871</v>
        <stp/>
        <stp>##V3_BDPV12</stp>
        <stp>912827R8 Govt</stp>
        <stp>ID_ISIN</stp>
        <stp>[TREASURY.xlsx]Sheet1!R909C12</stp>
        <tr r="L909" s="1"/>
      </tp>
      <tp t="s">
        <v>US912828U998</v>
        <stp/>
        <stp>##V3_BDPV12</stp>
        <stp>912828U9 Govt</stp>
        <stp>ID_ISIN</stp>
        <stp>[TREASURY.xlsx]Sheet1!R678C12</stp>
        <tr r="L678" s="1"/>
      </tp>
      <tp t="s">
        <v>US912827RX25</v>
        <stp/>
        <stp>##V3_BDPV12</stp>
        <stp>912827RX Govt</stp>
        <stp>ID_ISIN</stp>
        <stp>[TREASURY.xlsx]Sheet1!R915C12</stp>
        <tr r="L915" s="1"/>
      </tp>
      <tp t="s">
        <v>US912827RP90</v>
        <stp/>
        <stp>##V3_BDPV12</stp>
        <stp>912827RP Govt</stp>
        <stp>ID_ISIN</stp>
        <stp>[TREASURY.xlsx]Sheet1!R912C12</stp>
        <tr r="L912" s="1"/>
      </tp>
      <tp t="s">
        <v>US912827RU85</v>
        <stp/>
        <stp>##V3_BDPV12</stp>
        <stp>912827RU Govt</stp>
        <stp>ID_ISIN</stp>
        <stp>[TREASURY.xlsx]Sheet1!R914C12</stp>
        <tr r="L914" s="1"/>
      </tp>
      <tp t="s">
        <v>US912827RS30</v>
        <stp/>
        <stp>##V3_BDPV12</stp>
        <stp>912827RS Govt</stp>
        <stp>ID_ISIN</stp>
        <stp>[TREASURY.xlsx]Sheet1!R913C12</stp>
        <tr r="L913" s="1"/>
      </tp>
      <tp t="s">
        <v>US912827RK04</v>
        <stp/>
        <stp>##V3_BDPV12</stp>
        <stp>912827RK Govt</stp>
        <stp>ID_ISIN</stp>
        <stp>[TREASURY.xlsx]Sheet1!R911C12</stp>
        <tr r="L911" s="1"/>
      </tp>
      <tp t="s">
        <v>US912828PJ32</v>
        <stp/>
        <stp>##V3_BDPV12</stp>
        <stp>912828PJ Govt</stp>
        <stp>ID_ISIN</stp>
        <stp>[TREASURY.xlsx]Sheet1!R630C12</stp>
        <tr r="L630" s="1"/>
      </tp>
      <tp t="s">
        <v>US912827RD60</v>
        <stp/>
        <stp>##V3_BDPV12</stp>
        <stp>912827RD Govt</stp>
        <stp>ID_ISIN</stp>
        <stp>[TREASURY.xlsx]Sheet1!R910C12</stp>
        <tr r="L910" s="1"/>
      </tp>
      <tp t="s">
        <v>US912828V566</v>
        <stp/>
        <stp>##V3_BDPV12</stp>
        <stp>912828V5 Govt</stp>
        <stp>ID_ISIN</stp>
        <stp>[TREASURY.xlsx]Sheet1!R655C12</stp>
        <tr r="L655" s="1"/>
      </tp>
      <tp t="s">
        <v>US9128283H15</v>
        <stp/>
        <stp>##V3_BDPV12</stp>
        <stp>9128283H Govt</stp>
        <stp>ID_ISIN</stp>
        <stp>[TREASURY.xlsx]Sheet1!R784C12</stp>
        <tr r="L784" s="1"/>
      </tp>
      <tp t="s">
        <v>US912828EL07</v>
        <stp/>
        <stp>##V3_BDPV12</stp>
        <stp>912828EL Govt</stp>
        <stp>ID_ISIN</stp>
        <stp>[TREASURY.xlsx]Sheet1!R797C12</stp>
        <tr r="L797" s="1"/>
      </tp>
      <tp t="s">
        <v>US912828EK24</v>
        <stp/>
        <stp>##V3_BDPV12</stp>
        <stp>912828EK Govt</stp>
        <stp>ID_ISIN</stp>
        <stp>[TREASURY.xlsx]Sheet1!R796C12</stp>
        <tr r="L796" s="1"/>
      </tp>
      <tp t="s">
        <v>US912828EE63</v>
        <stp/>
        <stp>##V3_BDPV12</stp>
        <stp>912828EE Govt</stp>
        <stp>ID_ISIN</stp>
        <stp>[TREASURY.xlsx]Sheet1!R795C12</stp>
        <tr r="L795" s="1"/>
      </tp>
      <tp t="s">
        <v>US912828EC08</v>
        <stp/>
        <stp>##V3_BDPV12</stp>
        <stp>912828EC Govt</stp>
        <stp>ID_ISIN</stp>
        <stp>[TREASURY.xlsx]Sheet1!R794C12</stp>
        <tr r="L794" s="1"/>
      </tp>
      <tp t="s">
        <v>US912828DR85</v>
        <stp/>
        <stp>##V3_BDPV12</stp>
        <stp>912828DR Govt</stp>
        <stp>ID_ISIN</stp>
        <stp>[TREASURY.xlsx]Sheet1!R792C12</stp>
        <tr r="L792" s="1"/>
      </tp>
      <tp t="s">
        <v>US912828DW70</v>
        <stp/>
        <stp>##V3_BDPV12</stp>
        <stp>912828DW Govt</stp>
        <stp>ID_ISIN</stp>
        <stp>[TREASURY.xlsx]Sheet1!R793C12</stp>
        <tr r="L793" s="1"/>
      </tp>
      <tp t="s">
        <v>US912828DD99</v>
        <stp/>
        <stp>##V3_BDPV12</stp>
        <stp>912828DD Govt</stp>
        <stp>ID_ISIN</stp>
        <stp>[TREASURY.xlsx]Sheet1!R791C12</stp>
        <tr r="L791" s="1"/>
      </tp>
      <tp t="s">
        <v>US912828FC98</v>
        <stp/>
        <stp>##V3_BDPV12</stp>
        <stp>912828FC Govt</stp>
        <stp>ID_ISIN</stp>
        <stp>[TREASURY.xlsx]Sheet1!R798C12</stp>
        <tr r="L798" s="1"/>
      </tp>
      <tp t="s">
        <v>US912828FJ42</v>
        <stp/>
        <stp>##V3_BDPV12</stp>
        <stp>912828FJ Govt</stp>
        <stp>ID_ISIN</stp>
        <stp>[TREASURY.xlsx]Sheet1!R799C12</stp>
        <tr r="L799" s="1"/>
      </tp>
      <tp t="s">
        <v>US912828AS95</v>
        <stp/>
        <stp>##V3_BDPV12</stp>
        <stp>912828AS Govt</stp>
        <stp>ID_ISIN</stp>
        <stp>[TREASURY.xlsx]Sheet1!R785C12</stp>
        <tr r="L785" s="1"/>
      </tp>
      <tp t="s">
        <v>US912828BT69</v>
        <stp/>
        <stp>##V3_BDPV12</stp>
        <stp>912828BT Govt</stp>
        <stp>ID_ISIN</stp>
        <stp>[TREASURY.xlsx]Sheet1!R787C12</stp>
        <tr r="L787" s="1"/>
      </tp>
      <tp t="s">
        <v>US912828CK42</v>
        <stp/>
        <stp>##V3_BDPV12</stp>
        <stp>912828CK Govt</stp>
        <stp>ID_ISIN</stp>
        <stp>[TREASURY.xlsx]Sheet1!R790C12</stp>
        <tr r="L790" s="1"/>
      </tp>
      <tp t="s">
        <v>US912828BK50</v>
        <stp/>
        <stp>##V3_BDPV12</stp>
        <stp>912828BK Govt</stp>
        <stp>ID_ISIN</stp>
        <stp>[TREASURY.xlsx]Sheet1!R786C12</stp>
        <tr r="L786" s="1"/>
      </tp>
      <tp t="s">
        <v>US912828CG30</v>
        <stp/>
        <stp>##V3_BDPV12</stp>
        <stp>912828CG Govt</stp>
        <stp>ID_ISIN</stp>
        <stp>[TREASURY.xlsx]Sheet1!R789C12</stp>
        <tr r="L789" s="1"/>
      </tp>
      <tp t="s">
        <v>US912828C814</v>
        <stp/>
        <stp>##V3_BDPV12</stp>
        <stp>912828C8 Govt</stp>
        <stp>ID_ISIN</stp>
        <stp>[TREASURY.xlsx]Sheet1!R788C12</stp>
        <tr r="L788" s="1"/>
      </tp>
      <tp t="s">
        <v>US912827MP46</v>
        <stp/>
        <stp>##V3_BDPV12</stp>
        <stp>912827MP Govt</stp>
        <stp>ID_ISIN</stp>
        <stp>[TREASURY.xlsx]Sheet1!R899C12</stp>
        <tr r="L899" s="1"/>
      </tp>
      <tp t="s">
        <v>US912827LC42</v>
        <stp/>
        <stp>##V3_BDPV12</stp>
        <stp>912827LC Govt</stp>
        <stp>ID_ISIN</stp>
        <stp>[TREASURY.xlsx]Sheet1!R888C12</stp>
        <tr r="L888" s="1"/>
      </tp>
      <tp t="s">
        <v>US912827MJ85</v>
        <stp/>
        <stp>##V3_BDPV12</stp>
        <stp>912827MJ Govt</stp>
        <stp>ID_ISIN</stp>
        <stp>[TREASURY.xlsx]Sheet1!R897C12</stp>
        <tr r="L897" s="1"/>
      </tp>
      <tp t="s">
        <v>US912827LE08</v>
        <stp/>
        <stp>##V3_BDPV12</stp>
        <stp>912827LE Govt</stp>
        <stp>ID_ISIN</stp>
        <stp>[TREASURY.xlsx]Sheet1!R889C12</stp>
        <tr r="L889" s="1"/>
      </tp>
      <tp t="s">
        <v>US912827MK58</v>
        <stp/>
        <stp>##V3_BDPV12</stp>
        <stp>912827MK Govt</stp>
        <stp>ID_ISIN</stp>
        <stp>[TREASURY.xlsx]Sheet1!R898C12</stp>
        <tr r="L898" s="1"/>
      </tp>
      <tp t="s">
        <v>US912827MG47</v>
        <stp/>
        <stp>##V3_BDPV12</stp>
        <stp>912827MG Govt</stp>
        <stp>ID_ISIN</stp>
        <stp>[TREASURY.xlsx]Sheet1!R896C12</stp>
        <tr r="L896" s="1"/>
      </tp>
      <tp t="s">
        <v>US912827ME98</v>
        <stp/>
        <stp>##V3_BDPV12</stp>
        <stp>912827ME Govt</stp>
        <stp>ID_ISIN</stp>
        <stp>[TREASURY.xlsx]Sheet1!R895C12</stp>
        <tr r="L895" s="1"/>
      </tp>
      <tp t="s">
        <v>US912827LA85</v>
        <stp/>
        <stp>##V3_BDPV12</stp>
        <stp>912827LA Govt</stp>
        <stp>ID_ISIN</stp>
        <stp>[TREASURY.xlsx]Sheet1!R887C12</stp>
        <tr r="L887" s="1"/>
      </tp>
      <tp t="s">
        <v>US912827L593</v>
        <stp/>
        <stp>##V3_BDPV12</stp>
        <stp>912827L5 Govt</stp>
        <stp>ID_ISIN</stp>
        <stp>[TREASURY.xlsx]Sheet1!R886C12</stp>
        <tr r="L886" s="1"/>
      </tp>
      <tp t="s">
        <v>US912827LX88</v>
        <stp/>
        <stp>##V3_BDPV12</stp>
        <stp>912827LX Govt</stp>
        <stp>ID_ISIN</stp>
        <stp>[TREASURY.xlsx]Sheet1!R893C12</stp>
        <tr r="L893" s="1"/>
      </tp>
      <tp t="s">
        <v>US912827LY61</v>
        <stp/>
        <stp>##V3_BDPV12</stp>
        <stp>912827LY Govt</stp>
        <stp>ID_ISIN</stp>
        <stp>[TREASURY.xlsx]Sheet1!R894C12</stp>
        <tr r="L894" s="1"/>
      </tp>
      <tp t="s">
        <v>US912827LU40</v>
        <stp/>
        <stp>##V3_BDPV12</stp>
        <stp>912827LU Govt</stp>
        <stp>ID_ISIN</stp>
        <stp>[TREASURY.xlsx]Sheet1!R892C12</stp>
        <tr r="L892" s="1"/>
      </tp>
      <tp t="s">
        <v>US912827LJ94</v>
        <stp/>
        <stp>##V3_BDPV12</stp>
        <stp>912827LJ Govt</stp>
        <stp>ID_ISIN</stp>
        <stp>[TREASURY.xlsx]Sheet1!R890C12</stp>
        <tr r="L890" s="1"/>
      </tp>
      <tp t="s">
        <v>US912827LL41</v>
        <stp/>
        <stp>##V3_BDPV12</stp>
        <stp>912827LL Govt</stp>
        <stp>ID_ISIN</stp>
        <stp>[TREASURY.xlsx]Sheet1!R891C12</stp>
        <tr r="L891" s="1"/>
      </tp>
      <tp t="s">
        <v>US912827KP63</v>
        <stp/>
        <stp>##V3_BDPV12</stp>
        <stp>912827KP Govt</stp>
        <stp>ID_ISIN</stp>
        <stp>[TREASURY.xlsx]Sheet1!R885C12</stp>
        <tr r="L885" s="1"/>
      </tp>
      <tp t="s">
        <v>US912827KJ04</v>
        <stp/>
        <stp>##V3_BDPV12</stp>
        <stp>912827KJ Govt</stp>
        <stp>ID_ISIN</stp>
        <stp>[TREASURY.xlsx]Sheet1!R884C12</stp>
        <tr r="L884" s="1"/>
      </tp>
      <tp t="s">
        <v>US912827UA84</v>
        <stp/>
        <stp>##V3_BDPV12</stp>
        <stp>912827UA Govt</stp>
        <stp>ID_ISIN</stp>
        <stp>[TREASURY.xlsx]Sheet1!R836C12</stp>
        <tr r="L836" s="1"/>
      </tp>
      <tp t="s">
        <v>US912827U263</v>
        <stp/>
        <stp>##V3_BDPV12</stp>
        <stp>912827U2 Govt</stp>
        <stp>ID_ISIN</stp>
        <stp>[TREASURY.xlsx]Sheet1!R835C12</stp>
        <tr r="L835" s="1"/>
      </tp>
      <tp t="s">
        <v>US912827TA04</v>
        <stp/>
        <stp>##V3_BDPV12</stp>
        <stp>912827TA Govt</stp>
        <stp>ID_ISIN</stp>
        <stp>[TREASURY.xlsx]Sheet1!R834C12</stp>
        <tr r="L834" s="1"/>
      </tp>
      <tp t="s">
        <v>US912827T281</v>
        <stp/>
        <stp>##V3_BDPV12</stp>
        <stp>912827T2 Govt</stp>
        <stp>ID_ISIN</stp>
        <stp>[TREASURY.xlsx]Sheet1!R833C12</stp>
        <tr r="L833" s="1"/>
      </tp>
      <tp t="s">
        <v>US912827RR56</v>
        <stp/>
        <stp>##V3_BDPV12</stp>
        <stp>912827RR Govt</stp>
        <stp>ID_ISIN</stp>
        <stp>[TREASURY.xlsx]Sheet1!R829C12</stp>
        <tr r="L829" s="1"/>
      </tp>
      <tp t="s">
        <v>US912827SU76</v>
        <stp/>
        <stp>##V3_BDPV12</stp>
        <stp>912827SU Govt</stp>
        <stp>ID_ISIN</stp>
        <stp>[TREASURY.xlsx]Sheet1!R832C12</stp>
        <tr r="L832" s="1"/>
      </tp>
      <tp t="s">
        <v>US912827S523</v>
        <stp/>
        <stp>##V3_BDPV12</stp>
        <stp>912827S5 Govt</stp>
        <stp>ID_ISIN</stp>
        <stp>[TREASURY.xlsx]Sheet1!R831C12</stp>
        <tr r="L831" s="1"/>
      </tp>
      <tp t="s">
        <v>US912827RW42</v>
        <stp/>
        <stp>##V3_BDPV12</stp>
        <stp>912827RW Govt</stp>
        <stp>ID_ISIN</stp>
        <stp>[TREASURY.xlsx]Sheet1!R830C12</stp>
        <tr r="L830" s="1"/>
      </tp>
      <tp t="s">
        <v>T 5 1/8 06/30/08</v>
        <stp/>
        <stp>##V3_BDPV12</stp>
        <stp>912828FJ Govt</stp>
        <stp>SECURITY_NAME</stp>
        <stp>[TREASURY.xlsx]Sheet1!R799C16</stp>
        <tr r="P799" s="1"/>
      </tp>
      <tp t="s">
        <v>US9128285L09</v>
        <stp/>
        <stp>##V3_BDPV12</stp>
        <stp>9128285L Govt</stp>
        <stp>ID_ISIN</stp>
        <stp>[TREASURY.xlsx]Sheet1!R193C12</stp>
        <tr r="L193" s="1"/>
      </tp>
      <tp t="s">
        <v>US9128283P31</v>
        <stp/>
        <stp>##V3_BDPV12</stp>
        <stp>9128283P Govt</stp>
        <stp>ID_ISIN</stp>
        <stp>[TREASURY.xlsx]Sheet1!R185C12</stp>
        <tr r="L185" s="1"/>
      </tp>
      <tp t="s">
        <v>US9128283C28</v>
        <stp/>
        <stp>##V3_BDPV12</stp>
        <stp>9128283C Govt</stp>
        <stp>ID_ISIN</stp>
        <stp>[TREASURY.xlsx]Sheet1!R186C12</stp>
        <tr r="L186" s="1"/>
      </tp>
      <tp t="s">
        <v>US9128282W90</v>
        <stp/>
        <stp>##V3_BDPV12</stp>
        <stp>9128282W Govt</stp>
        <stp>ID_ISIN</stp>
        <stp>[TREASURY.xlsx]Sheet1!R166C12</stp>
        <tr r="L166" s="1"/>
      </tp>
      <tp t="s">
        <v>US9128285F31</v>
        <stp/>
        <stp>##V3_BDPV12</stp>
        <stp>9128285F Govt</stp>
        <stp>ID_ISIN</stp>
        <stp>[TREASURY.xlsx]Sheet1!R106C12</stp>
        <tr r="L106" s="1"/>
      </tp>
      <tp t="s">
        <v>US9128284U17</v>
        <stp/>
        <stp>##V3_BDPV12</stp>
        <stp>9128284U Govt</stp>
        <stp>ID_ISIN</stp>
        <stp>[TREASURY.xlsx]Sheet1!R128C12</stp>
        <tr r="L128" s="1"/>
      </tp>
      <tp t="s">
        <v>US9128282Y56</v>
        <stp/>
        <stp>##V3_BDPV12</stp>
        <stp>9128282Y Govt</stp>
        <stp>ID_ISIN</stp>
        <stp>[TREASURY.xlsx]Sheet1!R145C12</stp>
        <tr r="L145" s="1"/>
      </tp>
      <tp t="s">
        <v>US9128285R78</v>
        <stp/>
        <stp>##V3_BDPV12</stp>
        <stp>9128285R Govt</stp>
        <stp>ID_ISIN</stp>
        <stp>[TREASURY.xlsx]Sheet1!R140C12</stp>
        <tr r="L140" s="1"/>
      </tp>
      <tp t="s">
        <v>US9128285V80</v>
        <stp/>
        <stp>##V3_BDPV12</stp>
        <stp>9128285V Govt</stp>
        <stp>ID_ISIN</stp>
        <stp>[TREASURY.xlsx]Sheet1!R179C12</stp>
        <tr r="L179" s="1"/>
      </tp>
      <tp t="s">
        <v>US9128285U08</v>
        <stp/>
        <stp>##V3_BDPV12</stp>
        <stp>9128285U Govt</stp>
        <stp>ID_ISIN</stp>
        <stp>[TREASURY.xlsx]Sheet1!R160C12</stp>
        <tr r="L160" s="1"/>
      </tp>
      <tp t="s">
        <v>T 6 1/4 05/15/30</v>
        <stp/>
        <stp>##V3_BDPV12</stp>
        <stp>912810FM Govt</stp>
        <stp>SECURITY_NAME</stp>
        <stp>[TREASURY.xlsx]Sheet1!R188C16</stp>
        <tr r="P188" s="1"/>
      </tp>
      <tp t="s">
        <v>US912828N308</v>
        <stp/>
        <stp>##V3_BDPV12</stp>
        <stp>912828N3 Govt</stp>
        <stp>ID_ISIN</stp>
        <stp>[TREASURY.xlsx]Sheet1!R129C12</stp>
        <tr r="L129" s="1"/>
      </tp>
      <tp t="s">
        <v>US912828M565</v>
        <stp/>
        <stp>##V3_BDPV12</stp>
        <stp>912828M5 Govt</stp>
        <stp>ID_ISIN</stp>
        <stp>[TREASURY.xlsx]Sheet1!R116C12</stp>
        <tr r="L116" s="1"/>
      </tp>
      <tp t="s">
        <v>US912828F965</v>
        <stp/>
        <stp>##V3_BDPV12</stp>
        <stp>912828F9 Govt</stp>
        <stp>ID_ISIN</stp>
        <stp>[TREASURY.xlsx]Sheet1!R199C12</stp>
        <tr r="L199" s="1"/>
      </tp>
      <tp t="s">
        <v>US912828M805</v>
        <stp/>
        <stp>##V3_BDPV12</stp>
        <stp>912828M8 Govt</stp>
        <stp>ID_ISIN</stp>
        <stp>[TREASURY.xlsx]Sheet1!R150C12</stp>
        <tr r="L150" s="1"/>
      </tp>
      <tp t="s">
        <v>US912828L575</v>
        <stp/>
        <stp>##V3_BDPV12</stp>
        <stp>912828L5 Govt</stp>
        <stp>ID_ISIN</stp>
        <stp>[TREASURY.xlsx]Sheet1!R161C12</stp>
        <tr r="L161" s="1"/>
      </tp>
      <tp t="s">
        <v>US912828L245</v>
        <stp/>
        <stp>##V3_BDPV12</stp>
        <stp>912828L2 Govt</stp>
        <stp>ID_ISIN</stp>
        <stp>[TREASURY.xlsx]Sheet1!R173C12</stp>
        <tr r="L173" s="1"/>
      </tp>
      <tp t="s">
        <v>US912828G385</v>
        <stp/>
        <stp>##V3_BDPV12</stp>
        <stp>912828G3 Govt</stp>
        <stp>ID_ISIN</stp>
        <stp>[TREASURY.xlsx]Sheet1!R137C12</stp>
        <tr r="L137" s="1"/>
      </tp>
      <tp t="s">
        <v>US912828B667</v>
        <stp/>
        <stp>##V3_BDPV12</stp>
        <stp>912828B6 Govt</stp>
        <stp>ID_ISIN</stp>
        <stp>[TREASURY.xlsx]Sheet1!R110C12</stp>
        <tr r="L110" s="1"/>
      </tp>
      <tp t="s">
        <v>US912828YY08</v>
        <stp/>
        <stp>##V3_BDPV12</stp>
        <stp>912828YY Govt</stp>
        <stp>ID_ISIN</stp>
        <stp>[TREASURY.xlsx]Sheet1!R158C12</stp>
        <tr r="L158" s="1"/>
      </tp>
      <tp t="s">
        <v>US912828ZU76</v>
        <stp/>
        <stp>##V3_BDPV12</stp>
        <stp>912828ZU Govt</stp>
        <stp>ID_ISIN</stp>
        <stp>[TREASURY.xlsx]Sheet1!R162C12</stp>
        <tr r="L162" s="1"/>
      </tp>
      <tp t="s">
        <v>US912828ZH65</v>
        <stp/>
        <stp>##V3_BDPV12</stp>
        <stp>912828ZH Govt</stp>
        <stp>ID_ISIN</stp>
        <stp>[TREASURY.xlsx]Sheet1!R165C12</stp>
        <tr r="L165" s="1"/>
      </tp>
      <tp t="s">
        <v>US912828Y958</v>
        <stp/>
        <stp>##V3_BDPV12</stp>
        <stp>912828Y9 Govt</stp>
        <stp>ID_ISIN</stp>
        <stp>[TREASURY.xlsx]Sheet1!R157C12</stp>
        <tr r="L157" s="1"/>
      </tp>
      <tp t="s">
        <v>US912828Z781</v>
        <stp/>
        <stp>##V3_BDPV12</stp>
        <stp>912828Z7 Govt</stp>
        <stp>ID_ISIN</stp>
        <stp>[TREASURY.xlsx]Sheet1!R169C12</stp>
        <tr r="L169" s="1"/>
      </tp>
      <tp t="s">
        <v>US912828YP90</v>
        <stp/>
        <stp>##V3_BDPV12</stp>
        <stp>912828YP Govt</stp>
        <stp>ID_ISIN</stp>
        <stp>[TREASURY.xlsx]Sheet1!R149C12</stp>
        <tr r="L149" s="1"/>
      </tp>
      <tp t="s">
        <v>US912828ZS21</v>
        <stp/>
        <stp>##V3_BDPV12</stp>
        <stp>912828ZS Govt</stp>
        <stp>ID_ISIN</stp>
        <stp>[TREASURY.xlsx]Sheet1!R171C12</stp>
        <tr r="L171" s="1"/>
      </tp>
      <tp t="s">
        <v>US912828XT22</v>
        <stp/>
        <stp>##V3_BDPV12</stp>
        <stp>912828XT Govt</stp>
        <stp>ID_ISIN</stp>
        <stp>[TREASURY.xlsx]Sheet1!R155C12</stp>
        <tr r="L155" s="1"/>
      </tp>
      <tp t="s">
        <v>US912828YW42</v>
        <stp/>
        <stp>##V3_BDPV12</stp>
        <stp>912828YW Govt</stp>
        <stp>ID_ISIN</stp>
        <stp>[TREASURY.xlsx]Sheet1!R141C12</stp>
        <tr r="L141" s="1"/>
      </tp>
      <tp t="s">
        <v>US912828ZM50</v>
        <stp/>
        <stp>##V3_BDPV12</stp>
        <stp>912828ZM Govt</stp>
        <stp>ID_ISIN</stp>
        <stp>[TREASURY.xlsx]Sheet1!R175C12</stp>
        <tr r="L175" s="1"/>
      </tp>
      <tp t="s">
        <v>US912828TJ95</v>
        <stp/>
        <stp>##V3_BDPV12</stp>
        <stp>912828TJ Govt</stp>
        <stp>ID_ISIN</stp>
        <stp>[TREASURY.xlsx]Sheet1!R194C12</stp>
        <tr r="L194" s="1"/>
      </tp>
      <tp t="s">
        <v>US912828YE44</v>
        <stp/>
        <stp>##V3_BDPV12</stp>
        <stp>912828YE Govt</stp>
        <stp>ID_ISIN</stp>
        <stp>[TREASURY.xlsx]Sheet1!R143C12</stp>
        <tr r="L143" s="1"/>
      </tp>
      <tp t="s">
        <v>US912828T263</v>
        <stp/>
        <stp>##V3_BDPV12</stp>
        <stp>912828T2 Govt</stp>
        <stp>ID_ISIN</stp>
        <stp>[TREASURY.xlsx]Sheet1!R192C12</stp>
        <tr r="L192" s="1"/>
      </tp>
      <tp t="s">
        <v>US912828YZ72</v>
        <stp/>
        <stp>##V3_BDPV12</stp>
        <stp>912828YZ Govt</stp>
        <stp>ID_ISIN</stp>
        <stp>[TREASURY.xlsx]Sheet1!R170C12</stp>
        <tr r="L170" s="1"/>
      </tp>
      <tp t="s">
        <v>US912828YU85</v>
        <stp/>
        <stp>##V3_BDPV12</stp>
        <stp>912828YU Govt</stp>
        <stp>ID_ISIN</stp>
        <stp>[TREASURY.xlsx]Sheet1!R174C12</stp>
        <tr r="L174" s="1"/>
      </tp>
      <tp t="s">
        <v>US912828ZB95</v>
        <stp/>
        <stp>##V3_BDPV12</stp>
        <stp>912828ZB Govt</stp>
        <stp>ID_ISIN</stp>
        <stp>[TREASURY.xlsx]Sheet1!R148C12</stp>
        <tr r="L148" s="1"/>
      </tp>
      <tp t="s">
        <v>US912828YD60</v>
        <stp/>
        <stp>##V3_BDPV12</stp>
        <stp>912828YD Govt</stp>
        <stp>ID_ISIN</stp>
        <stp>[TREASURY.xlsx]Sheet1!R178C12</stp>
        <tr r="L178" s="1"/>
      </tp>
      <tp t="s">
        <v>US912828ZV59</v>
        <stp/>
        <stp>##V3_BDPV12</stp>
        <stp>912828ZV Govt</stp>
        <stp>ID_ISIN</stp>
        <stp>[TREASURY.xlsx]Sheet1!R159C12</stp>
        <tr r="L159" s="1"/>
      </tp>
      <tp t="s">
        <v>US912828ZP81</v>
        <stp/>
        <stp>##V3_BDPV12</stp>
        <stp>912828ZP Govt</stp>
        <stp>ID_ISIN</stp>
        <stp>[TREASURY.xlsx]Sheet1!R153C12</stp>
        <tr r="L153" s="1"/>
      </tp>
      <tp t="s">
        <v>US912828WJ58</v>
        <stp/>
        <stp>##V3_BDPV12</stp>
        <stp>912828WJ Govt</stp>
        <stp>ID_ISIN</stp>
        <stp>[TREASURY.xlsx]Sheet1!R182C12</stp>
        <tr r="L182" s="1"/>
      </tp>
      <tp t="s">
        <v>US912828YM69</v>
        <stp/>
        <stp>##V3_BDPV12</stp>
        <stp>912828YM Govt</stp>
        <stp>ID_ISIN</stp>
        <stp>[TREASURY.xlsx]Sheet1!R113C12</stp>
        <tr r="L113" s="1"/>
      </tp>
      <tp t="s">
        <v>US912828ZD51</v>
        <stp/>
        <stp>##V3_BDPV12</stp>
        <stp>912828ZD Govt</stp>
        <stp>ID_ISIN</stp>
        <stp>[TREASURY.xlsx]Sheet1!R121C12</stp>
        <tr r="L121" s="1"/>
      </tp>
      <tp t="s">
        <v>US912828YX25</v>
        <stp/>
        <stp>##V3_BDPV12</stp>
        <stp>912828YX Govt</stp>
        <stp>ID_ISIN</stp>
        <stp>[TREASURY.xlsx]Sheet1!R104C12</stp>
        <tr r="L104" s="1"/>
      </tp>
      <tp t="s">
        <v>US912828ZR48</v>
        <stp/>
        <stp>##V3_BDPV12</stp>
        <stp>912828ZR Govt</stp>
        <stp>ID_ISIN</stp>
        <stp>[TREASURY.xlsx]Sheet1!R136C12</stp>
        <tr r="L136" s="1"/>
      </tp>
      <tp t="s">
        <v>US912828Q293</v>
        <stp/>
        <stp>##V3_BDPV12</stp>
        <stp>912828Q2 Govt</stp>
        <stp>ID_ISIN</stp>
        <stp>[TREASURY.xlsx]Sheet1!R187C12</stp>
        <tr r="L187" s="1"/>
      </tp>
      <tp t="s">
        <v>US912828YV68</v>
        <stp/>
        <stp>##V3_BDPV12</stp>
        <stp>912828YV Govt</stp>
        <stp>ID_ISIN</stp>
        <stp>[TREASURY.xlsx]Sheet1!R139C12</stp>
        <tr r="L139" s="1"/>
      </tp>
      <tp t="s">
        <v>US912828ZW33</v>
        <stp/>
        <stp>##V3_BDPV12</stp>
        <stp>912828ZW Govt</stp>
        <stp>ID_ISIN</stp>
        <stp>[TREASURY.xlsx]Sheet1!R101C12</stp>
        <tr r="L101" s="1"/>
      </tp>
      <tp t="s">
        <v>US912828YK04</v>
        <stp/>
        <stp>##V3_BDPV12</stp>
        <stp>912828YK Govt</stp>
        <stp>ID_ISIN</stp>
        <stp>[TREASURY.xlsx]Sheet1!R131C12</stp>
        <tr r="L131" s="1"/>
      </tp>
      <tp t="s">
        <v>US912828YH74</v>
        <stp/>
        <stp>##V3_BDPV12</stp>
        <stp>912828YH Govt</stp>
        <stp>ID_ISIN</stp>
        <stp>[TREASURY.xlsx]Sheet1!R135C12</stp>
        <tr r="L135" s="1"/>
      </tp>
      <tp t="s">
        <v>US912828XB14</v>
        <stp/>
        <stp>##V3_BDPV12</stp>
        <stp>912828XB Govt</stp>
        <stp>ID_ISIN</stp>
        <stp>[TREASURY.xlsx]Sheet1!R122C12</stp>
        <tr r="L122" s="1"/>
      </tp>
      <tp t="s">
        <v>US912828ZX16</v>
        <stp/>
        <stp>##V3_BDPV12</stp>
        <stp>912828ZX Govt</stp>
        <stp>ID_ISIN</stp>
        <stp>[TREASURY.xlsx]Sheet1!R111C12</stp>
        <tr r="L111" s="1"/>
      </tp>
      <tp t="s">
        <v>US912828ZN34</v>
        <stp/>
        <stp>##V3_BDPV12</stp>
        <stp>912828ZN Govt</stp>
        <stp>ID_ISIN</stp>
        <stp>[TREASURY.xlsx]Sheet1!R117C12</stp>
        <tr r="L117" s="1"/>
      </tp>
      <tp t="s">
        <v>US912828ZE35</v>
        <stp/>
        <stp>##V3_BDPV12</stp>
        <stp>912828ZE Govt</stp>
        <stp>ID_ISIN</stp>
        <stp>[TREASURY.xlsx]Sheet1!R112C12</stp>
        <tr r="L112" s="1"/>
      </tp>
      <tp t="s">
        <v>US912828V988</v>
        <stp/>
        <stp>##V3_BDPV12</stp>
        <stp>912828V9 Govt</stp>
        <stp>ID_ISIN</stp>
        <stp>[TREASURY.xlsx]Sheet1!R127C12</stp>
        <tr r="L127" s="1"/>
      </tp>
      <tp t="s">
        <v>US912828T677</v>
        <stp/>
        <stp>##V3_BDPV12</stp>
        <stp>912828T6 Govt</stp>
        <stp>ID_ISIN</stp>
        <stp>[TREASURY.xlsx]Sheet1!R105C12</stp>
        <tr r="L105" s="1"/>
      </tp>
      <tp t="s">
        <v>US912828SV33</v>
        <stp/>
        <stp>##V3_BDPV12</stp>
        <stp>912828SV Govt</stp>
        <stp>ID_ISIN</stp>
        <stp>[TREASURY.xlsx]Sheet1!R164C12</stp>
        <tr r="L164" s="1"/>
      </tp>
      <tp t="s">
        <v>US912828TY62</v>
        <stp/>
        <stp>##V3_BDPV12</stp>
        <stp>912828TY Govt</stp>
        <stp>ID_ISIN</stp>
        <stp>[TREASURY.xlsx]Sheet1!R118C12</stp>
        <tr r="L118" s="1"/>
      </tp>
      <tp t="s">
        <v>US912828VS66</v>
        <stp/>
        <stp>##V3_BDPV12</stp>
        <stp>912828VS Govt</stp>
        <stp>ID_ISIN</stp>
        <stp>[TREASURY.xlsx]Sheet1!R134C12</stp>
        <tr r="L134" s="1"/>
      </tp>
      <tp t="s">
        <v>US912828W713</v>
        <stp/>
        <stp>##V3_BDPV12</stp>
        <stp>912828W7 Govt</stp>
        <stp>ID_ISIN</stp>
        <stp>[TREASURY.xlsx]Sheet1!R125C12</stp>
        <tr r="L125" s="1"/>
      </tp>
      <tp t="s">
        <v>US912828T347</v>
        <stp/>
        <stp>##V3_BDPV12</stp>
        <stp>912828T3 Govt</stp>
        <stp>ID_ISIN</stp>
        <stp>[TREASURY.xlsx]Sheet1!R124C12</stp>
        <tr r="L124" s="1"/>
      </tp>
      <tp t="s">
        <v>US912828WE61</v>
        <stp/>
        <stp>##V3_BDPV12</stp>
        <stp>912828WE Govt</stp>
        <stp>ID_ISIN</stp>
        <stp>[TREASURY.xlsx]Sheet1!R108C12</stp>
        <tr r="L108" s="1"/>
      </tp>
      <tp t="s">
        <v>US912828YT13</v>
        <stp/>
        <stp>##V3_BDPV12</stp>
        <stp>912828YT Govt</stp>
        <stp>ID_ISIN</stp>
        <stp>[TREASURY.xlsx]Sheet1!R198C12</stp>
        <tr r="L198" s="1"/>
      </tp>
      <tp t="s">
        <v>US912828VB32</v>
        <stp/>
        <stp>##V3_BDPV12</stp>
        <stp>912828VB Govt</stp>
        <stp>ID_ISIN</stp>
        <stp>[TREASURY.xlsx]Sheet1!R168C12</stp>
        <tr r="L168" s="1"/>
      </tp>
      <tp t="s">
        <v>US912828SF82</v>
        <stp/>
        <stp>##V3_BDPV12</stp>
        <stp>912828SF Govt</stp>
        <stp>ID_ISIN</stp>
        <stp>[TREASURY.xlsx]Sheet1!R138C12</stp>
        <tr r="L138" s="1"/>
      </tp>
      <tp t="s">
        <v>US912828XD79</v>
        <stp/>
        <stp>##V3_BDPV12</stp>
        <stp>912828XD Govt</stp>
        <stp>ID_ISIN</stp>
        <stp>[TREASURY.xlsx]Sheet1!R189C12</stp>
        <tr r="L189" s="1"/>
      </tp>
      <tp t="s">
        <v>US912828UN88</v>
        <stp/>
        <stp>##V3_BDPV12</stp>
        <stp>912828UN Govt</stp>
        <stp>ID_ISIN</stp>
        <stp>[TREASURY.xlsx]Sheet1!R147C12</stp>
        <tr r="L147" s="1"/>
      </tp>
      <tp t="s">
        <v>US912828YA22</v>
        <stp/>
        <stp>##V3_BDPV12</stp>
        <stp>912828YA Govt</stp>
        <stp>ID_ISIN</stp>
        <stp>[TREASURY.xlsx]Sheet1!R183C12</stp>
        <tr r="L183" s="1"/>
      </tp>
      <tp t="s">
        <v>US912828XG01</v>
        <stp/>
        <stp>##V3_BDPV12</stp>
        <stp>912828XG Govt</stp>
        <stp>ID_ISIN</stp>
        <stp>[TREASURY.xlsx]Sheet1!R196C12</stp>
        <tr r="L196" s="1"/>
      </tp>
      <tp t="s">
        <v>US912828R366</v>
        <stp/>
        <stp>##V3_BDPV12</stp>
        <stp>912828R3 Govt</stp>
        <stp>ID_ISIN</stp>
        <stp>[TREASURY.xlsx]Sheet1!R130C12</stp>
        <tr r="L130" s="1"/>
      </tp>
      <tp t="s">
        <v>US912828ZY98</v>
        <stp/>
        <stp>##V3_BDPV12</stp>
        <stp>912828ZY Govt</stp>
        <stp>ID_ISIN</stp>
        <stp>[TREASURY.xlsx]Sheet1!R184C12</stp>
        <tr r="L184" s="1"/>
      </tp>
      <tp t="s">
        <v>US912828RR30</v>
        <stp/>
        <stp>##V3_BDPV12</stp>
        <stp>912828RR Govt</stp>
        <stp>ID_ISIN</stp>
        <stp>[TREASURY.xlsx]Sheet1!R119C12</stp>
        <tr r="L119" s="1"/>
      </tp>
      <tp t="s">
        <v>US912828ZA13</v>
        <stp/>
        <stp>##V3_BDPV12</stp>
        <stp>912828ZA Govt</stp>
        <stp>ID_ISIN</stp>
        <stp>[TREASURY.xlsx]Sheet1!R190C12</stp>
        <tr r="L190" s="1"/>
      </tp>
      <tp t="s">
        <v>US9128284A52</v>
        <stp/>
        <stp>##V3_BDPV12</stp>
        <stp>9128284A Govt</stp>
        <stp>ID_ISIN</stp>
        <stp>[TREASURY.xlsx]Sheet1!R288C12</stp>
        <tr r="L288" s="1"/>
      </tp>
      <tp t="s">
        <v>US9128285N64</v>
        <stp/>
        <stp>##V3_BDPV12</stp>
        <stp>9128285N Govt</stp>
        <stp>ID_ISIN</stp>
        <stp>[TREASURY.xlsx]Sheet1!R290C12</stp>
        <tr r="L290" s="1"/>
      </tp>
      <tp t="s">
        <v>US9128284F40</v>
        <stp/>
        <stp>##V3_BDPV12</stp>
        <stp>9128284F Govt</stp>
        <stp>ID_ISIN</stp>
        <stp>[TREASURY.xlsx]Sheet1!R285C12</stp>
        <tr r="L285" s="1"/>
      </tp>
      <tp t="s">
        <v>US9128284S60</v>
        <stp/>
        <stp>##V3_BDPV12</stp>
        <stp>9128284S Govt</stp>
        <stp>ID_ISIN</stp>
        <stp>[TREASURY.xlsx]Sheet1!R294C12</stp>
        <tr r="L294" s="1"/>
      </tp>
      <tp t="s">
        <v>US9128285A44</v>
        <stp/>
        <stp>##V3_BDPV12</stp>
        <stp>9128285A Govt</stp>
        <stp>ID_ISIN</stp>
        <stp>[TREASURY.xlsx]Sheet1!R283C12</stp>
        <tr r="L283" s="1"/>
      </tp>
      <tp t="s">
        <v>US9128284L18</v>
        <stp/>
        <stp>##V3_BDPV12</stp>
        <stp>9128284L Govt</stp>
        <stp>ID_ISIN</stp>
        <stp>[TREASURY.xlsx]Sheet1!R299C12</stp>
        <tr r="L299" s="1"/>
      </tp>
      <tp t="s">
        <v>US9128286F22</v>
        <stp/>
        <stp>##V3_BDPV12</stp>
        <stp>9128286F Govt</stp>
        <stp>ID_ISIN</stp>
        <stp>[TREASURY.xlsx]Sheet1!R225C12</stp>
        <tr r="L225" s="1"/>
      </tp>
      <tp t="s">
        <v>US9128286H87</v>
        <stp/>
        <stp>##V3_BDPV12</stp>
        <stp>9128286H Govt</stp>
        <stp>ID_ISIN</stp>
        <stp>[TREASURY.xlsx]Sheet1!R228C12</stp>
        <tr r="L228" s="1"/>
      </tp>
      <tp t="s">
        <v>US9128284D91</v>
        <stp/>
        <stp>##V3_BDPV12</stp>
        <stp>9128284D Govt</stp>
        <stp>ID_ISIN</stp>
        <stp>[TREASURY.xlsx]Sheet1!R202C12</stp>
        <tr r="L202" s="1"/>
      </tp>
      <tp t="s">
        <v>US9128282D10</v>
        <stp/>
        <stp>##V3_BDPV12</stp>
        <stp>9128282D Govt</stp>
        <stp>ID_ISIN</stp>
        <stp>[TREASURY.xlsx]Sheet1!R260C12</stp>
        <tr r="L260" s="1"/>
      </tp>
      <tp t="s">
        <v>US9128283Z13</v>
        <stp/>
        <stp>##V3_BDPV12</stp>
        <stp>9128283Z Govt</stp>
        <stp>ID_ISIN</stp>
        <stp>[TREASURY.xlsx]Sheet1!R261C12</stp>
        <tr r="L261" s="1"/>
      </tp>
      <tp t="s">
        <v>US9128283U26</v>
        <stp/>
        <stp>##V3_BDPV12</stp>
        <stp>9128283U Govt</stp>
        <stp>ID_ISIN</stp>
        <stp>[TREASURY.xlsx]Sheet1!R268C12</stp>
        <tr r="L268" s="1"/>
      </tp>
      <tp t="s">
        <v>US9128286U98</v>
        <stp/>
        <stp>##V3_BDPV12</stp>
        <stp>9128286U Govt</stp>
        <stp>ID_ISIN</stp>
        <stp>[TREASURY.xlsx]Sheet1!R233C12</stp>
        <tr r="L233" s="1"/>
      </tp>
      <tp t="s">
        <v>US9128285C00</v>
        <stp/>
        <stp>##V3_BDPV12</stp>
        <stp>9128285C Govt</stp>
        <stp>ID_ISIN</stp>
        <stp>[TREASURY.xlsx]Sheet1!R205C12</stp>
        <tr r="L205" s="1"/>
      </tp>
      <tp t="s">
        <v>US9128286Z85</v>
        <stp/>
        <stp>##V3_BDPV12</stp>
        <stp>9128286Z Govt</stp>
        <stp>ID_ISIN</stp>
        <stp>[TREASURY.xlsx]Sheet1!R200C12</stp>
        <tr r="L200" s="1"/>
      </tp>
      <tp t="s">
        <v>US9128285T35</v>
        <stp/>
        <stp>##V3_BDPV12</stp>
        <stp>9128285T Govt</stp>
        <stp>ID_ISIN</stp>
        <stp>[TREASURY.xlsx]Sheet1!R239C12</stp>
        <tr r="L239" s="1"/>
      </tp>
      <tp t="s">
        <v>US9128286R69</v>
        <stp/>
        <stp>##V3_BDPV12</stp>
        <stp>9128286R Govt</stp>
        <stp>ID_ISIN</stp>
        <stp>[TREASURY.xlsx]Sheet1!R201C12</stp>
        <tr r="L201" s="1"/>
      </tp>
      <tp t="s">
        <v>US9128284M90</v>
        <stp/>
        <stp>##V3_BDPV12</stp>
        <stp>9128284M Govt</stp>
        <stp>ID_ISIN</stp>
        <stp>[TREASURY.xlsx]Sheet1!R227C12</stp>
        <tr r="L227" s="1"/>
      </tp>
      <tp t="s">
        <v>US9128287C81</v>
        <stp/>
        <stp>##V3_BDPV12</stp>
        <stp>9128287C Govt</stp>
        <stp>ID_ISIN</stp>
        <stp>[TREASURY.xlsx]Sheet1!R219C12</stp>
        <tr r="L219" s="1"/>
      </tp>
      <tp t="s">
        <v>US9128285Z94</v>
        <stp/>
        <stp>##V3_BDPV12</stp>
        <stp>9128285Z Govt</stp>
        <stp>ID_ISIN</stp>
        <stp>[TREASURY.xlsx]Sheet1!R220C12</stp>
        <tr r="L220" s="1"/>
      </tp>
      <tp t="s">
        <v>US9128282U35</v>
        <stp/>
        <stp>##V3_BDPV12</stp>
        <stp>9128282U Govt</stp>
        <stp>ID_ISIN</stp>
        <stp>[TREASURY.xlsx]Sheet1!R252C12</stp>
        <tr r="L252" s="1"/>
      </tp>
      <tp t="s">
        <v>US9128283V09</v>
        <stp/>
        <stp>##V3_BDPV12</stp>
        <stp>9128283V Govt</stp>
        <stp>ID_ISIN</stp>
        <stp>[TREASURY.xlsx]Sheet1!R242C12</stp>
        <tr r="L242" s="1"/>
      </tp>
      <tp t="s">
        <v>US9128285K26</v>
        <stp/>
        <stp>##V3_BDPV12</stp>
        <stp>9128285K Govt</stp>
        <stp>ID_ISIN</stp>
        <stp>[TREASURY.xlsx]Sheet1!R229C12</stp>
        <tr r="L229" s="1"/>
      </tp>
      <tp t="s">
        <v>US9128282N91</v>
        <stp/>
        <stp>##V3_BDPV12</stp>
        <stp>9128282N Govt</stp>
        <stp>ID_ISIN</stp>
        <stp>[TREASURY.xlsx]Sheet1!R258C12</stp>
        <tr r="L258" s="1"/>
      </tp>
      <tp t="s">
        <v>US9128286M72</v>
        <stp/>
        <stp>##V3_BDPV12</stp>
        <stp>9128286M Govt</stp>
        <stp>ID_ISIN</stp>
        <stp>[TREASURY.xlsx]Sheet1!R218C12</stp>
        <tr r="L218" s="1"/>
      </tp>
      <tp t="s">
        <v>US9128286X38</v>
        <stp/>
        <stp>##V3_BDPV12</stp>
        <stp>9128286X Govt</stp>
        <stp>ID_ISIN</stp>
        <stp>[TREASURY.xlsx]Sheet1!R264C12</stp>
        <tr r="L264" s="1"/>
      </tp>
      <tp t="s">
        <v>US9128283D01</v>
        <stp/>
        <stp>##V3_BDPV12</stp>
        <stp>9128283D Govt</stp>
        <stp>ID_ISIN</stp>
        <stp>[TREASURY.xlsx]Sheet1!R231C12</stp>
        <tr r="L231" s="1"/>
      </tp>
      <tp t="s">
        <v>US9128286A35</v>
        <stp/>
        <stp>##V3_BDPV12</stp>
        <stp>9128286A Govt</stp>
        <stp>ID_ISIN</stp>
        <stp>[TREASURY.xlsx]Sheet1!R265C12</stp>
        <tr r="L265" s="1"/>
      </tp>
      <tp t="s">
        <v>US9128284Z04</v>
        <stp/>
        <stp>##V3_BDPV12</stp>
        <stp>9128284Z Govt</stp>
        <stp>ID_ISIN</stp>
        <stp>[TREASURY.xlsx]Sheet1!R251C12</stp>
        <tr r="L251" s="1"/>
      </tp>
      <tp t="s">
        <v>US9128284X55</v>
        <stp/>
        <stp>##V3_BDPV12</stp>
        <stp>9128284X Govt</stp>
        <stp>ID_ISIN</stp>
        <stp>[TREASURY.xlsx]Sheet1!R256C12</stp>
        <tr r="L256" s="1"/>
      </tp>
      <tp t="s">
        <v>US9128284R87</v>
        <stp/>
        <stp>##V3_BDPV12</stp>
        <stp>9128284R Govt</stp>
        <stp>ID_ISIN</stp>
        <stp>[TREASURY.xlsx]Sheet1!R257C12</stp>
        <tr r="L257" s="1"/>
      </tp>
      <tp t="s">
        <v>US9128286L99</v>
        <stp/>
        <stp>##V3_BDPV12</stp>
        <stp>9128286L Govt</stp>
        <stp>ID_ISIN</stp>
        <stp>[TREASURY.xlsx]Sheet1!R276C12</stp>
        <tr r="L276" s="1"/>
      </tp>
      <tp t="s">
        <v>US9128285J52</v>
        <stp/>
        <stp>##V3_BDPV12</stp>
        <stp>9128285J Govt</stp>
        <stp>ID_ISIN</stp>
        <stp>[TREASURY.xlsx]Sheet1!R248C12</stp>
        <tr r="L248" s="1"/>
      </tp>
      <tp t="s">
        <v>US9128286C90</v>
        <stp/>
        <stp>##V3_BDPV12</stp>
        <stp>9128286C Govt</stp>
        <stp>ID_ISIN</stp>
        <stp>[TREASURY.xlsx]Sheet1!R272C12</stp>
        <tr r="L272" s="1"/>
      </tp>
      <tp t="s">
        <v>US9128286Y11</v>
        <stp/>
        <stp>##V3_BDPV12</stp>
        <stp>9128286Y Govt</stp>
        <stp>ID_ISIN</stp>
        <stp>[TREASURY.xlsx]Sheet1!R241C12</stp>
        <tr r="L241" s="1"/>
      </tp>
      <tp t="s">
        <v>US9128285P13</v>
        <stp/>
        <stp>##V3_BDPV12</stp>
        <stp>9128285P Govt</stp>
        <stp>ID_ISIN</stp>
        <stp>[TREASURY.xlsx]Sheet1!R271C12</stp>
        <tr r="L271" s="1"/>
      </tp>
      <tp t="s">
        <v>US9128283J70</v>
        <stp/>
        <stp>##V3_BDPV12</stp>
        <stp>9128283J Govt</stp>
        <stp>ID_ISIN</stp>
        <stp>[TREASURY.xlsx]Sheet1!R216C12</stp>
        <tr r="L216" s="1"/>
      </tp>
      <tp t="s">
        <v>US9128286G05</v>
        <stp/>
        <stp>##V3_BDPV12</stp>
        <stp>9128286G Govt</stp>
        <stp>ID_ISIN</stp>
        <stp>[TREASURY.xlsx]Sheet1!R240C12</stp>
        <tr r="L240" s="1"/>
      </tp>
      <tp t="s">
        <v>US9128282S88</v>
        <stp/>
        <stp>##V3_BDPV12</stp>
        <stp>9128282S Govt</stp>
        <stp>ID_ISIN</stp>
        <stp>[TREASURY.xlsx]Sheet1!R212C12</stp>
        <tr r="L212" s="1"/>
      </tp>
      <tp t="s">
        <v>US9128282P40</v>
        <stp/>
        <stp>##V3_BDPV12</stp>
        <stp>9128282P Govt</stp>
        <stp>ID_ISIN</stp>
        <stp>[TREASURY.xlsx]Sheet1!R214C12</stp>
        <tr r="L214" s="1"/>
      </tp>
      <tp t="s">
        <v>US912828H862</v>
        <stp/>
        <stp>##V3_BDPV12</stp>
        <stp>912828H8 Govt</stp>
        <stp>ID_ISIN</stp>
        <stp>[TREASURY.xlsx]Sheet1!R247C12</stp>
        <tr r="L247" s="1"/>
      </tp>
      <tp t="s">
        <v>US912828M490</v>
        <stp/>
        <stp>##V3_BDPV12</stp>
        <stp>912828M4 Govt</stp>
        <stp>ID_ISIN</stp>
        <stp>[TREASURY.xlsx]Sheet1!R254C12</stp>
        <tr r="L254" s="1"/>
      </tp>
      <tp t="s">
        <v>US912828J769</v>
        <stp/>
        <stp>##V3_BDPV12</stp>
        <stp>912828J7 Govt</stp>
        <stp>ID_ISIN</stp>
        <stp>[TREASURY.xlsx]Sheet1!R204C12</stp>
        <tr r="L204" s="1"/>
      </tp>
      <tp t="s">
        <v>US912828G534</v>
        <stp/>
        <stp>##V3_BDPV12</stp>
        <stp>912828G5 Govt</stp>
        <stp>ID_ISIN</stp>
        <stp>[TREASURY.xlsx]Sheet1!R230C12</stp>
        <tr r="L230" s="1"/>
      </tp>
      <tp t="s">
        <v>US912828F213</v>
        <stp/>
        <stp>##V3_BDPV12</stp>
        <stp>912828F2 Govt</stp>
        <stp>ID_ISIN</stp>
        <stp>[TREASURY.xlsx]Sheet1!R207C12</stp>
        <tr r="L207" s="1"/>
      </tp>
      <tp t="s">
        <v>US912828G872</v>
        <stp/>
        <stp>##V3_BDPV12</stp>
        <stp>912828G8 Govt</stp>
        <stp>ID_ISIN</stp>
        <stp>[TREASURY.xlsx]Sheet1!R209C12</stp>
        <tr r="L209" s="1"/>
      </tp>
      <tp t="s">
        <v>US912828XX34</v>
        <stp/>
        <stp>##V3_BDPV12</stp>
        <stp>912828XX Govt</stp>
        <stp>ID_ISIN</stp>
        <stp>[TREASURY.xlsx]Sheet1!R249C12</stp>
        <tr r="L249" s="1"/>
      </tp>
      <tp t="s">
        <v>US912828Y792</v>
        <stp/>
        <stp>##V3_BDPV12</stp>
        <stp>912828Y7 Govt</stp>
        <stp>ID_ISIN</stp>
        <stp>[TREASURY.xlsx]Sheet1!R255C12</stp>
        <tr r="L255" s="1"/>
      </tp>
      <tp t="s">
        <v>US912828W481</v>
        <stp/>
        <stp>##V3_BDPV12</stp>
        <stp>912828W4 Govt</stp>
        <stp>ID_ISIN</stp>
        <stp>[TREASURY.xlsx]Sheet1!R296C12</stp>
        <tr r="L296" s="1"/>
      </tp>
      <tp t="s">
        <v>US912828XZ81</v>
        <stp/>
        <stp>##V3_BDPV12</stp>
        <stp>912828XZ Govt</stp>
        <stp>ID_ISIN</stp>
        <stp>[TREASURY.xlsx]Sheet1!R279C12</stp>
        <tr r="L279" s="1"/>
      </tp>
      <tp t="s">
        <v>US912828W556</v>
        <stp/>
        <stp>##V3_BDPV12</stp>
        <stp>912828W5 Govt</stp>
        <stp>ID_ISIN</stp>
        <stp>[TREASURY.xlsx]Sheet1!R281C12</stp>
        <tr r="L281" s="1"/>
      </tp>
      <tp t="s">
        <v>US912828XR65</v>
        <stp/>
        <stp>##V3_BDPV12</stp>
        <stp>912828XR Govt</stp>
        <stp>ID_ISIN</stp>
        <stp>[TREASURY.xlsx]Sheet1!R203C12</stp>
        <tr r="L203" s="1"/>
      </tp>
      <tp t="s">
        <v>US912828XQ82</v>
        <stp/>
        <stp>##V3_BDPV12</stp>
        <stp>912828XQ Govt</stp>
        <stp>ID_ISIN</stp>
        <stp>[TREASURY.xlsx]Sheet1!R206C12</stp>
        <tr r="L206" s="1"/>
      </tp>
      <tp t="s">
        <v>US912828XW50</v>
        <stp/>
        <stp>##V3_BDPV12</stp>
        <stp>912828XW Govt</stp>
        <stp>ID_ISIN</stp>
        <stp>[TREASURY.xlsx]Sheet1!R217C12</stp>
        <tr r="L217" s="1"/>
      </tp>
      <tp t="s">
        <v>US912828Z864</v>
        <stp/>
        <stp>##V3_BDPV12</stp>
        <stp>912828Z8 Govt</stp>
        <stp>ID_ISIN</stp>
        <stp>[TREASURY.xlsx]Sheet1!R236C12</stp>
        <tr r="L236" s="1"/>
      </tp>
      <tp t="s">
        <v>US912828Z609</v>
        <stp/>
        <stp>##V3_BDPV12</stp>
        <stp>912828Z6 Govt</stp>
        <stp>ID_ISIN</stp>
        <stp>[TREASURY.xlsx]Sheet1!R234C12</stp>
        <tr r="L234" s="1"/>
      </tp>
      <tp t="s">
        <v>US912828Y875</v>
        <stp/>
        <stp>##V3_BDPV12</stp>
        <stp>912828Y8 Govt</stp>
        <stp>ID_ISIN</stp>
        <stp>[TREASURY.xlsx]Sheet1!R208C12</stp>
        <tr r="L208" s="1"/>
      </tp>
      <tp t="s">
        <v>US912828X471</v>
        <stp/>
        <stp>##V3_BDPV12</stp>
        <stp>912828X4 Govt</stp>
        <stp>ID_ISIN</stp>
        <stp>[TREASURY.xlsx]Sheet1!R224C12</stp>
        <tr r="L224" s="1"/>
      </tp>
      <tp t="s">
        <v>US912828Z294</v>
        <stp/>
        <stp>##V3_BDPV12</stp>
        <stp>912828Z2 Govt</stp>
        <stp>ID_ISIN</stp>
        <stp>[TREASURY.xlsx]Sheet1!R210C12</stp>
        <tr r="L210" s="1"/>
      </tp>
      <tp t="s">
        <v>US912828U816</v>
        <stp/>
        <stp>##V3_BDPV12</stp>
        <stp>912828U8 Govt</stp>
        <stp>ID_ISIN</stp>
        <stp>[TREASURY.xlsx]Sheet1!R213C12</stp>
        <tr r="L213" s="1"/>
      </tp>
      <tp t="s">
        <v>US912828R697</v>
        <stp/>
        <stp>##V3_BDPV12</stp>
        <stp>912828R6 Govt</stp>
        <stp>ID_ISIN</stp>
        <stp>[TREASURY.xlsx]Sheet1!R266C12</stp>
        <tr r="L266" s="1"/>
      </tp>
      <tp t="s">
        <v>US912828W895</v>
        <stp/>
        <stp>##V3_BDPV12</stp>
        <stp>912828W8 Govt</stp>
        <stp>ID_ISIN</stp>
        <stp>[TREASURY.xlsx]Sheet1!R221C12</stp>
        <tr r="L221" s="1"/>
      </tp>
      <tp t="s">
        <v>US912828T917</v>
        <stp/>
        <stp>##V3_BDPV12</stp>
        <stp>912828T9 Govt</stp>
        <stp>ID_ISIN</stp>
        <stp>[TREASURY.xlsx]Sheet1!R215C12</stp>
        <tr r="L215" s="1"/>
      </tp>
      <tp t="s">
        <v>US912828R283</v>
        <stp/>
        <stp>##V3_BDPV12</stp>
        <stp>912828R2 Govt</stp>
        <stp>ID_ISIN</stp>
        <stp>[TREASURY.xlsx]Sheet1!R245C12</stp>
        <tr r="L245" s="1"/>
      </tp>
      <tp t="s">
        <v>US912828U659</v>
        <stp/>
        <stp>##V3_BDPV12</stp>
        <stp>912828U6 Govt</stp>
        <stp>ID_ISIN</stp>
        <stp>[TREASURY.xlsx]Sheet1!R232C12</stp>
        <tr r="L232" s="1"/>
      </tp>
      <tp t="s">
        <v>US912828Y610</v>
        <stp/>
        <stp>##V3_BDPV12</stp>
        <stp>912828Y6 Govt</stp>
        <stp>ID_ISIN</stp>
        <stp>[TREASURY.xlsx]Sheet1!R297C12</stp>
        <tr r="L297" s="1"/>
      </tp>
      <tp t="s">
        <v>US912828V723</v>
        <stp/>
        <stp>##V3_BDPV12</stp>
        <stp>912828V7 Govt</stp>
        <stp>ID_ISIN</stp>
        <stp>[TREASURY.xlsx]Sheet1!R262C12</stp>
        <tr r="L262" s="1"/>
      </tp>
      <tp t="s">
        <v>US912828U576</v>
        <stp/>
        <stp>##V3_BDPV12</stp>
        <stp>912828U5 Govt</stp>
        <stp>ID_ISIN</stp>
        <stp>[TREASURY.xlsx]Sheet1!R246C12</stp>
        <tr r="L246" s="1"/>
      </tp>
      <tp t="s">
        <v>US912828P386</v>
        <stp/>
        <stp>##V3_BDPV12</stp>
        <stp>912828P3 Govt</stp>
        <stp>ID_ISIN</stp>
        <stp>[TREASURY.xlsx]Sheet1!R222C12</stp>
        <tr r="L222" s="1"/>
      </tp>
      <tp t="s">
        <v>US912828WZ90</v>
        <stp/>
        <stp>##V3_BDPV12</stp>
        <stp>912828WZ Govt</stp>
        <stp>ID_ISIN</stp>
        <stp>[TREASURY.xlsx]Sheet1!R244C12</stp>
        <tr r="L244" s="1"/>
      </tp>
      <tp t="s">
        <v>US912828V236</v>
        <stp/>
        <stp>##V3_BDPV12</stp>
        <stp>912828V2 Govt</stp>
        <stp>ID_ISIN</stp>
        <stp>[TREASURY.xlsx]Sheet1!R250C12</stp>
        <tr r="L250" s="1"/>
      </tp>
      <tp t="s">
        <v>US9128284J61</v>
        <stp/>
        <stp>##V3_BDPV12</stp>
        <stp>9128284J Govt</stp>
        <stp>ID_ISIN</stp>
        <stp>[TREASURY.xlsx]Sheet1!R381C12</stp>
        <tr r="L381" s="1"/>
      </tp>
      <tp t="s">
        <v>US9128284G23</v>
        <stp/>
        <stp>##V3_BDPV12</stp>
        <stp>9128284G Govt</stp>
        <stp>ID_ISIN</stp>
        <stp>[TREASURY.xlsx]Sheet1!R390C12</stp>
        <tr r="L390" s="1"/>
      </tp>
      <tp t="s">
        <v>US9128283Y48</v>
        <stp/>
        <stp>##V3_BDPV12</stp>
        <stp>9128283Y Govt</stp>
        <stp>ID_ISIN</stp>
        <stp>[TREASURY.xlsx]Sheet1!R395C12</stp>
        <tr r="L395" s="1"/>
      </tp>
      <tp t="s">
        <v>US9128283G32</v>
        <stp/>
        <stp>##V3_BDPV12</stp>
        <stp>9128283G Govt</stp>
        <stp>ID_ISIN</stp>
        <stp>[TREASURY.xlsx]Sheet1!R380C12</stp>
        <tr r="L380" s="1"/>
      </tp>
      <tp t="s">
        <v>US9128286S43</v>
        <stp/>
        <stp>##V3_BDPV12</stp>
        <stp>9128286S Govt</stp>
        <stp>ID_ISIN</stp>
        <stp>[TREASURY.xlsx]Sheet1!R322C12</stp>
        <tr r="L322" s="1"/>
      </tp>
      <tp t="s">
        <v>US9128282V18</v>
        <stp/>
        <stp>##V3_BDPV12</stp>
        <stp>9128282V Govt</stp>
        <stp>ID_ISIN</stp>
        <stp>[TREASURY.xlsx]Sheet1!R362C12</stp>
        <tr r="L362" s="1"/>
      </tp>
      <tp t="s">
        <v>US9128283Q14</v>
        <stp/>
        <stp>##V3_BDPV12</stp>
        <stp>9128283Q Govt</stp>
        <stp>ID_ISIN</stp>
        <stp>[TREASURY.xlsx]Sheet1!R375C12</stp>
        <tr r="L375" s="1"/>
      </tp>
      <tp t="s">
        <v>US9128287A26</v>
        <stp/>
        <stp>##V3_BDPV12</stp>
        <stp>9128287A Govt</stp>
        <stp>ID_ISIN</stp>
        <stp>[TREASURY.xlsx]Sheet1!R339C12</stp>
        <tr r="L339" s="1"/>
      </tp>
      <tp t="s">
        <v>US9128283N82</v>
        <stp/>
        <stp>##V3_BDPV12</stp>
        <stp>9128283N Govt</stp>
        <stp>ID_ISIN</stp>
        <stp>[TREASURY.xlsx]Sheet1!R366C12</stp>
        <tr r="L366" s="1"/>
      </tp>
      <tp t="s">
        <v>US9128287F13</v>
        <stp/>
        <stp>##V3_BDPV12</stp>
        <stp>9128287F Govt</stp>
        <stp>ID_ISIN</stp>
        <stp>[TREASURY.xlsx]Sheet1!R329C12</stp>
        <tr r="L329" s="1"/>
      </tp>
      <tp t="s">
        <v>US9128282B53</v>
        <stp/>
        <stp>##V3_BDPV12</stp>
        <stp>9128282B Govt</stp>
        <stp>ID_ISIN</stp>
        <stp>[TREASURY.xlsx]Sheet1!R373C12</stp>
        <tr r="L373" s="1"/>
      </tp>
      <tp t="s">
        <v>US9128283L27</v>
        <stp/>
        <stp>##V3_BDPV12</stp>
        <stp>9128283L Govt</stp>
        <stp>ID_ISIN</stp>
        <stp>[TREASURY.xlsx]Sheet1!R350C12</stp>
        <tr r="L350" s="1"/>
      </tp>
      <tp t="s">
        <v>US9128282F67</v>
        <stp/>
        <stp>##V3_BDPV12</stp>
        <stp>9128282F Govt</stp>
        <stp>ID_ISIN</stp>
        <stp>[TREASURY.xlsx]Sheet1!R345C12</stp>
        <tr r="L345" s="1"/>
      </tp>
      <tp t="s">
        <v>US9128287B09</v>
        <stp/>
        <stp>##V3_BDPV12</stp>
        <stp>9128287B Govt</stp>
        <stp>ID_ISIN</stp>
        <stp>[TREASURY.xlsx]Sheet1!R306C12</stp>
        <tr r="L306" s="1"/>
      </tp>
      <tp t="s">
        <v>US9128284T44</v>
        <stp/>
        <stp>##V3_BDPV12</stp>
        <stp>9128284T Govt</stp>
        <stp>ID_ISIN</stp>
        <stp>[TREASURY.xlsx]Sheet1!R344C12</stp>
        <tr r="L344" s="1"/>
      </tp>
      <tp t="s">
        <v>US9128284W72</v>
        <stp/>
        <stp>##V3_BDPV12</stp>
        <stp>9128284W Govt</stp>
        <stp>ID_ISIN</stp>
        <stp>[TREASURY.xlsx]Sheet1!R347C12</stp>
        <tr r="L347" s="1"/>
      </tp>
      <tp t="s">
        <v>US9128282T61</v>
        <stp/>
        <stp>##V3_BDPV12</stp>
        <stp>9128282T Govt</stp>
        <stp>ID_ISIN</stp>
        <stp>[TREASURY.xlsx]Sheet1!R330C12</stp>
        <tr r="L330" s="1"/>
      </tp>
      <tp t="s">
        <v>US9128285X47</v>
        <stp/>
        <stp>##V3_BDPV12</stp>
        <stp>9128285X Govt</stp>
        <stp>ID_ISIN</stp>
        <stp>[TREASURY.xlsx]Sheet1!R372C12</stp>
        <tr r="L372" s="1"/>
      </tp>
      <tp t="s">
        <v>US9128284P22</v>
        <stp/>
        <stp>##V3_BDPV12</stp>
        <stp>9128284P Govt</stp>
        <stp>ID_ISIN</stp>
        <stp>[TREASURY.xlsx]Sheet1!R367C12</stp>
        <tr r="L367" s="1"/>
      </tp>
      <tp t="s">
        <v>US9128286D73</v>
        <stp/>
        <stp>##V3_BDPV12</stp>
        <stp>9128286D Govt</stp>
        <stp>ID_ISIN</stp>
        <stp>[TREASURY.xlsx]Sheet1!R348C12</stp>
        <tr r="L348" s="1"/>
      </tp>
      <tp t="s">
        <v>US9128284Y39</v>
        <stp/>
        <stp>##V3_BDPV12</stp>
        <stp>9128284Y Govt</stp>
        <stp>ID_ISIN</stp>
        <stp>[TREASURY.xlsx]Sheet1!R376C12</stp>
        <tr r="L376" s="1"/>
      </tp>
      <tp t="s">
        <v>US9128285G14</v>
        <stp/>
        <stp>##V3_BDPV12</stp>
        <stp>9128285G Govt</stp>
        <stp>ID_ISIN</stp>
        <stp>[TREASURY.xlsx]Sheet1!R368C12</stp>
        <tr r="L368" s="1"/>
      </tp>
      <tp t="s">
        <v>US912828EX45</v>
        <stp/>
        <stp>##V3_BDPV12</stp>
        <stp>912828EX Govt</stp>
        <stp>ID_ISIN</stp>
        <stp>[TREASURY.xlsx]Sheet1!R397C12</stp>
        <tr r="L397" s="1"/>
      </tp>
      <tp t="s">
        <v>US912828HZ65</v>
        <stp/>
        <stp>##V3_BDPV12</stp>
        <stp>912828HZ Govt</stp>
        <stp>ID_ISIN</stp>
        <stp>[TREASURY.xlsx]Sheet1!R356C12</stp>
        <tr r="L356" s="1"/>
      </tp>
      <tp t="s">
        <v>US912828KD17</v>
        <stp/>
        <stp>##V3_BDPV12</stp>
        <stp>912828KD Govt</stp>
        <stp>ID_ISIN</stp>
        <stp>[TREASURY.xlsx]Sheet1!R364C12</stp>
        <tr r="L364" s="1"/>
      </tp>
      <tp t="s">
        <v>US912828K825</v>
        <stp/>
        <stp>##V3_BDPV12</stp>
        <stp>912828K8 Govt</stp>
        <stp>ID_ISIN</stp>
        <stp>[TREASURY.xlsx]Sheet1!R369C12</stp>
        <tr r="L369" s="1"/>
      </tp>
      <tp t="s">
        <v>US912828L328</v>
        <stp/>
        <stp>##V3_BDPV12</stp>
        <stp>912828L3 Govt</stp>
        <stp>ID_ISIN</stp>
        <stp>[TREASURY.xlsx]Sheet1!R327C12</stp>
        <tr r="L327" s="1"/>
      </tp>
      <tp t="s">
        <v>US912828FY19</v>
        <stp/>
        <stp>##V3_BDPV12</stp>
        <stp>912828FY Govt</stp>
        <stp>ID_ISIN</stp>
        <stp>[TREASURY.xlsx]Sheet1!R394C12</stp>
        <tr r="L394" s="1"/>
      </tp>
      <tp t="s">
        <v>US912828LY45</v>
        <stp/>
        <stp>##V3_BDPV12</stp>
        <stp>912828LY Govt</stp>
        <stp>ID_ISIN</stp>
        <stp>[TREASURY.xlsx]Sheet1!R353C12</stp>
        <tr r="L353" s="1"/>
      </tp>
      <tp t="s">
        <v>US912828L997</v>
        <stp/>
        <stp>##V3_BDPV12</stp>
        <stp>912828L9 Govt</stp>
        <stp>ID_ISIN</stp>
        <stp>[TREASURY.xlsx]Sheet1!R358C12</stp>
        <tr r="L358" s="1"/>
      </tp>
      <tp t="s">
        <v>US912828CJ78</v>
        <stp/>
        <stp>##V3_BDPV12</stp>
        <stp>912828CJ Govt</stp>
        <stp>ID_ISIN</stp>
        <stp>[TREASURY.xlsx]Sheet1!R393C12</stp>
        <tr r="L393" s="1"/>
      </tp>
      <tp t="s">
        <v>US912828N894</v>
        <stp/>
        <stp>##V3_BDPV12</stp>
        <stp>912828N8 Govt</stp>
        <stp>ID_ISIN</stp>
        <stp>[TREASURY.xlsx]Sheet1!R343C12</stp>
        <tr r="L343" s="1"/>
      </tp>
      <tp t="s">
        <v>US912828J439</v>
        <stp/>
        <stp>##V3_BDPV12</stp>
        <stp>912828J4 Govt</stp>
        <stp>ID_ISIN</stp>
        <stp>[TREASURY.xlsx]Sheet1!R308C12</stp>
        <tr r="L308" s="1"/>
      </tp>
      <tp t="s">
        <v>US912828NT32</v>
        <stp/>
        <stp>##V3_BDPV12</stp>
        <stp>912828NT Govt</stp>
        <stp>ID_ISIN</stp>
        <stp>[TREASURY.xlsx]Sheet1!R351C12</stp>
        <tr r="L351" s="1"/>
      </tp>
      <tp t="s">
        <v>US912828CD09</v>
        <stp/>
        <stp>##V3_BDPV12</stp>
        <stp>912828CD Govt</stp>
        <stp>ID_ISIN</stp>
        <stp>[TREASURY.xlsx]Sheet1!R384C12</stp>
        <tr r="L384" s="1"/>
      </tp>
      <tp t="s">
        <v>US912828MP29</v>
        <stp/>
        <stp>##V3_BDPV12</stp>
        <stp>912828MP Govt</stp>
        <stp>ID_ISIN</stp>
        <stp>[TREASURY.xlsx]Sheet1!R386C12</stp>
        <tr r="L386" s="1"/>
      </tp>
      <tp t="s">
        <v>US912828B907</v>
        <stp/>
        <stp>##V3_BDPV12</stp>
        <stp>912828B9 Govt</stp>
        <stp>ID_ISIN</stp>
        <stp>[TREASURY.xlsx]Sheet1!R371C12</stp>
        <tr r="L371" s="1"/>
      </tp>
      <tp t="s">
        <v>US912828NV87</v>
        <stp/>
        <stp>##V3_BDPV12</stp>
        <stp>912828NV Govt</stp>
        <stp>ID_ISIN</stp>
        <stp>[TREASURY.xlsx]Sheet1!R382C12</stp>
        <tr r="L382" s="1"/>
      </tp>
      <tp t="s">
        <v>US912828NB24</v>
        <stp/>
        <stp>##V3_BDPV12</stp>
        <stp>912828NB Govt</stp>
        <stp>ID_ISIN</stp>
        <stp>[TREASURY.xlsx]Sheet1!R388C12</stp>
        <tr r="L388" s="1"/>
      </tp>
      <tp t="s">
        <v>US912828C657</v>
        <stp/>
        <stp>##V3_BDPV12</stp>
        <stp>912828C6 Govt</stp>
        <stp>ID_ISIN</stp>
        <stp>[TREASURY.xlsx]Sheet1!R349C12</stp>
        <tr r="L349" s="1"/>
      </tp>
      <tp t="s">
        <v>US912828C574</v>
        <stp/>
        <stp>##V3_BDPV12</stp>
        <stp>912828C5 Govt</stp>
        <stp>ID_ISIN</stp>
        <stp>[TREASURY.xlsx]Sheet1!R342C12</stp>
        <tr r="L342" s="1"/>
      </tp>
      <tp t="s">
        <v>US912828D721</v>
        <stp/>
        <stp>##V3_BDPV12</stp>
        <stp>912828D7 Govt</stp>
        <stp>ID_ISIN</stp>
        <stp>[TREASURY.xlsx]Sheet1!R332C12</stp>
        <tr r="L332" s="1"/>
      </tp>
      <tp t="s">
        <v>US912828CB43</v>
        <stp/>
        <stp>##V3_BDPV12</stp>
        <stp>912828CB Govt</stp>
        <stp>ID_ISIN</stp>
        <stp>[TREASURY.xlsx]Sheet1!R331C12</stp>
        <tr r="L331" s="1"/>
      </tp>
      <tp t="s">
        <v>US912828CA69</v>
        <stp/>
        <stp>##V3_BDPV12</stp>
        <stp>912828CA Govt</stp>
        <stp>ID_ISIN</stp>
        <stp>[TREASURY.xlsx]Sheet1!R337C12</stp>
        <tr r="L337" s="1"/>
      </tp>
      <tp t="s">
        <v>US912828GM61</v>
        <stp/>
        <stp>##V3_BDPV12</stp>
        <stp>912828GM Govt</stp>
        <stp>ID_ISIN</stp>
        <stp>[TREASURY.xlsx]Sheet1!R379C12</stp>
        <tr r="L379" s="1"/>
      </tp>
      <tp t="s">
        <v>US912828DC17</v>
        <stp/>
        <stp>##V3_BDPV12</stp>
        <stp>912828DC Govt</stp>
        <stp>ID_ISIN</stp>
        <stp>[TREASURY.xlsx]Sheet1!R352C12</stp>
        <tr r="L352" s="1"/>
      </tp>
      <tp t="s">
        <v>US912828CC26</v>
        <stp/>
        <stp>##V3_BDPV12</stp>
        <stp>912828CC Govt</stp>
        <stp>ID_ISIN</stp>
        <stp>[TREASURY.xlsx]Sheet1!R325C12</stp>
        <tr r="L325" s="1"/>
      </tp>
      <tp t="s">
        <v>US912828KB50</v>
        <stp/>
        <stp>##V3_BDPV12</stp>
        <stp>912828KB Govt</stp>
        <stp>ID_ISIN</stp>
        <stp>[TREASURY.xlsx]Sheet1!R398C12</stp>
        <tr r="L398" s="1"/>
      </tp>
      <tp t="s">
        <v>US912828JR22</v>
        <stp/>
        <stp>##V3_BDPV12</stp>
        <stp>912828JR Govt</stp>
        <stp>ID_ISIN</stp>
        <stp>[TREASURY.xlsx]Sheet1!R396C12</stp>
        <tr r="L396" s="1"/>
      </tp>
      <tp t="s">
        <v>US912828TC43</v>
        <stp/>
        <stp>##V3_BDPV12</stp>
        <stp>912828TC Govt</stp>
        <stp>ID_ISIN</stp>
        <stp>[TREASURY.xlsx]Sheet1!R385C12</stp>
        <tr r="L385" s="1"/>
      </tp>
      <tp t="s">
        <v>US912828UA67</v>
        <stp/>
        <stp>##V3_BDPV12</stp>
        <stp>912828UA Govt</stp>
        <stp>ID_ISIN</stp>
        <stp>[TREASURY.xlsx]Sheet1!R387C12</stp>
        <tr r="L387" s="1"/>
      </tp>
      <tp t="s">
        <v>US912828XA31</v>
        <stp/>
        <stp>##V3_BDPV12</stp>
        <stp>912828XA Govt</stp>
        <stp>ID_ISIN</stp>
        <stp>[TREASURY.xlsx]Sheet1!R377C12</stp>
        <tr r="L377" s="1"/>
      </tp>
      <tp t="s">
        <v>US912828P873</v>
        <stp/>
        <stp>##V3_BDPV12</stp>
        <stp>912828P8 Govt</stp>
        <stp>ID_ISIN</stp>
        <stp>[TREASURY.xlsx]Sheet1!R389C12</stp>
        <tr r="L389" s="1"/>
      </tp>
      <tp t="s">
        <v>US912828X703</v>
        <stp/>
        <stp>##V3_BDPV12</stp>
        <stp>912828X7 Govt</stp>
        <stp>ID_ISIN</stp>
        <stp>[TREASURY.xlsx]Sheet1!R300C12</stp>
        <tr r="L300" s="1"/>
      </tp>
      <tp t="s">
        <v>US912828YC87</v>
        <stp/>
        <stp>##V3_BDPV12</stp>
        <stp>912828YC Govt</stp>
        <stp>ID_ISIN</stp>
        <stp>[TREASURY.xlsx]Sheet1!R335C12</stp>
        <tr r="L335" s="1"/>
      </tp>
      <tp t="s">
        <v>US912828S273</v>
        <stp/>
        <stp>##V3_BDPV12</stp>
        <stp>912828S2 Govt</stp>
        <stp>ID_ISIN</stp>
        <stp>[TREASURY.xlsx]Sheet1!R391C12</stp>
        <tr r="L391" s="1"/>
      </tp>
      <tp t="s">
        <v>US912828R770</v>
        <stp/>
        <stp>##V3_BDPV12</stp>
        <stp>912828R7 Govt</stp>
        <stp>ID_ISIN</stp>
        <stp>[TREASURY.xlsx]Sheet1!R383C12</stp>
        <tr r="L383" s="1"/>
      </tp>
      <tp t="s">
        <v>US912828Y206</v>
        <stp/>
        <stp>##V3_BDPV12</stp>
        <stp>912828Y2 Govt</stp>
        <stp>ID_ISIN</stp>
        <stp>[TREASURY.xlsx]Sheet1!R336C12</stp>
        <tr r="L336" s="1"/>
      </tp>
      <tp t="s">
        <v>US912828WN60</v>
        <stp/>
        <stp>##V3_BDPV12</stp>
        <stp>912828WN Govt</stp>
        <stp>ID_ISIN</stp>
        <stp>[TREASURY.xlsx]Sheet1!R338C12</stp>
        <tr r="L338" s="1"/>
      </tp>
      <tp t="s">
        <v>US912828PX26</v>
        <stp/>
        <stp>##V3_BDPV12</stp>
        <stp>912828PX Govt</stp>
        <stp>ID_ISIN</stp>
        <stp>[TREASURY.xlsx]Sheet1!R355C12</stp>
        <tr r="L355" s="1"/>
      </tp>
      <tp t="s">
        <v>US912828RX08</v>
        <stp/>
        <stp>##V3_BDPV12</stp>
        <stp>912828RX Govt</stp>
        <stp>ID_ISIN</stp>
        <stp>[TREASURY.xlsx]Sheet1!R374C12</stp>
        <tr r="L374" s="1"/>
      </tp>
      <tp t="s">
        <v>US912828SH49</v>
        <stp/>
        <stp>##V3_BDPV12</stp>
        <stp>912828SH Govt</stp>
        <stp>ID_ISIN</stp>
        <stp>[TREASURY.xlsx]Sheet1!R360C12</stp>
        <tr r="L360" s="1"/>
      </tp>
      <tp t="s">
        <v>US912828PC88</v>
        <stp/>
        <stp>##V3_BDPV12</stp>
        <stp>912828PC Govt</stp>
        <stp>ID_ISIN</stp>
        <stp>[TREASURY.xlsx]Sheet1!R365C12</stp>
        <tr r="L365" s="1"/>
      </tp>
      <tp t="s">
        <v>US912828Q780</v>
        <stp/>
        <stp>##V3_BDPV12</stp>
        <stp>912828Q7 Govt</stp>
        <stp>ID_ISIN</stp>
        <stp>[TREASURY.xlsx]Sheet1!R378C12</stp>
        <tr r="L378" s="1"/>
      </tp>
      <tp t="s">
        <v>US912828V806</v>
        <stp/>
        <stp>##V3_BDPV12</stp>
        <stp>912828V8 Govt</stp>
        <stp>ID_ISIN</stp>
        <stp>[TREASURY.xlsx]Sheet1!R307C12</stp>
        <tr r="L307" s="1"/>
      </tp>
      <tp t="s">
        <v>US912828S760</v>
        <stp/>
        <stp>##V3_BDPV12</stp>
        <stp>912828S7 Govt</stp>
        <stp>ID_ISIN</stp>
        <stp>[TREASURY.xlsx]Sheet1!R346C12</stp>
        <tr r="L346" s="1"/>
      </tp>
      <tp t="s">
        <v>US912828WG10</v>
        <stp/>
        <stp>##V3_BDPV12</stp>
        <stp>912828WG Govt</stp>
        <stp>ID_ISIN</stp>
        <stp>[TREASURY.xlsx]Sheet1!R370C12</stp>
        <tr r="L370" s="1"/>
      </tp>
      <tp t="s">
        <v>US912828P790</v>
        <stp/>
        <stp>##V3_BDPV12</stp>
        <stp>912828P7 Govt</stp>
        <stp>ID_ISIN</stp>
        <stp>[TREASURY.xlsx]Sheet1!R309C12</stp>
        <tr r="L309" s="1"/>
      </tp>
      <tp t="s">
        <v>US912828RC60</v>
        <stp/>
        <stp>##V3_BDPV12</stp>
        <stp>912828RC Govt</stp>
        <stp>ID_ISIN</stp>
        <stp>[TREASURY.xlsx]Sheet1!R333C12</stp>
        <tr r="L333" s="1"/>
      </tp>
      <tp t="s">
        <v>US912828W978</v>
        <stp/>
        <stp>##V3_BDPV12</stp>
        <stp>912828W9 Govt</stp>
        <stp>ID_ISIN</stp>
        <stp>[TREASURY.xlsx]Sheet1!R363C12</stp>
        <tr r="L363" s="1"/>
      </tp>
      <tp t="s">
        <v>US912828WY26</v>
        <stp/>
        <stp>##V3_BDPV12</stp>
        <stp>912828WY Govt</stp>
        <stp>ID_ISIN</stp>
        <stp>[TREASURY.xlsx]Sheet1!R359C12</stp>
        <tr r="L359" s="1"/>
      </tp>
      <tp t="s">
        <v>US912828TW07</v>
        <stp/>
        <stp>##V3_BDPV12</stp>
        <stp>912828TW Govt</stp>
        <stp>ID_ISIN</stp>
        <stp>[TREASURY.xlsx]Sheet1!R361C12</stp>
        <tr r="L361" s="1"/>
      </tp>
      <tp t="s">
        <v>US912828QN35</v>
        <stp/>
        <stp>##V3_BDPV12</stp>
        <stp>912828QN Govt</stp>
        <stp>ID_ISIN</stp>
        <stp>[TREASURY.xlsx]Sheet1!R334C12</stp>
        <tr r="L334" s="1"/>
      </tp>
      <tp t="s">
        <v>US912828WR74</v>
        <stp/>
        <stp>##V3_BDPV12</stp>
        <stp>912828WR Govt</stp>
        <stp>ID_ISIN</stp>
        <stp>[TREASURY.xlsx]Sheet1!R341C12</stp>
        <tr r="L341" s="1"/>
      </tp>
      <tp t="s">
        <v>US912828WW69</v>
        <stp/>
        <stp>##V3_BDPV12</stp>
        <stp>912828WW Govt</stp>
        <stp>ID_ISIN</stp>
        <stp>[TREASURY.xlsx]Sheet1!R340C12</stp>
        <tr r="L340" s="1"/>
      </tp>
      <tp t="s">
        <v>US912828S927</v>
        <stp/>
        <stp>##V3_BDPV12</stp>
        <stp>912828S9 Govt</stp>
        <stp>ID_ISIN</stp>
        <stp>[TREASURY.xlsx]Sheet1!R301C12</stp>
        <tr r="L301" s="1"/>
      </tp>
      <tp t="s">
        <v>US912828S356</v>
        <stp/>
        <stp>##V3_BDPV12</stp>
        <stp>912828S3 Govt</stp>
        <stp>ID_ISIN</stp>
        <stp>[TREASURY.xlsx]Sheet1!R305C12</stp>
        <tr r="L305" s="1"/>
      </tp>
      <tp t="s">
        <v>FIXED</v>
        <stp/>
        <stp>##V3_BDPV12</stp>
        <stp>91282CAZ Govt</stp>
        <stp>CPN_TYP</stp>
        <stp>[TREASURY.xlsx]Sheet1!R45C11</stp>
        <tr r="K45" s="1"/>
      </tp>
      <tp t="s">
        <v>NORMAL</v>
        <stp/>
        <stp>##V3_BDPV12</stp>
        <stp>91282CBH Govt</stp>
        <stp>MTY_TYP</stp>
        <stp>[TREASURY.xlsx]Sheet1!R59C6</stp>
        <tr r="F59" s="1"/>
      </tp>
      <tp t="s">
        <v>11/15/2050</v>
        <stp/>
        <stp>##V3_BDPV12</stp>
        <stp>912810SS Govt</stp>
        <stp>MATURITY</stp>
        <stp>[TREASURY.xlsx]Sheet1!R37C5</stp>
        <tr r="E37" s="1"/>
      </tp>
      <tp t="s">
        <v>11/15/2040</v>
        <stp/>
        <stp>##V3_BDPV12</stp>
        <stp>912810ST Govt</stp>
        <stp>MATURITY</stp>
        <stp>[TREASURY.xlsx]Sheet1!R90C5</stp>
        <tr r="E90" s="1"/>
      </tp>
      <tp t="s">
        <v>NORMAL</v>
        <stp/>
        <stp>##V3_BDPV12</stp>
        <stp>91282CCC Govt</stp>
        <stp>MTY_TYP</stp>
        <stp>[TREASURY.xlsx]Sheet1!R88C6</stp>
        <tr r="F88" s="1"/>
      </tp>
      <tp t="s">
        <v>NORMAL</v>
        <stp/>
        <stp>##V3_BDPV12</stp>
        <stp>91282CCD Govt</stp>
        <stp>MTY_TYP</stp>
        <stp>[TREASURY.xlsx]Sheet1!R58C6</stp>
        <tr r="F58" s="1"/>
      </tp>
      <tp t="s">
        <v>T</v>
        <stp/>
        <stp>##V3_BDPV12</stp>
        <stp>9128277K Govt</stp>
        <stp>TICKER</stp>
        <stp>[TREASURY.xlsx]Sheet1!R528C2</stp>
        <tr r="B528" s="1"/>
      </tp>
      <tp t="s">
        <v>NORMAL</v>
        <stp/>
        <stp>##V3_BDPV12</stp>
        <stp>91282CBV Govt</stp>
        <stp>MTY_TYP</stp>
        <stp>[TREASURY.xlsx]Sheet1!R89C6</stp>
        <tr r="F89" s="1"/>
      </tp>
      <tp t="s">
        <v>NORMAL</v>
        <stp/>
        <stp>##V3_BDPV12</stp>
        <stp>91282CBW Govt</stp>
        <stp>MTY_TYP</stp>
        <stp>[TREASURY.xlsx]Sheet1!R29C6</stp>
        <tr r="F29" s="1"/>
      </tp>
      <tp t="s">
        <v>T 2 1/8 09/30/21</v>
        <stp/>
        <stp>##V3_BDPV12</stp>
        <stp>912828F2 Govt</stp>
        <stp>SECURITY_NAME</stp>
        <stp>[TREASURY.xlsx]Sheet1!R207C16</stp>
        <tr r="P207" s="1"/>
      </tp>
      <tp t="s">
        <v>T</v>
        <stp/>
        <stp>##V3_BDPV12</stp>
        <stp>912828B3 Govt</stp>
        <stp>TICKER</stp>
        <stp>[TREASURY.xlsx]Sheet1!R1108C2</stp>
        <tr r="B1108" s="1"/>
      </tp>
      <tp t="s">
        <v>T</v>
        <stp/>
        <stp>##V3_BDPV12</stp>
        <stp>912827N2 Govt</stp>
        <stp>TICKER</stp>
        <stp>[TREASURY.xlsx]Sheet1!R1329C2</stp>
        <tr r="B1329" s="1"/>
      </tp>
      <tp t="s">
        <v>T</v>
        <stp/>
        <stp>##V3_BDPV12</stp>
        <stp>912827E9 Govt</stp>
        <stp>TICKER</stp>
        <stp>[TREASURY.xlsx]Sheet1!R1372C2</stp>
        <tr r="B1372" s="1"/>
      </tp>
      <tp t="s">
        <v>T</v>
        <stp/>
        <stp>##V3_BDPV12</stp>
        <stp>912827X8 Govt</stp>
        <stp>TICKER</stp>
        <stp>[TREASURY.xlsx]Sheet1!R1213C2</stp>
        <tr r="B1213" s="1"/>
      </tp>
      <tp t="s">
        <v>T</v>
        <stp/>
        <stp>##V3_BDPV12</stp>
        <stp>912827A2 Govt</stp>
        <stp>TICKER</stp>
        <stp>[TREASURY.xlsx]Sheet1!R1029C2</stp>
        <tr r="B1029" s="1"/>
      </tp>
      <tp t="s">
        <v>T</v>
        <stp/>
        <stp>##V3_BDPV12</stp>
        <stp>912827Z3 Govt</stp>
        <stp>TICKER</stp>
        <stp>[TREASURY.xlsx]Sheet1!R1608C2</stp>
        <tr r="B1608" s="1"/>
      </tp>
      <tp t="s">
        <v>T</v>
        <stp/>
        <stp>##V3_BDPV12</stp>
        <stp>912827M3 Govt</stp>
        <stp>TICKER</stp>
        <stp>[TREASURY.xlsx]Sheet1!R1568C2</stp>
        <tr r="B1568" s="1"/>
      </tp>
      <tp t="s">
        <v>T</v>
        <stp/>
        <stp>##V3_BDPV12</stp>
        <stp>912827B9 Govt</stp>
        <stp>TICKER</stp>
        <stp>[TREASURY.xlsx]Sheet1!R1552C2</stp>
        <tr r="B1552" s="1"/>
      </tp>
      <tp t="s">
        <v>T</v>
        <stp/>
        <stp>##V3_BDPV12</stp>
        <stp>912827K2 Govt</stp>
        <stp>TICKER</stp>
        <stp>[TREASURY.xlsx]Sheet1!R1489C2</stp>
        <tr r="B1489" s="1"/>
      </tp>
      <tp t="s">
        <v>T</v>
        <stp/>
        <stp>##V3_BDPV12</stp>
        <stp>912827C2 Govt</stp>
        <stp>TICKER</stp>
        <stp>[TREASURY.xlsx]Sheet1!R1479C2</stp>
        <tr r="B1479" s="1"/>
      </tp>
      <tp t="s">
        <v>T 1 1/2 10/31/19</v>
        <stp/>
        <stp>##V3_BDPV12</stp>
        <stp>912828F6 Govt</stp>
        <stp>SECURITY_NAME</stp>
        <stp>[TREASURY.xlsx]Sheet1!R411C16</stp>
        <tr r="P411" s="1"/>
      </tp>
      <tp t="s">
        <v>T 6 7/8 04/30/97</v>
        <stp/>
        <stp>##V3_BDPV12</stp>
        <stp>912827F2 Govt</stp>
        <stp>SECURITY_NAME</stp>
        <stp>[TREASURY.xlsx]Sheet1!R663C16</stp>
        <tr r="P663" s="1"/>
      </tp>
      <tp t="s">
        <v>T 1 3/4 09/30/19</v>
        <stp/>
        <stp>##V3_BDPV12</stp>
        <stp>912828F3 Govt</stp>
        <stp>SECURITY_NAME</stp>
        <stp>[TREASURY.xlsx]Sheet1!R406C16</stp>
        <tr r="P406" s="1"/>
      </tp>
      <tp t="s">
        <v>US91282CAF86</v>
        <stp/>
        <stp>##V3_BDPV12</stp>
        <stp>91282CAF Govt</stp>
        <stp>ID_ISIN</stp>
        <stp>[TREASURY.xlsx]Sheet1!R195C12</stp>
        <tr r="L195" s="1"/>
      </tp>
      <tp t="s">
        <v>US91282CAP68</v>
        <stp/>
        <stp>##V3_BDPV12</stp>
        <stp>91282CAP Govt</stp>
        <stp>ID_ISIN</stp>
        <stp>[TREASURY.xlsx]Sheet1!R151C12</stp>
        <tr r="L151" s="1"/>
      </tp>
      <tp t="s">
        <v>US91282CAY75</v>
        <stp/>
        <stp>##V3_BDPV12</stp>
        <stp>91282CAY Govt</stp>
        <stp>ID_ISIN</stp>
        <stp>[TREASURY.xlsx]Sheet1!R144C12</stp>
        <tr r="L144" s="1"/>
      </tp>
      <tp t="s">
        <v>US91282CAL54</v>
        <stp/>
        <stp>##V3_BDPV12</stp>
        <stp>91282CAL Govt</stp>
        <stp>ID_ISIN</stp>
        <stp>[TREASURY.xlsx]Sheet1!R142C12</stp>
        <tr r="L142" s="1"/>
      </tp>
      <tp t="s">
        <v>US91282CAH43</v>
        <stp/>
        <stp>##V3_BDPV12</stp>
        <stp>91282CAH Govt</stp>
        <stp>ID_ISIN</stp>
        <stp>[TREASURY.xlsx]Sheet1!R167C12</stp>
        <tr r="L167" s="1"/>
      </tp>
      <tp t="s">
        <v>US91282CBZ32</v>
        <stp/>
        <stp>##V3_BDPV12</stp>
        <stp>91282CBZ Govt</stp>
        <stp>ID_ISIN</stp>
        <stp>[TREASURY.xlsx]Sheet1!R126C12</stp>
        <tr r="L126" s="1"/>
      </tp>
      <tp t="s">
        <v>US91282CBJ99</v>
        <stp/>
        <stp>##V3_BDPV12</stp>
        <stp>91282CBJ Govt</stp>
        <stp>ID_ISIN</stp>
        <stp>[TREASURY.xlsx]Sheet1!R123C12</stp>
        <tr r="L123" s="1"/>
      </tp>
      <tp t="s">
        <v>US91282CAW10</v>
        <stp/>
        <stp>##V3_BDPV12</stp>
        <stp>91282CAW Govt</stp>
        <stp>ID_ISIN</stp>
        <stp>[TREASURY.xlsx]Sheet1!R109C12</stp>
        <tr r="L109" s="1"/>
      </tp>
      <tp t="s">
        <v>US91282CAU53</v>
        <stp/>
        <stp>##V3_BDPV12</stp>
        <stp>91282CAU Govt</stp>
        <stp>ID_ISIN</stp>
        <stp>[TREASURY.xlsx]Sheet1!R102C12</stp>
        <tr r="L102" s="1"/>
      </tp>
      <tp t="s">
        <v>US91282CBM29</v>
        <stp/>
        <stp>##V3_BDPV12</stp>
        <stp>91282CBM Govt</stp>
        <stp>ID_ISIN</stp>
        <stp>[TREASURY.xlsx]Sheet1!R107C12</stp>
        <tr r="L107" s="1"/>
      </tp>
      <tp t="s">
        <v>US91282CAD39</v>
        <stp/>
        <stp>##V3_BDPV12</stp>
        <stp>91282CAD Govt</stp>
        <stp>ID_ISIN</stp>
        <stp>[TREASURY.xlsx]Sheet1!R132C12</stp>
        <tr r="L132" s="1"/>
      </tp>
      <tp t="s">
        <v>US91282CAG69</v>
        <stp/>
        <stp>##V3_BDPV12</stp>
        <stp>91282CAG Govt</stp>
        <stp>ID_ISIN</stp>
        <stp>[TREASURY.xlsx]Sheet1!R133C12</stp>
        <tr r="L133" s="1"/>
      </tp>
      <tp t="s">
        <v>US91282CAC55</v>
        <stp/>
        <stp>##V3_BDPV12</stp>
        <stp>91282CAC Govt</stp>
        <stp>ID_ISIN</stp>
        <stp>[TREASURY.xlsx]Sheet1!R120C12</stp>
        <tr r="L120" s="1"/>
      </tp>
      <tp t="s">
        <v>US91282CBE03</v>
        <stp/>
        <stp>##V3_BDPV12</stp>
        <stp>91282CBE Govt</stp>
        <stp>ID_ISIN</stp>
        <stp>[TREASURY.xlsx]Sheet1!R115C12</stp>
        <tr r="L115" s="1"/>
      </tp>
      <tp t="s">
        <v>US91282CBB63</v>
        <stp/>
        <stp>##V3_BDPV12</stp>
        <stp>91282CBB Govt</stp>
        <stp>ID_ISIN</stp>
        <stp>[TREASURY.xlsx]Sheet1!R114C12</stp>
        <tr r="L114" s="1"/>
      </tp>
      <tp t="s">
        <v>T 2 10/31/21</v>
        <stp/>
        <stp>##V3_BDPV12</stp>
        <stp>912828F9 Govt</stp>
        <stp>SECURITY_NAME</stp>
        <stp>[TREASURY.xlsx]Sheet1!R199C16</stp>
        <tr r="P199" s="1"/>
      </tp>
      <tp t="s">
        <v>USD</v>
        <stp/>
        <stp>##V3_BDPV12</stp>
        <stp>9128276Y Govt</stp>
        <stp>CRNCY</stp>
        <stp>[TREASURY.xlsx]Sheet1!R1542C7</stp>
        <tr r="G1542" s="1"/>
      </tp>
      <tp t="s">
        <v>8/31/2001</v>
        <stp/>
        <stp>##V3_BDPV12</stp>
        <stp>9128277C Govt</stp>
        <stp>ISSUE_DT</stp>
        <stp>[TREASURY.xlsx]Sheet1!R1544C15</stp>
        <tr r="O1544" s="1"/>
      </tp>
      <tp t="s">
        <v>11/15/2001</v>
        <stp/>
        <stp>##V3_BDPV12</stp>
        <stp>9128277F Govt</stp>
        <stp>ISSUE_DT</stp>
        <stp>[TREASURY.xlsx]Sheet1!R1027C15</stp>
        <tr r="O1027" s="1"/>
      </tp>
      <tp t="s">
        <v>USD</v>
        <stp/>
        <stp>##V3_BDPV12</stp>
        <stp>9128276C Govt</stp>
        <stp>CRNCY</stp>
        <stp>[TREASURY.xlsx]Sheet1!R1022C7</stp>
        <tr r="G1022" s="1"/>
      </tp>
      <tp t="s">
        <v>7/31/2001</v>
        <stp/>
        <stp>##V3_BDPV12</stp>
        <stp>9128277A Govt</stp>
        <stp>ISSUE_DT</stp>
        <stp>[TREASURY.xlsx]Sheet1!R1543C15</stp>
        <tr r="O1543" s="1"/>
      </tp>
      <tp t="s">
        <v>USD</v>
        <stp/>
        <stp>##V3_BDPV12</stp>
        <stp>9128277A Govt</stp>
        <stp>CRNCY</stp>
        <stp>[TREASURY.xlsx]Sheet1!R1543C7</stp>
        <tr r="G1543" s="1"/>
      </tp>
      <tp t="s">
        <v>11/30/2001</v>
        <stp/>
        <stp>##V3_BDPV12</stp>
        <stp>9128277G Govt</stp>
        <stp>ISSUE_DT</stp>
        <stp>[TREASURY.xlsx]Sheet1!R1471C15</stp>
        <tr r="O1471" s="1"/>
      </tp>
      <tp t="s">
        <v>10/1/2001</v>
        <stp/>
        <stp>##V3_BDPV12</stp>
        <stp>9128277D Govt</stp>
        <stp>ISSUE_DT</stp>
        <stp>[TREASURY.xlsx]Sheet1!R1470C15</stp>
        <tr r="O1470" s="1"/>
      </tp>
      <tp t="s">
        <v>10/31/2001</v>
        <stp/>
        <stp>##V3_BDPV12</stp>
        <stp>9128277E Govt</stp>
        <stp>ISSUE_DT</stp>
        <stp>[TREASURY.xlsx]Sheet1!R1545C15</stp>
        <tr r="O1545" s="1"/>
      </tp>
      <tp t="s">
        <v>USD</v>
        <stp/>
        <stp>##V3_BDPV12</stp>
        <stp>9128273H Govt</stp>
        <stp>CRNCY</stp>
        <stp>[TREASURY.xlsx]Sheet1!R1527C7</stp>
        <tr r="G1527" s="1"/>
      </tp>
      <tp t="s">
        <v>USD</v>
        <stp/>
        <stp>##V3_BDPV12</stp>
        <stp>9128274H Govt</stp>
        <stp>CRNCY</stp>
        <stp>[TREASURY.xlsx]Sheet1!R1460C7</stp>
        <tr r="G1460" s="1"/>
      </tp>
      <tp t="s">
        <v>2/28/2002</v>
        <stp/>
        <stp>##V3_BDPV12</stp>
        <stp>9128277M Govt</stp>
        <stp>ISSUE_DT</stp>
        <stp>[TREASURY.xlsx]Sheet1!R1472C15</stp>
        <tr r="O1472" s="1"/>
      </tp>
      <tp t="s">
        <v>2/15/2002</v>
        <stp/>
        <stp>##V3_BDPV12</stp>
        <stp>9128277L Govt</stp>
        <stp>ISSUE_DT</stp>
        <stp>[TREASURY.xlsx]Sheet1!R1546C15</stp>
        <tr r="O1546" s="1"/>
      </tp>
      <tp t="s">
        <v>12/31/2001</v>
        <stp/>
        <stp>##V3_BDPV12</stp>
        <stp>9128277H Govt</stp>
        <stp>ISSUE_DT</stp>
        <stp>[TREASURY.xlsx]Sheet1!R1028C15</stp>
        <tr r="O1028" s="1"/>
      </tp>
      <tp t="s">
        <v>USD</v>
        <stp/>
        <stp>##V3_BDPV12</stp>
        <stp>9128273M Govt</stp>
        <stp>CRNCY</stp>
        <stp>[TREASURY.xlsx]Sheet1!R1357C7</stp>
        <tr r="G1357" s="1"/>
      </tp>
      <tp t="s">
        <v>T 4 1/2 05/15/17</v>
        <stp/>
        <stp>##V3_BDPV12</stp>
        <stp>912828GS Govt</stp>
        <stp>SECURITY_NAME</stp>
        <stp>[TREASURY.xlsx]Sheet1!R615C16</stp>
        <tr r="P615" s="1"/>
      </tp>
      <tp t="s">
        <v>T 4 1/2 05/15/10</v>
        <stp/>
        <stp>##V3_BDPV12</stp>
        <stp>912828GR Govt</stp>
        <stp>SECURITY_NAME</stp>
        <stp>[TREASURY.xlsx]Sheet1!R504C16</stp>
        <tr r="P504" s="1"/>
      </tp>
      <tp t="s">
        <v>T 4 1/2 04/30/12</v>
        <stp/>
        <stp>##V3_BDPV12</stp>
        <stp>912828GQ Govt</stp>
        <stp>SECURITY_NAME</stp>
        <stp>[TREASURY.xlsx]Sheet1!R672C16</stp>
        <tr r="P672" s="1"/>
      </tp>
      <tp t="s">
        <v>T 4 1/2 04/30/09</v>
        <stp/>
        <stp>##V3_BDPV12</stp>
        <stp>912828GP Govt</stp>
        <stp>SECURITY_NAME</stp>
        <stp>[TREASURY.xlsx]Sheet1!R803C16</stp>
        <tr r="P803" s="1"/>
      </tp>
      <tp t="s">
        <v>T 4 3/4 05/31/12</v>
        <stp/>
        <stp>##V3_BDPV12</stp>
        <stp>912828GU Govt</stp>
        <stp>SECURITY_NAME</stp>
        <stp>[TREASURY.xlsx]Sheet1!R848C16</stp>
        <tr r="P848" s="1"/>
      </tp>
      <tp t="s">
        <v>T 4 7/8 05/31/09</v>
        <stp/>
        <stp>##V3_BDPV12</stp>
        <stp>912828GT Govt</stp>
        <stp>SECURITY_NAME</stp>
        <stp>[TREASURY.xlsx]Sheet1!R804C16</stp>
        <tr r="P804" s="1"/>
      </tp>
      <tp t="s">
        <v>T 4 7/8 06/30/09</v>
        <stp/>
        <stp>##V3_BDPV12</stp>
        <stp>912828GV Govt</stp>
        <stp>SECURITY_NAME</stp>
        <stp>[TREASURY.xlsx]Sheet1!R805C16</stp>
        <tr r="P805" s="1"/>
      </tp>
      <tp t="s">
        <v>T 4 3/4 02/28/09</v>
        <stp/>
        <stp>##V3_BDPV12</stp>
        <stp>912828GJ Govt</stp>
        <stp>SECURITY_NAME</stp>
        <stp>[TREASURY.xlsx]Sheet1!R802C16</stp>
        <tr r="P802" s="1"/>
      </tp>
      <tp t="s">
        <v>T 4 1/2 03/31/09</v>
        <stp/>
        <stp>##V3_BDPV12</stp>
        <stp>912828GL Govt</stp>
        <stp>SECURITY_NAME</stp>
        <stp>[TREASURY.xlsx]Sheet1!R847C16</stp>
        <tr r="P847" s="1"/>
      </tp>
      <tp t="s">
        <v>T 4 1/2 11/30/11</v>
        <stp/>
        <stp>##V3_BDPV12</stp>
        <stp>912828GA Govt</stp>
        <stp>SECURITY_NAME</stp>
        <stp>[TREASURY.xlsx]Sheet1!R801C16</stp>
        <tr r="P801" s="1"/>
      </tp>
      <tp t="s">
        <v>T 4 3/4 02/15/10</v>
        <stp/>
        <stp>##V3_BDPV12</stp>
        <stp>912828GG Govt</stp>
        <stp>SECURITY_NAME</stp>
        <stp>[TREASURY.xlsx]Sheet1!R967C16</stp>
        <tr r="P967" s="1"/>
      </tp>
      <tp t="s">
        <v>T 4 1/2 03/31/12</v>
        <stp/>
        <stp>##V3_BDPV12</stp>
        <stp>912828GM Govt</stp>
        <stp>SECURITY_NAME</stp>
        <stp>[TREASURY.xlsx]Sheet1!R379C16</stp>
        <tr r="P379" s="1"/>
      </tp>
      <tp t="s">
        <v>NORMAL</v>
        <stp/>
        <stp>##V3_BDPV12</stp>
        <stp>912828K7 Govt</stp>
        <stp>MTY_TYP</stp>
        <stp>[TREASURY.xlsx]Sheet1!R81C6</stp>
        <tr r="F81" s="1"/>
      </tp>
      <tp t="s">
        <v>912810DA3</v>
        <stp/>
        <stp>##V3_BDPV12</stp>
        <stp>912810DA Govt</stp>
        <stp>ID_CUSIP</stp>
        <stp>[TREASURY.xlsx]Sheet1!R529C19</stp>
        <tr r="S529" s="1"/>
      </tp>
      <tp t="s">
        <v>912810EH7</v>
        <stp/>
        <stp>##V3_BDPV12</stp>
        <stp>912810EH Govt</stp>
        <stp>ID_CUSIP</stp>
        <stp>[TREASURY.xlsx]Sheet1!R400C19</stp>
        <tr r="S400" s="1"/>
      </tp>
      <tp t="s">
        <v>912810DV7</v>
        <stp/>
        <stp>##V3_BDPV12</stp>
        <stp>912810DV Govt</stp>
        <stp>ID_CUSIP</stp>
        <stp>[TREASURY.xlsx]Sheet1!R527C19</stp>
        <tr r="S527" s="1"/>
      </tp>
      <tp t="s">
        <v>912810EE4</v>
        <stp/>
        <stp>##V3_BDPV12</stp>
        <stp>912810EE Govt</stp>
        <stp>ID_CUSIP</stp>
        <stp>[TREASURY.xlsx]Sheet1!R503C19</stp>
        <tr r="S503" s="1"/>
      </tp>
      <tp t="s">
        <v>912810EJ3</v>
        <stp/>
        <stp>##V3_BDPV12</stp>
        <stp>912810EJ Govt</stp>
        <stp>ID_CUSIP</stp>
        <stp>[TREASURY.xlsx]Sheet1!R521C19</stp>
        <tr r="S521" s="1"/>
      </tp>
      <tp t="s">
        <v>912810DU9</v>
        <stp/>
        <stp>##V3_BDPV12</stp>
        <stp>912810DU Govt</stp>
        <stp>ID_CUSIP</stp>
        <stp>[TREASURY.xlsx]Sheet1!R432C19</stp>
        <tr r="S432" s="1"/>
      </tp>
      <tp t="s">
        <v>912810DS4</v>
        <stp/>
        <stp>##V3_BDPV12</stp>
        <stp>912810DS Govt</stp>
        <stp>ID_CUSIP</stp>
        <stp>[TREASURY.xlsx]Sheet1!R454C19</stp>
        <tr r="S454" s="1"/>
      </tp>
      <tp t="s">
        <v>912810DX3</v>
        <stp/>
        <stp>##V3_BDPV12</stp>
        <stp>912810DX Govt</stp>
        <stp>ID_CUSIP</stp>
        <stp>[TREASURY.xlsx]Sheet1!R461C19</stp>
        <tr r="S461" s="1"/>
      </tp>
      <tp t="s">
        <v>912810EF1</v>
        <stp/>
        <stp>##V3_BDPV12</stp>
        <stp>912810EF Govt</stp>
        <stp>ID_CUSIP</stp>
        <stp>[TREASURY.xlsx]Sheet1!R606C19</stp>
        <tr r="S606" s="1"/>
      </tp>
      <tp t="s">
        <v>912810EC8</v>
        <stp/>
        <stp>##V3_BDPV12</stp>
        <stp>912810EC Govt</stp>
        <stp>ID_CUSIP</stp>
        <stp>[TREASURY.xlsx]Sheet1!R612C19</stp>
        <tr r="S612" s="1"/>
      </tp>
      <tp t="s">
        <v>912810ED6</v>
        <stp/>
        <stp>##V3_BDPV12</stp>
        <stp>912810ED Govt</stp>
        <stp>ID_CUSIP</stp>
        <stp>[TREASURY.xlsx]Sheet1!R664C19</stp>
        <tr r="S664" s="1"/>
      </tp>
      <tp t="s">
        <v>912810DM7</v>
        <stp/>
        <stp>##V3_BDPV12</stp>
        <stp>912810DM Govt</stp>
        <stp>ID_CUSIP</stp>
        <stp>[TREASURY.xlsx]Sheet1!R697C19</stp>
        <tr r="S697" s="1"/>
      </tp>
      <tp t="s">
        <v>912810DW5</v>
        <stp/>
        <stp>##V3_BDPV12</stp>
        <stp>912810DW Govt</stp>
        <stp>ID_CUSIP</stp>
        <stp>[TREASURY.xlsx]Sheet1!R609C19</stp>
        <tr r="S609" s="1"/>
      </tp>
      <tp t="s">
        <v>912810DZ8</v>
        <stp/>
        <stp>##V3_BDPV12</stp>
        <stp>912810DZ Govt</stp>
        <stp>ID_CUSIP</stp>
        <stp>[TREASURY.xlsx]Sheet1!R699C19</stp>
        <tr r="S699" s="1"/>
      </tp>
      <tp t="s">
        <v>912810DP0</v>
        <stp/>
        <stp>##V3_BDPV12</stp>
        <stp>912810DP Govt</stp>
        <stp>ID_CUSIP</stp>
        <stp>[TREASURY.xlsx]Sheet1!R698C19</stp>
        <tr r="S698" s="1"/>
      </tp>
      <tp t="s">
        <v>8/15/2050</v>
        <stp/>
        <stp>##V3_BDPV12</stp>
        <stp>912810SP Govt</stp>
        <stp>MATURITY</stp>
        <stp>[TREASURY.xlsx]Sheet1!R35C5</stp>
        <tr r="E35" s="1"/>
      </tp>
      <tp t="s">
        <v>912810FB9</v>
        <stp/>
        <stp>##V3_BDPV12</stp>
        <stp>912810FB Govt</stp>
        <stp>ID_CUSIP</stp>
        <stp>[TREASURY.xlsx]Sheet1!R320C19</stp>
        <tr r="S320" s="1"/>
      </tp>
      <tp t="s">
        <v>912810FA1</v>
        <stp/>
        <stp>##V3_BDPV12</stp>
        <stp>912810FA Govt</stp>
        <stp>ID_CUSIP</stp>
        <stp>[TREASURY.xlsx]Sheet1!R314C19</stp>
        <tr r="S314" s="1"/>
      </tp>
      <tp t="s">
        <v>912810CS5</v>
        <stp/>
        <stp>##V3_BDPV12</stp>
        <stp>912810CS Govt</stp>
        <stp>ID_CUSIP</stp>
        <stp>[TREASURY.xlsx]Sheet1!R660C19</stp>
        <tr r="S660" s="1"/>
      </tp>
      <tp t="s">
        <v>912810CX4</v>
        <stp/>
        <stp>##V3_BDPV12</stp>
        <stp>912810CX Govt</stp>
        <stp>ID_CUSIP</stp>
        <stp>[TREASURY.xlsx]Sheet1!R661C19</stp>
        <tr r="S661" s="1"/>
      </tp>
      <tp t="s">
        <v>912810FG8</v>
        <stp/>
        <stp>##V3_BDPV12</stp>
        <stp>912810FG Govt</stp>
        <stp>ID_CUSIP</stp>
        <stp>[TREASURY.xlsx]Sheet1!R223C19</stp>
        <tr r="S223" s="1"/>
      </tp>
      <tp t="s">
        <v>912810FE3</v>
        <stp/>
        <stp>##V3_BDPV12</stp>
        <stp>912810FE Govt</stp>
        <stp>ID_CUSIP</stp>
        <stp>[TREASURY.xlsx]Sheet1!R253C19</stp>
        <tr r="S253" s="1"/>
      </tp>
      <tp t="s">
        <v>912810FJ2</v>
        <stp/>
        <stp>##V3_BDPV12</stp>
        <stp>912810FJ Govt</stp>
        <stp>ID_CUSIP</stp>
        <stp>[TREASURY.xlsx]Sheet1!R267C19</stp>
        <tr r="S267" s="1"/>
      </tp>
      <tp t="s">
        <v>912810FF0</v>
        <stp/>
        <stp>##V3_BDPV12</stp>
        <stp>912810FF Govt</stp>
        <stp>ID_CUSIP</stp>
        <stp>[TREASURY.xlsx]Sheet1!R292C19</stp>
        <tr r="S292" s="1"/>
      </tp>
      <tp t="s">
        <v>912810FM5</v>
        <stp/>
        <stp>##V3_BDPV12</stp>
        <stp>912810FM Govt</stp>
        <stp>ID_CUSIP</stp>
        <stp>[TREASURY.xlsx]Sheet1!R188C19</stp>
        <tr r="S188" s="1"/>
      </tp>
      <tp t="s">
        <v>912810DJ4</v>
        <stp/>
        <stp>##V3_BDPV12</stp>
        <stp>912810DJ Govt</stp>
        <stp>ID_CUSIP</stp>
        <stp>[TREASURY.xlsx]Sheet1!R399C19</stp>
        <tr r="S399" s="1"/>
      </tp>
      <tp t="s">
        <v>912810EL8</v>
        <stp/>
        <stp>##V3_BDPV12</stp>
        <stp>912810EL Govt</stp>
        <stp>ID_CUSIP</stp>
        <stp>[TREASURY.xlsx]Sheet1!R211C19</stp>
        <tr r="S211" s="1"/>
      </tp>
      <tp t="s">
        <v>912810CP1</v>
        <stp/>
        <stp>##V3_BDPV12</stp>
        <stp>912810CP Govt</stp>
        <stp>ID_CUSIP</stp>
        <stp>[TREASURY.xlsx]Sheet1!R405C19</stp>
        <tr r="S405" s="1"/>
      </tp>
      <tp t="s">
        <v>912810EW4</v>
        <stp/>
        <stp>##V3_BDPV12</stp>
        <stp>912810EW Govt</stp>
        <stp>ID_CUSIP</stp>
        <stp>[TREASURY.xlsx]Sheet1!R277C19</stp>
        <tr r="S277" s="1"/>
      </tp>
      <tp t="s">
        <v>912810CY2</v>
        <stp/>
        <stp>##V3_BDPV12</stp>
        <stp>912810CY Govt</stp>
        <stp>ID_CUSIP</stp>
        <stp>[TREASURY.xlsx]Sheet1!R414C19</stp>
        <tr r="S414" s="1"/>
      </tp>
      <tp t="s">
        <v>912810EQ7</v>
        <stp/>
        <stp>##V3_BDPV12</stp>
        <stp>912810EQ Govt</stp>
        <stp>ID_CUSIP</stp>
        <stp>[TREASURY.xlsx]Sheet1!R298C19</stp>
        <tr r="S298" s="1"/>
      </tp>
      <tp t="s">
        <v>8/15/2028</v>
        <stp/>
        <stp>##V3_BDPV12</stp>
        <stp>9128284V Govt</stp>
        <stp>MATURITY</stp>
        <stp>[TREASURY.xlsx]Sheet1!R23C5</stp>
        <tr r="E23" s="1"/>
      </tp>
      <tp t="s">
        <v>912810CC0</v>
        <stp/>
        <stp>##V3_BDPV12</stp>
        <stp>912810CC Govt</stp>
        <stp>ID_CUSIP</stp>
        <stp>[TREASURY.xlsx]Sheet1!R526C19</stp>
        <tr r="S526" s="1"/>
      </tp>
      <tp t="s">
        <v>912810EM6</v>
        <stp/>
        <stp>##V3_BDPV12</stp>
        <stp>912810EM Govt</stp>
        <stp>ID_CUSIP</stp>
        <stp>[TREASURY.xlsx]Sheet1!R304C19</stp>
        <tr r="S304" s="1"/>
      </tp>
      <tp t="s">
        <v>912810EK0</v>
        <stp/>
        <stp>##V3_BDPV12</stp>
        <stp>912810EK Govt</stp>
        <stp>ID_CUSIP</stp>
        <stp>[TREASURY.xlsx]Sheet1!R357C19</stp>
        <tr r="S357" s="1"/>
      </tp>
      <tp t="s">
        <v>912810EN4</v>
        <stp/>
        <stp>##V3_BDPV12</stp>
        <stp>912810EN Govt</stp>
        <stp>ID_CUSIP</stp>
        <stp>[TREASURY.xlsx]Sheet1!R319C19</stp>
        <tr r="S319" s="1"/>
      </tp>
      <tp t="s">
        <v>912810CT3</v>
        <stp/>
        <stp>##V3_BDPV12</stp>
        <stp>912810CT Govt</stp>
        <stp>ID_CUSIP</stp>
        <stp>[TREASURY.xlsx]Sheet1!R501C19</stp>
        <tr r="S501" s="1"/>
      </tp>
      <tp t="s">
        <v>912810EV6</v>
        <stp/>
        <stp>##V3_BDPV12</stp>
        <stp>912810EV Govt</stp>
        <stp>ID_CUSIP</stp>
        <stp>[TREASURY.xlsx]Sheet1!R326C19</stp>
        <tr r="S326" s="1"/>
      </tp>
      <tp t="s">
        <v>912810ET1</v>
        <stp/>
        <stp>##V3_BDPV12</stp>
        <stp>912810ET Govt</stp>
        <stp>ID_CUSIP</stp>
        <stp>[TREASURY.xlsx]Sheet1!R313C19</stp>
        <tr r="S313" s="1"/>
      </tp>
      <tp t="s">
        <v>912810EP9</v>
        <stp/>
        <stp>##V3_BDPV12</stp>
        <stp>912810EP Govt</stp>
        <stp>ID_CUSIP</stp>
        <stp>[TREASURY.xlsx]Sheet1!R317C19</stp>
        <tr r="S317" s="1"/>
      </tp>
      <tp t="s">
        <v>912810ES3</v>
        <stp/>
        <stp>##V3_BDPV12</stp>
        <stp>912810ES Govt</stp>
        <stp>ID_CUSIP</stp>
        <stp>[TREASURY.xlsx]Sheet1!R312C19</stp>
        <tr r="S312" s="1"/>
      </tp>
      <tp t="s">
        <v>912810EZ7</v>
        <stp/>
        <stp>##V3_BDPV12</stp>
        <stp>912810EZ Govt</stp>
        <stp>ID_CUSIP</stp>
        <stp>[TREASURY.xlsx]Sheet1!R323C19</stp>
        <tr r="S323" s="1"/>
      </tp>
      <tp t="s">
        <v>912810EX2</v>
        <stp/>
        <stp>##V3_BDPV12</stp>
        <stp>912810EX Govt</stp>
        <stp>ID_CUSIP</stp>
        <stp>[TREASURY.xlsx]Sheet1!R324C19</stp>
        <tr r="S324" s="1"/>
      </tp>
      <tp t="s">
        <v>912810EY0</v>
        <stp/>
        <stp>##V3_BDPV12</stp>
        <stp>912810EY Govt</stp>
        <stp>ID_CUSIP</stp>
        <stp>[TREASURY.xlsx]Sheet1!R328C19</stp>
        <tr r="S328" s="1"/>
      </tp>
      <tp t="s">
        <v>NORMAL</v>
        <stp/>
        <stp>##V3_BDPV12</stp>
        <stp>91282CBA Govt</stp>
        <stp>MTY_TYP</stp>
        <stp>[TREASURY.xlsx]Sheet1!R78C6</stp>
        <tr r="F78" s="1"/>
      </tp>
      <tp t="s">
        <v>912810SC3</v>
        <stp/>
        <stp>##V3_BDPV12</stp>
        <stp>912810SC Govt</stp>
        <stp>ID_CUSIP</stp>
        <stp>[TREASURY.xlsx]Sheet1!R243C19</stp>
        <tr r="S243" s="1"/>
      </tp>
      <tp t="s">
        <v>912810RB6</v>
        <stp/>
        <stp>##V3_BDPV12</stp>
        <stp>912810RB Govt</stp>
        <stp>ID_CUSIP</stp>
        <stp>[TREASURY.xlsx]Sheet1!R269C19</stp>
        <tr r="S269" s="1"/>
      </tp>
      <tp t="s">
        <v>912810RC4</v>
        <stp/>
        <stp>##V3_BDPV12</stp>
        <stp>912810RC Govt</stp>
        <stp>ID_CUSIP</stp>
        <stp>[TREASURY.xlsx]Sheet1!R263C19</stp>
        <tr r="S263" s="1"/>
      </tp>
      <tp t="s">
        <v>912810RN0</v>
        <stp/>
        <stp>##V3_BDPV12</stp>
        <stp>912810RN Govt</stp>
        <stp>ID_CUSIP</stp>
        <stp>[TREASURY.xlsx]Sheet1!R293C19</stp>
        <tr r="S293" s="1"/>
      </tp>
      <tp t="s">
        <v>912810RD2</v>
        <stp/>
        <stp>##V3_BDPV12</stp>
        <stp>912810RD Govt</stp>
        <stp>ID_CUSIP</stp>
        <stp>[TREASURY.xlsx]Sheet1!R235C19</stp>
        <tr r="S235" s="1"/>
      </tp>
      <tp t="s">
        <v>912810RE0</v>
        <stp/>
        <stp>##V3_BDPV12</stp>
        <stp>912810RE Govt</stp>
        <stp>ID_CUSIP</stp>
        <stp>[TREASURY.xlsx]Sheet1!R295C19</stp>
        <tr r="S295" s="1"/>
      </tp>
      <tp t="s">
        <v>912810RH3</v>
        <stp/>
        <stp>##V3_BDPV12</stp>
        <stp>912810RH Govt</stp>
        <stp>ID_CUSIP</stp>
        <stp>[TREASURY.xlsx]Sheet1!R259C19</stp>
        <tr r="S259" s="1"/>
      </tp>
      <tp t="s">
        <v>912810RG5</v>
        <stp/>
        <stp>##V3_BDPV12</stp>
        <stp>912810RG Govt</stp>
        <stp>ID_CUSIP</stp>
        <stp>[TREASURY.xlsx]Sheet1!R284C19</stp>
        <tr r="S284" s="1"/>
      </tp>
      <tp t="s">
        <v>912810RP5</v>
        <stp/>
        <stp>##V3_BDPV12</stp>
        <stp>912810RP Govt</stp>
        <stp>ID_CUSIP</stp>
        <stp>[TREASURY.xlsx]Sheet1!R278C19</stp>
        <tr r="S278" s="1"/>
      </tp>
      <tp t="s">
        <v>912810RZ3</v>
        <stp/>
        <stp>##V3_BDPV12</stp>
        <stp>912810RZ Govt</stp>
        <stp>ID_CUSIP</stp>
        <stp>[TREASURY.xlsx]Sheet1!R273C19</stp>
        <tr r="S273" s="1"/>
      </tp>
      <tp t="s">
        <v>912810QB7</v>
        <stp/>
        <stp>##V3_BDPV12</stp>
        <stp>912810QB Govt</stp>
        <stp>ID_CUSIP</stp>
        <stp>[TREASURY.xlsx]Sheet1!R274C19</stp>
        <tr r="S274" s="1"/>
      </tp>
      <tp t="s">
        <v>912810QN1</v>
        <stp/>
        <stp>##V3_BDPV12</stp>
        <stp>912810QN Govt</stp>
        <stp>ID_CUSIP</stp>
        <stp>[TREASURY.xlsx]Sheet1!R291C19</stp>
        <tr r="S291" s="1"/>
      </tp>
      <tp t="s">
        <v>912810RJ9</v>
        <stp/>
        <stp>##V3_BDPV12</stp>
        <stp>912810RJ Govt</stp>
        <stp>ID_CUSIP</stp>
        <stp>[TREASURY.xlsx]Sheet1!R180C19</stp>
        <tr r="S180" s="1"/>
      </tp>
      <tp t="s">
        <v>912810QK7</v>
        <stp/>
        <stp>##V3_BDPV12</stp>
        <stp>912810QK Govt</stp>
        <stp>ID_CUSIP</stp>
        <stp>[TREASURY.xlsx]Sheet1!R238C19</stp>
        <tr r="S238" s="1"/>
      </tp>
      <tp t="s">
        <v>912810QA9</v>
        <stp/>
        <stp>##V3_BDPV12</stp>
        <stp>912810QA Govt</stp>
        <stp>ID_CUSIP</stp>
        <stp>[TREASURY.xlsx]Sheet1!R280C19</stp>
        <tr r="S280" s="1"/>
      </tp>
      <tp t="s">
        <v>912810RM2</v>
        <stp/>
        <stp>##V3_BDPV12</stp>
        <stp>912810RM Govt</stp>
        <stp>ID_CUSIP</stp>
        <stp>[TREASURY.xlsx]Sheet1!R176C19</stp>
        <tr r="S176" s="1"/>
      </tp>
      <tp t="s">
        <v>912810RK6</v>
        <stp/>
        <stp>##V3_BDPV12</stp>
        <stp>912810RK Govt</stp>
        <stp>ID_CUSIP</stp>
        <stp>[TREASURY.xlsx]Sheet1!R103C19</stp>
        <tr r="S103" s="1"/>
      </tp>
      <tp t="s">
        <v>912810RS9</v>
        <stp/>
        <stp>##V3_BDPV12</stp>
        <stp>912810RS Govt</stp>
        <stp>ID_CUSIP</stp>
        <stp>[TREASURY.xlsx]Sheet1!R163C19</stp>
        <tr r="S163" s="1"/>
      </tp>
      <tp t="s">
        <v>912810RQ3</v>
        <stp/>
        <stp>##V3_BDPV12</stp>
        <stp>912810RQ Govt</stp>
        <stp>ID_CUSIP</stp>
        <stp>[TREASURY.xlsx]Sheet1!R172C19</stp>
        <tr r="S172" s="1"/>
      </tp>
      <tp t="s">
        <v>912810QT8</v>
        <stp/>
        <stp>##V3_BDPV12</stp>
        <stp>912810QT Govt</stp>
        <stp>ID_CUSIP</stp>
        <stp>[TREASURY.xlsx]Sheet1!R237C19</stp>
        <tr r="S237" s="1"/>
      </tp>
      <tp t="s">
        <v>912810RY6</v>
        <stp/>
        <stp>##V3_BDPV12</stp>
        <stp>912810RY Govt</stp>
        <stp>ID_CUSIP</stp>
        <stp>[TREASURY.xlsx]Sheet1!R191C19</stp>
        <tr r="S191" s="1"/>
      </tp>
      <tp t="s">
        <v>912810RU4</v>
        <stp/>
        <stp>##V3_BDPV12</stp>
        <stp>912810RU Govt</stp>
        <stp>ID_CUSIP</stp>
        <stp>[TREASURY.xlsx]Sheet1!R154C19</stp>
        <tr r="S154" s="1"/>
      </tp>
      <tp t="s">
        <v>912810RX8</v>
        <stp/>
        <stp>##V3_BDPV12</stp>
        <stp>912810RX Govt</stp>
        <stp>ID_CUSIP</stp>
        <stp>[TREASURY.xlsx]Sheet1!R197C19</stp>
        <tr r="S197" s="1"/>
      </tp>
      <tp t="s">
        <v>912810QU5</v>
        <stp/>
        <stp>##V3_BDPV12</stp>
        <stp>912810QU Govt</stp>
        <stp>ID_CUSIP</stp>
        <stp>[TREASURY.xlsx]Sheet1!R287C19</stp>
        <tr r="S287" s="1"/>
      </tp>
      <tp t="s">
        <v>912810QY7</v>
        <stp/>
        <stp>##V3_BDPV12</stp>
        <stp>912810QY Govt</stp>
        <stp>ID_CUSIP</stp>
        <stp>[TREASURY.xlsx]Sheet1!R270C19</stp>
        <tr r="S270" s="1"/>
      </tp>
      <tp t="s">
        <v>912810QX9</v>
        <stp/>
        <stp>##V3_BDPV12</stp>
        <stp>912810QX Govt</stp>
        <stp>ID_CUSIP</stp>
        <stp>[TREASURY.xlsx]Sheet1!R275C19</stp>
        <tr r="S275" s="1"/>
      </tp>
      <tp t="s">
        <v>912810QW1</v>
        <stp/>
        <stp>##V3_BDPV12</stp>
        <stp>912810QW Govt</stp>
        <stp>ID_CUSIP</stp>
        <stp>[TREASURY.xlsx]Sheet1!R286C19</stp>
        <tr r="S286" s="1"/>
      </tp>
      <tp t="s">
        <v>T</v>
        <stp/>
        <stp>##V3_BDPV12</stp>
        <stp>9128286M Govt</stp>
        <stp>TICKER</stp>
        <stp>[TREASURY.xlsx]Sheet1!R218C2</stp>
        <tr r="B218" s="1"/>
      </tp>
      <tp t="s">
        <v>912810QD3</v>
        <stp/>
        <stp>##V3_BDPV12</stp>
        <stp>912810QD Govt</stp>
        <stp>ID_CUSIP</stp>
        <stp>[TREASURY.xlsx]Sheet1!R311C19</stp>
        <tr r="S311" s="1"/>
      </tp>
      <tp t="s">
        <v>912810QE1</v>
        <stp/>
        <stp>##V3_BDPV12</stp>
        <stp>912810QE Govt</stp>
        <stp>ID_CUSIP</stp>
        <stp>[TREASURY.xlsx]Sheet1!R302C19</stp>
        <tr r="S302" s="1"/>
      </tp>
      <tp t="s">
        <v>912810SA7</v>
        <stp/>
        <stp>##V3_BDPV12</stp>
        <stp>912810SA Govt</stp>
        <stp>ID_CUSIP</stp>
        <stp>[TREASURY.xlsx]Sheet1!R146C19</stp>
        <tr r="S146" s="1"/>
      </tp>
      <tp t="s">
        <v>912810SE9</v>
        <stp/>
        <stp>##V3_BDPV12</stp>
        <stp>912810SE Govt</stp>
        <stp>ID_CUSIP</stp>
        <stp>[TREASURY.xlsx]Sheet1!R152C19</stp>
        <tr r="S152" s="1"/>
      </tp>
      <tp t="s">
        <v>912810SF6</v>
        <stp/>
        <stp>##V3_BDPV12</stp>
        <stp>912810SF Govt</stp>
        <stp>ID_CUSIP</stp>
        <stp>[TREASURY.xlsx]Sheet1!R177C19</stp>
        <tr r="S177" s="1"/>
      </tp>
      <tp t="s">
        <v>912810QC5</v>
        <stp/>
        <stp>##V3_BDPV12</stp>
        <stp>912810QC Govt</stp>
        <stp>ID_CUSIP</stp>
        <stp>[TREASURY.xlsx]Sheet1!R318C19</stp>
        <tr r="S318" s="1"/>
      </tp>
      <tp t="s">
        <v>912810SD1</v>
        <stp/>
        <stp>##V3_BDPV12</stp>
        <stp>912810SD Govt</stp>
        <stp>ID_CUSIP</stp>
        <stp>[TREASURY.xlsx]Sheet1!R181C19</stp>
        <tr r="S181" s="1"/>
      </tp>
      <tp t="s">
        <v>912810SH2</v>
        <stp/>
        <stp>##V3_BDPV12</stp>
        <stp>912810SH Govt</stp>
        <stp>ID_CUSIP</stp>
        <stp>[TREASURY.xlsx]Sheet1!R156C19</stp>
        <tr r="S156" s="1"/>
      </tp>
      <tp t="s">
        <v>912810QL5</v>
        <stp/>
        <stp>##V3_BDPV12</stp>
        <stp>912810QL Govt</stp>
        <stp>ID_CUSIP</stp>
        <stp>[TREASURY.xlsx]Sheet1!R321C19</stp>
        <tr r="S321" s="1"/>
      </tp>
      <tp t="s">
        <v>912810QH4</v>
        <stp/>
        <stp>##V3_BDPV12</stp>
        <stp>912810QH Govt</stp>
        <stp>ID_CUSIP</stp>
        <stp>[TREASURY.xlsx]Sheet1!R316C19</stp>
        <tr r="S316" s="1"/>
      </tp>
      <tp t="s">
        <v>912810PT9</v>
        <stp/>
        <stp>##V3_BDPV12</stp>
        <stp>912810PT Govt</stp>
        <stp>ID_CUSIP</stp>
        <stp>[TREASURY.xlsx]Sheet1!R226C19</stp>
        <tr r="S226" s="1"/>
      </tp>
      <tp t="s">
        <v>912810PX0</v>
        <stp/>
        <stp>##V3_BDPV12</stp>
        <stp>912810PX Govt</stp>
        <stp>ID_CUSIP</stp>
        <stp>[TREASURY.xlsx]Sheet1!R282C19</stp>
        <tr r="S282" s="1"/>
      </tp>
      <tp t="s">
        <v>912810QQ4</v>
        <stp/>
        <stp>##V3_BDPV12</stp>
        <stp>912810QQ Govt</stp>
        <stp>ID_CUSIP</stp>
        <stp>[TREASURY.xlsx]Sheet1!R315C19</stp>
        <tr r="S315" s="1"/>
      </tp>
      <tp t="s">
        <v>912810SR0</v>
        <stp/>
        <stp>##V3_BDPV12</stp>
        <stp>912810SR Govt</stp>
        <stp>ID_CUSIP</stp>
        <stp>[TREASURY.xlsx]Sheet1!R100C19</stp>
        <tr r="S100" s="1"/>
      </tp>
      <tp t="s">
        <v>912810QS0</v>
        <stp/>
        <stp>##V3_BDPV12</stp>
        <stp>912810QS Govt</stp>
        <stp>ID_CUSIP</stp>
        <stp>[TREASURY.xlsx]Sheet1!R303C19</stp>
        <tr r="S303" s="1"/>
      </tp>
      <tp t="s">
        <v>912810PW2</v>
        <stp/>
        <stp>##V3_BDPV12</stp>
        <stp>912810PW Govt</stp>
        <stp>ID_CUSIP</stp>
        <stp>[TREASURY.xlsx]Sheet1!R289C19</stp>
        <tr r="S289" s="1"/>
      </tp>
      <tp t="s">
        <v>912810QZ4</v>
        <stp/>
        <stp>##V3_BDPV12</stp>
        <stp>912810QZ Govt</stp>
        <stp>ID_CUSIP</stp>
        <stp>[TREASURY.xlsx]Sheet1!R310C19</stp>
        <tr r="S310" s="1"/>
      </tp>
      <tp t="s">
        <v>T</v>
        <stp/>
        <stp>##V3_BDPV12</stp>
        <stp>9128276J Govt</stp>
        <stp>TICKER</stp>
        <stp>[TREASURY.xlsx]Sheet1!R438C2</stp>
        <tr r="B438" s="1"/>
      </tp>
      <tp t="s">
        <v>T</v>
        <stp/>
        <stp>##V3_BDPV12</stp>
        <stp>9128286H Govt</stp>
        <stp>TICKER</stp>
        <stp>[TREASURY.xlsx]Sheet1!R228C2</stp>
        <tr r="B228" s="1"/>
      </tp>
      <tp t="s">
        <v>T</v>
        <stp/>
        <stp>##V3_BDPV12</stp>
        <stp>9128287F Govt</stp>
        <stp>TICKER</stp>
        <stp>[TREASURY.xlsx]Sheet1!R329C2</stp>
        <tr r="B329" s="1"/>
      </tp>
      <tp t="s">
        <v>NORMAL</v>
        <stp/>
        <stp>##V3_BDPV12</stp>
        <stp>91282CCP Govt</stp>
        <stp>MTY_TYP</stp>
        <stp>[TREASURY.xlsx]Sheet1!R19C6</stp>
        <tr r="F19" s="1"/>
      </tp>
      <tp t="s">
        <v>T</v>
        <stp/>
        <stp>##V3_BDPV12</stp>
        <stp>9128286D Govt</stp>
        <stp>TICKER</stp>
        <stp>[TREASURY.xlsx]Sheet1!R348C2</stp>
        <tr r="B348" s="1"/>
      </tp>
      <tp t="s">
        <v>T</v>
        <stp/>
        <stp>##V3_BDPV12</stp>
        <stp>9128287C Govt</stp>
        <stp>TICKER</stp>
        <stp>[TREASURY.xlsx]Sheet1!R219C2</stp>
        <tr r="B219" s="1"/>
      </tp>
      <tp t="s">
        <v>T</v>
        <stp/>
        <stp>##V3_BDPV12</stp>
        <stp>9128287A Govt</stp>
        <stp>TICKER</stp>
        <stp>[TREASURY.xlsx]Sheet1!R339C2</stp>
        <tr r="B339" s="1"/>
      </tp>
      <tp t="s">
        <v>1/31/2001</v>
        <stp/>
        <stp>##V3_BDPV12</stp>
        <stp>9128276S Govt</stp>
        <stp>ISSUE_DT</stp>
        <stp>[TREASURY.xlsx]Sheet1!R1540C15</stp>
        <tr r="O1540" s="1"/>
      </tp>
      <tp t="s">
        <v>T</v>
        <stp/>
        <stp>##V3_BDPV12</stp>
        <stp>912828H9 Govt</stp>
        <stp>TICKER</stp>
        <stp>[TREASURY.xlsx]Sheet1!R1243C2</stp>
        <tr r="B1243" s="1"/>
      </tp>
      <tp t="s">
        <v>T</v>
        <stp/>
        <stp>##V3_BDPV12</stp>
        <stp>912827Z8 Govt</stp>
        <stp>TICKER</stp>
        <stp>[TREASURY.xlsx]Sheet1!R1102C2</stp>
        <tr r="B1102" s="1"/>
      </tp>
      <tp t="s">
        <v>T</v>
        <stp/>
        <stp>##V3_BDPV12</stp>
        <stp>912827K3 Govt</stp>
        <stp>TICKER</stp>
        <stp>[TREASURY.xlsx]Sheet1!R1039C2</stp>
        <tr r="B1039" s="1"/>
      </tp>
      <tp t="s">
        <v>T</v>
        <stp/>
        <stp>##V3_BDPV12</stp>
        <stp>912827A8 Govt</stp>
        <stp>TICKER</stp>
        <stp>[TREASURY.xlsx]Sheet1!R1032C2</stp>
        <tr r="B1032" s="1"/>
      </tp>
      <tp t="s">
        <v>T</v>
        <stp/>
        <stp>##V3_BDPV12</stp>
        <stp>912827Y2 Govt</stp>
        <stp>TICKER</stp>
        <stp>[TREASURY.xlsx]Sheet1!R1098C2</stp>
        <tr r="B1098" s="1"/>
      </tp>
      <tp t="s">
        <v>T</v>
        <stp/>
        <stp>##V3_BDPV12</stp>
        <stp>912827T3 Govt</stp>
        <stp>TICKER</stp>
        <stp>[TREASURY.xlsx]Sheet1!R1069C2</stp>
        <tr r="B1069" s="1"/>
      </tp>
      <tp t="s">
        <v>T</v>
        <stp/>
        <stp>##V3_BDPV12</stp>
        <stp>912827B3 Govt</stp>
        <stp>TICKER</stp>
        <stp>[TREASURY.xlsx]Sheet1!R1549C2</stp>
        <tr r="B1549" s="1"/>
      </tp>
      <tp t="s">
        <v>T</v>
        <stp/>
        <stp>##V3_BDPV12</stp>
        <stp>912827Q8 Govt</stp>
        <stp>TICKER</stp>
        <stp>[TREASURY.xlsx]Sheet1!R1572C2</stp>
        <tr r="B1572" s="1"/>
      </tp>
      <tp t="s">
        <v>T</v>
        <stp/>
        <stp>##V3_BDPV12</stp>
        <stp>912827Q9 Govt</stp>
        <stp>TICKER</stp>
        <stp>[TREASURY.xlsx]Sheet1!R1573C2</stp>
        <tr r="B1573" s="1"/>
      </tp>
      <tp t="s">
        <v>T</v>
        <stp/>
        <stp>##V3_BDPV12</stp>
        <stp>912827C8 Govt</stp>
        <stp>TICKER</stp>
        <stp>[TREASURY.xlsx]Sheet1!R1482C2</stp>
        <tr r="B1482" s="1"/>
      </tp>
      <tp t="s">
        <v>T</v>
        <stp/>
        <stp>##V3_BDPV12</stp>
        <stp>912827P8 Govt</stp>
        <stp>TICKER</stp>
        <stp>[TREASURY.xlsx]Sheet1!R1492C2</stp>
        <tr r="B1492" s="1"/>
      </tp>
      <tp t="s">
        <v>2/15/2001</v>
        <stp/>
        <stp>##V3_BDPV12</stp>
        <stp>9128276T Govt</stp>
        <stp>ISSUE_DT</stp>
        <stp>[TREASURY.xlsx]Sheet1!R1025C15</stp>
        <tr r="O1025" s="1"/>
      </tp>
      <tp t="s">
        <v>1/2/2001</v>
        <stp/>
        <stp>##V3_BDPV12</stp>
        <stp>9128276Q Govt</stp>
        <stp>ISSUE_DT</stp>
        <stp>[TREASURY.xlsx]Sheet1!R1539C15</stp>
        <tr r="O1539" s="1"/>
      </tp>
      <tp t="s">
        <v>T 2 1/4 11/15/24</v>
        <stp/>
        <stp>##V3_BDPV12</stp>
        <stp>912828G3 Govt</stp>
        <stp>SECURITY_NAME</stp>
        <stp>[TREASURY.xlsx]Sheet1!R137C16</stp>
        <tr r="P137" s="1"/>
      </tp>
      <tp t="s">
        <v>T 1 12/15/17</v>
        <stp/>
        <stp>##V3_BDPV12</stp>
        <stp>912828G7 Govt</stp>
        <stp>SECURITY_NAME</stp>
        <stp>[TREASURY.xlsx]Sheet1!R560C16</stp>
        <tr r="P560" s="1"/>
      </tp>
      <tp t="s">
        <v>4/2/2001</v>
        <stp/>
        <stp>##V3_BDPV12</stp>
        <stp>9128276V Govt</stp>
        <stp>ISSUE_DT</stp>
        <stp>[TREASURY.xlsx]Sheet1!R1468C15</stp>
        <tr r="O1468" s="1"/>
      </tp>
      <tp t="s">
        <v>4/30/2001</v>
        <stp/>
        <stp>##V3_BDPV12</stp>
        <stp>9128276W Govt</stp>
        <stp>ISSUE_DT</stp>
        <stp>[TREASURY.xlsx]Sheet1!R1541C15</stp>
        <tr r="O1541" s="1"/>
      </tp>
      <tp t="s">
        <v>T 5 1/2 07/31/97</v>
        <stp/>
        <stp>##V3_BDPV12</stp>
        <stp>912827G3 Govt</stp>
        <stp>SECURITY_NAME</stp>
        <stp>[TREASURY.xlsx]Sheet1!R703C16</stp>
        <tr r="P703" s="1"/>
      </tp>
      <tp t="s">
        <v>USD</v>
        <stp/>
        <stp>##V3_BDPV12</stp>
        <stp>9128273W Govt</stp>
        <stp>CRNCY</stp>
        <stp>[TREASURY.xlsx]Sheet1!R1456C7</stp>
        <tr r="G1456" s="1"/>
      </tp>
      <tp t="s">
        <v>2/28/2001</v>
        <stp/>
        <stp>##V3_BDPV12</stp>
        <stp>9128276U Govt</stp>
        <stp>ISSUE_DT</stp>
        <stp>[TREASURY.xlsx]Sheet1!R1467C15</stp>
        <tr r="O1467" s="1"/>
      </tp>
      <tp t="s">
        <v>T 1 7/8 11/30/21</v>
        <stp/>
        <stp>##V3_BDPV12</stp>
        <stp>912828G5 Govt</stp>
        <stp>SECURITY_NAME</stp>
        <stp>[TREASURY.xlsx]Sheet1!R230C16</stp>
        <tr r="P230" s="1"/>
      </tp>
      <tp t="s">
        <v>5/15/2001</v>
        <stp/>
        <stp>##V3_BDPV12</stp>
        <stp>9128276X Govt</stp>
        <stp>ISSUE_DT</stp>
        <stp>[TREASURY.xlsx]Sheet1!R1469C15</stp>
        <tr r="O1469" s="1"/>
      </tp>
      <tp t="s">
        <v>5/31/2001</v>
        <stp/>
        <stp>##V3_BDPV12</stp>
        <stp>9128276Y Govt</stp>
        <stp>ISSUE_DT</stp>
        <stp>[TREASURY.xlsx]Sheet1!R1542C15</stp>
        <tr r="O1542" s="1"/>
      </tp>
      <tp t="s">
        <v>T 2 1/8 12/31/21</v>
        <stp/>
        <stp>##V3_BDPV12</stp>
        <stp>912828G8 Govt</stp>
        <stp>SECURITY_NAME</stp>
        <stp>[TREASURY.xlsx]Sheet1!R209C16</stp>
        <tr r="P209" s="1"/>
      </tp>
      <tp t="s">
        <v>T 1 5/8 12/31/19</v>
        <stp/>
        <stp>##V3_BDPV12</stp>
        <stp>912828G9 Govt</stp>
        <stp>SECURITY_NAME</stp>
        <stp>[TREASURY.xlsx]Sheet1!R422C16</stp>
        <tr r="P422" s="1"/>
      </tp>
      <tp t="s">
        <v>7/2/2001</v>
        <stp/>
        <stp>##V3_BDPV12</stp>
        <stp>9128276Z Govt</stp>
        <stp>ISSUE_DT</stp>
        <stp>[TREASURY.xlsx]Sheet1!R1026C15</stp>
        <tr r="O1026" s="1"/>
      </tp>
      <tp t="s">
        <v>T 1 1/2 11/30/19</v>
        <stp/>
        <stp>##V3_BDPV12</stp>
        <stp>912828G6 Govt</stp>
        <stp>SECURITY_NAME</stp>
        <stp>[TREASURY.xlsx]Sheet1!R966C16</stp>
        <tr r="P966" s="1"/>
      </tp>
      <tp t="s">
        <v>5/1/2000</v>
        <stp/>
        <stp>##V3_BDPV12</stp>
        <stp>9128276C Govt</stp>
        <stp>ISSUE_DT</stp>
        <stp>[TREASURY.xlsx]Sheet1!R1022C15</stp>
        <tr r="O1022" s="1"/>
      </tp>
      <tp t="s">
        <v>6/30/2000</v>
        <stp/>
        <stp>##V3_BDPV12</stp>
        <stp>9128276F Govt</stp>
        <stp>ISSUE_DT</stp>
        <stp>[TREASURY.xlsx]Sheet1!R1466C15</stp>
        <tr r="O1466" s="1"/>
      </tp>
      <tp t="s">
        <v>3/31/2000</v>
        <stp/>
        <stp>##V3_BDPV12</stp>
        <stp>9128276B Govt</stp>
        <stp>ISSUE_DT</stp>
        <stp>[TREASURY.xlsx]Sheet1!R1021C15</stp>
        <tr r="O1021" s="1"/>
      </tp>
      <tp t="s">
        <v>USD</v>
        <stp/>
        <stp>##V3_BDPV12</stp>
        <stp>9128272G Govt</stp>
        <stp>CRNCY</stp>
        <stp>[TREASURY.xlsx]Sheet1!R1517C7</stp>
        <tr r="G1517" s="1"/>
      </tp>
      <tp t="s">
        <v>2/29/2000</v>
        <stp/>
        <stp>##V3_BDPV12</stp>
        <stp>9128276A Govt</stp>
        <stp>ISSUE_DT</stp>
        <stp>[TREASURY.xlsx]Sheet1!R1020C15</stp>
        <tr r="O1020" s="1"/>
      </tp>
      <tp t="s">
        <v>5/15/2000</v>
        <stp/>
        <stp>##V3_BDPV12</stp>
        <stp>9128276D Govt</stp>
        <stp>ISSUE_DT</stp>
        <stp>[TREASURY.xlsx]Sheet1!R1465C15</stp>
        <tr r="O1465" s="1"/>
      </tp>
      <tp t="s">
        <v>5/31/2000</v>
        <stp/>
        <stp>##V3_BDPV12</stp>
        <stp>9128276E Govt</stp>
        <stp>ISSUE_DT</stp>
        <stp>[TREASURY.xlsx]Sheet1!R1536C15</stp>
        <tr r="O1536" s="1"/>
      </tp>
      <tp t="s">
        <v>USD</v>
        <stp/>
        <stp>##V3_BDPV12</stp>
        <stp>9128273E Govt</stp>
        <stp>CRNCY</stp>
        <stp>[TREASURY.xlsx]Sheet1!R1526C7</stp>
        <tr r="G1526" s="1"/>
      </tp>
      <tp t="s">
        <v>11/15/2000</v>
        <stp/>
        <stp>##V3_BDPV12</stp>
        <stp>9128276N Govt</stp>
        <stp>ISSUE_DT</stp>
        <stp>[TREASURY.xlsx]Sheet1!R1024C15</stp>
        <tr r="O1024" s="1"/>
      </tp>
      <tp t="s">
        <v>USD</v>
        <stp/>
        <stp>##V3_BDPV12</stp>
        <stp>9128276K Govt</stp>
        <stp>CRNCY</stp>
        <stp>[TREASURY.xlsx]Sheet1!R1023C7</stp>
        <tr r="G1023" s="1"/>
      </tp>
      <tp t="s">
        <v>USD</v>
        <stp/>
        <stp>##V3_BDPV12</stp>
        <stp>9128273K Govt</stp>
        <stp>CRNCY</stp>
        <stp>[TREASURY.xlsx]Sheet1!R1356C7</stp>
        <tr r="G1356" s="1"/>
      </tp>
      <tp t="s">
        <v>7/31/2000</v>
        <stp/>
        <stp>##V3_BDPV12</stp>
        <stp>9128276H Govt</stp>
        <stp>ISSUE_DT</stp>
        <stp>[TREASURY.xlsx]Sheet1!R1537C15</stp>
        <tr r="O1537" s="1"/>
      </tp>
      <tp t="s">
        <v>USD</v>
        <stp/>
        <stp>##V3_BDPV12</stp>
        <stp>9128275H Govt</stp>
        <stp>CRNCY</stp>
        <stp>[TREASURY.xlsx]Sheet1!R1370C7</stp>
        <tr r="G1370" s="1"/>
      </tp>
      <tp t="s">
        <v>8/31/2000</v>
        <stp/>
        <stp>##V3_BDPV12</stp>
        <stp>9128276K Govt</stp>
        <stp>ISSUE_DT</stp>
        <stp>[TREASURY.xlsx]Sheet1!R1023C15</stp>
        <tr r="O1023" s="1"/>
      </tp>
      <tp t="s">
        <v>10/2/2000</v>
        <stp/>
        <stp>##V3_BDPV12</stp>
        <stp>9128276L Govt</stp>
        <stp>ISSUE_DT</stp>
        <stp>[TREASURY.xlsx]Sheet1!R1538C15</stp>
        <tr r="O1538" s="1"/>
      </tp>
      <tp t="s">
        <v>USD</v>
        <stp/>
        <stp>##V3_BDPV12</stp>
        <stp>9128274M Govt</stp>
        <stp>CRNCY</stp>
        <stp>[TREASURY.xlsx]Sheet1!R1461C7</stp>
        <tr r="G1461" s="1"/>
      </tp>
      <tp t="s">
        <v>USD</v>
        <stp/>
        <stp>##V3_BDPV12</stp>
        <stp>9128277M Govt</stp>
        <stp>CRNCY</stp>
        <stp>[TREASURY.xlsx]Sheet1!R1472C7</stp>
        <tr r="G1472" s="1"/>
      </tp>
      <tp t="s">
        <v>T 2 1/8 04/30/10</v>
        <stp/>
        <stp>##V3_BDPV12</stp>
        <stp>912828HX Govt</stp>
        <stp>SECURITY_NAME</stp>
        <stp>[TREASURY.xlsx]Sheet1!R809C16</stp>
        <tr r="P809" s="1"/>
      </tp>
      <tp t="s">
        <v>T 2 1/2 03/31/13</v>
        <stp/>
        <stp>##V3_BDPV12</stp>
        <stp>912828HV Govt</stp>
        <stp>SECURITY_NAME</stp>
        <stp>[TREASURY.xlsx]Sheet1!R651C16</stp>
        <tr r="P651" s="1"/>
      </tp>
      <tp t="s">
        <v>T 3 1/2 02/15/18</v>
        <stp/>
        <stp>##V3_BDPV12</stp>
        <stp>912828HR Govt</stp>
        <stp>SECURITY_NAME</stp>
        <stp>[TREASURY.xlsx]Sheet1!R476C16</stp>
        <tr r="P476" s="1"/>
      </tp>
      <tp t="s">
        <v>T 3 7/8 05/15/18</v>
        <stp/>
        <stp>##V3_BDPV12</stp>
        <stp>912828HZ Govt</stp>
        <stp>SECURITY_NAME</stp>
        <stp>[TREASURY.xlsx]Sheet1!R356C16</stp>
        <tr r="P356" s="1"/>
      </tp>
      <tp t="s">
        <v>T 1 3/4 03/31/10</v>
        <stp/>
        <stp>##V3_BDPV12</stp>
        <stp>912828HU Govt</stp>
        <stp>SECURITY_NAME</stp>
        <stp>[TREASURY.xlsx]Sheet1!R808C16</stp>
        <tr r="P808" s="1"/>
      </tp>
      <tp t="s">
        <v>T 3 1/8 04/30/13</v>
        <stp/>
        <stp>##V3_BDPV12</stp>
        <stp>912828HY Govt</stp>
        <stp>SECURITY_NAME</stp>
        <stp>[TREASURY.xlsx]Sheet1!R450C16</stp>
        <tr r="P450" s="1"/>
      </tp>
      <tp t="s">
        <v>T 2 3/4 02/28/13</v>
        <stp/>
        <stp>##V3_BDPV12</stp>
        <stp>912828HT Govt</stp>
        <stp>SECURITY_NAME</stp>
        <stp>[TREASURY.xlsx]Sheet1!R851C16</stp>
        <tr r="P851" s="1"/>
      </tp>
      <tp t="s">
        <v>T 3 1/8 11/30/09</v>
        <stp/>
        <stp>##V3_BDPV12</stp>
        <stp>912828HJ Govt</stp>
        <stp>SECURITY_NAME</stp>
        <stp>[TREASURY.xlsx]Sheet1!R807C16</stp>
        <tr r="P807" s="1"/>
      </tp>
      <tp t="s">
        <v>T 3 1/4 12/31/09</v>
        <stp/>
        <stp>##V3_BDPV12</stp>
        <stp>912828HL Govt</stp>
        <stp>SECURITY_NAME</stp>
        <stp>[TREASURY.xlsx]Sheet1!R424C16</stp>
        <tr r="P424" s="1"/>
      </tp>
      <tp t="s">
        <v>T 3 5/8 12/31/12</v>
        <stp/>
        <stp>##V3_BDPV12</stp>
        <stp>912828HM Govt</stp>
        <stp>SECURITY_NAME</stp>
        <stp>[TREASURY.xlsx]Sheet1!R573C16</stp>
        <tr r="P573" s="1"/>
      </tp>
      <tp t="s">
        <v>T 4 08/31/09</v>
        <stp/>
        <stp>##V3_BDPV12</stp>
        <stp>912828HB Govt</stp>
        <stp>SECURITY_NAME</stp>
        <stp>[TREASURY.xlsx]Sheet1!R849C16</stp>
        <tr r="P849" s="1"/>
      </tp>
      <tp t="s">
        <v>T 4 1/4 09/30/12</v>
        <stp/>
        <stp>##V3_BDPV12</stp>
        <stp>912828HE Govt</stp>
        <stp>SECURITY_NAME</stp>
        <stp>[TREASURY.xlsx]Sheet1!R850C16</stp>
        <tr r="P850" s="1"/>
      </tp>
      <tp t="s">
        <v>T 4 09/30/09</v>
        <stp/>
        <stp>##V3_BDPV12</stp>
        <stp>912828HD Govt</stp>
        <stp>SECURITY_NAME</stp>
        <stp>[TREASURY.xlsx]Sheet1!R969C16</stp>
        <tr r="P969" s="1"/>
      </tp>
      <tp t="s">
        <v>T 4 1/4 11/15/17</v>
        <stp/>
        <stp>##V3_BDPV12</stp>
        <stp>912828HH Govt</stp>
        <stp>SECURITY_NAME</stp>
        <stp>[TREASURY.xlsx]Sheet1!R470C16</stp>
        <tr r="P470" s="1"/>
      </tp>
      <tp t="s">
        <v>T 3 7/8 10/31/12</v>
        <stp/>
        <stp>##V3_BDPV12</stp>
        <stp>912828HG Govt</stp>
        <stp>SECURITY_NAME</stp>
        <stp>[TREASURY.xlsx]Sheet1!R806C16</stp>
        <tr r="P806" s="1"/>
      </tp>
      <tp t="s">
        <v>T 3 5/8 10/31/09</v>
        <stp/>
        <stp>##V3_BDPV12</stp>
        <stp>912828HF Govt</stp>
        <stp>SECURITY_NAME</stp>
        <stp>[TREASURY.xlsx]Sheet1!R970C16</stp>
        <tr r="P970" s="1"/>
      </tp>
      <tp t="s">
        <v>T 3 3/8 11/30/12</v>
        <stp/>
        <stp>##V3_BDPV12</stp>
        <stp>912828HK Govt</stp>
        <stp>SECURITY_NAME</stp>
        <stp>[TREASURY.xlsx]Sheet1!R525C16</stp>
        <tr r="P525" s="1"/>
      </tp>
      <tp t="s">
        <v>US91282CCP41</v>
        <stp/>
        <stp>##V3_BDPV12</stp>
        <stp>91282CCP Govt</stp>
        <stp>ID_ISIN</stp>
        <stp>[TREASURY.xlsx]Sheet1!R19C12</stp>
        <tr r="L19" s="1"/>
      </tp>
      <tp t="s">
        <v>US91282CBP59</v>
        <stp/>
        <stp>##V3_BDPV12</stp>
        <stp>91282CBP Govt</stp>
        <stp>ID_ISIN</stp>
        <stp>[TREASURY.xlsx]Sheet1!R86C12</stp>
        <tr r="L86" s="1"/>
      </tp>
      <tp t="s">
        <v>US912810SP49</v>
        <stp/>
        <stp>##V3_BDPV12</stp>
        <stp>912810SP Govt</stp>
        <stp>ID_ISIN</stp>
        <stp>[TREASURY.xlsx]Sheet1!R35C12</stp>
        <tr r="L35" s="1"/>
      </tp>
      <tp t="s">
        <v>US912810FP85</v>
        <stp/>
        <stp>##V3_BDPV12</stp>
        <stp>912810FP Govt</stp>
        <stp>ID_ISIN</stp>
        <stp>[TREASURY.xlsx]Sheet1!R93C12</stp>
        <tr r="L93" s="1"/>
      </tp>
      <tp t="s">
        <v>FIXED</v>
        <stp/>
        <stp>##V3_BDPV12</stp>
        <stp>912810FT Govt</stp>
        <stp>CPN_TYP</stp>
        <stp>[TREASURY.xlsx]Sheet1!R79C11</stp>
        <tr r="K79" s="1"/>
      </tp>
      <tp t="s">
        <v>FIXED</v>
        <stp/>
        <stp>##V3_BDPV12</stp>
        <stp>912810ST Govt</stp>
        <stp>CPN_TYP</stp>
        <stp>[TREASURY.xlsx]Sheet1!R90C11</stp>
        <tr r="K90" s="1"/>
      </tp>
      <tp t="s">
        <v>FIXED</v>
        <stp/>
        <stp>##V3_BDPV12</stp>
        <stp>912810RT Govt</stp>
        <stp>CPN_TYP</stp>
        <stp>[TREASURY.xlsx]Sheet1!R96C11</stp>
        <tr r="K96" s="1"/>
      </tp>
      <tp t="s">
        <v>FIXED</v>
        <stp/>
        <stp>##V3_BDPV12</stp>
        <stp>912828ZT Govt</stp>
        <stp>CPN_TYP</stp>
        <stp>[TREASURY.xlsx]Sheet1!R85C11</stp>
        <tr r="K85" s="1"/>
      </tp>
      <tp t="s">
        <v>FIXED</v>
        <stp/>
        <stp>##V3_BDPV12</stp>
        <stp>9128286T Govt</stp>
        <stp>CPN_TYP</stp>
        <stp>[TREASURY.xlsx]Sheet1!R48C11</stp>
        <tr r="K48" s="1"/>
      </tp>
      <tp t="s">
        <v>FIXED</v>
        <stp/>
        <stp>##V3_BDPV12</stp>
        <stp>91282CCT Govt</stp>
        <stp>CPN_TYP</stp>
        <stp>[TREASURY.xlsx]Sheet1!R16C11</stp>
        <tr r="K16" s="1"/>
      </tp>
      <tp t="s">
        <v>FIXED</v>
        <stp/>
        <stp>##V3_BDPV12</stp>
        <stp>91282CAT Govt</stp>
        <stp>CPN_TYP</stp>
        <stp>[TREASURY.xlsx]Sheet1!R39C11</stp>
        <tr r="K39" s="1"/>
      </tp>
      <tp t="s">
        <v>FIXED</v>
        <stp/>
        <stp>##V3_BDPV12</stp>
        <stp>91282CBT Govt</stp>
        <stp>CPN_TYP</stp>
        <stp>[TREASURY.xlsx]Sheet1!R52C11</stp>
        <tr r="K52" s="1"/>
      </tp>
      <tp t="s">
        <v>NORMAL</v>
        <stp/>
        <stp>##V3_BDPV12</stp>
        <stp>91282CCH Govt</stp>
        <stp>MTY_TYP</stp>
        <stp>[TREASURY.xlsx]Sheet1!R36C6</stp>
        <tr r="F36" s="1"/>
      </tp>
      <tp t="s">
        <v>8/15/2027</v>
        <stp/>
        <stp>##V3_BDPV12</stp>
        <stp>9128282R Govt</stp>
        <stp>MATURITY</stp>
        <stp>[TREASURY.xlsx]Sheet1!R98C5</stp>
        <tr r="E98" s="1"/>
      </tp>
      <tp t="s">
        <v>4/30/2023</v>
        <stp/>
        <stp>##V3_BDPV12</stp>
        <stp>91282CBX Govt</stp>
        <stp>MATURITY</stp>
        <stp>[TREASURY.xlsx]Sheet1!R72C5</stp>
        <tr r="E72" s="1"/>
      </tp>
      <tp t="s">
        <v>9/30/2028</v>
        <stp/>
        <stp>##V3_BDPV12</stp>
        <stp>91282CCY Govt</stp>
        <stp>MATURITY</stp>
        <stp>[TREASURY.xlsx]Sheet1!R13C5</stp>
        <tr r="E13" s="1"/>
      </tp>
      <tp t="s">
        <v>T</v>
        <stp/>
        <stp>##V3_BDPV12</stp>
        <stp>9128283V Govt</stp>
        <stp>TICKER</stp>
        <stp>[TREASURY.xlsx]Sheet1!R242C2</stp>
        <tr r="B242" s="1"/>
      </tp>
      <tp t="s">
        <v>NORMAL</v>
        <stp/>
        <stp>##V3_BDPV12</stp>
        <stp>91282CDA Govt</stp>
        <stp>MTY_TYP</stp>
        <stp>[TREASURY.xlsx]Sheet1!R11C6</stp>
        <tr r="F11" s="1"/>
      </tp>
      <tp t="s">
        <v>T</v>
        <stp/>
        <stp>##V3_BDPV12</stp>
        <stp>9128284Q Govt</stp>
        <stp>TICKER</stp>
        <stp>[TREASURY.xlsx]Sheet1!R675C2</stp>
        <tr r="B675" s="1"/>
      </tp>
      <tp t="s">
        <v>NORMAL</v>
        <stp/>
        <stp>##V3_BDPV12</stp>
        <stp>91282CBG Govt</stp>
        <stp>MTY_TYP</stp>
        <stp>[TREASURY.xlsx]Sheet1!R57C6</stp>
        <tr r="F57" s="1"/>
      </tp>
      <tp t="s">
        <v>T</v>
        <stp/>
        <stp>##V3_BDPV12</stp>
        <stp>9128275N Govt</stp>
        <stp>TICKER</stp>
        <stp>[TREASURY.xlsx]Sheet1!R674C2</stp>
        <tr r="B674" s="1"/>
      </tp>
      <tp t="s">
        <v>T</v>
        <stp/>
        <stp>##V3_BDPV12</stp>
        <stp>9128284F Govt</stp>
        <stp>TICKER</stp>
        <stp>[TREASURY.xlsx]Sheet1!R285C2</stp>
        <tr r="B285" s="1"/>
      </tp>
      <tp t="s">
        <v>NORMAL</v>
        <stp/>
        <stp>##V3_BDPV12</stp>
        <stp>912810FP Govt</stp>
        <stp>MTY_TYP</stp>
        <stp>[TREASURY.xlsx]Sheet1!R93C6</stp>
        <tr r="F93" s="1"/>
      </tp>
      <tp t="s">
        <v>NORMAL</v>
        <stp/>
        <stp>##V3_BDPV12</stp>
        <stp>91282CAR Govt</stp>
        <stp>MTY_TYP</stp>
        <stp>[TREASURY.xlsx]Sheet1!R64C6</stp>
        <tr r="F64" s="1"/>
      </tp>
      <tp t="s">
        <v>T</v>
        <stp/>
        <stp>##V3_BDPV12</stp>
        <stp>9128282B Govt</stp>
        <stp>TICKER</stp>
        <stp>[TREASURY.xlsx]Sheet1!R373C2</stp>
        <tr r="B373" s="1"/>
      </tp>
      <tp t="s">
        <v>T</v>
        <stp/>
        <stp>##V3_BDPV12</stp>
        <stp>9128287B Govt</stp>
        <stp>TICKER</stp>
        <stp>[TREASURY.xlsx]Sheet1!R306C2</stp>
        <tr r="B306" s="1"/>
      </tp>
      <tp t="s">
        <v>NORMAL</v>
        <stp/>
        <stp>##V3_BDPV12</stp>
        <stp>91282CCT Govt</stp>
        <stp>MTY_TYP</stp>
        <stp>[TREASURY.xlsx]Sheet1!R16C6</stp>
        <tr r="F16" s="1"/>
      </tp>
      <tp t="s">
        <v>T</v>
        <stp/>
        <stp>##V3_BDPV12</stp>
        <stp>9128284C Govt</stp>
        <stp>TICKER</stp>
        <stp>[TREASURY.xlsx]Sheet1!R505C2</stp>
        <tr r="B505" s="1"/>
      </tp>
      <tp t="s">
        <v>T 0 1/2 01/31/17</v>
        <stp/>
        <stp>##V3_BDPV12</stp>
        <stp>912828H7 Govt</stp>
        <stp>SECURITY_NAME</stp>
        <stp>[TREASURY.xlsx]Sheet1!R605C16</stp>
        <tr r="P605" s="1"/>
      </tp>
      <tp t="s">
        <v>T 1 1/4 01/31/20</v>
        <stp/>
        <stp>##V3_BDPV12</stp>
        <stp>912828H5 Govt</stp>
        <stp>SECURITY_NAME</stp>
        <stp>[TREASURY.xlsx]Sheet1!R419C16</stp>
        <tr r="P419" s="1"/>
      </tp>
      <tp t="s">
        <v>USD</v>
        <stp/>
        <stp>##V3_BDPV12</stp>
        <stp>9128273R Govt</stp>
        <stp>CRNCY</stp>
        <stp>[TREASURY.xlsx]Sheet1!R1359C7</stp>
        <tr r="G1359" s="1"/>
      </tp>
      <tp t="s">
        <v>T</v>
        <stp/>
        <stp>##V3_BDPV12</stp>
        <stp>912828G4 Govt</stp>
        <stp>TICKER</stp>
        <stp>[TREASURY.xlsx]Sheet1!R1281C2</stp>
        <tr r="B1281" s="1"/>
      </tp>
      <tp t="s">
        <v>T</v>
        <stp/>
        <stp>##V3_BDPV12</stp>
        <stp>912828J3 Govt</stp>
        <stp>TICKER</stp>
        <stp>[TREASURY.xlsx]Sheet1!R1246C2</stp>
        <tr r="B1246" s="1"/>
      </tp>
      <tp t="s">
        <v>T</v>
        <stp/>
        <stp>##V3_BDPV12</stp>
        <stp>912828K2 Govt</stp>
        <stp>TICKER</stp>
        <stp>[TREASURY.xlsx]Sheet1!R1287C2</stp>
        <tr r="B1287" s="1"/>
      </tp>
      <tp t="s">
        <v>T</v>
        <stp/>
        <stp>##V3_BDPV12</stp>
        <stp>912828F5 Govt</stp>
        <stp>TICKER</stp>
        <stp>[TREASURY.xlsx]Sheet1!R1240C2</stp>
        <tr r="B1240" s="1"/>
      </tp>
      <tp t="s">
        <v>T</v>
        <stp/>
        <stp>##V3_BDPV12</stp>
        <stp>912827H3 Govt</stp>
        <stp>TICKER</stp>
        <stp>[TREASURY.xlsx]Sheet1!R1316C2</stp>
        <tr r="B1316" s="1"/>
      </tp>
      <tp t="s">
        <v>T</v>
        <stp/>
        <stp>##V3_BDPV12</stp>
        <stp>912827F6 Govt</stp>
        <stp>TICKER</stp>
        <stp>[TREASURY.xlsx]Sheet1!R1373C2</stp>
        <tr r="B1373" s="1"/>
      </tp>
      <tp t="s">
        <v>T</v>
        <stp/>
        <stp>##V3_BDPV12</stp>
        <stp>912827P3 Govt</stp>
        <stp>TICKER</stp>
        <stp>[TREASURY.xlsx]Sheet1!R1386C2</stp>
        <tr r="B1386" s="1"/>
      </tp>
      <tp t="s">
        <v>T</v>
        <stp/>
        <stp>##V3_BDPV12</stp>
        <stp>912827Q6 Govt</stp>
        <stp>TICKER</stp>
        <stp>[TREASURY.xlsx]Sheet1!R1343C2</stp>
        <tr r="B1343" s="1"/>
      </tp>
      <tp t="s">
        <v>T</v>
        <stp/>
        <stp>##V3_BDPV12</stp>
        <stp>912827P4 Govt</stp>
        <stp>TICKER</stp>
        <stp>[TREASURY.xlsx]Sheet1!R1171C2</stp>
        <tr r="B1171" s="1"/>
      </tp>
      <tp t="s">
        <v>T</v>
        <stp/>
        <stp>##V3_BDPV12</stp>
        <stp>912827J4 Govt</stp>
        <stp>TICKER</stp>
        <stp>[TREASURY.xlsx]Sheet1!R1561C2</stp>
        <tr r="B1561" s="1"/>
      </tp>
      <tp t="s">
        <v>T</v>
        <stp/>
        <stp>##V3_BDPV12</stp>
        <stp>912827J7 Govt</stp>
        <stp>TICKER</stp>
        <stp>[TREASURY.xlsx]Sheet1!R1562C2</stp>
        <tr r="B1562" s="1"/>
      </tp>
      <tp t="s">
        <v>T</v>
        <stp/>
        <stp>##V3_BDPV12</stp>
        <stp>912827F5 Govt</stp>
        <stp>TICKER</stp>
        <stp>[TREASURY.xlsx]Sheet1!R1560C2</stp>
        <tr r="B1560" s="1"/>
      </tp>
      <tp t="s">
        <v>T 5 1/8 11/15/95</v>
        <stp/>
        <stp>##V3_BDPV12</stp>
        <stp>912827H5 Govt</stp>
        <stp>SECURITY_NAME</stp>
        <stp>[TREASURY.xlsx]Sheet1!R705C16</stp>
        <tr r="P705" s="1"/>
      </tp>
      <tp t="s">
        <v>T 6 10/15/99</v>
        <stp/>
        <stp>##V3_BDPV12</stp>
        <stp>912827H2 Govt</stp>
        <stp>SECURITY_NAME</stp>
        <stp>[TREASURY.xlsx]Sheet1!R704C16</stp>
        <tr r="P704" s="1"/>
      </tp>
      <tp t="s">
        <v>T 0 5/8 12/31/16</v>
        <stp/>
        <stp>##V3_BDPV12</stp>
        <stp>912828H2 Govt</stp>
        <stp>SECURITY_NAME</stp>
        <stp>[TREASURY.xlsx]Sheet1!R581C16</stp>
        <tr r="P581" s="1"/>
      </tp>
      <tp t="s">
        <v>USD</v>
        <stp/>
        <stp>##V3_BDPV12</stp>
        <stp>9128283X Govt</stp>
        <stp>CRNCY</stp>
        <stp>[TREASURY.xlsx]Sheet1!R1269C7</stp>
        <tr r="G1269" s="1"/>
      </tp>
      <tp t="s">
        <v>T 1 1/2 01/31/22</v>
        <stp/>
        <stp>##V3_BDPV12</stp>
        <stp>912828H8 Govt</stp>
        <stp>SECURITY_NAME</stp>
        <stp>[TREASURY.xlsx]Sheet1!R247C16</stp>
        <tr r="P247" s="1"/>
      </tp>
      <tp t="s">
        <v>T 0 7/8 01/15/18</v>
        <stp/>
        <stp>##V3_BDPV12</stp>
        <stp>912828H3 Govt</stp>
        <stp>SECURITY_NAME</stp>
        <stp>[TREASURY.xlsx]Sheet1!R968C16</stp>
        <tr r="P968" s="1"/>
      </tp>
      <tp t="s">
        <v>USD</v>
        <stp/>
        <stp>##V3_BDPV12</stp>
        <stp>9128272B Govt</stp>
        <stp>CRNCY</stp>
        <stp>[TREASURY.xlsx]Sheet1!R1008C7</stp>
        <tr r="G1008" s="1"/>
      </tp>
      <tp t="s">
        <v>USD</v>
        <stp/>
        <stp>##V3_BDPV12</stp>
        <stp>9128272K Govt</stp>
        <stp>CRNCY</stp>
        <stp>[TREASURY.xlsx]Sheet1!R1518C7</stp>
        <tr r="G1518" s="1"/>
      </tp>
      <tp t="s">
        <v>USD</v>
        <stp/>
        <stp>##V3_BDPV12</stp>
        <stp>9128273L Govt</stp>
        <stp>CRNCY</stp>
        <stp>[TREASURY.xlsx]Sheet1!R1529C7</stp>
        <tr r="G1529" s="1"/>
      </tp>
      <tp t="s">
        <v>FIXED</v>
        <stp/>
        <stp>##V3_BDPV12</stp>
        <stp>9128273X Govt</stp>
        <stp>CPN_TYP</stp>
        <stp>[TREASURY.xlsx]Sheet1!R500C11</stp>
        <tr r="K500" s="1"/>
      </tp>
      <tp t="s">
        <v>FIXED</v>
        <stp/>
        <stp>##V3_BDPV12</stp>
        <stp>9128274F Govt</stp>
        <stp>CPN_TYP</stp>
        <stp>[TREASURY.xlsx]Sheet1!R578C11</stp>
        <tr r="K578" s="1"/>
      </tp>
      <tp t="s">
        <v>FIXED</v>
        <stp/>
        <stp>##V3_BDPV12</stp>
        <stp>9128275E Govt</stp>
        <stp>CPN_TYP</stp>
        <stp>[TREASURY.xlsx]Sheet1!R553C11</stp>
        <tr r="K553" s="1"/>
      </tp>
      <tp t="s">
        <v>FIXED</v>
        <stp/>
        <stp>##V3_BDPV12</stp>
        <stp>9128274W Govt</stp>
        <stp>CPN_TYP</stp>
        <stp>[TREASURY.xlsx]Sheet1!R522C11</stp>
        <tr r="K522" s="1"/>
      </tp>
      <tp t="s">
        <v>FIXED</v>
        <stp/>
        <stp>##V3_BDPV12</stp>
        <stp>9128277K Govt</stp>
        <stp>CPN_TYP</stp>
        <stp>[TREASURY.xlsx]Sheet1!R528C11</stp>
        <tr r="K528" s="1"/>
      </tp>
      <tp t="s">
        <v>FIXED</v>
        <stp/>
        <stp>##V3_BDPV12</stp>
        <stp>912827E5 Govt</stp>
        <stp>CPN_TYP</stp>
        <stp>[TREASURY.xlsx]Sheet1!R579C11</stp>
        <tr r="K579" s="1"/>
      </tp>
      <tp t="s">
        <v>FIXED</v>
        <stp/>
        <stp>##V3_BDPV12</stp>
        <stp>912827MH Govt</stp>
        <stp>CPN_TYP</stp>
        <stp>[TREASURY.xlsx]Sheet1!R544C11</stp>
        <tr r="K544" s="1"/>
      </tp>
      <tp t="s">
        <v>FIXED</v>
        <stp/>
        <stp>##V3_BDPV12</stp>
        <stp>912827E7 Govt</stp>
        <stp>CPN_TYP</stp>
        <stp>[TREASURY.xlsx]Sheet1!R590C11</stp>
        <tr r="K590" s="1"/>
      </tp>
      <tp t="s">
        <v>FIXED</v>
        <stp/>
        <stp>##V3_BDPV12</stp>
        <stp>912827KN Govt</stp>
        <stp>CPN_TYP</stp>
        <stp>[TREASURY.xlsx]Sheet1!R569C11</stp>
        <tr r="K569" s="1"/>
      </tp>
      <tp t="s">
        <v>FIXED</v>
        <stp/>
        <stp>##V3_BDPV12</stp>
        <stp>912827K4 Govt</stp>
        <stp>CPN_TYP</stp>
        <stp>[TREASURY.xlsx]Sheet1!R568C11</stp>
        <tr r="K568" s="1"/>
      </tp>
      <tp t="s">
        <v>FIXED</v>
        <stp/>
        <stp>##V3_BDPV12</stp>
        <stp>912827XE Govt</stp>
        <stp>CPN_TYP</stp>
        <stp>[TREASURY.xlsx]Sheet1!R570C11</stp>
        <tr r="K570" s="1"/>
      </tp>
      <tp t="s">
        <v>FIXED</v>
        <stp/>
        <stp>##V3_BDPV12</stp>
        <stp>9128276P Govt</stp>
        <stp>CPN_TYP</stp>
        <stp>[TREASURY.xlsx]Sheet1!R441C11</stp>
        <tr r="K441" s="1"/>
      </tp>
      <tp t="s">
        <v>FIXED</v>
        <stp/>
        <stp>##V3_BDPV12</stp>
        <stp>9128275Z Govt</stp>
        <stp>CPN_TYP</stp>
        <stp>[TREASURY.xlsx]Sheet1!R428C11</stp>
        <tr r="K428" s="1"/>
      </tp>
      <tp t="s">
        <v>FIXED</v>
        <stp/>
        <stp>##V3_BDPV12</stp>
        <stp>9128276J Govt</stp>
        <stp>CPN_TYP</stp>
        <stp>[TREASURY.xlsx]Sheet1!R438C11</stp>
        <tr r="K438" s="1"/>
      </tp>
      <tp t="s">
        <v>FIXED</v>
        <stp/>
        <stp>##V3_BDPV12</stp>
        <stp>912827KH Govt</stp>
        <stp>CPN_TYP</stp>
        <stp>[TREASURY.xlsx]Sheet1!R455C11</stp>
        <tr r="K455" s="1"/>
      </tp>
      <tp t="s">
        <v>FIXED</v>
        <stp/>
        <stp>##V3_BDPV12</stp>
        <stp>912827UW Govt</stp>
        <stp>CPN_TYP</stp>
        <stp>[TREASURY.xlsx]Sheet1!R460C11</stp>
        <tr r="K460" s="1"/>
      </tp>
      <tp t="s">
        <v>FIXED</v>
        <stp/>
        <stp>##V3_BDPV12</stp>
        <stp>912827PH Govt</stp>
        <stp>CPN_TYP</stp>
        <stp>[TREASURY.xlsx]Sheet1!R499C11</stp>
        <tr r="K499" s="1"/>
      </tp>
      <tp t="s">
        <v>FIXED</v>
        <stp/>
        <stp>##V3_BDPV12</stp>
        <stp>912828FV Govt</stp>
        <stp>CPN_TYP</stp>
        <stp>[TREASURY.xlsx]Sheet1!R845C11</stp>
        <tr r="K845" s="1"/>
      </tp>
      <tp t="s">
        <v>FIXED</v>
        <stp/>
        <stp>##V3_BDPV12</stp>
        <stp>912828FW Govt</stp>
        <stp>CPN_TYP</stp>
        <stp>[TREASURY.xlsx]Sheet1!R846C11</stp>
        <tr r="K846" s="1"/>
      </tp>
      <tp t="s">
        <v>FIXED</v>
        <stp/>
        <stp>##V3_BDPV12</stp>
        <stp>912828FK Govt</stp>
        <stp>CPN_TYP</stp>
        <stp>[TREASURY.xlsx]Sheet1!R844C11</stp>
        <tr r="K844" s="1"/>
      </tp>
      <tp t="s">
        <v>FIXED</v>
        <stp/>
        <stp>##V3_BDPV12</stp>
        <stp>912828FH Govt</stp>
        <stp>CPN_TYP</stp>
        <stp>[TREASURY.xlsx]Sheet1!R843C11</stp>
        <tr r="K843" s="1"/>
      </tp>
      <tp t="s">
        <v>FIXED</v>
        <stp/>
        <stp>##V3_BDPV12</stp>
        <stp>912828AG Govt</stp>
        <stp>CPN_TYP</stp>
        <stp>[TREASURY.xlsx]Sheet1!R837C11</stp>
        <tr r="K837" s="1"/>
      </tp>
      <tp t="s">
        <v>FIXED</v>
        <stp/>
        <stp>##V3_BDPV12</stp>
        <stp>912828GU Govt</stp>
        <stp>CPN_TYP</stp>
        <stp>[TREASURY.xlsx]Sheet1!R848C11</stp>
        <tr r="K848" s="1"/>
      </tp>
      <tp t="s">
        <v>FIXED</v>
        <stp/>
        <stp>##V3_BDPV12</stp>
        <stp>912828GL Govt</stp>
        <stp>CPN_TYP</stp>
        <stp>[TREASURY.xlsx]Sheet1!R847C11</stp>
        <tr r="K847" s="1"/>
      </tp>
      <tp t="s">
        <v>FIXED</v>
        <stp/>
        <stp>##V3_BDPV12</stp>
        <stp>912828DF Govt</stp>
        <stp>CPN_TYP</stp>
        <stp>[TREASURY.xlsx]Sheet1!R840C11</stp>
        <tr r="K840" s="1"/>
      </tp>
      <tp t="s">
        <v>FIXED</v>
        <stp/>
        <stp>##V3_BDPV12</stp>
        <stp>912828C3 Govt</stp>
        <stp>CPN_TYP</stp>
        <stp>[TREASURY.xlsx]Sheet1!R838C11</stp>
        <tr r="K838" s="1"/>
      </tp>
      <tp t="s">
        <v>FIXED</v>
        <stp/>
        <stp>##V3_BDPV12</stp>
        <stp>912828EV Govt</stp>
        <stp>CPN_TYP</stp>
        <stp>[TREASURY.xlsx]Sheet1!R841C11</stp>
        <tr r="K841" s="1"/>
      </tp>
      <tp t="s">
        <v>FIXED</v>
        <stp/>
        <stp>##V3_BDPV12</stp>
        <stp>912828EW Govt</stp>
        <stp>CPN_TYP</stp>
        <stp>[TREASURY.xlsx]Sheet1!R842C11</stp>
        <tr r="K842" s="1"/>
      </tp>
      <tp t="s">
        <v>FIXED</v>
        <stp/>
        <stp>##V3_BDPV12</stp>
        <stp>912828FS Govt</stp>
        <stp>CPN_TYP</stp>
        <stp>[TREASURY.xlsx]Sheet1!R800C11</stp>
        <tr r="K800" s="1"/>
      </tp>
      <tp t="s">
        <v>FIXED</v>
        <stp/>
        <stp>##V3_BDPV12</stp>
        <stp>912828GP Govt</stp>
        <stp>CPN_TYP</stp>
        <stp>[TREASURY.xlsx]Sheet1!R803C11</stp>
        <tr r="K803" s="1"/>
      </tp>
      <tp t="s">
        <v>FIXED</v>
        <stp/>
        <stp>##V3_BDPV12</stp>
        <stp>912828GV Govt</stp>
        <stp>CPN_TYP</stp>
        <stp>[TREASURY.xlsx]Sheet1!R805C11</stp>
        <tr r="K805" s="1"/>
      </tp>
      <tp t="s">
        <v>FIXED</v>
        <stp/>
        <stp>##V3_BDPV12</stp>
        <stp>912828GT Govt</stp>
        <stp>CPN_TYP</stp>
        <stp>[TREASURY.xlsx]Sheet1!R804C11</stp>
        <tr r="K804" s="1"/>
      </tp>
      <tp t="s">
        <v>FIXED</v>
        <stp/>
        <stp>##V3_BDPV12</stp>
        <stp>912828GJ Govt</stp>
        <stp>CPN_TYP</stp>
        <stp>[TREASURY.xlsx]Sheet1!R802C11</stp>
        <tr r="K802" s="1"/>
      </tp>
      <tp t="s">
        <v>FIXED</v>
        <stp/>
        <stp>##V3_BDPV12</stp>
        <stp>912828GA Govt</stp>
        <stp>CPN_TYP</stp>
        <stp>[TREASURY.xlsx]Sheet1!R801C11</stp>
        <tr r="K801" s="1"/>
      </tp>
      <tp t="s">
        <v>FIXED</v>
        <stp/>
        <stp>##V3_BDPV12</stp>
        <stp>912827G3 Govt</stp>
        <stp>CPN_TYP</stp>
        <stp>[TREASURY.xlsx]Sheet1!R703C11</stp>
        <tr r="K703" s="1"/>
      </tp>
      <tp t="s">
        <v>FIXED</v>
        <stp/>
        <stp>##V3_BDPV12</stp>
        <stp>912828D9 Govt</stp>
        <stp>CPN_TYP</stp>
        <stp>[TREASURY.xlsx]Sheet1!R839C11</stp>
        <tr r="K839" s="1"/>
      </tp>
      <tp t="s">
        <v>FIXED</v>
        <stp/>
        <stp>##V3_BDPV12</stp>
        <stp>912827D9 Govt</stp>
        <stp>CPN_TYP</stp>
        <stp>[TREASURY.xlsx]Sheet1!R702C11</stp>
        <tr r="K702" s="1"/>
      </tp>
      <tp t="s">
        <v>FIXED</v>
        <stp/>
        <stp>##V3_BDPV12</stp>
        <stp>912827D6 Govt</stp>
        <stp>CPN_TYP</stp>
        <stp>[TREASURY.xlsx]Sheet1!R700C11</stp>
        <tr r="K700" s="1"/>
      </tp>
      <tp t="s">
        <v>FIXED</v>
        <stp/>
        <stp>##V3_BDPV12</stp>
        <stp>912827D7 Govt</stp>
        <stp>CPN_TYP</stp>
        <stp>[TREASURY.xlsx]Sheet1!R701C11</stp>
        <tr r="K701" s="1"/>
      </tp>
      <tp t="s">
        <v>FIXED</v>
        <stp/>
        <stp>##V3_BDPV12</stp>
        <stp>912827KY Govt</stp>
        <stp>CPN_TYP</stp>
        <stp>[TREASURY.xlsx]Sheet1!R712C11</stp>
        <tr r="K712" s="1"/>
      </tp>
      <tp t="s">
        <v>FIXED</v>
        <stp/>
        <stp>##V3_BDPV12</stp>
        <stp>912827KZ Govt</stp>
        <stp>CPN_TYP</stp>
        <stp>[TREASURY.xlsx]Sheet1!R713C11</stp>
        <tr r="K713" s="1"/>
      </tp>
      <tp t="s">
        <v>FIXED</v>
        <stp/>
        <stp>##V3_BDPV12</stp>
        <stp>912827KV Govt</stp>
        <stp>CPN_TYP</stp>
        <stp>[TREASURY.xlsx]Sheet1!R711C11</stp>
        <tr r="K711" s="1"/>
      </tp>
      <tp t="s">
        <v>FIXED</v>
        <stp/>
        <stp>##V3_BDPV12</stp>
        <stp>912828KU Govt</stp>
        <stp>CPN_TYP</stp>
        <stp>[TREASURY.xlsx]Sheet1!R813C11</stp>
        <tr r="K813" s="1"/>
      </tp>
      <tp t="s">
        <v>FIXED</v>
        <stp/>
        <stp>##V3_BDPV12</stp>
        <stp>912827KQ Govt</stp>
        <stp>CPN_TYP</stp>
        <stp>[TREASURY.xlsx]Sheet1!R710C11</stp>
        <tr r="K710" s="1"/>
      </tp>
      <tp t="s">
        <v>FIXED</v>
        <stp/>
        <stp>##V3_BDPV12</stp>
        <stp>912828KF Govt</stp>
        <stp>CPN_TYP</stp>
        <stp>[TREASURY.xlsx]Sheet1!R812C11</stp>
        <tr r="K812" s="1"/>
      </tp>
      <tp t="s">
        <v>FIXED</v>
        <stp/>
        <stp>##V3_BDPV12</stp>
        <stp>912827J2 Govt</stp>
        <stp>CPN_TYP</stp>
        <stp>[TREASURY.xlsx]Sheet1!R706C11</stp>
        <tr r="K706" s="1"/>
      </tp>
      <tp t="s">
        <v>FIXED</v>
        <stp/>
        <stp>##V3_BDPV12</stp>
        <stp>912827J3 Govt</stp>
        <stp>CPN_TYP</stp>
        <stp>[TREASURY.xlsx]Sheet1!R707C11</stp>
        <tr r="K707" s="1"/>
      </tp>
      <tp t="s">
        <v>FIXED</v>
        <stp/>
        <stp>##V3_BDPV12</stp>
        <stp>912828MS Govt</stp>
        <stp>CPN_TYP</stp>
        <stp>[TREASURY.xlsx]Sheet1!R861C11</stp>
        <tr r="K861" s="1"/>
      </tp>
      <tp t="s">
        <v>FIXED</v>
        <stp/>
        <stp>##V3_BDPV12</stp>
        <stp>912828JQ Govt</stp>
        <stp>CPN_TYP</stp>
        <stp>[TREASURY.xlsx]Sheet1!R811C11</stp>
        <tr r="K811" s="1"/>
      </tp>
      <tp t="s">
        <v>FIXED</v>
        <stp/>
        <stp>##V3_BDPV12</stp>
        <stp>912828JM Govt</stp>
        <stp>CPN_TYP</stp>
        <stp>[TREASURY.xlsx]Sheet1!R810C11</stp>
        <tr r="K810" s="1"/>
      </tp>
      <tp t="s">
        <v>FIXED</v>
        <stp/>
        <stp>##V3_BDPV12</stp>
        <stp>912828MG Govt</stp>
        <stp>CPN_TYP</stp>
        <stp>[TREASURY.xlsx]Sheet1!R860C11</stp>
        <tr r="K860" s="1"/>
      </tp>
      <tp t="s">
        <v>FIXED</v>
        <stp/>
        <stp>##V3_BDPV12</stp>
        <stp>912827KM Govt</stp>
        <stp>CPN_TYP</stp>
        <stp>[TREASURY.xlsx]Sheet1!R709C11</stp>
        <tr r="K709" s="1"/>
      </tp>
      <tp t="s">
        <v>FIXED</v>
        <stp/>
        <stp>##V3_BDPV12</stp>
        <stp>912827KK Govt</stp>
        <stp>CPN_TYP</stp>
        <stp>[TREASURY.xlsx]Sheet1!R708C11</stp>
        <tr r="K708" s="1"/>
      </tp>
      <tp t="s">
        <v>FIXED</v>
        <stp/>
        <stp>##V3_BDPV12</stp>
        <stp>912828HU Govt</stp>
        <stp>CPN_TYP</stp>
        <stp>[TREASURY.xlsx]Sheet1!R808C11</stp>
        <tr r="K808" s="1"/>
      </tp>
      <tp t="s">
        <v>FIXED</v>
        <stp/>
        <stp>##V3_BDPV12</stp>
        <stp>912828NP Govt</stp>
        <stp>CPN_TYP</stp>
        <stp>[TREASURY.xlsx]Sheet1!R865C11</stp>
        <tr r="K865" s="1"/>
      </tp>
      <tp t="s">
        <v>FIXED</v>
        <stp/>
        <stp>##V3_BDPV12</stp>
        <stp>912828HX Govt</stp>
        <stp>CPN_TYP</stp>
        <stp>[TREASURY.xlsx]Sheet1!R809C11</stp>
        <tr r="K809" s="1"/>
      </tp>
      <tp t="s">
        <v>FIXED</v>
        <stp/>
        <stp>##V3_BDPV12</stp>
        <stp>912828NL Govt</stp>
        <stp>CPN_TYP</stp>
        <stp>[TREASURY.xlsx]Sheet1!R863C11</stp>
        <tr r="K863" s="1"/>
      </tp>
      <tp t="s">
        <v>FIXED</v>
        <stp/>
        <stp>##V3_BDPV12</stp>
        <stp>912828HJ Govt</stp>
        <stp>CPN_TYP</stp>
        <stp>[TREASURY.xlsx]Sheet1!R807C11</stp>
        <tr r="K807" s="1"/>
      </tp>
      <tp t="s">
        <v>FIXED</v>
        <stp/>
        <stp>##V3_BDPV12</stp>
        <stp>912828MD Govt</stp>
        <stp>CPN_TYP</stp>
        <stp>[TREASURY.xlsx]Sheet1!R859C11</stp>
        <tr r="K859" s="1"/>
      </tp>
      <tp t="s">
        <v>FIXED</v>
        <stp/>
        <stp>##V3_BDPV12</stp>
        <stp>912828NN Govt</stp>
        <stp>CPN_TYP</stp>
        <stp>[TREASURY.xlsx]Sheet1!R864C11</stp>
        <tr r="K864" s="1"/>
      </tp>
      <tp t="s">
        <v>FIXED</v>
        <stp/>
        <stp>##V3_BDPV12</stp>
        <stp>912828HG Govt</stp>
        <stp>CPN_TYP</stp>
        <stp>[TREASURY.xlsx]Sheet1!R806C11</stp>
        <tr r="K806" s="1"/>
      </tp>
      <tp t="s">
        <v>FIXED</v>
        <stp/>
        <stp>##V3_BDPV12</stp>
        <stp>912828NC Govt</stp>
        <stp>CPN_TYP</stp>
        <stp>[TREASURY.xlsx]Sheet1!R862C11</stp>
        <tr r="K862" s="1"/>
      </tp>
      <tp t="s">
        <v>FIXED</v>
        <stp/>
        <stp>##V3_BDPV12</stp>
        <stp>912827H2 Govt</stp>
        <stp>CPN_TYP</stp>
        <stp>[TREASURY.xlsx]Sheet1!R704C11</stp>
        <tr r="K704" s="1"/>
      </tp>
      <tp t="s">
        <v>FIXED</v>
        <stp/>
        <stp>##V3_BDPV12</stp>
        <stp>912827H5 Govt</stp>
        <stp>CPN_TYP</stp>
        <stp>[TREASURY.xlsx]Sheet1!R705C11</stp>
        <tr r="K705" s="1"/>
      </tp>
      <tp t="s">
        <v>FIXED</v>
        <stp/>
        <stp>##V3_BDPV12</stp>
        <stp>912828LS Govt</stp>
        <stp>CPN_TYP</stp>
        <stp>[TREASURY.xlsx]Sheet1!R858C11</stp>
        <tr r="K858" s="1"/>
      </tp>
      <tp t="s">
        <v>FIXED</v>
        <stp/>
        <stp>##V3_BDPV12</stp>
        <stp>912828KL Govt</stp>
        <stp>CPN_TYP</stp>
        <stp>[TREASURY.xlsx]Sheet1!R857C11</stp>
        <tr r="K857" s="1"/>
      </tp>
      <tp t="s">
        <v>FIXED</v>
        <stp/>
        <stp>##V3_BDPV12</stp>
        <stp>912828KA Govt</stp>
        <stp>CPN_TYP</stp>
        <stp>[TREASURY.xlsx]Sheet1!R856C11</stp>
        <tr r="K856" s="1"/>
      </tp>
      <tp t="s">
        <v>FIXED</v>
        <stp/>
        <stp>##V3_BDPV12</stp>
        <stp>912828MX Govt</stp>
        <stp>CPN_TYP</stp>
        <stp>[TREASURY.xlsx]Sheet1!R825C11</stp>
        <tr r="K825" s="1"/>
      </tp>
      <tp t="s">
        <v>FIXED</v>
        <stp/>
        <stp>##V3_BDPV12</stp>
        <stp>912827MY Govt</stp>
        <stp>CPN_TYP</stp>
        <stp>[TREASURY.xlsx]Sheet1!R725C11</stp>
        <tr r="K725" s="1"/>
      </tp>
      <tp t="s">
        <v>FIXED</v>
        <stp/>
        <stp>##V3_BDPV12</stp>
        <stp>912827MQ Govt</stp>
        <stp>CPN_TYP</stp>
        <stp>[TREASURY.xlsx]Sheet1!R723C11</stp>
        <tr r="K723" s="1"/>
      </tp>
      <tp t="s">
        <v>FIXED</v>
        <stp/>
        <stp>##V3_BDPV12</stp>
        <stp>912828MV Govt</stp>
        <stp>CPN_TYP</stp>
        <stp>[TREASURY.xlsx]Sheet1!R824C11</stp>
        <tr r="K824" s="1"/>
      </tp>
      <tp t="s">
        <v>FIXED</v>
        <stp/>
        <stp>##V3_BDPV12</stp>
        <stp>912828MR Govt</stp>
        <stp>CPN_TYP</stp>
        <stp>[TREASURY.xlsx]Sheet1!R823C11</stp>
        <tr r="K823" s="1"/>
      </tp>
      <tp t="s">
        <v>FIXED</v>
        <stp/>
        <stp>##V3_BDPV12</stp>
        <stp>912827MT Govt</stp>
        <stp>CPN_TYP</stp>
        <stp>[TREASURY.xlsx]Sheet1!R724C11</stp>
        <tr r="K724" s="1"/>
      </tp>
      <tp t="s">
        <v>FIXED</v>
        <stp/>
        <stp>##V3_BDPV12</stp>
        <stp>912828JU Govt</stp>
        <stp>CPN_TYP</stp>
        <stp>[TREASURY.xlsx]Sheet1!R855C11</stp>
        <tr r="K855" s="1"/>
      </tp>
      <tp t="s">
        <v>FIXED</v>
        <stp/>
        <stp>##V3_BDPV12</stp>
        <stp>912828JK Govt</stp>
        <stp>CPN_TYP</stp>
        <stp>[TREASURY.xlsx]Sheet1!R854C11</stp>
        <tr r="K854" s="1"/>
      </tp>
      <tp t="s">
        <v>FIXED</v>
        <stp/>
        <stp>##V3_BDPV12</stp>
        <stp>912828MM Govt</stp>
        <stp>CPN_TYP</stp>
        <stp>[TREASURY.xlsx]Sheet1!R821C11</stp>
        <tr r="K821" s="1"/>
      </tp>
      <tp t="s">
        <v>FIXED</v>
        <stp/>
        <stp>##V3_BDPV12</stp>
        <stp>912828MN Govt</stp>
        <stp>CPN_TYP</stp>
        <stp>[TREASURY.xlsx]Sheet1!R822C11</stp>
        <tr r="K822" s="1"/>
      </tp>
      <tp t="s">
        <v>FIXED</v>
        <stp/>
        <stp>##V3_BDPV12</stp>
        <stp>912828MJ Govt</stp>
        <stp>CPN_TYP</stp>
        <stp>[TREASURY.xlsx]Sheet1!R820C11</stp>
        <tr r="K820" s="1"/>
      </tp>
      <tp t="s">
        <v>FIXED</v>
        <stp/>
        <stp>##V3_BDPV12</stp>
        <stp>912827MF Govt</stp>
        <stp>CPN_TYP</stp>
        <stp>[TREASURY.xlsx]Sheet1!R722C11</stp>
        <tr r="K722" s="1"/>
      </tp>
      <tp t="s">
        <v>FIXED</v>
        <stp/>
        <stp>##V3_BDPV12</stp>
        <stp>912827MB Govt</stp>
        <stp>CPN_TYP</stp>
        <stp>[TREASURY.xlsx]Sheet1!R721C11</stp>
        <tr r="K721" s="1"/>
      </tp>
      <tp t="s">
        <v>FIXED</v>
        <stp/>
        <stp>##V3_BDPV12</stp>
        <stp>912827MA Govt</stp>
        <stp>CPN_TYP</stp>
        <stp>[TREASURY.xlsx]Sheet1!R720C11</stp>
        <tr r="K720" s="1"/>
      </tp>
      <tp t="s">
        <v>FIXED</v>
        <stp/>
        <stp>##V3_BDPV12</stp>
        <stp>912828JC Govt</stp>
        <stp>CPN_TYP</stp>
        <stp>[TREASURY.xlsx]Sheet1!R853C11</stp>
        <tr r="K853" s="1"/>
      </tp>
      <tp t="s">
        <v>FIXED</v>
        <stp/>
        <stp>##V3_BDPV12</stp>
        <stp>912828J9 Govt</stp>
        <stp>CPN_TYP</stp>
        <stp>[TREASURY.xlsx]Sheet1!R852C11</stp>
        <tr r="K852" s="1"/>
      </tp>
      <tp t="s">
        <v>FIXED</v>
        <stp/>
        <stp>##V3_BDPV12</stp>
        <stp>912828HB Govt</stp>
        <stp>CPN_TYP</stp>
        <stp>[TREASURY.xlsx]Sheet1!R849C11</stp>
        <tr r="K849" s="1"/>
      </tp>
      <tp t="s">
        <v>FIXED</v>
        <stp/>
        <stp>##V3_BDPV12</stp>
        <stp>912828MB Govt</stp>
        <stp>CPN_TYP</stp>
        <stp>[TREASURY.xlsx]Sheet1!R819C11</stp>
        <tr r="K819" s="1"/>
      </tp>
      <tp t="s">
        <v>FIXED</v>
        <stp/>
        <stp>##V3_BDPV12</stp>
        <stp>912827M6 Govt</stp>
        <stp>CPN_TYP</stp>
        <stp>[TREASURY.xlsx]Sheet1!R719C11</stp>
        <tr r="K719" s="1"/>
      </tp>
      <tp t="s">
        <v>FIXED</v>
        <stp/>
        <stp>##V3_BDPV12</stp>
        <stp>912827N6 Govt</stp>
        <stp>CPN_TYP</stp>
        <stp>[TREASURY.xlsx]Sheet1!R728C11</stp>
        <tr r="K728" s="1"/>
      </tp>
      <tp t="s">
        <v>FIXED</v>
        <stp/>
        <stp>##V3_BDPV12</stp>
        <stp>912827M5 Govt</stp>
        <stp>CPN_TYP</stp>
        <stp>[TREASURY.xlsx]Sheet1!R718C11</stp>
        <tr r="K718" s="1"/>
      </tp>
      <tp t="s">
        <v>FIXED</v>
        <stp/>
        <stp>##V3_BDPV12</stp>
        <stp>912827N3 Govt</stp>
        <stp>CPN_TYP</stp>
        <stp>[TREASURY.xlsx]Sheet1!R726C11</stp>
        <tr r="K726" s="1"/>
      </tp>
      <tp t="s">
        <v>FIXED</v>
        <stp/>
        <stp>##V3_BDPV12</stp>
        <stp>912827N5 Govt</stp>
        <stp>CPN_TYP</stp>
        <stp>[TREASURY.xlsx]Sheet1!R727C11</stp>
        <tr r="K727" s="1"/>
      </tp>
      <tp t="s">
        <v>FIXED</v>
        <stp/>
        <stp>##V3_BDPV12</stp>
        <stp>912827N8 Govt</stp>
        <stp>CPN_TYP</stp>
        <stp>[TREASURY.xlsx]Sheet1!R729C11</stp>
        <tr r="K729" s="1"/>
      </tp>
      <tp t="s">
        <v>FIXED</v>
        <stp/>
        <stp>##V3_BDPV12</stp>
        <stp>912828LU Govt</stp>
        <stp>CPN_TYP</stp>
        <stp>[TREASURY.xlsx]Sheet1!R818C11</stp>
        <tr r="K818" s="1"/>
      </tp>
      <tp t="s">
        <v>FIXED</v>
        <stp/>
        <stp>##V3_BDPV12</stp>
        <stp>912828LP Govt</stp>
        <stp>CPN_TYP</stp>
        <stp>[TREASURY.xlsx]Sheet1!R816C11</stp>
        <tr r="K816" s="1"/>
      </tp>
      <tp t="s">
        <v>FIXED</v>
        <stp/>
        <stp>##V3_BDPV12</stp>
        <stp>912828HT Govt</stp>
        <stp>CPN_TYP</stp>
        <stp>[TREASURY.xlsx]Sheet1!R851C11</stp>
        <tr r="K851" s="1"/>
      </tp>
      <tp t="s">
        <v>FIXED</v>
        <stp/>
        <stp>##V3_BDPV12</stp>
        <stp>912828LR Govt</stp>
        <stp>CPN_TYP</stp>
        <stp>[TREASURY.xlsx]Sheet1!R817C11</stp>
        <tr r="K817" s="1"/>
      </tp>
      <tp t="s">
        <v>FIXED</v>
        <stp/>
        <stp>##V3_BDPV12</stp>
        <stp>912827NP Govt</stp>
        <stp>CPN_TYP</stp>
        <stp>[TREASURY.xlsx]Sheet1!R733C11</stp>
        <tr r="K733" s="1"/>
      </tp>
      <tp t="s">
        <v>FIXED</v>
        <stp/>
        <stp>##V3_BDPV12</stp>
        <stp>912827NV Govt</stp>
        <stp>CPN_TYP</stp>
        <stp>[TREASURY.xlsx]Sheet1!R734C11</stp>
        <tr r="K734" s="1"/>
      </tp>
      <tp t="s">
        <v>FIXED</v>
        <stp/>
        <stp>##V3_BDPV12</stp>
        <stp>912827LV Govt</stp>
        <stp>CPN_TYP</stp>
        <stp>[TREASURY.xlsx]Sheet1!R717C11</stp>
        <tr r="K717" s="1"/>
      </tp>
      <tp t="s">
        <v>FIXED</v>
        <stp/>
        <stp>##V3_BDPV12</stp>
        <stp>912827NM Govt</stp>
        <stp>CPN_TYP</stp>
        <stp>[TREASURY.xlsx]Sheet1!R732C11</stp>
        <tr r="K732" s="1"/>
      </tp>
      <tp t="s">
        <v>FIXED</v>
        <stp/>
        <stp>##V3_BDPV12</stp>
        <stp>912827LM Govt</stp>
        <stp>CPN_TYP</stp>
        <stp>[TREASURY.xlsx]Sheet1!R715C11</stp>
        <tr r="K715" s="1"/>
      </tp>
      <tp t="s">
        <v>FIXED</v>
        <stp/>
        <stp>##V3_BDPV12</stp>
        <stp>912827LN Govt</stp>
        <stp>CPN_TYP</stp>
        <stp>[TREASURY.xlsx]Sheet1!R716C11</stp>
        <tr r="K716" s="1"/>
      </tp>
      <tp t="s">
        <v>FIXED</v>
        <stp/>
        <stp>##V3_BDPV12</stp>
        <stp>912827ND Govt</stp>
        <stp>CPN_TYP</stp>
        <stp>[TREASURY.xlsx]Sheet1!R731C11</stp>
        <tr r="K731" s="1"/>
      </tp>
      <tp t="s">
        <v>FIXED</v>
        <stp/>
        <stp>##V3_BDPV12</stp>
        <stp>912828HE Govt</stp>
        <stp>CPN_TYP</stp>
        <stp>[TREASURY.xlsx]Sheet1!R850C11</stp>
        <tr r="K850" s="1"/>
      </tp>
      <tp t="s">
        <v>FIXED</v>
        <stp/>
        <stp>##V3_BDPV12</stp>
        <stp>912827NC Govt</stp>
        <stp>CPN_TYP</stp>
        <stp>[TREASURY.xlsx]Sheet1!R730C11</stp>
        <tr r="K730" s="1"/>
      </tp>
      <tp t="s">
        <v>FIXED</v>
        <stp/>
        <stp>##V3_BDPV12</stp>
        <stp>912828LG Govt</stp>
        <stp>CPN_TYP</stp>
        <stp>[TREASURY.xlsx]Sheet1!R815C11</stp>
        <tr r="K815" s="1"/>
      </tp>
      <tp t="s">
        <v>FIXED</v>
        <stp/>
        <stp>##V3_BDPV12</stp>
        <stp>912828LD Govt</stp>
        <stp>CPN_TYP</stp>
        <stp>[TREASURY.xlsx]Sheet1!R814C11</stp>
        <tr r="K814" s="1"/>
      </tp>
      <tp t="s">
        <v>FIXED</v>
        <stp/>
        <stp>##V3_BDPV12</stp>
        <stp>912827L9 Govt</stp>
        <stp>CPN_TYP</stp>
        <stp>[TREASURY.xlsx]Sheet1!R714C11</stp>
        <tr r="K714" s="1"/>
      </tp>
      <tp t="s">
        <v>FIXED</v>
        <stp/>
        <stp>##V3_BDPV12</stp>
        <stp>912827ZR Govt</stp>
        <stp>CPN_TYP</stp>
        <stp>[TREASURY.xlsx]Sheet1!R783C11</stp>
        <tr r="K783" s="1"/>
      </tp>
      <tp t="s">
        <v>FIXED</v>
        <stp/>
        <stp>##V3_BDPV12</stp>
        <stp>912827ZL Govt</stp>
        <stp>CPN_TYP</stp>
        <stp>[TREASURY.xlsx]Sheet1!R782C11</stp>
        <tr r="K782" s="1"/>
      </tp>
      <tp t="s">
        <v>FIXED</v>
        <stp/>
        <stp>##V3_BDPV12</stp>
        <stp>912827ZJ Govt</stp>
        <stp>CPN_TYP</stp>
        <stp>[TREASURY.xlsx]Sheet1!R781C11</stp>
        <tr r="K781" s="1"/>
      </tp>
      <tp t="s">
        <v>FIXED</v>
        <stp/>
        <stp>##V3_BDPV12</stp>
        <stp>912827ZE Govt</stp>
        <stp>CPN_TYP</stp>
        <stp>[TREASURY.xlsx]Sheet1!R780C11</stp>
        <tr r="K780" s="1"/>
      </tp>
      <tp t="s">
        <v>FIXED</v>
        <stp/>
        <stp>##V3_BDPV12</stp>
        <stp>912828U4 Govt</stp>
        <stp>CPN_TYP</stp>
        <stp>[TREASURY.xlsx]Sheet1!R876C11</stp>
        <tr r="K876" s="1"/>
      </tp>
      <tp t="s">
        <v>FIXED</v>
        <stp/>
        <stp>##V3_BDPV12</stp>
        <stp>912828TZ Govt</stp>
        <stp>CPN_TYP</stp>
        <stp>[TREASURY.xlsx]Sheet1!R875C11</stp>
        <tr r="K875" s="1"/>
      </tp>
      <tp t="s">
        <v>FIXED</v>
        <stp/>
        <stp>##V3_BDPV12</stp>
        <stp>912827PW Govt</stp>
        <stp>CPN_TYP</stp>
        <stp>[TREASURY.xlsx]Sheet1!R739C11</stp>
        <tr r="K739" s="1"/>
      </tp>
      <tp t="s">
        <v>FIXED</v>
        <stp/>
        <stp>##V3_BDPV12</stp>
        <stp>912828QY Govt</stp>
        <stp>CPN_TYP</stp>
        <stp>[TREASURY.xlsx]Sheet1!R827C11</stp>
        <tr r="K827" s="1"/>
      </tp>
      <tp t="s">
        <v>FIXED</v>
        <stp/>
        <stp>##V3_BDPV12</stp>
        <stp>912828TQ Govt</stp>
        <stp>CPN_TYP</stp>
        <stp>[TREASURY.xlsx]Sheet1!R874C11</stp>
        <tr r="K874" s="1"/>
      </tp>
      <tp t="s">
        <v>FIXED</v>
        <stp/>
        <stp>##V3_BDPV12</stp>
        <stp>912828QU Govt</stp>
        <stp>CPN_TYP</stp>
        <stp>[TREASURY.xlsx]Sheet1!R826C11</stp>
        <tr r="K826" s="1"/>
      </tp>
      <tp t="s">
        <v>FIXED</v>
        <stp/>
        <stp>##V3_BDPV12</stp>
        <stp>912828TM Govt</stp>
        <stp>CPN_TYP</stp>
        <stp>[TREASURY.xlsx]Sheet1!R873C11</stp>
        <tr r="K873" s="1"/>
      </tp>
      <tp t="s">
        <v>FIXED</v>
        <stp/>
        <stp>##V3_BDPV12</stp>
        <stp>912827VA Govt</stp>
        <stp>CPN_TYP</stp>
        <stp>[TREASURY.xlsx]Sheet1!R759C11</stp>
        <tr r="K759" s="1"/>
      </tp>
      <tp t="s">
        <v>FIXED</v>
        <stp/>
        <stp>##V3_BDPV12</stp>
        <stp>912828TD Govt</stp>
        <stp>CPN_TYP</stp>
        <stp>[TREASURY.xlsx]Sheet1!R872C11</stp>
        <tr r="K872" s="1"/>
      </tp>
      <tp t="s">
        <v>FIXED</v>
        <stp/>
        <stp>##V3_BDPV12</stp>
        <stp>912827PC Govt</stp>
        <stp>CPN_TYP</stp>
        <stp>[TREASURY.xlsx]Sheet1!R736C11</stp>
        <tr r="K736" s="1"/>
      </tp>
      <tp t="s">
        <v>FIXED</v>
        <stp/>
        <stp>##V3_BDPV12</stp>
        <stp>912827PL Govt</stp>
        <stp>CPN_TYP</stp>
        <stp>[TREASURY.xlsx]Sheet1!R738C11</stp>
        <tr r="K738" s="1"/>
      </tp>
      <tp t="s">
        <v>FIXED</v>
        <stp/>
        <stp>##V3_BDPV12</stp>
        <stp>912827PF Govt</stp>
        <stp>CPN_TYP</stp>
        <stp>[TREASURY.xlsx]Sheet1!R737C11</stp>
        <tr r="K737" s="1"/>
      </tp>
      <tp t="s">
        <v>FIXED</v>
        <stp/>
        <stp>##V3_BDPV12</stp>
        <stp>912827P2 Govt</stp>
        <stp>CPN_TYP</stp>
        <stp>[TREASURY.xlsx]Sheet1!R735C11</stp>
        <tr r="K735" s="1"/>
      </tp>
      <tp t="s">
        <v>FIXED</v>
        <stp/>
        <stp>##V3_BDPV12</stp>
        <stp>912828T4 Govt</stp>
        <stp>CPN_TYP</stp>
        <stp>[TREASURY.xlsx]Sheet1!R871C11</stp>
        <tr r="K871" s="1"/>
      </tp>
      <tp t="s">
        <v>FIXED</v>
        <stp/>
        <stp>##V3_BDPV12</stp>
        <stp>912827V4 Govt</stp>
        <stp>CPN_TYP</stp>
        <stp>[TREASURY.xlsx]Sheet1!R757C11</stp>
        <tr r="K757" s="1"/>
      </tp>
      <tp t="s">
        <v>FIXED</v>
        <stp/>
        <stp>##V3_BDPV12</stp>
        <stp>912827V8 Govt</stp>
        <stp>CPN_TYP</stp>
        <stp>[TREASURY.xlsx]Sheet1!R758C11</stp>
        <tr r="K758" s="1"/>
      </tp>
      <tp t="s">
        <v>FIXED</v>
        <stp/>
        <stp>##V3_BDPV12</stp>
        <stp>912827VY Govt</stp>
        <stp>CPN_TYP</stp>
        <stp>[TREASURY.xlsx]Sheet1!R766C11</stp>
        <tr r="K766" s="1"/>
      </tp>
      <tp t="s">
        <v>FIXED</v>
        <stp/>
        <stp>##V3_BDPV12</stp>
        <stp>912827VR Govt</stp>
        <stp>CPN_TYP</stp>
        <stp>[TREASURY.xlsx]Sheet1!R764C11</stp>
        <tr r="K764" s="1"/>
      </tp>
      <tp t="s">
        <v>FIXED</v>
        <stp/>
        <stp>##V3_BDPV12</stp>
        <stp>912828XV Govt</stp>
        <stp>CPN_TYP</stp>
        <stp>[TREASURY.xlsx]Sheet1!R883C11</stp>
        <tr r="K883" s="1"/>
      </tp>
      <tp t="s">
        <v>FIXED</v>
        <stp/>
        <stp>##V3_BDPV12</stp>
        <stp>912827UT Govt</stp>
        <stp>CPN_TYP</stp>
        <stp>[TREASURY.xlsx]Sheet1!R756C11</stp>
        <tr r="K756" s="1"/>
      </tp>
      <tp t="s">
        <v>FIXED</v>
        <stp/>
        <stp>##V3_BDPV12</stp>
        <stp>912827VQ Govt</stp>
        <stp>CPN_TYP</stp>
        <stp>[TREASURY.xlsx]Sheet1!R763C11</stp>
        <tr r="K763" s="1"/>
      </tp>
      <tp t="s">
        <v>FIXED</v>
        <stp/>
        <stp>##V3_BDPV12</stp>
        <stp>912827VT Govt</stp>
        <stp>CPN_TYP</stp>
        <stp>[TREASURY.xlsx]Sheet1!R765C11</stp>
        <tr r="K765" s="1"/>
      </tp>
      <tp t="s">
        <v>FIXED</v>
        <stp/>
        <stp>##V3_BDPV12</stp>
        <stp>912827UJ Govt</stp>
        <stp>CPN_TYP</stp>
        <stp>[TREASURY.xlsx]Sheet1!R755C11</stp>
        <tr r="K755" s="1"/>
      </tp>
      <tp t="s">
        <v>FIXED</v>
        <stp/>
        <stp>##V3_BDPV12</stp>
        <stp>912828RF Govt</stp>
        <stp>CPN_TYP</stp>
        <stp>[TREASURY.xlsx]Sheet1!R828C11</stp>
        <tr r="K828" s="1"/>
      </tp>
      <tp t="s">
        <v>FIXED</v>
        <stp/>
        <stp>##V3_BDPV12</stp>
        <stp>912827VK Govt</stp>
        <stp>CPN_TYP</stp>
        <stp>[TREASURY.xlsx]Sheet1!R762C11</stp>
        <tr r="K762" s="1"/>
      </tp>
      <tp t="s">
        <v>FIXED</v>
        <stp/>
        <stp>##V3_BDPV12</stp>
        <stp>912827UC Govt</stp>
        <stp>CPN_TYP</stp>
        <stp>[TREASURY.xlsx]Sheet1!R754C11</stp>
        <tr r="K754" s="1"/>
      </tp>
      <tp t="s">
        <v>FIXED</v>
        <stp/>
        <stp>##V3_BDPV12</stp>
        <stp>912827VG Govt</stp>
        <stp>CPN_TYP</stp>
        <stp>[TREASURY.xlsx]Sheet1!R761C11</stp>
        <tr r="K761" s="1"/>
      </tp>
      <tp t="s">
        <v>FIXED</v>
        <stp/>
        <stp>##V3_BDPV12</stp>
        <stp>912827VC Govt</stp>
        <stp>CPN_TYP</stp>
        <stp>[TREASURY.xlsx]Sheet1!R760C11</stp>
        <tr r="K760" s="1"/>
      </tp>
      <tp t="s">
        <v>FIXED</v>
        <stp/>
        <stp>##V3_BDPV12</stp>
        <stp>912827UB Govt</stp>
        <stp>CPN_TYP</stp>
        <stp>[TREASURY.xlsx]Sheet1!R753C11</stp>
        <tr r="K753" s="1"/>
      </tp>
      <tp t="s">
        <v>FIXED</v>
        <stp/>
        <stp>##V3_BDPV12</stp>
        <stp>912827U9 Govt</stp>
        <stp>CPN_TYP</stp>
        <stp>[TREASURY.xlsx]Sheet1!R752C11</stp>
        <tr r="K752" s="1"/>
      </tp>
      <tp t="s">
        <v>FIXED</v>
        <stp/>
        <stp>##V3_BDPV12</stp>
        <stp>912828X9 Govt</stp>
        <stp>CPN_TYP</stp>
        <stp>[TREASURY.xlsx]Sheet1!R882C11</stp>
        <tr r="K882" s="1"/>
      </tp>
      <tp t="s">
        <v>FIXED</v>
        <stp/>
        <stp>##V3_BDPV12</stp>
        <stp>912827U6 Govt</stp>
        <stp>CPN_TYP</stp>
        <stp>[TREASURY.xlsx]Sheet1!R751C11</stp>
        <tr r="K751" s="1"/>
      </tp>
      <tp t="s">
        <v>FIXED</v>
        <stp/>
        <stp>##V3_BDPV12</stp>
        <stp>912827TS Govt</stp>
        <stp>CPN_TYP</stp>
        <stp>[TREASURY.xlsx]Sheet1!R750C11</stp>
        <tr r="K750" s="1"/>
      </tp>
      <tp t="s">
        <v>FIXED</v>
        <stp/>
        <stp>##V3_BDPV12</stp>
        <stp>912827WC Govt</stp>
        <stp>CPN_TYP</stp>
        <stp>[TREASURY.xlsx]Sheet1!R768C11</stp>
        <tr r="K768" s="1"/>
      </tp>
      <tp t="s">
        <v>FIXED</v>
        <stp/>
        <stp>##V3_BDPV12</stp>
        <stp>912828VN Govt</stp>
        <stp>CPN_TYP</stp>
        <stp>[TREASURY.xlsx]Sheet1!R879C11</stp>
        <tr r="K879" s="1"/>
      </tp>
      <tp t="s">
        <v>FIXED</v>
        <stp/>
        <stp>##V3_BDPV12</stp>
        <stp>912828VL Govt</stp>
        <stp>CPN_TYP</stp>
        <stp>[TREASURY.xlsx]Sheet1!R878C11</stp>
        <tr r="K878" s="1"/>
      </tp>
      <tp t="s">
        <v>FIXED</v>
        <stp/>
        <stp>##V3_BDPV12</stp>
        <stp>912827W2 Govt</stp>
        <stp>CPN_TYP</stp>
        <stp>[TREASURY.xlsx]Sheet1!R767C11</stp>
        <tr r="K767" s="1"/>
      </tp>
      <tp t="s">
        <v>FIXED</v>
        <stp/>
        <stp>##V3_BDPV12</stp>
        <stp>912828V3 Govt</stp>
        <stp>CPN_TYP</stp>
        <stp>[TREASURY.xlsx]Sheet1!R877C11</stp>
        <tr r="K877" s="1"/>
      </tp>
      <tp t="s">
        <v>FIXED</v>
        <stp/>
        <stp>##V3_BDPV12</stp>
        <stp>912827RB Govt</stp>
        <stp>CPN_TYP</stp>
        <stp>[TREASURY.xlsx]Sheet1!R744C11</stp>
        <tr r="K744" s="1"/>
      </tp>
      <tp t="s">
        <v>FIXED</v>
        <stp/>
        <stp>##V3_BDPV12</stp>
        <stp>912827R2 Govt</stp>
        <stp>CPN_TYP</stp>
        <stp>[TREASURY.xlsx]Sheet1!R743C11</stp>
        <tr r="K743" s="1"/>
      </tp>
      <tp t="s">
        <v>FIXED</v>
        <stp/>
        <stp>##V3_BDPV12</stp>
        <stp>912828QR Govt</stp>
        <stp>CPN_TYP</stp>
        <stp>[TREASURY.xlsx]Sheet1!R866C11</stp>
        <tr r="K866" s="1"/>
      </tp>
      <tp t="s">
        <v>FIXED</v>
        <stp/>
        <stp>##V3_BDPV12</stp>
        <stp>912828QT Govt</stp>
        <stp>CPN_TYP</stp>
        <stp>[TREASURY.xlsx]Sheet1!R867C11</stp>
        <tr r="K867" s="1"/>
      </tp>
      <tp t="s">
        <v>FIXED</v>
        <stp/>
        <stp>##V3_BDPV12</stp>
        <stp>912827SX Govt</stp>
        <stp>CPN_TYP</stp>
        <stp>[TREASURY.xlsx]Sheet1!R749C11</stp>
        <tr r="K749" s="1"/>
      </tp>
      <tp t="s">
        <v>FIXED</v>
        <stp/>
        <stp>##V3_BDPV12</stp>
        <stp>912827SM Govt</stp>
        <stp>CPN_TYP</stp>
        <stp>[TREASURY.xlsx]Sheet1!R748C11</stp>
        <tr r="K748" s="1"/>
      </tp>
      <tp t="s">
        <v>FIXED</v>
        <stp/>
        <stp>##V3_BDPV12</stp>
        <stp>912827SC Govt</stp>
        <stp>CPN_TYP</stp>
        <stp>[TREASURY.xlsx]Sheet1!R747C11</stp>
        <tr r="K747" s="1"/>
      </tp>
      <tp t="s">
        <v>FIXED</v>
        <stp/>
        <stp>##V3_BDPV12</stp>
        <stp>912827S9 Govt</stp>
        <stp>CPN_TYP</stp>
        <stp>[TREASURY.xlsx]Sheet1!R746C11</stp>
        <tr r="K746" s="1"/>
      </tp>
      <tp t="s">
        <v>FIXED</v>
        <stp/>
        <stp>##V3_BDPV12</stp>
        <stp>912827S4 Govt</stp>
        <stp>CPN_TYP</stp>
        <stp>[TREASURY.xlsx]Sheet1!R745C11</stp>
        <tr r="K745" s="1"/>
      </tp>
      <tp t="s">
        <v>FIXED</v>
        <stp/>
        <stp>##V3_BDPV12</stp>
        <stp>912828SX Govt</stp>
        <stp>CPN_TYP</stp>
        <stp>[TREASURY.xlsx]Sheet1!R870C11</stp>
        <tr r="K870" s="1"/>
      </tp>
      <tp t="s">
        <v>FIXED</v>
        <stp/>
        <stp>##V3_BDPV12</stp>
        <stp>912828RG Govt</stp>
        <stp>CPN_TYP</stp>
        <stp>[TREASURY.xlsx]Sheet1!R869C11</stp>
        <tr r="K869" s="1"/>
      </tp>
      <tp t="s">
        <v>FIXED</v>
        <stp/>
        <stp>##V3_BDPV12</stp>
        <stp>912828RE Govt</stp>
        <stp>CPN_TYP</stp>
        <stp>[TREASURY.xlsx]Sheet1!R868C11</stp>
        <tr r="K868" s="1"/>
      </tp>
      <tp t="s">
        <v>FIXED</v>
        <stp/>
        <stp>##V3_BDPV12</stp>
        <stp>912827QP Govt</stp>
        <stp>CPN_TYP</stp>
        <stp>[TREASURY.xlsx]Sheet1!R742C11</stp>
        <tr r="K742" s="1"/>
      </tp>
      <tp t="s">
        <v>FIXED</v>
        <stp/>
        <stp>##V3_BDPV12</stp>
        <stp>912827QL Govt</stp>
        <stp>CPN_TYP</stp>
        <stp>[TREASURY.xlsx]Sheet1!R741C11</stp>
        <tr r="K741" s="1"/>
      </tp>
      <tp t="s">
        <v>FIXED</v>
        <stp/>
        <stp>##V3_BDPV12</stp>
        <stp>912827QE Govt</stp>
        <stp>CPN_TYP</stp>
        <stp>[TREASURY.xlsx]Sheet1!R740C11</stp>
        <tr r="K740" s="1"/>
      </tp>
      <tp t="s">
        <v>FIXED</v>
        <stp/>
        <stp>##V3_BDPV12</stp>
        <stp>912828VQ Govt</stp>
        <stp>CPN_TYP</stp>
        <stp>[TREASURY.xlsx]Sheet1!R880C11</stp>
        <tr r="K880" s="1"/>
      </tp>
      <tp t="s">
        <v>FIXED</v>
        <stp/>
        <stp>##V3_BDPV12</stp>
        <stp>912827YJ Govt</stp>
        <stp>CPN_TYP</stp>
        <stp>[TREASURY.xlsx]Sheet1!R775C11</stp>
        <tr r="K775" s="1"/>
      </tp>
      <tp t="s">
        <v>FIXED</v>
        <stp/>
        <stp>##V3_BDPV12</stp>
        <stp>912827YN Govt</stp>
        <stp>CPN_TYP</stp>
        <stp>[TREASURY.xlsx]Sheet1!R776C11</stp>
        <tr r="K776" s="1"/>
      </tp>
      <tp t="s">
        <v>FIXED</v>
        <stp/>
        <stp>##V3_BDPV12</stp>
        <stp>912827X4 Govt</stp>
        <stp>CPN_TYP</stp>
        <stp>[TREASURY.xlsx]Sheet1!R769C11</stp>
        <tr r="K769" s="1"/>
      </tp>
      <tp t="s">
        <v>FIXED</v>
        <stp/>
        <stp>##V3_BDPV12</stp>
        <stp>912828WX Govt</stp>
        <stp>CPN_TYP</stp>
        <stp>[TREASURY.xlsx]Sheet1!R881C11</stp>
        <tr r="K881" s="1"/>
      </tp>
      <tp t="s">
        <v>FIXED</v>
        <stp/>
        <stp>##V3_BDPV12</stp>
        <stp>912827XT Govt</stp>
        <stp>CPN_TYP</stp>
        <stp>[TREASURY.xlsx]Sheet1!R774C11</stp>
        <tr r="K774" s="1"/>
      </tp>
      <tp t="s">
        <v>FIXED</v>
        <stp/>
        <stp>##V3_BDPV12</stp>
        <stp>912827XH Govt</stp>
        <stp>CPN_TYP</stp>
        <stp>[TREASURY.xlsx]Sheet1!R772C11</stp>
        <tr r="K772" s="1"/>
      </tp>
      <tp t="s">
        <v>FIXED</v>
        <stp/>
        <stp>##V3_BDPV12</stp>
        <stp>912827XK Govt</stp>
        <stp>CPN_TYP</stp>
        <stp>[TREASURY.xlsx]Sheet1!R773C11</stp>
        <tr r="K773" s="1"/>
      </tp>
      <tp t="s">
        <v>FIXED</v>
        <stp/>
        <stp>##V3_BDPV12</stp>
        <stp>912827XC Govt</stp>
        <stp>CPN_TYP</stp>
        <stp>[TREASURY.xlsx]Sheet1!R771C11</stp>
        <tr r="K771" s="1"/>
      </tp>
      <tp t="s">
        <v>FIXED</v>
        <stp/>
        <stp>##V3_BDPV12</stp>
        <stp>912827X9 Govt</stp>
        <stp>CPN_TYP</stp>
        <stp>[TREASURY.xlsx]Sheet1!R770C11</stp>
        <tr r="K770" s="1"/>
      </tp>
      <tp t="s">
        <v>FIXED</v>
        <stp/>
        <stp>##V3_BDPV12</stp>
        <stp>912827ZC Govt</stp>
        <stp>CPN_TYP</stp>
        <stp>[TREASURY.xlsx]Sheet1!R779C11</stp>
        <tr r="K779" s="1"/>
      </tp>
      <tp t="s">
        <v>FIXED</v>
        <stp/>
        <stp>##V3_BDPV12</stp>
        <stp>912827Z9 Govt</stp>
        <stp>CPN_TYP</stp>
        <stp>[TREASURY.xlsx]Sheet1!R778C11</stp>
        <tr r="K778" s="1"/>
      </tp>
      <tp t="s">
        <v>FIXED</v>
        <stp/>
        <stp>##V3_BDPV12</stp>
        <stp>912827Z7 Govt</stp>
        <stp>CPN_TYP</stp>
        <stp>[TREASURY.xlsx]Sheet1!R777C11</stp>
        <tr r="K777" s="1"/>
      </tp>
      <tp t="s">
        <v>FIXED</v>
        <stp/>
        <stp>##V3_BDPV12</stp>
        <stp>9128275N Govt</stp>
        <stp>CPN_TYP</stp>
        <stp>[TREASURY.xlsx]Sheet1!R674C11</stp>
        <tr r="K674" s="1"/>
      </tp>
      <tp t="s">
        <v>FIXED</v>
        <stp/>
        <stp>##V3_BDPV12</stp>
        <stp>9128273Y Govt</stp>
        <stp>CPN_TYP</stp>
        <stp>[TREASURY.xlsx]Sheet1!R607C11</stp>
        <tr r="K607" s="1"/>
      </tp>
      <tp t="s">
        <v>FIXED</v>
        <stp/>
        <stp>##V3_BDPV12</stp>
        <stp>9128275F Govt</stp>
        <stp>CPN_TYP</stp>
        <stp>[TREASURY.xlsx]Sheet1!R662C11</stp>
        <tr r="K662" s="1"/>
      </tp>
      <tp t="s">
        <v>FIXED</v>
        <stp/>
        <stp>##V3_BDPV12</stp>
        <stp>9128275X Govt</stp>
        <stp>CPN_TYP</stp>
        <stp>[TREASURY.xlsx]Sheet1!R633C11</stp>
        <tr r="K633" s="1"/>
      </tp>
      <tp t="s">
        <v>FIXED</v>
        <stp/>
        <stp>##V3_BDPV12</stp>
        <stp>9128282K Govt</stp>
        <stp>CPN_TYP</stp>
        <stp>[TREASURY.xlsx]Sheet1!R957C11</stp>
        <tr r="K957" s="1"/>
      </tp>
      <tp t="s">
        <v>FIXED</v>
        <stp/>
        <stp>##V3_BDPV12</stp>
        <stp>9128274T Govt</stp>
        <stp>CPN_TYP</stp>
        <stp>[TREASURY.xlsx]Sheet1!R610C11</stp>
        <tr r="K610" s="1"/>
      </tp>
      <tp t="s">
        <v>FIXED</v>
        <stp/>
        <stp>##V3_BDPV12</stp>
        <stp>912828DL Govt</stp>
        <stp>CPN_TYP</stp>
        <stp>[TREASURY.xlsx]Sheet1!R962C11</stp>
        <tr r="K962" s="1"/>
      </tp>
      <tp t="s">
        <v>FIXED</v>
        <stp/>
        <stp>##V3_BDPV12</stp>
        <stp>912828DN Govt</stp>
        <stp>CPN_TYP</stp>
        <stp>[TREASURY.xlsx]Sheet1!R963C11</stp>
        <tr r="K963" s="1"/>
      </tp>
      <tp t="s">
        <v>FIXED</v>
        <stp/>
        <stp>##V3_BDPV12</stp>
        <stp>912828D4 Govt</stp>
        <stp>CPN_TYP</stp>
        <stp>[TREASURY.xlsx]Sheet1!R961C11</stp>
        <tr r="K961" s="1"/>
      </tp>
      <tp t="s">
        <v>FIXED</v>
        <stp/>
        <stp>##V3_BDPV12</stp>
        <stp>912827KU Govt</stp>
        <stp>CPN_TYP</stp>
        <stp>[TREASURY.xlsx]Sheet1!R683C11</stp>
        <tr r="K683" s="1"/>
      </tp>
      <tp t="s">
        <v>FIXED</v>
        <stp/>
        <stp>##V3_BDPV12</stp>
        <stp>912828EP Govt</stp>
        <stp>CPN_TYP</stp>
        <stp>[TREASURY.xlsx]Sheet1!R965C11</stp>
        <tr r="K965" s="1"/>
      </tp>
      <tp t="s">
        <v>FIXED</v>
        <stp/>
        <stp>##V3_BDPV12</stp>
        <stp>912828ED Govt</stp>
        <stp>CPN_TYP</stp>
        <stp>[TREASURY.xlsx]Sheet1!R964C11</stp>
        <tr r="K964" s="1"/>
      </tp>
      <tp t="s">
        <v>FIXED</v>
        <stp/>
        <stp>##V3_BDPV12</stp>
        <stp>912827F2 Govt</stp>
        <stp>CPN_TYP</stp>
        <stp>[TREASURY.xlsx]Sheet1!R663C11</stp>
        <tr r="K663" s="1"/>
      </tp>
      <tp t="s">
        <v>FIXED</v>
        <stp/>
        <stp>##V3_BDPV12</stp>
        <stp>912828GG Govt</stp>
        <stp>CPN_TYP</stp>
        <stp>[TREASURY.xlsx]Sheet1!R967C11</stp>
        <tr r="K967" s="1"/>
      </tp>
      <tp t="s">
        <v>FIXED</v>
        <stp/>
        <stp>##V3_BDPV12</stp>
        <stp>912828G6 Govt</stp>
        <stp>CPN_TYP</stp>
        <stp>[TREASURY.xlsx]Sheet1!R966C11</stp>
        <tr r="K966" s="1"/>
      </tp>
      <tp t="s">
        <v>FIXED</v>
        <stp/>
        <stp>##V3_BDPV12</stp>
        <stp>912828NX Govt</stp>
        <stp>CPN_TYP</stp>
        <stp>[TREASURY.xlsx]Sheet1!R980C11</stp>
        <tr r="K980" s="1"/>
      </tp>
      <tp t="s">
        <v>FIXED</v>
        <stp/>
        <stp>##V3_BDPV12</stp>
        <stp>912828BN Govt</stp>
        <stp>CPN_TYP</stp>
        <stp>[TREASURY.xlsx]Sheet1!R960C11</stp>
        <tr r="K960" s="1"/>
      </tp>
      <tp t="s">
        <v>FIXED</v>
        <stp/>
        <stp>##V3_BDPV12</stp>
        <stp>912828AB Govt</stp>
        <stp>CPN_TYP</stp>
        <stp>[TREASURY.xlsx]Sheet1!R958C11</stp>
        <tr r="K958" s="1"/>
      </tp>
      <tp t="s">
        <v>FIXED</v>
        <stp/>
        <stp>##V3_BDPV12</stp>
        <stp>912828AK Govt</stp>
        <stp>CPN_TYP</stp>
        <stp>[TREASURY.xlsx]Sheet1!R959C11</stp>
        <tr r="K959" s="1"/>
      </tp>
      <tp t="s">
        <v>FIXED</v>
        <stp/>
        <stp>##V3_BDPV12</stp>
        <stp>912828MH Govt</stp>
        <stp>CPN_TYP</stp>
        <stp>[TREASURY.xlsx]Sheet1!R976C11</stp>
        <tr r="K976" s="1"/>
      </tp>
      <tp t="s">
        <v>FIXED</v>
        <stp/>
        <stp>##V3_BDPV12</stp>
        <stp>912828LT Govt</stp>
        <stp>CPN_TYP</stp>
        <stp>[TREASURY.xlsx]Sheet1!R975C11</stp>
        <tr r="K975" s="1"/>
      </tp>
      <tp t="s">
        <v>FIXED</v>
        <stp/>
        <stp>##V3_BDPV12</stp>
        <stp>912827KC Govt</stp>
        <stp>CPN_TYP</stp>
        <stp>[TREASURY.xlsx]Sheet1!R608C11</stp>
        <tr r="K608" s="1"/>
      </tp>
      <tp t="s">
        <v>FIXED</v>
        <stp/>
        <stp>##V3_BDPV12</stp>
        <stp>912828NS Govt</stp>
        <stp>CPN_TYP</stp>
        <stp>[TREASURY.xlsx]Sheet1!R979C11</stp>
        <tr r="K979" s="1"/>
      </tp>
      <tp t="s">
        <v>FIXED</v>
        <stp/>
        <stp>##V3_BDPV12</stp>
        <stp>912828NK Govt</stp>
        <stp>CPN_TYP</stp>
        <stp>[TREASURY.xlsx]Sheet1!R978C11</stp>
        <tr r="K978" s="1"/>
      </tp>
      <tp t="s">
        <v>FIXED</v>
        <stp/>
        <stp>##V3_BDPV12</stp>
        <stp>912828NE Govt</stp>
        <stp>CPN_TYP</stp>
        <stp>[TREASURY.xlsx]Sheet1!R977C11</stp>
        <tr r="K977" s="1"/>
      </tp>
      <tp t="s">
        <v>FIXED</v>
        <stp/>
        <stp>##V3_BDPV12</stp>
        <stp>912827LF Govt</stp>
        <stp>CPN_TYP</stp>
        <stp>[TREASURY.xlsx]Sheet1!R656C11</stp>
        <tr r="K656" s="1"/>
      </tp>
      <tp t="s">
        <v>FIXED</v>
        <stp/>
        <stp>##V3_BDPV12</stp>
        <stp>912828HD Govt</stp>
        <stp>CPN_TYP</stp>
        <stp>[TREASURY.xlsx]Sheet1!R969C11</stp>
        <tr r="K969" s="1"/>
      </tp>
      <tp t="s">
        <v>FIXED</v>
        <stp/>
        <stp>##V3_BDPV12</stp>
        <stp>912828H3 Govt</stp>
        <stp>CPN_TYP</stp>
        <stp>[TREASURY.xlsx]Sheet1!R968C11</stp>
        <tr r="K968" s="1"/>
      </tp>
      <tp t="s">
        <v>FIXED</v>
        <stp/>
        <stp>##V3_BDPV12</stp>
        <stp>912828HF Govt</stp>
        <stp>CPN_TYP</stp>
        <stp>[TREASURY.xlsx]Sheet1!R970C11</stp>
        <tr r="K970" s="1"/>
      </tp>
      <tp t="s">
        <v>FIXED</v>
        <stp/>
        <stp>##V3_BDPV12</stp>
        <stp>912828KZ Govt</stp>
        <stp>CPN_TYP</stp>
        <stp>[TREASURY.xlsx]Sheet1!R974C11</stp>
        <tr r="K974" s="1"/>
      </tp>
      <tp t="s">
        <v>FIXED</v>
        <stp/>
        <stp>##V3_BDPV12</stp>
        <stp>912828KT Govt</stp>
        <stp>CPN_TYP</stp>
        <stp>[TREASURY.xlsx]Sheet1!R973C11</stp>
        <tr r="K973" s="1"/>
      </tp>
      <tp t="s">
        <v>FIXED</v>
        <stp/>
        <stp>##V3_BDPV12</stp>
        <stp>912827KS Govt</stp>
        <stp>CPN_TYP</stp>
        <stp>[TREASURY.xlsx]Sheet1!R668C11</stp>
        <tr r="K668" s="1"/>
      </tp>
      <tp t="s">
        <v>FIXED</v>
        <stp/>
        <stp>##V3_BDPV12</stp>
        <stp>912828JV Govt</stp>
        <stp>CPN_TYP</stp>
        <stp>[TREASURY.xlsx]Sheet1!R972C11</stp>
        <tr r="K972" s="1"/>
      </tp>
      <tp t="s">
        <v>FIXED</v>
        <stp/>
        <stp>##V3_BDPV12</stp>
        <stp>912828JD Govt</stp>
        <stp>CPN_TYP</stp>
        <stp>[TREASURY.xlsx]Sheet1!R971C11</stp>
        <tr r="K971" s="1"/>
      </tp>
      <tp t="s">
        <v>FIXED</v>
        <stp/>
        <stp>##V3_BDPV12</stp>
        <stp>912827ZN Govt</stp>
        <stp>CPN_TYP</stp>
        <stp>[TREASURY.xlsx]Sheet1!R685C11</stp>
        <tr r="K685" s="1"/>
      </tp>
      <tp t="s">
        <v>FIXED</v>
        <stp/>
        <stp>##V3_BDPV12</stp>
        <stp>912827YR Govt</stp>
        <stp>CPN_TYP</stp>
        <stp>[TREASURY.xlsx]Sheet1!R684C11</stp>
        <tr r="K684" s="1"/>
      </tp>
      <tp t="s">
        <v>FIXED</v>
        <stp/>
        <stp>##V3_BDPV12</stp>
        <stp>912827PQ Govt</stp>
        <stp>CPN_TYP</stp>
        <stp>[TREASURY.xlsx]Sheet1!R665C11</stp>
        <tr r="K665" s="1"/>
      </tp>
      <tp t="s">
        <v>FIXED</v>
        <stp/>
        <stp>##V3_BDPV12</stp>
        <stp>912827WE Govt</stp>
        <stp>CPN_TYP</stp>
        <stp>[TREASURY.xlsx]Sheet1!R601C11</stp>
        <tr r="K601" s="1"/>
      </tp>
      <tp t="s">
        <v>FIXED</v>
        <stp/>
        <stp>##V3_BDPV12</stp>
        <stp>912827VE Govt</stp>
        <stp>CPN_TYP</stp>
        <stp>[TREASURY.xlsx]Sheet1!R626C11</stp>
        <tr r="K626" s="1"/>
      </tp>
      <tp t="s">
        <v>FIXED</v>
        <stp/>
        <stp>##V3_BDPV12</stp>
        <stp>912828SP Govt</stp>
        <stp>CPN_TYP</stp>
        <stp>[TREASURY.xlsx]Sheet1!R995C11</stp>
        <tr r="K995" s="1"/>
      </tp>
      <tp t="s">
        <v>FIXED</v>
        <stp/>
        <stp>##V3_BDPV12</stp>
        <stp>912828SS Govt</stp>
        <stp>CPN_TYP</stp>
        <stp>[TREASURY.xlsx]Sheet1!R996C11</stp>
        <tr r="K996" s="1"/>
      </tp>
      <tp t="s">
        <v>FIXED</v>
        <stp/>
        <stp>##V3_BDPV12</stp>
        <stp>912828RQ Govt</stp>
        <stp>CPN_TYP</stp>
        <stp>[TREASURY.xlsx]Sheet1!R994C11</stp>
        <tr r="K994" s="1"/>
      </tp>
      <tp t="s">
        <v>FIXED</v>
        <stp/>
        <stp>##V3_BDPV12</stp>
        <stp>912828RJ Govt</stp>
        <stp>CPN_TYP</stp>
        <stp>[TREASURY.xlsx]Sheet1!R993C11</stp>
        <tr r="K993" s="1"/>
      </tp>
      <tp t="s">
        <v>FIXED</v>
        <stp/>
        <stp>##V3_BDPV12</stp>
        <stp>912828PS Govt</stp>
        <stp>CPN_TYP</stp>
        <stp>[TREASURY.xlsx]Sheet1!R986C11</stp>
        <tr r="K986" s="1"/>
      </tp>
      <tp t="s">
        <v>FIXED</v>
        <stp/>
        <stp>##V3_BDPV12</stp>
        <stp>912828PQ Govt</stp>
        <stp>CPN_TYP</stp>
        <stp>[TREASURY.xlsx]Sheet1!R985C11</stp>
        <tr r="K985" s="1"/>
      </tp>
      <tp t="s">
        <v>FIXED</v>
        <stp/>
        <stp>##V3_BDPV12</stp>
        <stp>912828QS Govt</stp>
        <stp>CPN_TYP</stp>
        <stp>[TREASURY.xlsx]Sheet1!R992C11</stp>
        <tr r="K992" s="1"/>
      </tp>
      <tp t="s">
        <v>FIXED</v>
        <stp/>
        <stp>##V3_BDPV12</stp>
        <stp>912828PW Govt</stp>
        <stp>CPN_TYP</stp>
        <stp>[TREASURY.xlsx]Sheet1!R987C11</stp>
        <tr r="K987" s="1"/>
      </tp>
      <tp t="s">
        <v>FIXED</v>
        <stp/>
        <stp>##V3_BDPV12</stp>
        <stp>912828QQ Govt</stp>
        <stp>CPN_TYP</stp>
        <stp>[TREASURY.xlsx]Sheet1!R991C11</stp>
        <tr r="K991" s="1"/>
      </tp>
      <tp t="s">
        <v>FIXED</v>
        <stp/>
        <stp>##V3_BDPV12</stp>
        <stp>912828PL Govt</stp>
        <stp>CPN_TYP</stp>
        <stp>[TREASURY.xlsx]Sheet1!R983C11</stp>
        <tr r="K983" s="1"/>
      </tp>
      <tp t="s">
        <v>FIXED</v>
        <stp/>
        <stp>##V3_BDPV12</stp>
        <stp>912828PN Govt</stp>
        <stp>CPN_TYP</stp>
        <stp>[TREASURY.xlsx]Sheet1!R984C11</stp>
        <tr r="K984" s="1"/>
      </tp>
      <tp t="s">
        <v>FIXED</v>
        <stp/>
        <stp>##V3_BDPV12</stp>
        <stp>912828PK Govt</stp>
        <stp>CPN_TYP</stp>
        <stp>[TREASURY.xlsx]Sheet1!R982C11</stp>
        <tr r="K982" s="1"/>
      </tp>
      <tp t="s">
        <v>FIXED</v>
        <stp/>
        <stp>##V3_BDPV12</stp>
        <stp>912828QG Govt</stp>
        <stp>CPN_TYP</stp>
        <stp>[TREASURY.xlsx]Sheet1!R990C11</stp>
        <tr r="K990" s="1"/>
      </tp>
      <tp t="s">
        <v>FIXED</v>
        <stp/>
        <stp>##V3_BDPV12</stp>
        <stp>912828P2 Govt</stp>
        <stp>CPN_TYP</stp>
        <stp>[TREASURY.xlsx]Sheet1!R981C11</stp>
        <tr r="K981" s="1"/>
      </tp>
      <tp t="s">
        <v>FIXED</v>
        <stp/>
        <stp>##V3_BDPV12</stp>
        <stp>912827ZH Govt</stp>
        <stp>CPN_TYP</stp>
        <stp>[TREASURY.xlsx]Sheet1!R634C11</stp>
        <tr r="K634" s="1"/>
      </tp>
      <tp t="s">
        <v>FIXED</v>
        <stp/>
        <stp>##V3_BDPV12</stp>
        <stp>912828QE Govt</stp>
        <stp>CPN_TYP</stp>
        <stp>[TREASURY.xlsx]Sheet1!R989C11</stp>
        <tr r="K989" s="1"/>
      </tp>
      <tp t="s">
        <v>FIXED</v>
        <stp/>
        <stp>##V3_BDPV12</stp>
        <stp>912828QB Govt</stp>
        <stp>CPN_TYP</stp>
        <stp>[TREASURY.xlsx]Sheet1!R988C11</stp>
        <tr r="K988" s="1"/>
      </tp>
      <tp t="s">
        <v>FIXED</v>
        <stp/>
        <stp>##V3_BDPV12</stp>
        <stp>912828UJ Govt</stp>
        <stp>CPN_TYP</stp>
        <stp>[TREASURY.xlsx]Sheet1!R999C11</stp>
        <tr r="K999" s="1"/>
      </tp>
      <tp t="s">
        <v>FIXED</v>
        <stp/>
        <stp>##V3_BDPV12</stp>
        <stp>912828TP Govt</stp>
        <stp>CPN_TYP</stp>
        <stp>[TREASURY.xlsx]Sheet1!R998C11</stp>
        <tr r="K998" s="1"/>
      </tp>
      <tp t="s">
        <v>FIXED</v>
        <stp/>
        <stp>##V3_BDPV12</stp>
        <stp>912828TF Govt</stp>
        <stp>CPN_TYP</stp>
        <stp>[TREASURY.xlsx]Sheet1!R997C11</stp>
        <tr r="K997" s="1"/>
      </tp>
      <tp t="s">
        <v>FIXED</v>
        <stp/>
        <stp>##V3_BDPV12</stp>
        <stp>9128277B Govt</stp>
        <stp>CPN_TYP</stp>
        <stp>[TREASURY.xlsx]Sheet1!R354C11</stp>
        <tr r="K354" s="1"/>
      </tp>
      <tp t="s">
        <v>FIXED</v>
        <stp/>
        <stp>##V3_BDPV12</stp>
        <stp>912827KW Govt</stp>
        <stp>CPN_TYP</stp>
        <stp>[TREASURY.xlsx]Sheet1!R392C11</stp>
        <tr r="K392" s="1"/>
      </tp>
      <tp t="s">
        <v>FIXED</v>
        <stp/>
        <stp>##V3_BDPV12</stp>
        <stp>9128286Y Govt</stp>
        <stp>CPN_TYP</stp>
        <stp>[TREASURY.xlsx]Sheet1!R241C11</stp>
        <tr r="K241" s="1"/>
      </tp>
      <tp t="s">
        <v>FIXED</v>
        <stp/>
        <stp>##V3_BDPV12</stp>
        <stp>9128285P Govt</stp>
        <stp>CPN_TYP</stp>
        <stp>[TREASURY.xlsx]Sheet1!R271C11</stp>
        <tr r="K271" s="1"/>
      </tp>
      <tp t="s">
        <v>FIXED</v>
        <stp/>
        <stp>##V3_BDPV12</stp>
        <stp>9128283J Govt</stp>
        <stp>CPN_TYP</stp>
        <stp>[TREASURY.xlsx]Sheet1!R216C11</stp>
        <tr r="K216" s="1"/>
      </tp>
      <tp t="s">
        <v>FIXED</v>
        <stp/>
        <stp>##V3_BDPV12</stp>
        <stp>9128286G Govt</stp>
        <stp>CPN_TYP</stp>
        <stp>[TREASURY.xlsx]Sheet1!R240C11</stp>
        <tr r="K240" s="1"/>
      </tp>
      <tp t="s">
        <v>FIXED</v>
        <stp/>
        <stp>##V3_BDPV12</stp>
        <stp>9128282P Govt</stp>
        <stp>CPN_TYP</stp>
        <stp>[TREASURY.xlsx]Sheet1!R214C11</stp>
        <tr r="K214" s="1"/>
      </tp>
      <tp t="s">
        <v>FIXED</v>
        <stp/>
        <stp>##V3_BDPV12</stp>
        <stp>9128282S Govt</stp>
        <stp>CPN_TYP</stp>
        <stp>[TREASURY.xlsx]Sheet1!R212C11</stp>
        <tr r="K212" s="1"/>
      </tp>
      <tp t="s">
        <v>FIXED</v>
        <stp/>
        <stp>##V3_BDPV12</stp>
        <stp>9128286X Govt</stp>
        <stp>CPN_TYP</stp>
        <stp>[TREASURY.xlsx]Sheet1!R264C11</stp>
        <tr r="K264" s="1"/>
      </tp>
      <tp t="s">
        <v>FIXED</v>
        <stp/>
        <stp>##V3_BDPV12</stp>
        <stp>9128283D Govt</stp>
        <stp>CPN_TYP</stp>
        <stp>[TREASURY.xlsx]Sheet1!R231C11</stp>
        <tr r="K231" s="1"/>
      </tp>
      <tp t="s">
        <v>FIXED</v>
        <stp/>
        <stp>##V3_BDPV12</stp>
        <stp>9128286A Govt</stp>
        <stp>CPN_TYP</stp>
        <stp>[TREASURY.xlsx]Sheet1!R265C11</stp>
        <tr r="K265" s="1"/>
      </tp>
      <tp t="s">
        <v>FIXED</v>
        <stp/>
        <stp>##V3_BDPV12</stp>
        <stp>9128284X Govt</stp>
        <stp>CPN_TYP</stp>
        <stp>[TREASURY.xlsx]Sheet1!R256C11</stp>
        <tr r="K256" s="1"/>
      </tp>
      <tp t="s">
        <v>FIXED</v>
        <stp/>
        <stp>##V3_BDPV12</stp>
        <stp>9128284Z Govt</stp>
        <stp>CPN_TYP</stp>
        <stp>[TREASURY.xlsx]Sheet1!R251C11</stp>
        <tr r="K251" s="1"/>
      </tp>
      <tp t="s">
        <v>FIXED</v>
        <stp/>
        <stp>##V3_BDPV12</stp>
        <stp>9128284R Govt</stp>
        <stp>CPN_TYP</stp>
        <stp>[TREASURY.xlsx]Sheet1!R257C11</stp>
        <tr r="K257" s="1"/>
      </tp>
      <tp t="s">
        <v>FIXED</v>
        <stp/>
        <stp>##V3_BDPV12</stp>
        <stp>9128286L Govt</stp>
        <stp>CPN_TYP</stp>
        <stp>[TREASURY.xlsx]Sheet1!R276C11</stp>
        <tr r="K276" s="1"/>
      </tp>
      <tp t="s">
        <v>FIXED</v>
        <stp/>
        <stp>##V3_BDPV12</stp>
        <stp>9128285J Govt</stp>
        <stp>CPN_TYP</stp>
        <stp>[TREASURY.xlsx]Sheet1!R248C11</stp>
        <tr r="K248" s="1"/>
      </tp>
      <tp t="s">
        <v>FIXED</v>
        <stp/>
        <stp>##V3_BDPV12</stp>
        <stp>9128286C Govt</stp>
        <stp>CPN_TYP</stp>
        <stp>[TREASURY.xlsx]Sheet1!R272C11</stp>
        <tr r="K272" s="1"/>
      </tp>
      <tp t="s">
        <v>FIXED</v>
        <stp/>
        <stp>##V3_BDPV12</stp>
        <stp>9128285T Govt</stp>
        <stp>CPN_TYP</stp>
        <stp>[TREASURY.xlsx]Sheet1!R239C11</stp>
        <tr r="K239" s="1"/>
      </tp>
      <tp t="s">
        <v>FIXED</v>
        <stp/>
        <stp>##V3_BDPV12</stp>
        <stp>9128286Z Govt</stp>
        <stp>CPN_TYP</stp>
        <stp>[TREASURY.xlsx]Sheet1!R200C11</stp>
        <tr r="K200" s="1"/>
      </tp>
      <tp t="s">
        <v>FIXED</v>
        <stp/>
        <stp>##V3_BDPV12</stp>
        <stp>9128286R Govt</stp>
        <stp>CPN_TYP</stp>
        <stp>[TREASURY.xlsx]Sheet1!R201C11</stp>
        <tr r="K201" s="1"/>
      </tp>
      <tp t="s">
        <v>FIXED</v>
        <stp/>
        <stp>##V3_BDPV12</stp>
        <stp>9128284M Govt</stp>
        <stp>CPN_TYP</stp>
        <stp>[TREASURY.xlsx]Sheet1!R227C11</stp>
        <tr r="K227" s="1"/>
      </tp>
      <tp t="s">
        <v>FIXED</v>
        <stp/>
        <stp>##V3_BDPV12</stp>
        <stp>9128287C Govt</stp>
        <stp>CPN_TYP</stp>
        <stp>[TREASURY.xlsx]Sheet1!R219C11</stp>
        <tr r="K219" s="1"/>
      </tp>
      <tp t="s">
        <v>FIXED</v>
        <stp/>
        <stp>##V3_BDPV12</stp>
        <stp>9128285Z Govt</stp>
        <stp>CPN_TYP</stp>
        <stp>[TREASURY.xlsx]Sheet1!R220C11</stp>
        <tr r="K220" s="1"/>
      </tp>
      <tp t="s">
        <v>FIXED</v>
        <stp/>
        <stp>##V3_BDPV12</stp>
        <stp>9128282U Govt</stp>
        <stp>CPN_TYP</stp>
        <stp>[TREASURY.xlsx]Sheet1!R252C11</stp>
        <tr r="K252" s="1"/>
      </tp>
      <tp t="s">
        <v>FIXED</v>
        <stp/>
        <stp>##V3_BDPV12</stp>
        <stp>9128283V Govt</stp>
        <stp>CPN_TYP</stp>
        <stp>[TREASURY.xlsx]Sheet1!R242C11</stp>
        <tr r="K242" s="1"/>
      </tp>
      <tp t="s">
        <v>FIXED</v>
        <stp/>
        <stp>##V3_BDPV12</stp>
        <stp>9128282N Govt</stp>
        <stp>CPN_TYP</stp>
        <stp>[TREASURY.xlsx]Sheet1!R258C11</stp>
        <tr r="K258" s="1"/>
      </tp>
      <tp t="s">
        <v>FIXED</v>
        <stp/>
        <stp>##V3_BDPV12</stp>
        <stp>9128286M Govt</stp>
        <stp>CPN_TYP</stp>
        <stp>[TREASURY.xlsx]Sheet1!R218C11</stp>
        <tr r="K218" s="1"/>
      </tp>
      <tp t="s">
        <v>FIXED</v>
        <stp/>
        <stp>##V3_BDPV12</stp>
        <stp>9128285K Govt</stp>
        <stp>CPN_TYP</stp>
        <stp>[TREASURY.xlsx]Sheet1!R229C11</stp>
        <tr r="K229" s="1"/>
      </tp>
      <tp t="s">
        <v>FIXED</v>
        <stp/>
        <stp>##V3_BDPV12</stp>
        <stp>9128284D Govt</stp>
        <stp>CPN_TYP</stp>
        <stp>[TREASURY.xlsx]Sheet1!R202C11</stp>
        <tr r="K202" s="1"/>
      </tp>
      <tp t="s">
        <v>FIXED</v>
        <stp/>
        <stp>##V3_BDPV12</stp>
        <stp>9128282D Govt</stp>
        <stp>CPN_TYP</stp>
        <stp>[TREASURY.xlsx]Sheet1!R260C11</stp>
        <tr r="K260" s="1"/>
      </tp>
      <tp t="s">
        <v>FIXED</v>
        <stp/>
        <stp>##V3_BDPV12</stp>
        <stp>9128286F Govt</stp>
        <stp>CPN_TYP</stp>
        <stp>[TREASURY.xlsx]Sheet1!R225C11</stp>
        <tr r="K225" s="1"/>
      </tp>
      <tp t="s">
        <v>FIXED</v>
        <stp/>
        <stp>##V3_BDPV12</stp>
        <stp>9128286H Govt</stp>
        <stp>CPN_TYP</stp>
        <stp>[TREASURY.xlsx]Sheet1!R228C11</stp>
        <tr r="K228" s="1"/>
      </tp>
      <tp t="s">
        <v>FIXED</v>
        <stp/>
        <stp>##V3_BDPV12</stp>
        <stp>9128283U Govt</stp>
        <stp>CPN_TYP</stp>
        <stp>[TREASURY.xlsx]Sheet1!R268C11</stp>
        <tr r="K268" s="1"/>
      </tp>
      <tp t="s">
        <v>FIXED</v>
        <stp/>
        <stp>##V3_BDPV12</stp>
        <stp>9128283Z Govt</stp>
        <stp>CPN_TYP</stp>
        <stp>[TREASURY.xlsx]Sheet1!R261C11</stp>
        <tr r="K261" s="1"/>
      </tp>
      <tp t="s">
        <v>FIXED</v>
        <stp/>
        <stp>##V3_BDPV12</stp>
        <stp>9128286U Govt</stp>
        <stp>CPN_TYP</stp>
        <stp>[TREASURY.xlsx]Sheet1!R233C11</stp>
        <tr r="K233" s="1"/>
      </tp>
      <tp t="s">
        <v>FIXED</v>
        <stp/>
        <stp>##V3_BDPV12</stp>
        <stp>9128285C Govt</stp>
        <stp>CPN_TYP</stp>
        <stp>[TREASURY.xlsx]Sheet1!R205C11</stp>
        <tr r="K205" s="1"/>
      </tp>
      <tp t="s">
        <v>FIXED</v>
        <stp/>
        <stp>##V3_BDPV12</stp>
        <stp>9128285N Govt</stp>
        <stp>CPN_TYP</stp>
        <stp>[TREASURY.xlsx]Sheet1!R290C11</stp>
        <tr r="K290" s="1"/>
      </tp>
      <tp t="s">
        <v>FIXED</v>
        <stp/>
        <stp>##V3_BDPV12</stp>
        <stp>9128284A Govt</stp>
        <stp>CPN_TYP</stp>
        <stp>[TREASURY.xlsx]Sheet1!R288C11</stp>
        <tr r="K288" s="1"/>
      </tp>
      <tp t="s">
        <v>FIXED</v>
        <stp/>
        <stp>##V3_BDPV12</stp>
        <stp>9128284F Govt</stp>
        <stp>CPN_TYP</stp>
        <stp>[TREASURY.xlsx]Sheet1!R285C11</stp>
        <tr r="K285" s="1"/>
      </tp>
      <tp t="s">
        <v>FIXED</v>
        <stp/>
        <stp>##V3_BDPV12</stp>
        <stp>9128284S Govt</stp>
        <stp>CPN_TYP</stp>
        <stp>[TREASURY.xlsx]Sheet1!R294C11</stp>
        <tr r="K294" s="1"/>
      </tp>
      <tp t="s">
        <v>FIXED</v>
        <stp/>
        <stp>##V3_BDPV12</stp>
        <stp>9128284L Govt</stp>
        <stp>CPN_TYP</stp>
        <stp>[TREASURY.xlsx]Sheet1!R299C11</stp>
        <tr r="K299" s="1"/>
      </tp>
      <tp t="s">
        <v>FIXED</v>
        <stp/>
        <stp>##V3_BDPV12</stp>
        <stp>9128285A Govt</stp>
        <stp>CPN_TYP</stp>
        <stp>[TREASURY.xlsx]Sheet1!R283C11</stp>
        <tr r="K283" s="1"/>
      </tp>
      <tp t="s">
        <v>FIXED</v>
        <stp/>
        <stp>##V3_BDPV12</stp>
        <stp>912828F2 Govt</stp>
        <stp>CPN_TYP</stp>
        <stp>[TREASURY.xlsx]Sheet1!R207C11</stp>
        <tr r="K207" s="1"/>
      </tp>
      <tp t="s">
        <v>FIXED</v>
        <stp/>
        <stp>##V3_BDPV12</stp>
        <stp>912828G8 Govt</stp>
        <stp>CPN_TYP</stp>
        <stp>[TREASURY.xlsx]Sheet1!R209C11</stp>
        <tr r="K209" s="1"/>
      </tp>
      <tp t="s">
        <v>FIXED</v>
        <stp/>
        <stp>##V3_BDPV12</stp>
        <stp>912828G5 Govt</stp>
        <stp>CPN_TYP</stp>
        <stp>[TREASURY.xlsx]Sheet1!R230C11</stp>
        <tr r="K230" s="1"/>
      </tp>
      <tp t="s">
        <v>FIXED</v>
        <stp/>
        <stp>##V3_BDPV12</stp>
        <stp>912828J7 Govt</stp>
        <stp>CPN_TYP</stp>
        <stp>[TREASURY.xlsx]Sheet1!R204C11</stp>
        <tr r="K204" s="1"/>
      </tp>
      <tp t="s">
        <v>FIXED</v>
        <stp/>
        <stp>##V3_BDPV12</stp>
        <stp>912828M4 Govt</stp>
        <stp>CPN_TYP</stp>
        <stp>[TREASURY.xlsx]Sheet1!R254C11</stp>
        <tr r="K254" s="1"/>
      </tp>
      <tp t="s">
        <v>FIXED</v>
        <stp/>
        <stp>##V3_BDPV12</stp>
        <stp>912828H8 Govt</stp>
        <stp>CPN_TYP</stp>
        <stp>[TREASURY.xlsx]Sheet1!R247C11</stp>
        <tr r="K247" s="1"/>
      </tp>
      <tp t="s">
        <v>FIXED</v>
        <stp/>
        <stp>##V3_BDPV12</stp>
        <stp>912828P3 Govt</stp>
        <stp>CPN_TYP</stp>
        <stp>[TREASURY.xlsx]Sheet1!R222C11</stp>
        <tr r="K222" s="1"/>
      </tp>
      <tp t="s">
        <v>FIXED</v>
        <stp/>
        <stp>##V3_BDPV12</stp>
        <stp>912828WZ Govt</stp>
        <stp>CPN_TYP</stp>
        <stp>[TREASURY.xlsx]Sheet1!R244C11</stp>
        <tr r="K244" s="1"/>
      </tp>
      <tp t="s">
        <v>FIXED</v>
        <stp/>
        <stp>##V3_BDPV12</stp>
        <stp>912828V2 Govt</stp>
        <stp>CPN_TYP</stp>
        <stp>[TREASURY.xlsx]Sheet1!R250C11</stp>
        <tr r="K250" s="1"/>
      </tp>
      <tp t="s">
        <v>FIXED</v>
        <stp/>
        <stp>##V3_BDPV12</stp>
        <stp>912828V7 Govt</stp>
        <stp>CPN_TYP</stp>
        <stp>[TREASURY.xlsx]Sheet1!R262C11</stp>
        <tr r="K262" s="1"/>
      </tp>
      <tp t="s">
        <v>FIXED</v>
        <stp/>
        <stp>##V3_BDPV12</stp>
        <stp>912828Y6 Govt</stp>
        <stp>CPN_TYP</stp>
        <stp>[TREASURY.xlsx]Sheet1!R297C11</stp>
        <tr r="K297" s="1"/>
      </tp>
      <tp t="s">
        <v>FIXED</v>
        <stp/>
        <stp>##V3_BDPV12</stp>
        <stp>912828U5 Govt</stp>
        <stp>CPN_TYP</stp>
        <stp>[TREASURY.xlsx]Sheet1!R246C11</stp>
        <tr r="K246" s="1"/>
      </tp>
      <tp t="s">
        <v>FIXED</v>
        <stp/>
        <stp>##V3_BDPV12</stp>
        <stp>912828R2 Govt</stp>
        <stp>CPN_TYP</stp>
        <stp>[TREASURY.xlsx]Sheet1!R245C11</stp>
        <tr r="K245" s="1"/>
      </tp>
      <tp t="s">
        <v>FIXED</v>
        <stp/>
        <stp>##V3_BDPV12</stp>
        <stp>912828U6 Govt</stp>
        <stp>CPN_TYP</stp>
        <stp>[TREASURY.xlsx]Sheet1!R232C11</stp>
        <tr r="K232" s="1"/>
      </tp>
      <tp t="s">
        <v>FIXED</v>
        <stp/>
        <stp>##V3_BDPV12</stp>
        <stp>912828U8 Govt</stp>
        <stp>CPN_TYP</stp>
        <stp>[TREASURY.xlsx]Sheet1!R213C11</stp>
        <tr r="K213" s="1"/>
      </tp>
      <tp t="s">
        <v>FIXED</v>
        <stp/>
        <stp>##V3_BDPV12</stp>
        <stp>912828R6 Govt</stp>
        <stp>CPN_TYP</stp>
        <stp>[TREASURY.xlsx]Sheet1!R266C11</stp>
        <tr r="K266" s="1"/>
      </tp>
      <tp t="s">
        <v>FIXED</v>
        <stp/>
        <stp>##V3_BDPV12</stp>
        <stp>912828T9 Govt</stp>
        <stp>CPN_TYP</stp>
        <stp>[TREASURY.xlsx]Sheet1!R215C11</stp>
        <tr r="K215" s="1"/>
      </tp>
      <tp t="s">
        <v>FIXED</v>
        <stp/>
        <stp>##V3_BDPV12</stp>
        <stp>912828W8 Govt</stp>
        <stp>CPN_TYP</stp>
        <stp>[TREASURY.xlsx]Sheet1!R221C11</stp>
        <tr r="K221" s="1"/>
      </tp>
      <tp t="s">
        <v>FIXED</v>
        <stp/>
        <stp>##V3_BDPV12</stp>
        <stp>912828X4 Govt</stp>
        <stp>CPN_TYP</stp>
        <stp>[TREASURY.xlsx]Sheet1!R224C11</stp>
        <tr r="K224" s="1"/>
      </tp>
      <tp t="s">
        <v>FIXED</v>
        <stp/>
        <stp>##V3_BDPV12</stp>
        <stp>912828Z2 Govt</stp>
        <stp>CPN_TYP</stp>
        <stp>[TREASURY.xlsx]Sheet1!R210C11</stp>
        <tr r="K210" s="1"/>
      </tp>
      <tp t="s">
        <v>FIXED</v>
        <stp/>
        <stp>##V3_BDPV12</stp>
        <stp>912828XQ Govt</stp>
        <stp>CPN_TYP</stp>
        <stp>[TREASURY.xlsx]Sheet1!R206C11</stp>
        <tr r="K206" s="1"/>
      </tp>
      <tp t="s">
        <v>FIXED</v>
        <stp/>
        <stp>##V3_BDPV12</stp>
        <stp>912828XR Govt</stp>
        <stp>CPN_TYP</stp>
        <stp>[TREASURY.xlsx]Sheet1!R203C11</stp>
        <tr r="K203" s="1"/>
      </tp>
      <tp t="s">
        <v>FIXED</v>
        <stp/>
        <stp>##V3_BDPV12</stp>
        <stp>912828XW Govt</stp>
        <stp>CPN_TYP</stp>
        <stp>[TREASURY.xlsx]Sheet1!R217C11</stp>
        <tr r="K217" s="1"/>
      </tp>
      <tp t="s">
        <v>FIXED</v>
        <stp/>
        <stp>##V3_BDPV12</stp>
        <stp>912828Z8 Govt</stp>
        <stp>CPN_TYP</stp>
        <stp>[TREASURY.xlsx]Sheet1!R236C11</stp>
        <tr r="K236" s="1"/>
      </tp>
      <tp t="s">
        <v>FIXED</v>
        <stp/>
        <stp>##V3_BDPV12</stp>
        <stp>912828Z6 Govt</stp>
        <stp>CPN_TYP</stp>
        <stp>[TREASURY.xlsx]Sheet1!R234C11</stp>
        <tr r="K234" s="1"/>
      </tp>
      <tp t="s">
        <v>FIXED</v>
        <stp/>
        <stp>##V3_BDPV12</stp>
        <stp>912828Y8 Govt</stp>
        <stp>CPN_TYP</stp>
        <stp>[TREASURY.xlsx]Sheet1!R208C11</stp>
        <tr r="K208" s="1"/>
      </tp>
      <tp t="s">
        <v>FIXED</v>
        <stp/>
        <stp>##V3_BDPV12</stp>
        <stp>912828W4 Govt</stp>
        <stp>CPN_TYP</stp>
        <stp>[TREASURY.xlsx]Sheet1!R296C11</stp>
        <tr r="K296" s="1"/>
      </tp>
      <tp t="s">
        <v>FIXED</v>
        <stp/>
        <stp>##V3_BDPV12</stp>
        <stp>912828XZ Govt</stp>
        <stp>CPN_TYP</stp>
        <stp>[TREASURY.xlsx]Sheet1!R279C11</stp>
        <tr r="K279" s="1"/>
      </tp>
      <tp t="s">
        <v>FIXED</v>
        <stp/>
        <stp>##V3_BDPV12</stp>
        <stp>912828W5 Govt</stp>
        <stp>CPN_TYP</stp>
        <stp>[TREASURY.xlsx]Sheet1!R281C11</stp>
        <tr r="K281" s="1"/>
      </tp>
      <tp t="s">
        <v>FIXED</v>
        <stp/>
        <stp>##V3_BDPV12</stp>
        <stp>912828XX Govt</stp>
        <stp>CPN_TYP</stp>
        <stp>[TREASURY.xlsx]Sheet1!R249C11</stp>
        <tr r="K249" s="1"/>
      </tp>
      <tp t="s">
        <v>FIXED</v>
        <stp/>
        <stp>##V3_BDPV12</stp>
        <stp>912828Y7 Govt</stp>
        <stp>CPN_TYP</stp>
        <stp>[TREASURY.xlsx]Sheet1!R255C11</stp>
        <tr r="K255" s="1"/>
      </tp>
      <tp t="s">
        <v>FIXED</v>
        <stp/>
        <stp>##V3_BDPV12</stp>
        <stp>9128285X Govt</stp>
        <stp>CPN_TYP</stp>
        <stp>[TREASURY.xlsx]Sheet1!R372C11</stp>
        <tr r="K372" s="1"/>
      </tp>
      <tp t="s">
        <v>FIXED</v>
        <stp/>
        <stp>##V3_BDPV12</stp>
        <stp>9128284P Govt</stp>
        <stp>CPN_TYP</stp>
        <stp>[TREASURY.xlsx]Sheet1!R367C11</stp>
        <tr r="K367" s="1"/>
      </tp>
      <tp t="s">
        <v>FIXED</v>
        <stp/>
        <stp>##V3_BDPV12</stp>
        <stp>9128286D Govt</stp>
        <stp>CPN_TYP</stp>
        <stp>[TREASURY.xlsx]Sheet1!R348C11</stp>
        <tr r="K348" s="1"/>
      </tp>
      <tp t="s">
        <v>FIXED</v>
        <stp/>
        <stp>##V3_BDPV12</stp>
        <stp>9128284Y Govt</stp>
        <stp>CPN_TYP</stp>
        <stp>[TREASURY.xlsx]Sheet1!R376C11</stp>
        <tr r="K376" s="1"/>
      </tp>
      <tp t="s">
        <v>FIXED</v>
        <stp/>
        <stp>##V3_BDPV12</stp>
        <stp>9128285G Govt</stp>
        <stp>CPN_TYP</stp>
        <stp>[TREASURY.xlsx]Sheet1!R368C11</stp>
        <tr r="K368" s="1"/>
      </tp>
      <tp t="s">
        <v>FIXED</v>
        <stp/>
        <stp>##V3_BDPV12</stp>
        <stp>9128284T Govt</stp>
        <stp>CPN_TYP</stp>
        <stp>[TREASURY.xlsx]Sheet1!R344C11</stp>
        <tr r="K344" s="1"/>
      </tp>
      <tp t="s">
        <v>FIXED</v>
        <stp/>
        <stp>##V3_BDPV12</stp>
        <stp>9128284W Govt</stp>
        <stp>CPN_TYP</stp>
        <stp>[TREASURY.xlsx]Sheet1!R347C11</stp>
        <tr r="K347" s="1"/>
      </tp>
      <tp t="s">
        <v>FIXED</v>
        <stp/>
        <stp>##V3_BDPV12</stp>
        <stp>9128282T Govt</stp>
        <stp>CPN_TYP</stp>
        <stp>[TREASURY.xlsx]Sheet1!R330C11</stp>
        <tr r="K330" s="1"/>
      </tp>
      <tp t="s">
        <v>FIXED</v>
        <stp/>
        <stp>##V3_BDPV12</stp>
        <stp>9128283L Govt</stp>
        <stp>CPN_TYP</stp>
        <stp>[TREASURY.xlsx]Sheet1!R350C11</stp>
        <tr r="K350" s="1"/>
      </tp>
      <tp t="s">
        <v>FIXED</v>
        <stp/>
        <stp>##V3_BDPV12</stp>
        <stp>9128282F Govt</stp>
        <stp>CPN_TYP</stp>
        <stp>[TREASURY.xlsx]Sheet1!R345C11</stp>
        <tr r="K345" s="1"/>
      </tp>
      <tp t="s">
        <v>FIXED</v>
        <stp/>
        <stp>##V3_BDPV12</stp>
        <stp>9128287B Govt</stp>
        <stp>CPN_TYP</stp>
        <stp>[TREASURY.xlsx]Sheet1!R306C11</stp>
        <tr r="K306" s="1"/>
      </tp>
      <tp t="s">
        <v>FIXED</v>
        <stp/>
        <stp>##V3_BDPV12</stp>
        <stp>9128282V Govt</stp>
        <stp>CPN_TYP</stp>
        <stp>[TREASURY.xlsx]Sheet1!R362C11</stp>
        <tr r="K362" s="1"/>
      </tp>
      <tp t="s">
        <v>FIXED</v>
        <stp/>
        <stp>##V3_BDPV12</stp>
        <stp>9128283Q Govt</stp>
        <stp>CPN_TYP</stp>
        <stp>[TREASURY.xlsx]Sheet1!R375C11</stp>
        <tr r="K375" s="1"/>
      </tp>
      <tp t="s">
        <v>FIXED</v>
        <stp/>
        <stp>##V3_BDPV12</stp>
        <stp>9128286S Govt</stp>
        <stp>CPN_TYP</stp>
        <stp>[TREASURY.xlsx]Sheet1!R322C11</stp>
        <tr r="K322" s="1"/>
      </tp>
      <tp t="s">
        <v>FIXED</v>
        <stp/>
        <stp>##V3_BDPV12</stp>
        <stp>9128287A Govt</stp>
        <stp>CPN_TYP</stp>
        <stp>[TREASURY.xlsx]Sheet1!R339C11</stp>
        <tr r="K339" s="1"/>
      </tp>
      <tp t="s">
        <v>FIXED</v>
        <stp/>
        <stp>##V3_BDPV12</stp>
        <stp>9128287F Govt</stp>
        <stp>CPN_TYP</stp>
        <stp>[TREASURY.xlsx]Sheet1!R329C11</stp>
        <tr r="K329" s="1"/>
      </tp>
      <tp t="s">
        <v>FIXED</v>
        <stp/>
        <stp>##V3_BDPV12</stp>
        <stp>9128283N Govt</stp>
        <stp>CPN_TYP</stp>
        <stp>[TREASURY.xlsx]Sheet1!R366C11</stp>
        <tr r="K366" s="1"/>
      </tp>
      <tp t="s">
        <v>FIXED</v>
        <stp/>
        <stp>##V3_BDPV12</stp>
        <stp>9128282B Govt</stp>
        <stp>CPN_TYP</stp>
        <stp>[TREASURY.xlsx]Sheet1!R373C11</stp>
        <tr r="K373" s="1"/>
      </tp>
      <tp t="s">
        <v>FIXED</v>
        <stp/>
        <stp>##V3_BDPV12</stp>
        <stp>9128283Y Govt</stp>
        <stp>CPN_TYP</stp>
        <stp>[TREASURY.xlsx]Sheet1!R395C11</stp>
        <tr r="K395" s="1"/>
      </tp>
      <tp t="s">
        <v>FIXED</v>
        <stp/>
        <stp>##V3_BDPV12</stp>
        <stp>9128283G Govt</stp>
        <stp>CPN_TYP</stp>
        <stp>[TREASURY.xlsx]Sheet1!R380C11</stp>
        <tr r="K380" s="1"/>
      </tp>
      <tp t="s">
        <v>FIXED</v>
        <stp/>
        <stp>##V3_BDPV12</stp>
        <stp>9128284J Govt</stp>
        <stp>CPN_TYP</stp>
        <stp>[TREASURY.xlsx]Sheet1!R381C11</stp>
        <tr r="K381" s="1"/>
      </tp>
      <tp t="s">
        <v>FIXED</v>
        <stp/>
        <stp>##V3_BDPV12</stp>
        <stp>9128284G Govt</stp>
        <stp>CPN_TYP</stp>
        <stp>[TREASURY.xlsx]Sheet1!R390C11</stp>
        <tr r="K390" s="1"/>
      </tp>
      <tp t="s">
        <v>FIXED</v>
        <stp/>
        <stp>##V3_BDPV12</stp>
        <stp>912828KB Govt</stp>
        <stp>CPN_TYP</stp>
        <stp>[TREASURY.xlsx]Sheet1!R398C11</stp>
        <tr r="K398" s="1"/>
      </tp>
      <tp t="s">
        <v>FIXED</v>
        <stp/>
        <stp>##V3_BDPV12</stp>
        <stp>912828JR Govt</stp>
        <stp>CPN_TYP</stp>
        <stp>[TREASURY.xlsx]Sheet1!R396C11</stp>
        <tr r="K396" s="1"/>
      </tp>
      <tp t="s">
        <v>FIXED</v>
        <stp/>
        <stp>##V3_BDPV12</stp>
        <stp>912828CA Govt</stp>
        <stp>CPN_TYP</stp>
        <stp>[TREASURY.xlsx]Sheet1!R337C11</stp>
        <tr r="K337" s="1"/>
      </tp>
      <tp t="s">
        <v>FIXED</v>
        <stp/>
        <stp>##V3_BDPV12</stp>
        <stp>912828GM Govt</stp>
        <stp>CPN_TYP</stp>
        <stp>[TREASURY.xlsx]Sheet1!R379C11</stp>
        <tr r="K379" s="1"/>
      </tp>
      <tp t="s">
        <v>FIXED</v>
        <stp/>
        <stp>##V3_BDPV12</stp>
        <stp>912828CB Govt</stp>
        <stp>CPN_TYP</stp>
        <stp>[TREASURY.xlsx]Sheet1!R331C11</stp>
        <tr r="K331" s="1"/>
      </tp>
      <tp t="s">
        <v>FIXED</v>
        <stp/>
        <stp>##V3_BDPV12</stp>
        <stp>912828CC Govt</stp>
        <stp>CPN_TYP</stp>
        <stp>[TREASURY.xlsx]Sheet1!R325C11</stp>
        <tr r="K325" s="1"/>
      </tp>
      <tp t="s">
        <v>FIXED</v>
        <stp/>
        <stp>##V3_BDPV12</stp>
        <stp>912828DC Govt</stp>
        <stp>CPN_TYP</stp>
        <stp>[TREASURY.xlsx]Sheet1!R352C11</stp>
        <tr r="K352" s="1"/>
      </tp>
      <tp t="s">
        <v>FIXED</v>
        <stp/>
        <stp>##V3_BDPV12</stp>
        <stp>912828NV Govt</stp>
        <stp>CPN_TYP</stp>
        <stp>[TREASURY.xlsx]Sheet1!R382C11</stp>
        <tr r="K382" s="1"/>
      </tp>
      <tp t="s">
        <v>FIXED</v>
        <stp/>
        <stp>##V3_BDPV12</stp>
        <stp>912828NB Govt</stp>
        <stp>CPN_TYP</stp>
        <stp>[TREASURY.xlsx]Sheet1!R388C11</stp>
        <tr r="K388" s="1"/>
      </tp>
      <tp t="s">
        <v>FIXED</v>
        <stp/>
        <stp>##V3_BDPV12</stp>
        <stp>912828C6 Govt</stp>
        <stp>CPN_TYP</stp>
        <stp>[TREASURY.xlsx]Sheet1!R349C11</stp>
        <tr r="K349" s="1"/>
      </tp>
      <tp t="s">
        <v>FIXED</v>
        <stp/>
        <stp>##V3_BDPV12</stp>
        <stp>912828C5 Govt</stp>
        <stp>CPN_TYP</stp>
        <stp>[TREASURY.xlsx]Sheet1!R342C11</stp>
        <tr r="K342" s="1"/>
      </tp>
      <tp t="s">
        <v>FIXED</v>
        <stp/>
        <stp>##V3_BDPV12</stp>
        <stp>912828D7 Govt</stp>
        <stp>CPN_TYP</stp>
        <stp>[TREASURY.xlsx]Sheet1!R332C11</stp>
        <tr r="K332" s="1"/>
      </tp>
      <tp t="s">
        <v>FIXED</v>
        <stp/>
        <stp>##V3_BDPV12</stp>
        <stp>912828MP Govt</stp>
        <stp>CPN_TYP</stp>
        <stp>[TREASURY.xlsx]Sheet1!R386C11</stp>
        <tr r="K386" s="1"/>
      </tp>
      <tp t="s">
        <v>FIXED</v>
        <stp/>
        <stp>##V3_BDPV12</stp>
        <stp>912828B9 Govt</stp>
        <stp>CPN_TYP</stp>
        <stp>[TREASURY.xlsx]Sheet1!R371C11</stp>
        <tr r="K371" s="1"/>
      </tp>
      <tp t="s">
        <v>FIXED</v>
        <stp/>
        <stp>##V3_BDPV12</stp>
        <stp>912828CJ Govt</stp>
        <stp>CPN_TYP</stp>
        <stp>[TREASURY.xlsx]Sheet1!R393C11</stp>
        <tr r="K393" s="1"/>
      </tp>
      <tp t="s">
        <v>FIXED</v>
        <stp/>
        <stp>##V3_BDPV12</stp>
        <stp>912828J4 Govt</stp>
        <stp>CPN_TYP</stp>
        <stp>[TREASURY.xlsx]Sheet1!R308C11</stp>
        <tr r="K308" s="1"/>
      </tp>
      <tp t="s">
        <v>FIXED</v>
        <stp/>
        <stp>##V3_BDPV12</stp>
        <stp>912828N8 Govt</stp>
        <stp>CPN_TYP</stp>
        <stp>[TREASURY.xlsx]Sheet1!R343C11</stp>
        <tr r="K343" s="1"/>
      </tp>
      <tp t="s">
        <v>FIXED</v>
        <stp/>
        <stp>##V3_BDPV12</stp>
        <stp>912828NT Govt</stp>
        <stp>CPN_TYP</stp>
        <stp>[TREASURY.xlsx]Sheet1!R351C11</stp>
        <tr r="K351" s="1"/>
      </tp>
      <tp t="s">
        <v>FIXED</v>
        <stp/>
        <stp>##V3_BDPV12</stp>
        <stp>912828CD Govt</stp>
        <stp>CPN_TYP</stp>
        <stp>[TREASURY.xlsx]Sheet1!R384C11</stp>
        <tr r="K384" s="1"/>
      </tp>
      <tp t="s">
        <v>FIXED</v>
        <stp/>
        <stp>##V3_BDPV12</stp>
        <stp>912828LY Govt</stp>
        <stp>CPN_TYP</stp>
        <stp>[TREASURY.xlsx]Sheet1!R353C11</stp>
        <tr r="K353" s="1"/>
      </tp>
      <tp t="s">
        <v>FIXED</v>
        <stp/>
        <stp>##V3_BDPV12</stp>
        <stp>912828L9 Govt</stp>
        <stp>CPN_TYP</stp>
        <stp>[TREASURY.xlsx]Sheet1!R358C11</stp>
        <tr r="K358" s="1"/>
      </tp>
      <tp t="s">
        <v>FIXED</v>
        <stp/>
        <stp>##V3_BDPV12</stp>
        <stp>912828L3 Govt</stp>
        <stp>CPN_TYP</stp>
        <stp>[TREASURY.xlsx]Sheet1!R327C11</stp>
        <tr r="K327" s="1"/>
      </tp>
      <tp t="s">
        <v>FIXED</v>
        <stp/>
        <stp>##V3_BDPV12</stp>
        <stp>912828FY Govt</stp>
        <stp>CPN_TYP</stp>
        <stp>[TREASURY.xlsx]Sheet1!R394C11</stp>
        <tr r="K394" s="1"/>
      </tp>
      <tp t="s">
        <v>FIXED</v>
        <stp/>
        <stp>##V3_BDPV12</stp>
        <stp>912828EX Govt</stp>
        <stp>CPN_TYP</stp>
        <stp>[TREASURY.xlsx]Sheet1!R397C11</stp>
        <tr r="K397" s="1"/>
      </tp>
      <tp t="s">
        <v>FIXED</v>
        <stp/>
        <stp>##V3_BDPV12</stp>
        <stp>912828HZ Govt</stp>
        <stp>CPN_TYP</stp>
        <stp>[TREASURY.xlsx]Sheet1!R356C11</stp>
        <tr r="K356" s="1"/>
      </tp>
      <tp t="s">
        <v>FIXED</v>
        <stp/>
        <stp>##V3_BDPV12</stp>
        <stp>912828KD Govt</stp>
        <stp>CPN_TYP</stp>
        <stp>[TREASURY.xlsx]Sheet1!R364C11</stp>
        <tr r="K364" s="1"/>
      </tp>
      <tp t="s">
        <v>FIXED</v>
        <stp/>
        <stp>##V3_BDPV12</stp>
        <stp>912828K8 Govt</stp>
        <stp>CPN_TYP</stp>
        <stp>[TREASURY.xlsx]Sheet1!R369C11</stp>
        <tr r="K369" s="1"/>
      </tp>
      <tp t="s">
        <v>FIXED</v>
        <stp/>
        <stp>##V3_BDPV12</stp>
        <stp>912828TW Govt</stp>
        <stp>CPN_TYP</stp>
        <stp>[TREASURY.xlsx]Sheet1!R361C11</stp>
        <tr r="K361" s="1"/>
      </tp>
      <tp t="s">
        <v>FIXED</v>
        <stp/>
        <stp>##V3_BDPV12</stp>
        <stp>912828WY Govt</stp>
        <stp>CPN_TYP</stp>
        <stp>[TREASURY.xlsx]Sheet1!R359C11</stp>
        <tr r="K359" s="1"/>
      </tp>
      <tp t="s">
        <v>FIXED</v>
        <stp/>
        <stp>##V3_BDPV12</stp>
        <stp>912828QN Govt</stp>
        <stp>CPN_TYP</stp>
        <stp>[TREASURY.xlsx]Sheet1!R334C11</stp>
        <tr r="K334" s="1"/>
      </tp>
      <tp t="s">
        <v>FIXED</v>
        <stp/>
        <stp>##V3_BDPV12</stp>
        <stp>912828WW Govt</stp>
        <stp>CPN_TYP</stp>
        <stp>[TREASURY.xlsx]Sheet1!R340C11</stp>
        <tr r="K340" s="1"/>
      </tp>
      <tp t="s">
        <v>FIXED</v>
        <stp/>
        <stp>##V3_BDPV12</stp>
        <stp>912828WR Govt</stp>
        <stp>CPN_TYP</stp>
        <stp>[TREASURY.xlsx]Sheet1!R341C11</stp>
        <tr r="K341" s="1"/>
      </tp>
      <tp t="s">
        <v>FIXED</v>
        <stp/>
        <stp>##V3_BDPV12</stp>
        <stp>912828S9 Govt</stp>
        <stp>CPN_TYP</stp>
        <stp>[TREASURY.xlsx]Sheet1!R301C11</stp>
        <tr r="K301" s="1"/>
      </tp>
      <tp t="s">
        <v>FIXED</v>
        <stp/>
        <stp>##V3_BDPV12</stp>
        <stp>912828S3 Govt</stp>
        <stp>CPN_TYP</stp>
        <stp>[TREASURY.xlsx]Sheet1!R305C11</stp>
        <tr r="K305" s="1"/>
      </tp>
      <tp t="s">
        <v>FIXED</v>
        <stp/>
        <stp>##V3_BDPV12</stp>
        <stp>912828WG Govt</stp>
        <stp>CPN_TYP</stp>
        <stp>[TREASURY.xlsx]Sheet1!R370C11</stp>
        <tr r="K370" s="1"/>
      </tp>
      <tp t="s">
        <v>FIXED</v>
        <stp/>
        <stp>##V3_BDPV12</stp>
        <stp>912828P7 Govt</stp>
        <stp>CPN_TYP</stp>
        <stp>[TREASURY.xlsx]Sheet1!R309C11</stp>
        <tr r="K309" s="1"/>
      </tp>
      <tp t="s">
        <v>FIXED</v>
        <stp/>
        <stp>##V3_BDPV12</stp>
        <stp>912828RC Govt</stp>
        <stp>CPN_TYP</stp>
        <stp>[TREASURY.xlsx]Sheet1!R333C11</stp>
        <tr r="K333" s="1"/>
      </tp>
      <tp t="s">
        <v>FIXED</v>
        <stp/>
        <stp>##V3_BDPV12</stp>
        <stp>912828W9 Govt</stp>
        <stp>CPN_TYP</stp>
        <stp>[TREASURY.xlsx]Sheet1!R363C11</stp>
        <tr r="K363" s="1"/>
      </tp>
      <tp t="s">
        <v>FIXED</v>
        <stp/>
        <stp>##V3_BDPV12</stp>
        <stp>912828PC Govt</stp>
        <stp>CPN_TYP</stp>
        <stp>[TREASURY.xlsx]Sheet1!R365C11</stp>
        <tr r="K365" s="1"/>
      </tp>
      <tp t="s">
        <v>FIXED</v>
        <stp/>
        <stp>##V3_BDPV12</stp>
        <stp>912828Q7 Govt</stp>
        <stp>CPN_TYP</stp>
        <stp>[TREASURY.xlsx]Sheet1!R378C11</stp>
        <tr r="K378" s="1"/>
      </tp>
      <tp t="s">
        <v>FIXED</v>
        <stp/>
        <stp>##V3_BDPV12</stp>
        <stp>912828V8 Govt</stp>
        <stp>CPN_TYP</stp>
        <stp>[TREASURY.xlsx]Sheet1!R307C11</stp>
        <tr r="K307" s="1"/>
      </tp>
      <tp t="s">
        <v>FIXED</v>
        <stp/>
        <stp>##V3_BDPV12</stp>
        <stp>912828S7 Govt</stp>
        <stp>CPN_TYP</stp>
        <stp>[TREASURY.xlsx]Sheet1!R346C11</stp>
        <tr r="K346" s="1"/>
      </tp>
      <tp t="s">
        <v>FIXED</v>
        <stp/>
        <stp>##V3_BDPV12</stp>
        <stp>912828WN Govt</stp>
        <stp>CPN_TYP</stp>
        <stp>[TREASURY.xlsx]Sheet1!R338C11</stp>
        <tr r="K338" s="1"/>
      </tp>
      <tp t="s">
        <v>FIXED</v>
        <stp/>
        <stp>##V3_BDPV12</stp>
        <stp>912828PX Govt</stp>
        <stp>CPN_TYP</stp>
        <stp>[TREASURY.xlsx]Sheet1!R355C11</stp>
        <tr r="K355" s="1"/>
      </tp>
      <tp t="s">
        <v>FIXED</v>
        <stp/>
        <stp>##V3_BDPV12</stp>
        <stp>912828RX Govt</stp>
        <stp>CPN_TYP</stp>
        <stp>[TREASURY.xlsx]Sheet1!R374C11</stp>
        <tr r="K374" s="1"/>
      </tp>
      <tp t="s">
        <v>FIXED</v>
        <stp/>
        <stp>##V3_BDPV12</stp>
        <stp>912828SH Govt</stp>
        <stp>CPN_TYP</stp>
        <stp>[TREASURY.xlsx]Sheet1!R360C11</stp>
        <tr r="K360" s="1"/>
      </tp>
      <tp t="s">
        <v>FIXED</v>
        <stp/>
        <stp>##V3_BDPV12</stp>
        <stp>912828YC Govt</stp>
        <stp>CPN_TYP</stp>
        <stp>[TREASURY.xlsx]Sheet1!R335C11</stp>
        <tr r="K335" s="1"/>
      </tp>
      <tp t="s">
        <v>FIXED</v>
        <stp/>
        <stp>##V3_BDPV12</stp>
        <stp>912828R7 Govt</stp>
        <stp>CPN_TYP</stp>
        <stp>[TREASURY.xlsx]Sheet1!R383C11</stp>
        <tr r="K383" s="1"/>
      </tp>
      <tp t="s">
        <v>FIXED</v>
        <stp/>
        <stp>##V3_BDPV12</stp>
        <stp>912828Y2 Govt</stp>
        <stp>CPN_TYP</stp>
        <stp>[TREASURY.xlsx]Sheet1!R336C11</stp>
        <tr r="K336" s="1"/>
      </tp>
      <tp t="s">
        <v>FIXED</v>
        <stp/>
        <stp>##V3_BDPV12</stp>
        <stp>912828S2 Govt</stp>
        <stp>CPN_TYP</stp>
        <stp>[TREASURY.xlsx]Sheet1!R391C11</stp>
        <tr r="K391" s="1"/>
      </tp>
      <tp t="s">
        <v>FIXED</v>
        <stp/>
        <stp>##V3_BDPV12</stp>
        <stp>912828X7 Govt</stp>
        <stp>CPN_TYP</stp>
        <stp>[TREASURY.xlsx]Sheet1!R300C11</stp>
        <tr r="K300" s="1"/>
      </tp>
      <tp t="s">
        <v>FIXED</v>
        <stp/>
        <stp>##V3_BDPV12</stp>
        <stp>912828P8 Govt</stp>
        <stp>CPN_TYP</stp>
        <stp>[TREASURY.xlsx]Sheet1!R389C11</stp>
        <tr r="K389" s="1"/>
      </tp>
      <tp t="s">
        <v>FIXED</v>
        <stp/>
        <stp>##V3_BDPV12</stp>
        <stp>912828XA Govt</stp>
        <stp>CPN_TYP</stp>
        <stp>[TREASURY.xlsx]Sheet1!R377C11</stp>
        <tr r="K377" s="1"/>
      </tp>
      <tp t="s">
        <v>FIXED</v>
        <stp/>
        <stp>##V3_BDPV12</stp>
        <stp>912828TC Govt</stp>
        <stp>CPN_TYP</stp>
        <stp>[TREASURY.xlsx]Sheet1!R385C11</stp>
        <tr r="K385" s="1"/>
      </tp>
      <tp t="s">
        <v>FIXED</v>
        <stp/>
        <stp>##V3_BDPV12</stp>
        <stp>912828UA Govt</stp>
        <stp>CPN_TYP</stp>
        <stp>[TREASURY.xlsx]Sheet1!R387C11</stp>
        <tr r="K387" s="1"/>
      </tp>
      <tp t="s">
        <v>FIXED</v>
        <stp/>
        <stp>##V3_BDPV12</stp>
        <stp>9128285V Govt</stp>
        <stp>CPN_TYP</stp>
        <stp>[TREASURY.xlsx]Sheet1!R179C11</stp>
        <tr r="K179" s="1"/>
      </tp>
      <tp t="s">
        <v>FIXED</v>
        <stp/>
        <stp>##V3_BDPV12</stp>
        <stp>9128285U Govt</stp>
        <stp>CPN_TYP</stp>
        <stp>[TREASURY.xlsx]Sheet1!R160C11</stp>
        <tr r="K160" s="1"/>
      </tp>
      <tp t="s">
        <v>FIXED</v>
        <stp/>
        <stp>##V3_BDPV12</stp>
        <stp>9128285R Govt</stp>
        <stp>CPN_TYP</stp>
        <stp>[TREASURY.xlsx]Sheet1!R140C11</stp>
        <tr r="K140" s="1"/>
      </tp>
      <tp t="s">
        <v>FIXED</v>
        <stp/>
        <stp>##V3_BDPV12</stp>
        <stp>9128284U Govt</stp>
        <stp>CPN_TYP</stp>
        <stp>[TREASURY.xlsx]Sheet1!R128C11</stp>
        <tr r="K128" s="1"/>
      </tp>
      <tp t="s">
        <v>FIXED</v>
        <stp/>
        <stp>##V3_BDPV12</stp>
        <stp>9128282Y Govt</stp>
        <stp>CPN_TYP</stp>
        <stp>[TREASURY.xlsx]Sheet1!R145C11</stp>
        <tr r="K145" s="1"/>
      </tp>
      <tp t="s">
        <v>FIXED</v>
        <stp/>
        <stp>##V3_BDPV12</stp>
        <stp>9128282W Govt</stp>
        <stp>CPN_TYP</stp>
        <stp>[TREASURY.xlsx]Sheet1!R166C11</stp>
        <tr r="K166" s="1"/>
      </tp>
      <tp t="s">
        <v>FIXED</v>
        <stp/>
        <stp>##V3_BDPV12</stp>
        <stp>9128285F Govt</stp>
        <stp>CPN_TYP</stp>
        <stp>[TREASURY.xlsx]Sheet1!R106C11</stp>
        <tr r="K106" s="1"/>
      </tp>
      <tp t="s">
        <v>FIXED</v>
        <stp/>
        <stp>##V3_BDPV12</stp>
        <stp>9128283P Govt</stp>
        <stp>CPN_TYP</stp>
        <stp>[TREASURY.xlsx]Sheet1!R185C11</stp>
        <tr r="K185" s="1"/>
      </tp>
      <tp t="s">
        <v>FIXED</v>
        <stp/>
        <stp>##V3_BDPV12</stp>
        <stp>9128283C Govt</stp>
        <stp>CPN_TYP</stp>
        <stp>[TREASURY.xlsx]Sheet1!R186C11</stp>
        <tr r="K186" s="1"/>
      </tp>
      <tp t="s">
        <v>FIXED</v>
        <stp/>
        <stp>##V3_BDPV12</stp>
        <stp>9128285L Govt</stp>
        <stp>CPN_TYP</stp>
        <stp>[TREASURY.xlsx]Sheet1!R193C11</stp>
        <tr r="K193" s="1"/>
      </tp>
      <tp t="s">
        <v>FIXED</v>
        <stp/>
        <stp>##V3_BDPV12</stp>
        <stp>912828B6 Govt</stp>
        <stp>CPN_TYP</stp>
        <stp>[TREASURY.xlsx]Sheet1!R110C11</stp>
        <tr r="K110" s="1"/>
      </tp>
      <tp t="s">
        <v>FIXED</v>
        <stp/>
        <stp>##V3_BDPV12</stp>
        <stp>912828G3 Govt</stp>
        <stp>CPN_TYP</stp>
        <stp>[TREASURY.xlsx]Sheet1!R137C11</stp>
        <tr r="K137" s="1"/>
      </tp>
      <tp t="s">
        <v>FIXED</v>
        <stp/>
        <stp>##V3_BDPV12</stp>
        <stp>912828L5 Govt</stp>
        <stp>CPN_TYP</stp>
        <stp>[TREASURY.xlsx]Sheet1!R161C11</stp>
        <tr r="K161" s="1"/>
      </tp>
      <tp t="s">
        <v>FIXED</v>
        <stp/>
        <stp>##V3_BDPV12</stp>
        <stp>912828L2 Govt</stp>
        <stp>CPN_TYP</stp>
        <stp>[TREASURY.xlsx]Sheet1!R173C11</stp>
        <tr r="K173" s="1"/>
      </tp>
      <tp t="s">
        <v>FIXED</v>
        <stp/>
        <stp>##V3_BDPV12</stp>
        <stp>912828M8 Govt</stp>
        <stp>CPN_TYP</stp>
        <stp>[TREASURY.xlsx]Sheet1!R150C11</stp>
        <tr r="K150" s="1"/>
      </tp>
      <tp t="s">
        <v>FIXED</v>
        <stp/>
        <stp>##V3_BDPV12</stp>
        <stp>912828F9 Govt</stp>
        <stp>CPN_TYP</stp>
        <stp>[TREASURY.xlsx]Sheet1!R199C11</stp>
        <tr r="K199" s="1"/>
      </tp>
      <tp t="s">
        <v>FIXED</v>
        <stp/>
        <stp>##V3_BDPV12</stp>
        <stp>912828N3 Govt</stp>
        <stp>CPN_TYP</stp>
        <stp>[TREASURY.xlsx]Sheet1!R129C11</stp>
        <tr r="K129" s="1"/>
      </tp>
      <tp t="s">
        <v>FIXED</v>
        <stp/>
        <stp>##V3_BDPV12</stp>
        <stp>912828M5 Govt</stp>
        <stp>CPN_TYP</stp>
        <stp>[TREASURY.xlsx]Sheet1!R116C11</stp>
        <tr r="K116" s="1"/>
      </tp>
      <tp t="s">
        <v>FIXED</v>
        <stp/>
        <stp>##V3_BDPV12</stp>
        <stp>912828ZY Govt</stp>
        <stp>CPN_TYP</stp>
        <stp>[TREASURY.xlsx]Sheet1!R184C11</stp>
        <tr r="K184" s="1"/>
      </tp>
      <tp t="s">
        <v>FIXED</v>
        <stp/>
        <stp>##V3_BDPV12</stp>
        <stp>912828RR Govt</stp>
        <stp>CPN_TYP</stp>
        <stp>[TREASURY.xlsx]Sheet1!R119C11</stp>
        <tr r="K119" s="1"/>
      </tp>
      <tp t="s">
        <v>FIXED</v>
        <stp/>
        <stp>##V3_BDPV12</stp>
        <stp>912828ZA Govt</stp>
        <stp>CPN_TYP</stp>
        <stp>[TREASURY.xlsx]Sheet1!R190C11</stp>
        <tr r="K190" s="1"/>
      </tp>
      <tp t="s">
        <v>FIXED</v>
        <stp/>
        <stp>##V3_BDPV12</stp>
        <stp>912828YT Govt</stp>
        <stp>CPN_TYP</stp>
        <stp>[TREASURY.xlsx]Sheet1!R198C11</stp>
        <tr r="K198" s="1"/>
      </tp>
      <tp t="s">
        <v>FIXED</v>
        <stp/>
        <stp>##V3_BDPV12</stp>
        <stp>912828SF Govt</stp>
        <stp>CPN_TYP</stp>
        <stp>[TREASURY.xlsx]Sheet1!R138C11</stp>
        <tr r="K138" s="1"/>
      </tp>
      <tp t="s">
        <v>FIXED</v>
        <stp/>
        <stp>##V3_BDPV12</stp>
        <stp>912828XD Govt</stp>
        <stp>CPN_TYP</stp>
        <stp>[TREASURY.xlsx]Sheet1!R189C11</stp>
        <tr r="K189" s="1"/>
      </tp>
      <tp t="s">
        <v>FIXED</v>
        <stp/>
        <stp>##V3_BDPV12</stp>
        <stp>912828VB Govt</stp>
        <stp>CPN_TYP</stp>
        <stp>[TREASURY.xlsx]Sheet1!R168C11</stp>
        <tr r="K168" s="1"/>
      </tp>
      <tp t="s">
        <v>FIXED</v>
        <stp/>
        <stp>##V3_BDPV12</stp>
        <stp>912828UN Govt</stp>
        <stp>CPN_TYP</stp>
        <stp>[TREASURY.xlsx]Sheet1!R147C11</stp>
        <tr r="K147" s="1"/>
      </tp>
      <tp t="s">
        <v>FIXED</v>
        <stp/>
        <stp>##V3_BDPV12</stp>
        <stp>912828YA Govt</stp>
        <stp>CPN_TYP</stp>
        <stp>[TREASURY.xlsx]Sheet1!R183C11</stp>
        <tr r="K183" s="1"/>
      </tp>
      <tp t="s">
        <v>FIXED</v>
        <stp/>
        <stp>##V3_BDPV12</stp>
        <stp>912828XG Govt</stp>
        <stp>CPN_TYP</stp>
        <stp>[TREASURY.xlsx]Sheet1!R196C11</stp>
        <tr r="K196" s="1"/>
      </tp>
      <tp t="s">
        <v>FIXED</v>
        <stp/>
        <stp>##V3_BDPV12</stp>
        <stp>912828R3 Govt</stp>
        <stp>CPN_TYP</stp>
        <stp>[TREASURY.xlsx]Sheet1!R130C11</stp>
        <tr r="K130" s="1"/>
      </tp>
      <tp t="s">
        <v>FIXED</v>
        <stp/>
        <stp>##V3_BDPV12</stp>
        <stp>912828T3 Govt</stp>
        <stp>CPN_TYP</stp>
        <stp>[TREASURY.xlsx]Sheet1!R124C11</stp>
        <tr r="K124" s="1"/>
      </tp>
      <tp t="s">
        <v>FIXED</v>
        <stp/>
        <stp>##V3_BDPV12</stp>
        <stp>912828WE Govt</stp>
        <stp>CPN_TYP</stp>
        <stp>[TREASURY.xlsx]Sheet1!R108C11</stp>
        <tr r="K108" s="1"/>
      </tp>
      <tp t="s">
        <v>FIXED</v>
        <stp/>
        <stp>##V3_BDPV12</stp>
        <stp>912828V9 Govt</stp>
        <stp>CPN_TYP</stp>
        <stp>[TREASURY.xlsx]Sheet1!R127C11</stp>
        <tr r="K127" s="1"/>
      </tp>
      <tp t="s">
        <v>FIXED</v>
        <stp/>
        <stp>##V3_BDPV12</stp>
        <stp>912828T6 Govt</stp>
        <stp>CPN_TYP</stp>
        <stp>[TREASURY.xlsx]Sheet1!R105C11</stp>
        <tr r="K105" s="1"/>
      </tp>
      <tp t="s">
        <v>FIXED</v>
        <stp/>
        <stp>##V3_BDPV12</stp>
        <stp>912828VS Govt</stp>
        <stp>CPN_TYP</stp>
        <stp>[TREASURY.xlsx]Sheet1!R134C11</stp>
        <tr r="K134" s="1"/>
      </tp>
      <tp t="s">
        <v>FIXED</v>
        <stp/>
        <stp>##V3_BDPV12</stp>
        <stp>912828SV Govt</stp>
        <stp>CPN_TYP</stp>
        <stp>[TREASURY.xlsx]Sheet1!R164C11</stp>
        <tr r="K164" s="1"/>
      </tp>
      <tp t="s">
        <v>FIXED</v>
        <stp/>
        <stp>##V3_BDPV12</stp>
        <stp>912828TY Govt</stp>
        <stp>CPN_TYP</stp>
        <stp>[TREASURY.xlsx]Sheet1!R118C11</stp>
        <tr r="K118" s="1"/>
      </tp>
      <tp t="s">
        <v>FIXED</v>
        <stp/>
        <stp>##V3_BDPV12</stp>
        <stp>912828W7 Govt</stp>
        <stp>CPN_TYP</stp>
        <stp>[TREASURY.xlsx]Sheet1!R125C11</stp>
        <tr r="K125" s="1"/>
      </tp>
      <tp t="s">
        <v>FIXED</v>
        <stp/>
        <stp>##V3_BDPV12</stp>
        <stp>912828YV Govt</stp>
        <stp>CPN_TYP</stp>
        <stp>[TREASURY.xlsx]Sheet1!R139C11</stp>
        <tr r="K139" s="1"/>
      </tp>
      <tp t="s">
        <v>FIXED</v>
        <stp/>
        <stp>##V3_BDPV12</stp>
        <stp>912828ZW Govt</stp>
        <stp>CPN_TYP</stp>
        <stp>[TREASURY.xlsx]Sheet1!R101C11</stp>
        <tr r="K101" s="1"/>
      </tp>
      <tp t="s">
        <v>FIXED</v>
        <stp/>
        <stp>##V3_BDPV12</stp>
        <stp>912828YH Govt</stp>
        <stp>CPN_TYP</stp>
        <stp>[TREASURY.xlsx]Sheet1!R135C11</stp>
        <tr r="K135" s="1"/>
      </tp>
      <tp t="s">
        <v>FIXED</v>
        <stp/>
        <stp>##V3_BDPV12</stp>
        <stp>912828YK Govt</stp>
        <stp>CPN_TYP</stp>
        <stp>[TREASURY.xlsx]Sheet1!R131C11</stp>
        <tr r="K131" s="1"/>
      </tp>
      <tp t="s">
        <v>FIXED</v>
        <stp/>
        <stp>##V3_BDPV12</stp>
        <stp>912828XB Govt</stp>
        <stp>CPN_TYP</stp>
        <stp>[TREASURY.xlsx]Sheet1!R122C11</stp>
        <tr r="K122" s="1"/>
      </tp>
      <tp t="s">
        <v>FIXED</v>
        <stp/>
        <stp>##V3_BDPV12</stp>
        <stp>912828ZX Govt</stp>
        <stp>CPN_TYP</stp>
        <stp>[TREASURY.xlsx]Sheet1!R111C11</stp>
        <tr r="K111" s="1"/>
      </tp>
      <tp t="s">
        <v>FIXED</v>
        <stp/>
        <stp>##V3_BDPV12</stp>
        <stp>912828ZN Govt</stp>
        <stp>CPN_TYP</stp>
        <stp>[TREASURY.xlsx]Sheet1!R117C11</stp>
        <tr r="K117" s="1"/>
      </tp>
      <tp t="s">
        <v>FIXED</v>
        <stp/>
        <stp>##V3_BDPV12</stp>
        <stp>912828ZE Govt</stp>
        <stp>CPN_TYP</stp>
        <stp>[TREASURY.xlsx]Sheet1!R112C11</stp>
        <tr r="K112" s="1"/>
      </tp>
      <tp t="s">
        <v>FIXED</v>
        <stp/>
        <stp>##V3_BDPV12</stp>
        <stp>912828YM Govt</stp>
        <stp>CPN_TYP</stp>
        <stp>[TREASURY.xlsx]Sheet1!R113C11</stp>
        <tr r="K113" s="1"/>
      </tp>
      <tp t="s">
        <v>FIXED</v>
        <stp/>
        <stp>##V3_BDPV12</stp>
        <stp>912828ZD Govt</stp>
        <stp>CPN_TYP</stp>
        <stp>[TREASURY.xlsx]Sheet1!R121C11</stp>
        <tr r="K121" s="1"/>
      </tp>
      <tp t="s">
        <v>FIXED</v>
        <stp/>
        <stp>##V3_BDPV12</stp>
        <stp>912828YX Govt</stp>
        <stp>CPN_TYP</stp>
        <stp>[TREASURY.xlsx]Sheet1!R104C11</stp>
        <tr r="K104" s="1"/>
      </tp>
      <tp t="s">
        <v>FIXED</v>
        <stp/>
        <stp>##V3_BDPV12</stp>
        <stp>912828ZR Govt</stp>
        <stp>CPN_TYP</stp>
        <stp>[TREASURY.xlsx]Sheet1!R136C11</stp>
        <tr r="K136" s="1"/>
      </tp>
      <tp t="s">
        <v>FIXED</v>
        <stp/>
        <stp>##V3_BDPV12</stp>
        <stp>912828Q2 Govt</stp>
        <stp>CPN_TYP</stp>
        <stp>[TREASURY.xlsx]Sheet1!R187C11</stp>
        <tr r="K187" s="1"/>
      </tp>
      <tp t="s">
        <v>FIXED</v>
        <stp/>
        <stp>##V3_BDPV12</stp>
        <stp>912828YZ Govt</stp>
        <stp>CPN_TYP</stp>
        <stp>[TREASURY.xlsx]Sheet1!R170C11</stp>
        <tr r="K170" s="1"/>
      </tp>
      <tp t="s">
        <v>FIXED</v>
        <stp/>
        <stp>##V3_BDPV12</stp>
        <stp>912828YU Govt</stp>
        <stp>CPN_TYP</stp>
        <stp>[TREASURY.xlsx]Sheet1!R174C11</stp>
        <tr r="K174" s="1"/>
      </tp>
      <tp t="s">
        <v>FIXED</v>
        <stp/>
        <stp>##V3_BDPV12</stp>
        <stp>912828YD Govt</stp>
        <stp>CPN_TYP</stp>
        <stp>[TREASURY.xlsx]Sheet1!R178C11</stp>
        <tr r="K178" s="1"/>
      </tp>
      <tp t="s">
        <v>FIXED</v>
        <stp/>
        <stp>##V3_BDPV12</stp>
        <stp>912828ZB Govt</stp>
        <stp>CPN_TYP</stp>
        <stp>[TREASURY.xlsx]Sheet1!R148C11</stp>
        <tr r="K148" s="1"/>
      </tp>
      <tp t="s">
        <v>FIXED</v>
        <stp/>
        <stp>##V3_BDPV12</stp>
        <stp>912828ZV Govt</stp>
        <stp>CPN_TYP</stp>
        <stp>[TREASURY.xlsx]Sheet1!R159C11</stp>
        <tr r="K159" s="1"/>
      </tp>
      <tp t="s">
        <v>FIXED</v>
        <stp/>
        <stp>##V3_BDPV12</stp>
        <stp>912828ZP Govt</stp>
        <stp>CPN_TYP</stp>
        <stp>[TREASURY.xlsx]Sheet1!R153C11</stp>
        <tr r="K153" s="1"/>
      </tp>
      <tp t="s">
        <v>FIXED</v>
        <stp/>
        <stp>##V3_BDPV12</stp>
        <stp>912828WJ Govt</stp>
        <stp>CPN_TYP</stp>
        <stp>[TREASURY.xlsx]Sheet1!R182C11</stp>
        <tr r="K182" s="1"/>
      </tp>
      <tp t="s">
        <v>FIXED</v>
        <stp/>
        <stp>##V3_BDPV12</stp>
        <stp>912828ZU Govt</stp>
        <stp>CPN_TYP</stp>
        <stp>[TREASURY.xlsx]Sheet1!R162C11</stp>
        <tr r="K162" s="1"/>
      </tp>
      <tp t="s">
        <v>FIXED</v>
        <stp/>
        <stp>##V3_BDPV12</stp>
        <stp>912828YY Govt</stp>
        <stp>CPN_TYP</stp>
        <stp>[TREASURY.xlsx]Sheet1!R158C11</stp>
        <tr r="K158" s="1"/>
      </tp>
      <tp t="s">
        <v>FIXED</v>
        <stp/>
        <stp>##V3_BDPV12</stp>
        <stp>912828ZH Govt</stp>
        <stp>CPN_TYP</stp>
        <stp>[TREASURY.xlsx]Sheet1!R165C11</stp>
        <tr r="K165" s="1"/>
      </tp>
      <tp t="s">
        <v>FIXED</v>
        <stp/>
        <stp>##V3_BDPV12</stp>
        <stp>912828Y9 Govt</stp>
        <stp>CPN_TYP</stp>
        <stp>[TREASURY.xlsx]Sheet1!R157C11</stp>
        <tr r="K157" s="1"/>
      </tp>
      <tp t="s">
        <v>FIXED</v>
        <stp/>
        <stp>##V3_BDPV12</stp>
        <stp>912828Z7 Govt</stp>
        <stp>CPN_TYP</stp>
        <stp>[TREASURY.xlsx]Sheet1!R169C11</stp>
        <tr r="K169" s="1"/>
      </tp>
      <tp t="s">
        <v>FIXED</v>
        <stp/>
        <stp>##V3_BDPV12</stp>
        <stp>912828YP Govt</stp>
        <stp>CPN_TYP</stp>
        <stp>[TREASURY.xlsx]Sheet1!R149C11</stp>
        <tr r="K149" s="1"/>
      </tp>
      <tp t="s">
        <v>FIXED</v>
        <stp/>
        <stp>##V3_BDPV12</stp>
        <stp>912828YW Govt</stp>
        <stp>CPN_TYP</stp>
        <stp>[TREASURY.xlsx]Sheet1!R141C11</stp>
        <tr r="K141" s="1"/>
      </tp>
      <tp t="s">
        <v>FIXED</v>
        <stp/>
        <stp>##V3_BDPV12</stp>
        <stp>912828ZS Govt</stp>
        <stp>CPN_TYP</stp>
        <stp>[TREASURY.xlsx]Sheet1!R171C11</stp>
        <tr r="K171" s="1"/>
      </tp>
      <tp t="s">
        <v>FIXED</v>
        <stp/>
        <stp>##V3_BDPV12</stp>
        <stp>912828XT Govt</stp>
        <stp>CPN_TYP</stp>
        <stp>[TREASURY.xlsx]Sheet1!R155C11</stp>
        <tr r="K155" s="1"/>
      </tp>
      <tp t="s">
        <v>FIXED</v>
        <stp/>
        <stp>##V3_BDPV12</stp>
        <stp>912828TJ Govt</stp>
        <stp>CPN_TYP</stp>
        <stp>[TREASURY.xlsx]Sheet1!R194C11</stp>
        <tr r="K194" s="1"/>
      </tp>
      <tp t="s">
        <v>FIXED</v>
        <stp/>
        <stp>##V3_BDPV12</stp>
        <stp>912828ZM Govt</stp>
        <stp>CPN_TYP</stp>
        <stp>[TREASURY.xlsx]Sheet1!R175C11</stp>
        <tr r="K175" s="1"/>
      </tp>
      <tp t="s">
        <v>FIXED</v>
        <stp/>
        <stp>##V3_BDPV12</stp>
        <stp>912828YE Govt</stp>
        <stp>CPN_TYP</stp>
        <stp>[TREASURY.xlsx]Sheet1!R143C11</stp>
        <tr r="K143" s="1"/>
      </tp>
      <tp t="s">
        <v>FIXED</v>
        <stp/>
        <stp>##V3_BDPV12</stp>
        <stp>912828T2 Govt</stp>
        <stp>CPN_TYP</stp>
        <stp>[TREASURY.xlsx]Sheet1!R192C11</stp>
        <tr r="K192" s="1"/>
      </tp>
      <tp t="s">
        <v>FIXED</v>
        <stp/>
        <stp>##V3_BDPV12</stp>
        <stp>9128284Q Govt</stp>
        <stp>CPN_TYP</stp>
        <stp>[TREASURY.xlsx]Sheet1!R675C11</stp>
        <tr r="K675" s="1"/>
      </tp>
      <tp t="s">
        <v>FIXED</v>
        <stp/>
        <stp>##V3_BDPV12</stp>
        <stp>9128282J Govt</stp>
        <stp>CPN_TYP</stp>
        <stp>[TREASURY.xlsx]Sheet1!R611C11</stp>
        <tr r="K611" s="1"/>
      </tp>
      <tp t="s">
        <v>FIXED</v>
        <stp/>
        <stp>##V3_BDPV12</stp>
        <stp>912828AT Govt</stp>
        <stp>CPN_TYP</stp>
        <stp>[TREASURY.xlsx]Sheet1!R635C11</stp>
        <tr r="K635" s="1"/>
      </tp>
      <tp t="s">
        <v>FIXED</v>
        <stp/>
        <stp>##V3_BDPV12</stp>
        <stp>912828J6 Govt</stp>
        <stp>CPN_TYP</stp>
        <stp>[TREASURY.xlsx]Sheet1!R686C11</stp>
        <tr r="K686" s="1"/>
      </tp>
      <tp t="s">
        <v>FIXED</v>
        <stp/>
        <stp>##V3_BDPV12</stp>
        <stp>912828JY Govt</stp>
        <stp>CPN_TYP</stp>
        <stp>[TREASURY.xlsx]Sheet1!R691C11</stp>
        <tr r="K691" s="1"/>
      </tp>
      <tp t="s">
        <v>FIXED</v>
        <stp/>
        <stp>##V3_BDPV12</stp>
        <stp>912828CW Govt</stp>
        <stp>CPN_TYP</stp>
        <stp>[TREASURY.xlsx]Sheet1!R603C11</stp>
        <tr r="K603" s="1"/>
      </tp>
      <tp t="s">
        <v>FIXED</v>
        <stp/>
        <stp>##V3_BDPV12</stp>
        <stp>912828JJ Govt</stp>
        <stp>CPN_TYP</stp>
        <stp>[TREASURY.xlsx]Sheet1!R690C11</stp>
        <tr r="K690" s="1"/>
      </tp>
      <tp t="s">
        <v>FIXED</v>
        <stp/>
        <stp>##V3_BDPV12</stp>
        <stp>912828FD Govt</stp>
        <stp>CPN_TYP</stp>
        <stp>[TREASURY.xlsx]Sheet1!R650C11</stp>
        <tr r="K650" s="1"/>
      </tp>
      <tp t="s">
        <v>FIXED</v>
        <stp/>
        <stp>##V3_BDPV12</stp>
        <stp>912828A3 Govt</stp>
        <stp>CPN_TYP</stp>
        <stp>[TREASURY.xlsx]Sheet1!R627C11</stp>
        <tr r="K627" s="1"/>
      </tp>
      <tp t="s">
        <v>FIXED</v>
        <stp/>
        <stp>##V3_BDPV12</stp>
        <stp>912828BS Govt</stp>
        <stp>CPN_TYP</stp>
        <stp>[TREASURY.xlsx]Sheet1!R628C11</stp>
        <tr r="K628" s="1"/>
      </tp>
      <tp t="s">
        <v>FIXED</v>
        <stp/>
        <stp>##V3_BDPV12</stp>
        <stp>912828CU Govt</stp>
        <stp>CPN_TYP</stp>
        <stp>[TREASURY.xlsx]Sheet1!R636C11</stp>
        <tr r="K636" s="1"/>
      </tp>
      <tp t="s">
        <v>FIXED</v>
        <stp/>
        <stp>##V3_BDPV12</stp>
        <stp>912828GQ Govt</stp>
        <stp>CPN_TYP</stp>
        <stp>[TREASURY.xlsx]Sheet1!R672C11</stp>
        <tr r="K672" s="1"/>
      </tp>
      <tp t="s">
        <v>FIXED</v>
        <stp/>
        <stp>##V3_BDPV12</stp>
        <stp>912828AV Govt</stp>
        <stp>CPN_TYP</stp>
        <stp>[TREASURY.xlsx]Sheet1!R602C11</stp>
        <tr r="K602" s="1"/>
      </tp>
      <tp t="s">
        <v>FIXED</v>
        <stp/>
        <stp>##V3_BDPV12</stp>
        <stp>912828EN Govt</stp>
        <stp>CPN_TYP</stp>
        <stp>[TREASURY.xlsx]Sheet1!R649C11</stp>
        <tr r="K649" s="1"/>
      </tp>
      <tp t="s">
        <v>FIXED</v>
        <stp/>
        <stp>##V3_BDPV12</stp>
        <stp>912828BP Govt</stp>
        <stp>CPN_TYP</stp>
        <stp>[TREASURY.xlsx]Sheet1!R648C11</stp>
        <tr r="K648" s="1"/>
      </tp>
      <tp t="s">
        <v>FIXED</v>
        <stp/>
        <stp>##V3_BDPV12</stp>
        <stp>912828DV Govt</stp>
        <stp>CPN_TYP</stp>
        <stp>[TREASURY.xlsx]Sheet1!R620C11</stp>
        <tr r="K620" s="1"/>
      </tp>
      <tp t="s">
        <v>FIXED</v>
        <stp/>
        <stp>##V3_BDPV12</stp>
        <stp>912828GS Govt</stp>
        <stp>CPN_TYP</stp>
        <stp>[TREASURY.xlsx]Sheet1!R615C11</stp>
        <tr r="K615" s="1"/>
      </tp>
      <tp t="s">
        <v>FIXED</v>
        <stp/>
        <stp>##V3_BDPV12</stp>
        <stp>912828CX Govt</stp>
        <stp>CPN_TYP</stp>
        <stp>[TREASURY.xlsx]Sheet1!R659C11</stp>
        <tr r="K659" s="1"/>
      </tp>
      <tp t="s">
        <v>FIXED</v>
        <stp/>
        <stp>##V3_BDPV12</stp>
        <stp>912828BJ Govt</stp>
        <stp>CPN_TYP</stp>
        <stp>[TREASURY.xlsx]Sheet1!R642C11</stp>
        <tr r="K642" s="1"/>
      </tp>
      <tp t="s">
        <v>FIXED</v>
        <stp/>
        <stp>##V3_BDPV12</stp>
        <stp>912828BC Govt</stp>
        <stp>CPN_TYP</stp>
        <stp>[TREASURY.xlsx]Sheet1!R641C11</stp>
        <tr r="K641" s="1"/>
      </tp>
      <tp t="s">
        <v>FIXED</v>
        <stp/>
        <stp>##V3_BDPV12</stp>
        <stp>912828B5 Govt</stp>
        <stp>CPN_TYP</stp>
        <stp>[TREASURY.xlsx]Sheet1!R647C11</stp>
        <tr r="K647" s="1"/>
      </tp>
      <tp t="s">
        <v>FIXED</v>
        <stp/>
        <stp>##V3_BDPV12</stp>
        <stp>912828FU Govt</stp>
        <stp>CPN_TYP</stp>
        <stp>[TREASURY.xlsx]Sheet1!R614C11</stp>
        <tr r="K614" s="1"/>
      </tp>
      <tp t="s">
        <v>FIXED</v>
        <stp/>
        <stp>##V3_BDPV12</stp>
        <stp>912828AW Govt</stp>
        <stp>CPN_TYP</stp>
        <stp>[TREASURY.xlsx]Sheet1!R667C11</stp>
        <tr r="K667" s="1"/>
      </tp>
      <tp t="s">
        <v>FIXED</v>
        <stp/>
        <stp>##V3_BDPV12</stp>
        <stp>912828AL Govt</stp>
        <stp>CPN_TYP</stp>
        <stp>[TREASURY.xlsx]Sheet1!R666C11</stp>
        <tr r="K666" s="1"/>
      </tp>
      <tp t="s">
        <v>FIXED</v>
        <stp/>
        <stp>##V3_BDPV12</stp>
        <stp>912828AR Govt</stp>
        <stp>CPN_TYP</stp>
        <stp>[TREASURY.xlsx]Sheet1!R658C11</stp>
        <tr r="K658" s="1"/>
      </tp>
      <tp t="s">
        <v>FIXED</v>
        <stp/>
        <stp>##V3_BDPV12</stp>
        <stp>912828AN Govt</stp>
        <stp>CPN_TYP</stp>
        <stp>[TREASURY.xlsx]Sheet1!R657C11</stp>
        <tr r="K657" s="1"/>
      </tp>
      <tp t="s">
        <v>FIXED</v>
        <stp/>
        <stp>##V3_BDPV12</stp>
        <stp>912828ER Govt</stp>
        <stp>CPN_TYP</stp>
        <stp>[TREASURY.xlsx]Sheet1!R604C11</stp>
        <tr r="K604" s="1"/>
      </tp>
      <tp t="s">
        <v>FIXED</v>
        <stp/>
        <stp>##V3_BDPV12</stp>
        <stp>912828D2 Govt</stp>
        <stp>CPN_TYP</stp>
        <stp>[TREASURY.xlsx]Sheet1!R619C11</stp>
        <tr r="K619" s="1"/>
      </tp>
      <tp t="s">
        <v>FIXED</v>
        <stp/>
        <stp>##V3_BDPV12</stp>
        <stp>912828A9 Govt</stp>
        <stp>CPN_TYP</stp>
        <stp>[TREASURY.xlsx]Sheet1!R640C11</stp>
        <tr r="K640" s="1"/>
      </tp>
      <tp t="s">
        <v>FIXED</v>
        <stp/>
        <stp>##V3_BDPV12</stp>
        <stp>912828D6 Govt</stp>
        <stp>CPN_TYP</stp>
        <stp>[TREASURY.xlsx]Sheet1!R613C11</stp>
        <tr r="K613" s="1"/>
      </tp>
      <tp t="s">
        <v>FIXED</v>
        <stp/>
        <stp>##V3_BDPV12</stp>
        <stp>912828KV Govt</stp>
        <stp>CPN_TYP</stp>
        <stp>[TREASURY.xlsx]Sheet1!R616C11</stp>
        <tr r="K616" s="1"/>
      </tp>
      <tp t="s">
        <v>FIXED</v>
        <stp/>
        <stp>##V3_BDPV12</stp>
        <stp>912828KW Govt</stp>
        <stp>CPN_TYP</stp>
        <stp>[TREASURY.xlsx]Sheet1!R617C11</stp>
        <tr r="K617" s="1"/>
      </tp>
      <tp t="s">
        <v>FIXED</v>
        <stp/>
        <stp>##V3_BDPV12</stp>
        <stp>912828CN Govt</stp>
        <stp>CPN_TYP</stp>
        <stp>[TREASURY.xlsx]Sheet1!R696C11</stp>
        <tr r="K696" s="1"/>
      </tp>
      <tp t="s">
        <v>FIXED</v>
        <stp/>
        <stp>##V3_BDPV12</stp>
        <stp>912828ND Govt</stp>
        <stp>CPN_TYP</stp>
        <stp>[TREASURY.xlsx]Sheet1!R645C11</stp>
        <tr r="K645" s="1"/>
      </tp>
      <tp t="s">
        <v>FIXED</v>
        <stp/>
        <stp>##V3_BDPV12</stp>
        <stp>912828L4 Govt</stp>
        <stp>CPN_TYP</stp>
        <stp>[TREASURY.xlsx]Sheet1!R669C11</stp>
        <tr r="K669" s="1"/>
      </tp>
      <tp t="s">
        <v>FIXED</v>
        <stp/>
        <stp>##V3_BDPV12</stp>
        <stp>912828C2 Govt</stp>
        <stp>CPN_TYP</stp>
        <stp>[TREASURY.xlsx]Sheet1!R688C11</stp>
        <tr r="K688" s="1"/>
      </tp>
      <tp t="s">
        <v>FIXED</v>
        <stp/>
        <stp>##V3_BDPV12</stp>
        <stp>912828H7 Govt</stp>
        <stp>CPN_TYP</stp>
        <stp>[TREASURY.xlsx]Sheet1!R605C11</stp>
        <tr r="K605" s="1"/>
      </tp>
      <tp t="s">
        <v>FIXED</v>
        <stp/>
        <stp>##V3_BDPV12</stp>
        <stp>912828LW Govt</stp>
        <stp>CPN_TYP</stp>
        <stp>[TREASURY.xlsx]Sheet1!R629C11</stp>
        <tr r="K629" s="1"/>
      </tp>
      <tp t="s">
        <v>FIXED</v>
        <stp/>
        <stp>##V3_BDPV12</stp>
        <stp>912828JW Govt</stp>
        <stp>CPN_TYP</stp>
        <stp>[TREASURY.xlsx]Sheet1!R643C11</stp>
        <tr r="K643" s="1"/>
      </tp>
      <tp t="s">
        <v>FIXED</v>
        <stp/>
        <stp>##V3_BDPV12</stp>
        <stp>912827NL Govt</stp>
        <stp>CPN_TYP</stp>
        <stp>[TREASURY.xlsx]Sheet1!R902C11</stp>
        <tr r="K902" s="1"/>
      </tp>
      <tp t="s">
        <v>FIXED</v>
        <stp/>
        <stp>##V3_BDPV12</stp>
        <stp>912827NK Govt</stp>
        <stp>CPN_TYP</stp>
        <stp>[TREASURY.xlsx]Sheet1!R901C11</stp>
        <tr r="K901" s="1"/>
      </tp>
      <tp t="s">
        <v>FIXED</v>
        <stp/>
        <stp>##V3_BDPV12</stp>
        <stp>912827N7 Govt</stp>
        <stp>CPN_TYP</stp>
        <stp>[TREASURY.xlsx]Sheet1!R900C11</stp>
        <tr r="K900" s="1"/>
      </tp>
      <tp t="s">
        <v>FIXED</v>
        <stp/>
        <stp>##V3_BDPV12</stp>
        <stp>912828N5 Govt</stp>
        <stp>CPN_TYP</stp>
        <stp>[TREASURY.xlsx]Sheet1!R600C11</stp>
        <tr r="K600" s="1"/>
      </tp>
      <tp t="s">
        <v>FIXED</v>
        <stp/>
        <stp>##V3_BDPV12</stp>
        <stp>912828KY Govt</stp>
        <stp>CPN_TYP</stp>
        <stp>[TREASURY.xlsx]Sheet1!R644C11</stp>
        <tr r="K644" s="1"/>
      </tp>
      <tp t="s">
        <v>FIXED</v>
        <stp/>
        <stp>##V3_BDPV12</stp>
        <stp>912828KR Govt</stp>
        <stp>CPN_TYP</stp>
        <stp>[TREASURY.xlsx]Sheet1!R676C11</stp>
        <tr r="K676" s="1"/>
      </tp>
      <tp t="s">
        <v>FIXED</v>
        <stp/>
        <stp>##V3_BDPV12</stp>
        <stp>912828NH Govt</stp>
        <stp>CPN_TYP</stp>
        <stp>[TREASURY.xlsx]Sheet1!R622C11</stp>
        <tr r="K622" s="1"/>
      </tp>
      <tp t="s">
        <v>FIXED</v>
        <stp/>
        <stp>##V3_BDPV12</stp>
        <stp>912828N6 Govt</stp>
        <stp>CPN_TYP</stp>
        <stp>[TREASURY.xlsx]Sheet1!R621C11</stp>
        <tr r="K621" s="1"/>
      </tp>
      <tp t="s">
        <v>FIXED</v>
        <stp/>
        <stp>##V3_BDPV12</stp>
        <stp>912828HV Govt</stp>
        <stp>CPN_TYP</stp>
        <stp>[TREASURY.xlsx]Sheet1!R651C11</stp>
        <tr r="K651" s="1"/>
      </tp>
      <tp t="s">
        <v>FIXED</v>
        <stp/>
        <stp>##V3_BDPV12</stp>
        <stp>912827SV Govt</stp>
        <stp>CPN_TYP</stp>
        <stp>[TREASURY.xlsx]Sheet1!R918C11</stp>
        <tr r="K918" s="1"/>
      </tp>
      <tp t="s">
        <v>FIXED</v>
        <stp/>
        <stp>##V3_BDPV12</stp>
        <stp>912828SE Govt</stp>
        <stp>CPN_TYP</stp>
        <stp>[TREASURY.xlsx]Sheet1!R618C11</stp>
        <tr r="K618" s="1"/>
      </tp>
      <tp t="s">
        <v>FIXED</v>
        <stp/>
        <stp>##V3_BDPV12</stp>
        <stp>912827SL Govt</stp>
        <stp>CPN_TYP</stp>
        <stp>[TREASURY.xlsx]Sheet1!R917C11</stp>
        <tr r="K917" s="1"/>
      </tp>
      <tp t="s">
        <v>FIXED</v>
        <stp/>
        <stp>##V3_BDPV12</stp>
        <stp>912828UF Govt</stp>
        <stp>CPN_TYP</stp>
        <stp>[TREASURY.xlsx]Sheet1!R671C11</stp>
        <tr r="K671" s="1"/>
      </tp>
      <tp t="s">
        <v>FIXED</v>
        <stp/>
        <stp>##V3_BDPV12</stp>
        <stp>912827SD Govt</stp>
        <stp>CPN_TYP</stp>
        <stp>[TREASURY.xlsx]Sheet1!R916C11</stp>
        <tr r="K916" s="1"/>
      </tp>
      <tp t="s">
        <v>FIXED</v>
        <stp/>
        <stp>##V3_BDPV12</stp>
        <stp>912827R8 Govt</stp>
        <stp>CPN_TYP</stp>
        <stp>[TREASURY.xlsx]Sheet1!R909C11</stp>
        <tr r="K909" s="1"/>
      </tp>
      <tp t="s">
        <v>FIXED</v>
        <stp/>
        <stp>##V3_BDPV12</stp>
        <stp>912828U9 Govt</stp>
        <stp>CPN_TYP</stp>
        <stp>[TREASURY.xlsx]Sheet1!R678C11</stp>
        <tr r="K678" s="1"/>
      </tp>
      <tp t="s">
        <v>FIXED</v>
        <stp/>
        <stp>##V3_BDPV12</stp>
        <stp>912827RX Govt</stp>
        <stp>CPN_TYP</stp>
        <stp>[TREASURY.xlsx]Sheet1!R915C11</stp>
        <tr r="K915" s="1"/>
      </tp>
      <tp t="s">
        <v>FIXED</v>
        <stp/>
        <stp>##V3_BDPV12</stp>
        <stp>912827RP Govt</stp>
        <stp>CPN_TYP</stp>
        <stp>[TREASURY.xlsx]Sheet1!R912C11</stp>
        <tr r="K912" s="1"/>
      </tp>
      <tp t="s">
        <v>FIXED</v>
        <stp/>
        <stp>##V3_BDPV12</stp>
        <stp>912827RU Govt</stp>
        <stp>CPN_TYP</stp>
        <stp>[TREASURY.xlsx]Sheet1!R914C11</stp>
        <tr r="K914" s="1"/>
      </tp>
      <tp t="s">
        <v>FIXED</v>
        <stp/>
        <stp>##V3_BDPV12</stp>
        <stp>912827RS Govt</stp>
        <stp>CPN_TYP</stp>
        <stp>[TREASURY.xlsx]Sheet1!R913C11</stp>
        <tr r="K913" s="1"/>
      </tp>
      <tp t="s">
        <v>FIXED</v>
        <stp/>
        <stp>##V3_BDPV12</stp>
        <stp>912827RK Govt</stp>
        <stp>CPN_TYP</stp>
        <stp>[TREASURY.xlsx]Sheet1!R911C11</stp>
        <tr r="K911" s="1"/>
      </tp>
      <tp t="s">
        <v>FIXED</v>
        <stp/>
        <stp>##V3_BDPV12</stp>
        <stp>912828PJ Govt</stp>
        <stp>CPN_TYP</stp>
        <stp>[TREASURY.xlsx]Sheet1!R630C11</stp>
        <tr r="K630" s="1"/>
      </tp>
      <tp t="s">
        <v>FIXED</v>
        <stp/>
        <stp>##V3_BDPV12</stp>
        <stp>912827RD Govt</stp>
        <stp>CPN_TYP</stp>
        <stp>[TREASURY.xlsx]Sheet1!R910C11</stp>
        <tr r="K910" s="1"/>
      </tp>
      <tp t="s">
        <v>FIXED</v>
        <stp/>
        <stp>##V3_BDPV12</stp>
        <stp>912828V5 Govt</stp>
        <stp>CPN_TYP</stp>
        <stp>[TREASURY.xlsx]Sheet1!R655C11</stp>
        <tr r="K655" s="1"/>
      </tp>
      <tp t="s">
        <v>FIXED</v>
        <stp/>
        <stp>##V3_BDPV12</stp>
        <stp>912827PP Govt</stp>
        <stp>CPN_TYP</stp>
        <stp>[TREASURY.xlsx]Sheet1!R904C11</stp>
        <tr r="K904" s="1"/>
      </tp>
      <tp t="s">
        <v>FIXED</v>
        <stp/>
        <stp>##V3_BDPV12</stp>
        <stp>912827PN Govt</stp>
        <stp>CPN_TYP</stp>
        <stp>[TREASURY.xlsx]Sheet1!R903C11</stp>
        <tr r="K903" s="1"/>
      </tp>
      <tp t="s">
        <v>FIXED</v>
        <stp/>
        <stp>##V3_BDPV12</stp>
        <stp>912828W2 Govt</stp>
        <stp>CPN_TYP</stp>
        <stp>[TREASURY.xlsx]Sheet1!R679C11</stp>
        <tr r="K679" s="1"/>
      </tp>
      <tp t="s">
        <v>FIXED</v>
        <stp/>
        <stp>##V3_BDPV12</stp>
        <stp>912827QR Govt</stp>
        <stp>CPN_TYP</stp>
        <stp>[TREASURY.xlsx]Sheet1!R908C11</stp>
        <tr r="K908" s="1"/>
      </tp>
      <tp t="s">
        <v>FIXED</v>
        <stp/>
        <stp>##V3_BDPV12</stp>
        <stp>912827QJ Govt</stp>
        <stp>CPN_TYP</stp>
        <stp>[TREASURY.xlsx]Sheet1!R907C11</stp>
        <tr r="K907" s="1"/>
      </tp>
      <tp t="s">
        <v>FIXED</v>
        <stp/>
        <stp>##V3_BDPV12</stp>
        <stp>912828SD Govt</stp>
        <stp>CPN_TYP</stp>
        <stp>[TREASURY.xlsx]Sheet1!R623C11</stp>
        <tr r="K623" s="1"/>
      </tp>
      <tp t="s">
        <v>FIXED</v>
        <stp/>
        <stp>##V3_BDPV12</stp>
        <stp>912828VE Govt</stp>
        <stp>CPN_TYP</stp>
        <stp>[TREASURY.xlsx]Sheet1!R673C11</stp>
        <tr r="K673" s="1"/>
      </tp>
      <tp t="s">
        <v>FIXED</v>
        <stp/>
        <stp>##V3_BDPV12</stp>
        <stp>912828TG Govt</stp>
        <stp>CPN_TYP</stp>
        <stp>[TREASURY.xlsx]Sheet1!R654C11</stp>
        <tr r="K654" s="1"/>
      </tp>
      <tp t="s">
        <v>FIXED</v>
        <stp/>
        <stp>##V3_BDPV12</stp>
        <stp>912827QG Govt</stp>
        <stp>CPN_TYP</stp>
        <stp>[TREASURY.xlsx]Sheet1!R906C11</stp>
        <tr r="K906" s="1"/>
      </tp>
      <tp t="s">
        <v>FIXED</v>
        <stp/>
        <stp>##V3_BDPV12</stp>
        <stp>912827Q5 Govt</stp>
        <stp>CPN_TYP</stp>
        <stp>[TREASURY.xlsx]Sheet1!R905C11</stp>
        <tr r="K905" s="1"/>
      </tp>
      <tp t="s">
        <v>FIXED</v>
        <stp/>
        <stp>##V3_BDPV12</stp>
        <stp>912827TZ Govt</stp>
        <stp>CPN_TYP</stp>
        <stp>[TREASURY.xlsx]Sheet1!R920C11</stp>
        <tr r="K920" s="1"/>
      </tp>
      <tp t="s">
        <v>FIXED</v>
        <stp/>
        <stp>##V3_BDPV12</stp>
        <stp>912828SW Govt</stp>
        <stp>CPN_TYP</stp>
        <stp>[TREASURY.xlsx]Sheet1!R653C11</stp>
        <tr r="K653" s="1"/>
      </tp>
      <tp t="s">
        <v>FIXED</v>
        <stp/>
        <stp>##V3_BDPV12</stp>
        <stp>912827UV Govt</stp>
        <stp>CPN_TYP</stp>
        <stp>[TREASURY.xlsx]Sheet1!R922C11</stp>
        <tr r="K922" s="1"/>
      </tp>
      <tp t="s">
        <v>FIXED</v>
        <stp/>
        <stp>##V3_BDPV12</stp>
        <stp>912828TB Govt</stp>
        <stp>CPN_TYP</stp>
        <stp>[TREASURY.xlsx]Sheet1!R637C11</stp>
        <tr r="K637" s="1"/>
      </tp>
      <tp t="s">
        <v>FIXED</v>
        <stp/>
        <stp>##V3_BDPV12</stp>
        <stp>912828T5 Govt</stp>
        <stp>CPN_TYP</stp>
        <stp>[TREASURY.xlsx]Sheet1!R631C11</stp>
        <tr r="K631" s="1"/>
      </tp>
      <tp t="s">
        <v>FIXED</v>
        <stp/>
        <stp>##V3_BDPV12</stp>
        <stp>912827U3 Govt</stp>
        <stp>CPN_TYP</stp>
        <stp>[TREASURY.xlsx]Sheet1!R921C11</stp>
        <tr r="K921" s="1"/>
      </tp>
      <tp t="s">
        <v>FIXED</v>
        <stp/>
        <stp>##V3_BDPV12</stp>
        <stp>912827VX Govt</stp>
        <stp>CPN_TYP</stp>
        <stp>[TREASURY.xlsx]Sheet1!R927C11</stp>
        <tr r="K927" s="1"/>
      </tp>
      <tp t="s">
        <v>FIXED</v>
        <stp/>
        <stp>##V3_BDPV12</stp>
        <stp>912827WR Govt</stp>
        <stp>CPN_TYP</stp>
        <stp>[TREASURY.xlsx]Sheet1!R933C11</stp>
        <tr r="K933" s="1"/>
      </tp>
      <tp t="s">
        <v>FIXED</v>
        <stp/>
        <stp>##V3_BDPV12</stp>
        <stp>912827VV Govt</stp>
        <stp>CPN_TYP</stp>
        <stp>[TREASURY.xlsx]Sheet1!R926C11</stp>
        <tr r="K926" s="1"/>
      </tp>
      <tp t="s">
        <v>FIXED</v>
        <stp/>
        <stp>##V3_BDPV12</stp>
        <stp>912828SN Govt</stp>
        <stp>CPN_TYP</stp>
        <stp>[TREASURY.xlsx]Sheet1!R670C11</stp>
        <tr r="K670" s="1"/>
      </tp>
      <tp t="s">
        <v>FIXED</v>
        <stp/>
        <stp>##V3_BDPV12</stp>
        <stp>912827VH Govt</stp>
        <stp>CPN_TYP</stp>
        <stp>[TREASURY.xlsx]Sheet1!R924C11</stp>
        <tr r="K924" s="1"/>
      </tp>
      <tp t="s">
        <v>FIXED</v>
        <stp/>
        <stp>##V3_BDPV12</stp>
        <stp>912827VN Govt</stp>
        <stp>CPN_TYP</stp>
        <stp>[TREASURY.xlsx]Sheet1!R925C11</stp>
        <tr r="K925" s="1"/>
      </tp>
      <tp t="s">
        <v>FIXED</v>
        <stp/>
        <stp>##V3_BDPV12</stp>
        <stp>912827WK Govt</stp>
        <stp>CPN_TYP</stp>
        <stp>[TREASURY.xlsx]Sheet1!R932C11</stp>
        <tr r="K932" s="1"/>
      </tp>
      <tp t="s">
        <v>FIXED</v>
        <stp/>
        <stp>##V3_BDPV12</stp>
        <stp>912827WB Govt</stp>
        <stp>CPN_TYP</stp>
        <stp>[TREASURY.xlsx]Sheet1!R931C11</stp>
        <tr r="K931" s="1"/>
      </tp>
      <tp t="s">
        <v>FIXED</v>
        <stp/>
        <stp>##V3_BDPV12</stp>
        <stp>912827V9 Govt</stp>
        <stp>CPN_TYP</stp>
        <stp>[TREASURY.xlsx]Sheet1!R923C11</stp>
        <tr r="K923" s="1"/>
      </tp>
      <tp t="s">
        <v>FIXED</v>
        <stp/>
        <stp>##V3_BDPV12</stp>
        <stp>912827W8 Govt</stp>
        <stp>CPN_TYP</stp>
        <stp>[TREASURY.xlsx]Sheet1!R930C11</stp>
        <tr r="K930" s="1"/>
      </tp>
      <tp t="s">
        <v>FIXED</v>
        <stp/>
        <stp>##V3_BDPV12</stp>
        <stp>912828PV Govt</stp>
        <stp>CPN_TYP</stp>
        <stp>[TREASURY.xlsx]Sheet1!R652C11</stp>
        <tr r="K652" s="1"/>
      </tp>
      <tp t="s">
        <v>FIXED</v>
        <stp/>
        <stp>##V3_BDPV12</stp>
        <stp>912828QW Govt</stp>
        <stp>CPN_TYP</stp>
        <stp>[TREASURY.xlsx]Sheet1!R646C11</stp>
        <tr r="K646" s="1"/>
      </tp>
      <tp t="s">
        <v>FIXED</v>
        <stp/>
        <stp>##V3_BDPV12</stp>
        <stp>912828VH Govt</stp>
        <stp>CPN_TYP</stp>
        <stp>[TREASURY.xlsx]Sheet1!R632C11</stp>
        <tr r="K632" s="1"/>
      </tp>
      <tp t="s">
        <v>FIXED</v>
        <stp/>
        <stp>##V3_BDPV12</stp>
        <stp>912828VA Govt</stp>
        <stp>CPN_TYP</stp>
        <stp>[TREASURY.xlsx]Sheet1!R638C11</stp>
        <tr r="K638" s="1"/>
      </tp>
      <tp t="s">
        <v>FIXED</v>
        <stp/>
        <stp>##V3_BDPV12</stp>
        <stp>912828RA Govt</stp>
        <stp>CPN_TYP</stp>
        <stp>[TREASURY.xlsx]Sheet1!R677C11</stp>
        <tr r="K677" s="1"/>
      </tp>
      <tp t="s">
        <v>FIXED</v>
        <stp/>
        <stp>##V3_BDPV12</stp>
        <stp>912827W4 Govt</stp>
        <stp>CPN_TYP</stp>
        <stp>[TREASURY.xlsx]Sheet1!R929C11</stp>
        <tr r="K929" s="1"/>
      </tp>
      <tp t="s">
        <v>FIXED</v>
        <stp/>
        <stp>##V3_BDPV12</stp>
        <stp>912827T5 Govt</stp>
        <stp>CPN_TYP</stp>
        <stp>[TREASURY.xlsx]Sheet1!R919C11</stp>
        <tr r="K919" s="1"/>
      </tp>
      <tp t="s">
        <v>FIXED</v>
        <stp/>
        <stp>##V3_BDPV12</stp>
        <stp>912827W3 Govt</stp>
        <stp>CPN_TYP</stp>
        <stp>[TREASURY.xlsx]Sheet1!R928C11</stp>
        <tr r="K928" s="1"/>
      </tp>
      <tp t="s">
        <v>FIXED</v>
        <stp/>
        <stp>##V3_BDPV12</stp>
        <stp>912828RV Govt</stp>
        <stp>CPN_TYP</stp>
        <stp>[TREASURY.xlsx]Sheet1!R687C11</stp>
        <tr r="K687" s="1"/>
      </tp>
      <tp t="s">
        <v>FIXED</v>
        <stp/>
        <stp>##V3_BDPV12</stp>
        <stp>912828XK Govt</stp>
        <stp>CPN_TYP</stp>
        <stp>[TREASURY.xlsx]Sheet1!R625C11</stp>
        <tr r="K625" s="1"/>
      </tp>
      <tp t="s">
        <v>FIXED</v>
        <stp/>
        <stp>##V3_BDPV12</stp>
        <stp>912828X2 Govt</stp>
        <stp>CPN_TYP</stp>
        <stp>[TREASURY.xlsx]Sheet1!R624C11</stp>
        <tr r="K624" s="1"/>
      </tp>
      <tp t="s">
        <v>FIXED</v>
        <stp/>
        <stp>##V3_BDPV12</stp>
        <stp>912828S6 Govt</stp>
        <stp>CPN_TYP</stp>
        <stp>[TREASURY.xlsx]Sheet1!R692C11</stp>
        <tr r="K692" s="1"/>
      </tp>
      <tp t="s">
        <v>FIXED</v>
        <stp/>
        <stp>##V3_BDPV12</stp>
        <stp>912828R8 Govt</stp>
        <stp>CPN_TYP</stp>
        <stp>[TREASURY.xlsx]Sheet1!R689C11</stp>
        <tr r="K689" s="1"/>
      </tp>
      <tp t="s">
        <v>FIXED</v>
        <stp/>
        <stp>##V3_BDPV12</stp>
        <stp>912828XU Govt</stp>
        <stp>CPN_TYP</stp>
        <stp>[TREASURY.xlsx]Sheet1!R639C11</stp>
        <tr r="K639" s="1"/>
      </tp>
      <tp t="s">
        <v>FIXED</v>
        <stp/>
        <stp>##V3_BDPV12</stp>
        <stp>912827XS Govt</stp>
        <stp>CPN_TYP</stp>
        <stp>[TREASURY.xlsx]Sheet1!R938C11</stp>
        <tr r="K938" s="1"/>
      </tp>
      <tp t="s">
        <v>FIXED</v>
        <stp/>
        <stp>##V3_BDPV12</stp>
        <stp>912827XP Govt</stp>
        <stp>CPN_TYP</stp>
        <stp>[TREASURY.xlsx]Sheet1!R937C11</stp>
        <tr r="K937" s="1"/>
      </tp>
      <tp t="s">
        <v>FIXED</v>
        <stp/>
        <stp>##V3_BDPV12</stp>
        <stp>912827XX Govt</stp>
        <stp>CPN_TYP</stp>
        <stp>[TREASURY.xlsx]Sheet1!R939C11</stp>
        <tr r="K939" s="1"/>
      </tp>
      <tp t="s">
        <v>FIXED</v>
        <stp/>
        <stp>##V3_BDPV12</stp>
        <stp>912827XJ Govt</stp>
        <stp>CPN_TYP</stp>
        <stp>[TREASURY.xlsx]Sheet1!R936C11</stp>
        <tr r="K936" s="1"/>
      </tp>
      <tp t="s">
        <v>FIXED</v>
        <stp/>
        <stp>##V3_BDPV12</stp>
        <stp>912827XD Govt</stp>
        <stp>CPN_TYP</stp>
        <stp>[TREASURY.xlsx]Sheet1!R935C11</stp>
        <tr r="K935" s="1"/>
      </tp>
      <tp t="s">
        <v>FIXED</v>
        <stp/>
        <stp>##V3_BDPV12</stp>
        <stp>912827X5 Govt</stp>
        <stp>CPN_TYP</stp>
        <stp>[TREASURY.xlsx]Sheet1!R934C11</stp>
        <tr r="K934" s="1"/>
      </tp>
      <tp t="s">
        <v>FIXED</v>
        <stp/>
        <stp>##V3_BDPV12</stp>
        <stp>912828VZ Govt</stp>
        <stp>CPN_TYP</stp>
        <stp>[TREASURY.xlsx]Sheet1!R695C11</stp>
        <tr r="K695" s="1"/>
      </tp>
      <tp t="s">
        <v>FIXED</v>
        <stp/>
        <stp>##V3_BDPV12</stp>
        <stp>912827ZX Govt</stp>
        <stp>CPN_TYP</stp>
        <stp>[TREASURY.xlsx]Sheet1!R956C11</stp>
        <tr r="K956" s="1"/>
      </tp>
      <tp t="s">
        <v>FIXED</v>
        <stp/>
        <stp>##V3_BDPV12</stp>
        <stp>912827ZS Govt</stp>
        <stp>CPN_TYP</stp>
        <stp>[TREASURY.xlsx]Sheet1!R954C11</stp>
        <tr r="K954" s="1"/>
      </tp>
      <tp t="s">
        <v>FIXED</v>
        <stp/>
        <stp>##V3_BDPV12</stp>
        <stp>912827ZP Govt</stp>
        <stp>CPN_TYP</stp>
        <stp>[TREASURY.xlsx]Sheet1!R953C11</stp>
        <tr r="K953" s="1"/>
      </tp>
      <tp t="s">
        <v>FIXED</v>
        <stp/>
        <stp>##V3_BDPV12</stp>
        <stp>912827ZU Govt</stp>
        <stp>CPN_TYP</stp>
        <stp>[TREASURY.xlsx]Sheet1!R955C11</stp>
        <tr r="K955" s="1"/>
      </tp>
      <tp t="s">
        <v>FIXED</v>
        <stp/>
        <stp>##V3_BDPV12</stp>
        <stp>912827ZK Govt</stp>
        <stp>CPN_TYP</stp>
        <stp>[TREASURY.xlsx]Sheet1!R952C11</stp>
        <tr r="K952" s="1"/>
      </tp>
      <tp t="s">
        <v>FIXED</v>
        <stp/>
        <stp>##V3_BDPV12</stp>
        <stp>912828WD Govt</stp>
        <stp>CPN_TYP</stp>
        <stp>[TREASURY.xlsx]Sheet1!R682C11</stp>
        <tr r="K682" s="1"/>
      </tp>
      <tp t="s">
        <v>FIXED</v>
        <stp/>
        <stp>##V3_BDPV12</stp>
        <stp>912828WF Govt</stp>
        <stp>CPN_TYP</stp>
        <stp>[TREASURY.xlsx]Sheet1!R680C11</stp>
        <tr r="K680" s="1"/>
      </tp>
      <tp t="s">
        <v>FIXED</v>
        <stp/>
        <stp>##V3_BDPV12</stp>
        <stp>912828VF Govt</stp>
        <stp>CPN_TYP</stp>
        <stp>[TREASURY.xlsx]Sheet1!R694C11</stp>
        <tr r="K694" s="1"/>
      </tp>
      <tp t="s">
        <v>FIXED</v>
        <stp/>
        <stp>##V3_BDPV12</stp>
        <stp>912827Z2 Govt</stp>
        <stp>CPN_TYP</stp>
        <stp>[TREASURY.xlsx]Sheet1!R951C11</stp>
        <tr r="K951" s="1"/>
      </tp>
      <tp t="s">
        <v>FIXED</v>
        <stp/>
        <stp>##V3_BDPV12</stp>
        <stp>912828W3 Govt</stp>
        <stp>CPN_TYP</stp>
        <stp>[TREASURY.xlsx]Sheet1!R681C11</stp>
        <tr r="K681" s="1"/>
      </tp>
      <tp t="s">
        <v>FIXED</v>
        <stp/>
        <stp>##V3_BDPV12</stp>
        <stp>912827YZ Govt</stp>
        <stp>CPN_TYP</stp>
        <stp>[TREASURY.xlsx]Sheet1!R950C11</stp>
        <tr r="K950" s="1"/>
      </tp>
      <tp t="s">
        <v>FIXED</v>
        <stp/>
        <stp>##V3_BDPV12</stp>
        <stp>912828UV Govt</stp>
        <stp>CPN_TYP</stp>
        <stp>[TREASURY.xlsx]Sheet1!R693C11</stp>
        <tr r="K693" s="1"/>
      </tp>
      <tp t="s">
        <v>FIXED</v>
        <stp/>
        <stp>##V3_BDPV12</stp>
        <stp>912827YS Govt</stp>
        <stp>CPN_TYP</stp>
        <stp>[TREASURY.xlsx]Sheet1!R946C11</stp>
        <tr r="K946" s="1"/>
      </tp>
      <tp t="s">
        <v>FIXED</v>
        <stp/>
        <stp>##V3_BDPV12</stp>
        <stp>912827YV Govt</stp>
        <stp>CPN_TYP</stp>
        <stp>[TREASURY.xlsx]Sheet1!R947C11</stp>
        <tr r="K947" s="1"/>
      </tp>
      <tp t="s">
        <v>FIXED</v>
        <stp/>
        <stp>##V3_BDPV12</stp>
        <stp>912827YX Govt</stp>
        <stp>CPN_TYP</stp>
        <stp>[TREASURY.xlsx]Sheet1!R948C11</stp>
        <tr r="K948" s="1"/>
      </tp>
      <tp t="s">
        <v>FIXED</v>
        <stp/>
        <stp>##V3_BDPV12</stp>
        <stp>912827YY Govt</stp>
        <stp>CPN_TYP</stp>
        <stp>[TREASURY.xlsx]Sheet1!R949C11</stp>
        <tr r="K949" s="1"/>
      </tp>
      <tp t="s">
        <v>FIXED</v>
        <stp/>
        <stp>##V3_BDPV12</stp>
        <stp>912827YM Govt</stp>
        <stp>CPN_TYP</stp>
        <stp>[TREASURY.xlsx]Sheet1!R945C11</stp>
        <tr r="K945" s="1"/>
      </tp>
      <tp t="s">
        <v>FIXED</v>
        <stp/>
        <stp>##V3_BDPV12</stp>
        <stp>912827YE Govt</stp>
        <stp>CPN_TYP</stp>
        <stp>[TREASURY.xlsx]Sheet1!R943C11</stp>
        <tr r="K943" s="1"/>
      </tp>
      <tp t="s">
        <v>FIXED</v>
        <stp/>
        <stp>##V3_BDPV12</stp>
        <stp>912827YA Govt</stp>
        <stp>CPN_TYP</stp>
        <stp>[TREASURY.xlsx]Sheet1!R942C11</stp>
        <tr r="K942" s="1"/>
      </tp>
      <tp t="s">
        <v>FIXED</v>
        <stp/>
        <stp>##V3_BDPV12</stp>
        <stp>912827YG Govt</stp>
        <stp>CPN_TYP</stp>
        <stp>[TREASURY.xlsx]Sheet1!R944C11</stp>
        <tr r="K944" s="1"/>
      </tp>
      <tp t="s">
        <v>FIXED</v>
        <stp/>
        <stp>##V3_BDPV12</stp>
        <stp>912827Y8 Govt</stp>
        <stp>CPN_TYP</stp>
        <stp>[TREASURY.xlsx]Sheet1!R941C11</stp>
        <tr r="K941" s="1"/>
      </tp>
      <tp t="s">
        <v>FIXED</v>
        <stp/>
        <stp>##V3_BDPV12</stp>
        <stp>912827Y5 Govt</stp>
        <stp>CPN_TYP</stp>
        <stp>[TREASURY.xlsx]Sheet1!R940C11</stp>
        <tr r="K940" s="1"/>
      </tp>
      <tp t="s">
        <v>FIXED</v>
        <stp/>
        <stp>##V3_BDPV12</stp>
        <stp>9128283H Govt</stp>
        <stp>CPN_TYP</stp>
        <stp>[TREASURY.xlsx]Sheet1!R784C11</stp>
        <tr r="K784" s="1"/>
      </tp>
      <tp t="s">
        <v>FIXED</v>
        <stp/>
        <stp>##V3_BDPV12</stp>
        <stp>912827KP Govt</stp>
        <stp>CPN_TYP</stp>
        <stp>[TREASURY.xlsx]Sheet1!R885C11</stp>
        <tr r="K885" s="1"/>
      </tp>
      <tp t="s">
        <v>FIXED</v>
        <stp/>
        <stp>##V3_BDPV12</stp>
        <stp>912827KJ Govt</stp>
        <stp>CPN_TYP</stp>
        <stp>[TREASURY.xlsx]Sheet1!R884C11</stp>
        <tr r="K884" s="1"/>
      </tp>
      <tp t="s">
        <v>FIXED</v>
        <stp/>
        <stp>##V3_BDPV12</stp>
        <stp>912827MP Govt</stp>
        <stp>CPN_TYP</stp>
        <stp>[TREASURY.xlsx]Sheet1!R899C11</stp>
        <tr r="K899" s="1"/>
      </tp>
      <tp t="s">
        <v>FIXED</v>
        <stp/>
        <stp>##V3_BDPV12</stp>
        <stp>912827MJ Govt</stp>
        <stp>CPN_TYP</stp>
        <stp>[TREASURY.xlsx]Sheet1!R897C11</stp>
        <tr r="K897" s="1"/>
      </tp>
      <tp t="s">
        <v>FIXED</v>
        <stp/>
        <stp>##V3_BDPV12</stp>
        <stp>912827LE Govt</stp>
        <stp>CPN_TYP</stp>
        <stp>[TREASURY.xlsx]Sheet1!R889C11</stp>
        <tr r="K889" s="1"/>
      </tp>
      <tp t="s">
        <v>FIXED</v>
        <stp/>
        <stp>##V3_BDPV12</stp>
        <stp>912827LC Govt</stp>
        <stp>CPN_TYP</stp>
        <stp>[TREASURY.xlsx]Sheet1!R888C11</stp>
        <tr r="K888" s="1"/>
      </tp>
      <tp t="s">
        <v>FIXED</v>
        <stp/>
        <stp>##V3_BDPV12</stp>
        <stp>912827LA Govt</stp>
        <stp>CPN_TYP</stp>
        <stp>[TREASURY.xlsx]Sheet1!R887C11</stp>
        <tr r="K887" s="1"/>
      </tp>
      <tp t="s">
        <v>FIXED</v>
        <stp/>
        <stp>##V3_BDPV12</stp>
        <stp>912827MK Govt</stp>
        <stp>CPN_TYP</stp>
        <stp>[TREASURY.xlsx]Sheet1!R898C11</stp>
        <tr r="K898" s="1"/>
      </tp>
      <tp t="s">
        <v>FIXED</v>
        <stp/>
        <stp>##V3_BDPV12</stp>
        <stp>912827MG Govt</stp>
        <stp>CPN_TYP</stp>
        <stp>[TREASURY.xlsx]Sheet1!R896C11</stp>
        <tr r="K896" s="1"/>
      </tp>
      <tp t="s">
        <v>FIXED</v>
        <stp/>
        <stp>##V3_BDPV12</stp>
        <stp>912827ME Govt</stp>
        <stp>CPN_TYP</stp>
        <stp>[TREASURY.xlsx]Sheet1!R895C11</stp>
        <tr r="K895" s="1"/>
      </tp>
      <tp t="s">
        <v>FIXED</v>
        <stp/>
        <stp>##V3_BDPV12</stp>
        <stp>912827L5 Govt</stp>
        <stp>CPN_TYP</stp>
        <stp>[TREASURY.xlsx]Sheet1!R886C11</stp>
        <tr r="K886" s="1"/>
      </tp>
      <tp t="s">
        <v>FIXED</v>
        <stp/>
        <stp>##V3_BDPV12</stp>
        <stp>912827LY Govt</stp>
        <stp>CPN_TYP</stp>
        <stp>[TREASURY.xlsx]Sheet1!R894C11</stp>
        <tr r="K894" s="1"/>
      </tp>
      <tp t="s">
        <v>FIXED</v>
        <stp/>
        <stp>##V3_BDPV12</stp>
        <stp>912827LX Govt</stp>
        <stp>CPN_TYP</stp>
        <stp>[TREASURY.xlsx]Sheet1!R893C11</stp>
        <tr r="K893" s="1"/>
      </tp>
      <tp t="s">
        <v>FIXED</v>
        <stp/>
        <stp>##V3_BDPV12</stp>
        <stp>912827LU Govt</stp>
        <stp>CPN_TYP</stp>
        <stp>[TREASURY.xlsx]Sheet1!R892C11</stp>
        <tr r="K892" s="1"/>
      </tp>
      <tp t="s">
        <v>FIXED</v>
        <stp/>
        <stp>##V3_BDPV12</stp>
        <stp>912827LL Govt</stp>
        <stp>CPN_TYP</stp>
        <stp>[TREASURY.xlsx]Sheet1!R891C11</stp>
        <tr r="K891" s="1"/>
      </tp>
      <tp t="s">
        <v>FIXED</v>
        <stp/>
        <stp>##V3_BDPV12</stp>
        <stp>912827LJ Govt</stp>
        <stp>CPN_TYP</stp>
        <stp>[TREASURY.xlsx]Sheet1!R890C11</stp>
        <tr r="K890" s="1"/>
      </tp>
      <tp t="s">
        <v>FIXED</v>
        <stp/>
        <stp>##V3_BDPV12</stp>
        <stp>912828BT Govt</stp>
        <stp>CPN_TYP</stp>
        <stp>[TREASURY.xlsx]Sheet1!R787C11</stp>
        <tr r="K787" s="1"/>
      </tp>
      <tp t="s">
        <v>FIXED</v>
        <stp/>
        <stp>##V3_BDPV12</stp>
        <stp>912828BK Govt</stp>
        <stp>CPN_TYP</stp>
        <stp>[TREASURY.xlsx]Sheet1!R786C11</stp>
        <tr r="K786" s="1"/>
      </tp>
      <tp t="s">
        <v>FIXED</v>
        <stp/>
        <stp>##V3_BDPV12</stp>
        <stp>912828CK Govt</stp>
        <stp>CPN_TYP</stp>
        <stp>[TREASURY.xlsx]Sheet1!R790C11</stp>
        <tr r="K790" s="1"/>
      </tp>
      <tp t="s">
        <v>FIXED</v>
        <stp/>
        <stp>##V3_BDPV12</stp>
        <stp>912828CG Govt</stp>
        <stp>CPN_TYP</stp>
        <stp>[TREASURY.xlsx]Sheet1!R789C11</stp>
        <tr r="K789" s="1"/>
      </tp>
      <tp t="s">
        <v>FIXED</v>
        <stp/>
        <stp>##V3_BDPV12</stp>
        <stp>912828C8 Govt</stp>
        <stp>CPN_TYP</stp>
        <stp>[TREASURY.xlsx]Sheet1!R788C11</stp>
        <tr r="K788" s="1"/>
      </tp>
      <tp t="s">
        <v>FIXED</v>
        <stp/>
        <stp>##V3_BDPV12</stp>
        <stp>912828AS Govt</stp>
        <stp>CPN_TYP</stp>
        <stp>[TREASURY.xlsx]Sheet1!R785C11</stp>
        <tr r="K785" s="1"/>
      </tp>
      <tp t="s">
        <v>FIXED</v>
        <stp/>
        <stp>##V3_BDPV12</stp>
        <stp>912828FC Govt</stp>
        <stp>CPN_TYP</stp>
        <stp>[TREASURY.xlsx]Sheet1!R798C11</stp>
        <tr r="K798" s="1"/>
      </tp>
      <tp t="s">
        <v>FIXED</v>
        <stp/>
        <stp>##V3_BDPV12</stp>
        <stp>912828FJ Govt</stp>
        <stp>CPN_TYP</stp>
        <stp>[TREASURY.xlsx]Sheet1!R799C11</stp>
        <tr r="K799" s="1"/>
      </tp>
      <tp t="s">
        <v>FIXED</v>
        <stp/>
        <stp>##V3_BDPV12</stp>
        <stp>912828EK Govt</stp>
        <stp>CPN_TYP</stp>
        <stp>[TREASURY.xlsx]Sheet1!R796C11</stp>
        <tr r="K796" s="1"/>
      </tp>
      <tp t="s">
        <v>FIXED</v>
        <stp/>
        <stp>##V3_BDPV12</stp>
        <stp>912828EL Govt</stp>
        <stp>CPN_TYP</stp>
        <stp>[TREASURY.xlsx]Sheet1!R797C11</stp>
        <tr r="K797" s="1"/>
      </tp>
      <tp t="s">
        <v>FIXED</v>
        <stp/>
        <stp>##V3_BDPV12</stp>
        <stp>912828EC Govt</stp>
        <stp>CPN_TYP</stp>
        <stp>[TREASURY.xlsx]Sheet1!R794C11</stp>
        <tr r="K794" s="1"/>
      </tp>
      <tp t="s">
        <v>FIXED</v>
        <stp/>
        <stp>##V3_BDPV12</stp>
        <stp>912828EE Govt</stp>
        <stp>CPN_TYP</stp>
        <stp>[TREASURY.xlsx]Sheet1!R795C11</stp>
        <tr r="K795" s="1"/>
      </tp>
      <tp t="s">
        <v>FIXED</v>
        <stp/>
        <stp>##V3_BDPV12</stp>
        <stp>912828DW Govt</stp>
        <stp>CPN_TYP</stp>
        <stp>[TREASURY.xlsx]Sheet1!R793C11</stp>
        <tr r="K793" s="1"/>
      </tp>
      <tp t="s">
        <v>FIXED</v>
        <stp/>
        <stp>##V3_BDPV12</stp>
        <stp>912828DR Govt</stp>
        <stp>CPN_TYP</stp>
        <stp>[TREASURY.xlsx]Sheet1!R792C11</stp>
        <tr r="K792" s="1"/>
      </tp>
      <tp t="s">
        <v>FIXED</v>
        <stp/>
        <stp>##V3_BDPV12</stp>
        <stp>912828DD Govt</stp>
        <stp>CPN_TYP</stp>
        <stp>[TREASURY.xlsx]Sheet1!R791C11</stp>
        <tr r="K791" s="1"/>
      </tp>
      <tp t="s">
        <v>FIXED</v>
        <stp/>
        <stp>##V3_BDPV12</stp>
        <stp>912827RR Govt</stp>
        <stp>CPN_TYP</stp>
        <stp>[TREASURY.xlsx]Sheet1!R829C11</stp>
        <tr r="K829" s="1"/>
      </tp>
      <tp t="s">
        <v>FIXED</v>
        <stp/>
        <stp>##V3_BDPV12</stp>
        <stp>912827SU Govt</stp>
        <stp>CPN_TYP</stp>
        <stp>[TREASURY.xlsx]Sheet1!R832C11</stp>
        <tr r="K832" s="1"/>
      </tp>
      <tp t="s">
        <v>FIXED</v>
        <stp/>
        <stp>##V3_BDPV12</stp>
        <stp>912827S5 Govt</stp>
        <stp>CPN_TYP</stp>
        <stp>[TREASURY.xlsx]Sheet1!R831C11</stp>
        <tr r="K831" s="1"/>
      </tp>
      <tp t="s">
        <v>FIXED</v>
        <stp/>
        <stp>##V3_BDPV12</stp>
        <stp>912827RW Govt</stp>
        <stp>CPN_TYP</stp>
        <stp>[TREASURY.xlsx]Sheet1!R830C11</stp>
        <tr r="K830" s="1"/>
      </tp>
      <tp t="s">
        <v>FIXED</v>
        <stp/>
        <stp>##V3_BDPV12</stp>
        <stp>912827UA Govt</stp>
        <stp>CPN_TYP</stp>
        <stp>[TREASURY.xlsx]Sheet1!R836C11</stp>
        <tr r="K836" s="1"/>
      </tp>
      <tp t="s">
        <v>FIXED</v>
        <stp/>
        <stp>##V3_BDPV12</stp>
        <stp>912827U2 Govt</stp>
        <stp>CPN_TYP</stp>
        <stp>[TREASURY.xlsx]Sheet1!R835C11</stp>
        <tr r="K835" s="1"/>
      </tp>
      <tp t="s">
        <v>FIXED</v>
        <stp/>
        <stp>##V3_BDPV12</stp>
        <stp>912827TA Govt</stp>
        <stp>CPN_TYP</stp>
        <stp>[TREASURY.xlsx]Sheet1!R834C11</stp>
        <tr r="K834" s="1"/>
      </tp>
      <tp t="s">
        <v>FIXED</v>
        <stp/>
        <stp>##V3_BDPV12</stp>
        <stp>912827T2 Govt</stp>
        <stp>CPN_TYP</stp>
        <stp>[TREASURY.xlsx]Sheet1!R833C11</stp>
        <tr r="K833" s="1"/>
      </tp>
      <tp t="s">
        <v>FIXED</v>
        <stp/>
        <stp>##V3_BDPV12</stp>
        <stp>9128283S Govt</stp>
        <stp>CPN_TYP</stp>
        <stp>[TREASURY.xlsx]Sheet1!R433C11</stp>
        <tr r="K433" s="1"/>
      </tp>
      <tp t="s">
        <v>FIXED</v>
        <stp/>
        <stp>##V3_BDPV12</stp>
        <stp>9128282C Govt</stp>
        <stp>CPN_TYP</stp>
        <stp>[TREASURY.xlsx]Sheet1!R439C11</stp>
        <tr r="K439" s="1"/>
      </tp>
      <tp t="s">
        <v>FIXED</v>
        <stp/>
        <stp>##V3_BDPV12</stp>
        <stp>9128285B Govt</stp>
        <stp>CPN_TYP</stp>
        <stp>[TREASURY.xlsx]Sheet1!R442C11</stp>
        <tr r="K442" s="1"/>
      </tp>
      <tp t="s">
        <v>FIXED</v>
        <stp/>
        <stp>##V3_BDPV12</stp>
        <stp>9128285S Govt</stp>
        <stp>CPN_TYP</stp>
        <stp>[TREASURY.xlsx]Sheet1!R429C11</stp>
        <tr r="K429" s="1"/>
      </tp>
      <tp t="s">
        <v>FIXED</v>
        <stp/>
        <stp>##V3_BDPV12</stp>
        <stp>9128282Q Govt</stp>
        <stp>CPN_TYP</stp>
        <stp>[TREASURY.xlsx]Sheet1!R469C11</stp>
        <tr r="K469" s="1"/>
      </tp>
      <tp t="s">
        <v>FIXED</v>
        <stp/>
        <stp>##V3_BDPV12</stp>
        <stp>9128285Q Govt</stp>
        <stp>CPN_TYP</stp>
        <stp>[TREASURY.xlsx]Sheet1!R410C11</stp>
        <tr r="K410" s="1"/>
      </tp>
      <tp t="s">
        <v>FIXED</v>
        <stp/>
        <stp>##V3_BDPV12</stp>
        <stp>912828BA Govt</stp>
        <stp>CPN_TYP</stp>
        <stp>[TREASURY.xlsx]Sheet1!R408C11</stp>
        <tr r="K408" s="1"/>
      </tp>
      <tp t="s">
        <v>FIXED</v>
        <stp/>
        <stp>##V3_BDPV12</stp>
        <stp>912828A8 Govt</stp>
        <stp>CPN_TYP</stp>
        <stp>[TREASURY.xlsx]Sheet1!R434C11</stp>
        <tr r="K434" s="1"/>
      </tp>
      <tp t="s">
        <v>FIXED</v>
        <stp/>
        <stp>##V3_BDPV12</stp>
        <stp>912828C7 Govt</stp>
        <stp>CPN_TYP</stp>
        <stp>[TREASURY.xlsx]Sheet1!R416C11</stp>
        <tr r="K416" s="1"/>
      </tp>
      <tp t="s">
        <v>FIXED</v>
        <stp/>
        <stp>##V3_BDPV12</stp>
        <stp>912828EU Govt</stp>
        <stp>CPN_TYP</stp>
        <stp>[TREASURY.xlsx]Sheet1!R466C11</stp>
        <tr r="K466" s="1"/>
      </tp>
      <tp t="s">
        <v>FIXED</v>
        <stp/>
        <stp>##V3_BDPV12</stp>
        <stp>912828AA Govt</stp>
        <stp>CPN_TYP</stp>
        <stp>[TREASURY.xlsx]Sheet1!R426C11</stp>
        <tr r="K426" s="1"/>
      </tp>
      <tp t="s">
        <v>FIXED</v>
        <stp/>
        <stp>##V3_BDPV12</stp>
        <stp>912828AZ Govt</stp>
        <stp>CPN_TYP</stp>
        <stp>[TREASURY.xlsx]Sheet1!R415C11</stp>
        <tr r="K415" s="1"/>
      </tp>
      <tp t="s">
        <v>FIXED</v>
        <stp/>
        <stp>##V3_BDPV12</stp>
        <stp>912828AD Govt</stp>
        <stp>CPN_TYP</stp>
        <stp>[TREASURY.xlsx]Sheet1!R412C11</stp>
        <tr r="K412" s="1"/>
      </tp>
      <tp t="s">
        <v>FIXED</v>
        <stp/>
        <stp>##V3_BDPV12</stp>
        <stp>912828BG Govt</stp>
        <stp>CPN_TYP</stp>
        <stp>[TREASURY.xlsx]Sheet1!R427C11</stp>
        <tr r="K427" s="1"/>
      </tp>
      <tp t="s">
        <v>FIXED</v>
        <stp/>
        <stp>##V3_BDPV12</stp>
        <stp>912828BZ Govt</stp>
        <stp>CPN_TYP</stp>
        <stp>[TREASURY.xlsx]Sheet1!R436C11</stp>
        <tr r="K436" s="1"/>
      </tp>
      <tp t="s">
        <v>FIXED</v>
        <stp/>
        <stp>##V3_BDPV12</stp>
        <stp>912828BQ Govt</stp>
        <stp>CPN_TYP</stp>
        <stp>[TREASURY.xlsx]Sheet1!R435C11</stp>
        <tr r="K435" s="1"/>
      </tp>
      <tp t="s">
        <v>FIXED</v>
        <stp/>
        <stp>##V3_BDPV12</stp>
        <stp>912828FF Govt</stp>
        <stp>CPN_TYP</stp>
        <stp>[TREASURY.xlsx]Sheet1!R475C11</stp>
        <tr r="K475" s="1"/>
      </tp>
      <tp t="s">
        <v>FIXED</v>
        <stp/>
        <stp>##V3_BDPV12</stp>
        <stp>912828AU Govt</stp>
        <stp>CPN_TYP</stp>
        <stp>[TREASURY.xlsx]Sheet1!R474C11</stp>
        <tr r="K474" s="1"/>
      </tp>
      <tp t="s">
        <v>FIXED</v>
        <stp/>
        <stp>##V3_BDPV12</stp>
        <stp>912828F3 Govt</stp>
        <stp>CPN_TYP</stp>
        <stp>[TREASURY.xlsx]Sheet1!R406C11</stp>
        <tr r="K406" s="1"/>
      </tp>
      <tp t="s">
        <v>FIXED</v>
        <stp/>
        <stp>##V3_BDPV12</stp>
        <stp>912828BM Govt</stp>
        <stp>CPN_TYP</stp>
        <stp>[TREASURY.xlsx]Sheet1!R453C11</stp>
        <tr r="K453" s="1"/>
      </tp>
      <tp t="s">
        <v>FIXED</v>
        <stp/>
        <stp>##V3_BDPV12</stp>
        <stp>912828BH Govt</stp>
        <stp>CPN_TYP</stp>
        <stp>[TREASURY.xlsx]Sheet1!R452C11</stp>
        <tr r="K452" s="1"/>
      </tp>
      <tp t="s">
        <v>FIXED</v>
        <stp/>
        <stp>##V3_BDPV12</stp>
        <stp>912828B4 Govt</stp>
        <stp>CPN_TYP</stp>
        <stp>[TREASURY.xlsx]Sheet1!R458C11</stp>
        <tr r="K458" s="1"/>
      </tp>
      <tp t="s">
        <v>FIXED</v>
        <stp/>
        <stp>##V3_BDPV12</stp>
        <stp>912828F6 Govt</stp>
        <stp>CPN_TYP</stp>
        <stp>[TREASURY.xlsx]Sheet1!R411C11</stp>
        <tr r="K411" s="1"/>
      </tp>
      <tp t="s">
        <v>FIXED</v>
        <stp/>
        <stp>##V3_BDPV12</stp>
        <stp>912828CY Govt</stp>
        <stp>CPN_TYP</stp>
        <stp>[TREASURY.xlsx]Sheet1!R477C11</stp>
        <tr r="K477" s="1"/>
      </tp>
      <tp t="s">
        <v>FIXED</v>
        <stp/>
        <stp>##V3_BDPV12</stp>
        <stp>912828LQ Govt</stp>
        <stp>CPN_TYP</stp>
        <stp>[TREASURY.xlsx]Sheet1!R486C11</stp>
        <tr r="K486" s="1"/>
      </tp>
      <tp t="s">
        <v>FIXED</v>
        <stp/>
        <stp>##V3_BDPV12</stp>
        <stp>912828MU Govt</stp>
        <stp>CPN_TYP</stp>
        <stp>[TREASURY.xlsx]Sheet1!R494C11</stp>
        <tr r="K494" s="1"/>
      </tp>
      <tp t="s">
        <v>FIXED</v>
        <stp/>
        <stp>##V3_BDPV12</stp>
        <stp>912828LJ Govt</stp>
        <stp>CPN_TYP</stp>
        <stp>[TREASURY.xlsx]Sheet1!R485C11</stp>
        <tr r="K485" s="1"/>
      </tp>
      <tp t="s">
        <v>FIXED</v>
        <stp/>
        <stp>##V3_BDPV12</stp>
        <stp>912828MQ Govt</stp>
        <stp>CPN_TYP</stp>
        <stp>[TREASURY.xlsx]Sheet1!R483C11</stp>
        <tr r="K483" s="1"/>
      </tp>
      <tp t="s">
        <v>FIXED</v>
        <stp/>
        <stp>##V3_BDPV12</stp>
        <stp>912828CS Govt</stp>
        <stp>CPN_TYP</stp>
        <stp>[TREASURY.xlsx]Sheet1!R462C11</stp>
        <tr r="K462" s="1"/>
      </tp>
      <tp t="s">
        <v>FIXED</v>
        <stp/>
        <stp>##V3_BDPV12</stp>
        <stp>912828CF Govt</stp>
        <stp>CPN_TYP</stp>
        <stp>[TREASURY.xlsx]Sheet1!R465C11</stp>
        <tr r="K465" s="1"/>
      </tp>
      <tp t="s">
        <v>FIXED</v>
        <stp/>
        <stp>##V3_BDPV12</stp>
        <stp>912828G9 Govt</stp>
        <stp>CPN_TYP</stp>
        <stp>[TREASURY.xlsx]Sheet1!R422C11</stp>
        <tr r="K422" s="1"/>
      </tp>
      <tp t="s">
        <v>FIXED</v>
        <stp/>
        <stp>##V3_BDPV12</stp>
        <stp>912828KS Govt</stp>
        <stp>CPN_TYP</stp>
        <stp>[TREASURY.xlsx]Sheet1!R418C11</stp>
        <tr r="K418" s="1"/>
      </tp>
      <tp t="s">
        <v>FIXED</v>
        <stp/>
        <stp>##V3_BDPV12</stp>
        <stp>912828CM Govt</stp>
        <stp>CPN_TYP</stp>
        <stp>[TREASURY.xlsx]Sheet1!R493C11</stp>
        <tr r="K493" s="1"/>
      </tp>
      <tp t="s">
        <v>FIXED</v>
        <stp/>
        <stp>##V3_BDPV12</stp>
        <stp>912828HL Govt</stp>
        <stp>CPN_TYP</stp>
        <stp>[TREASURY.xlsx]Sheet1!R424C11</stp>
        <tr r="K424" s="1"/>
      </tp>
      <tp t="s">
        <v>FIXED</v>
        <stp/>
        <stp>##V3_BDPV12</stp>
        <stp>912828BB Govt</stp>
        <stp>CPN_TYP</stp>
        <stp>[TREASURY.xlsx]Sheet1!R482C11</stp>
        <tr r="K482" s="1"/>
      </tp>
      <tp t="s">
        <v>FIXED</v>
        <stp/>
        <stp>##V3_BDPV12</stp>
        <stp>912828C4 Govt</stp>
        <stp>CPN_TYP</stp>
        <stp>[TREASURY.xlsx]Sheet1!R492C11</stp>
        <tr r="K492" s="1"/>
      </tp>
      <tp t="s">
        <v>FIXED</v>
        <stp/>
        <stp>##V3_BDPV12</stp>
        <stp>912828J5 Govt</stp>
        <stp>CPN_TYP</stp>
        <stp>[TREASURY.xlsx]Sheet1!R403C11</stp>
        <tr r="K403" s="1"/>
      </tp>
      <tp t="s">
        <v>FIXED</v>
        <stp/>
        <stp>##V3_BDPV12</stp>
        <stp>912828N2 Govt</stp>
        <stp>CPN_TYP</stp>
        <stp>[TREASURY.xlsx]Sheet1!R440C11</stp>
        <tr r="K440" s="1"/>
      </tp>
      <tp t="s">
        <v>FIXED</v>
        <stp/>
        <stp>##V3_BDPV12</stp>
        <stp>912828BV Govt</stp>
        <stp>CPN_TYP</stp>
        <stp>[TREASURY.xlsx]Sheet1!R495C11</stp>
        <tr r="K495" s="1"/>
      </tp>
      <tp t="s">
        <v>FIXED</v>
        <stp/>
        <stp>##V3_BDPV12</stp>
        <stp>912828JG Govt</stp>
        <stp>CPN_TYP</stp>
        <stp>[TREASURY.xlsx]Sheet1!R417C11</stp>
        <tr r="K417" s="1"/>
      </tp>
      <tp t="s">
        <v>FIXED</v>
        <stp/>
        <stp>##V3_BDPV12</stp>
        <stp>912828N4 Govt</stp>
        <stp>CPN_TYP</stp>
        <stp>[TREASURY.xlsx]Sheet1!R463C11</stp>
        <tr r="K463" s="1"/>
      </tp>
      <tp t="s">
        <v>FIXED</v>
        <stp/>
        <stp>##V3_BDPV12</stp>
        <stp>912828H5 Govt</stp>
        <stp>CPN_TYP</stp>
        <stp>[TREASURY.xlsx]Sheet1!R419C11</stp>
        <tr r="K419" s="1"/>
      </tp>
      <tp t="s">
        <v>FIXED</v>
        <stp/>
        <stp>##V3_BDPV12</stp>
        <stp>912828A7 Govt</stp>
        <stp>CPN_TYP</stp>
        <stp>[TREASURY.xlsx]Sheet1!R481C11</stp>
        <tr r="K481" s="1"/>
      </tp>
      <tp t="s">
        <v>FIXED</v>
        <stp/>
        <stp>##V3_BDPV12</stp>
        <stp>912828M7 Govt</stp>
        <stp>CPN_TYP</stp>
        <stp>[TREASURY.xlsx]Sheet1!R443C11</stp>
        <tr r="K443" s="1"/>
      </tp>
      <tp t="s">
        <v>FIXED</v>
        <stp/>
        <stp>##V3_BDPV12</stp>
        <stp>912828HR Govt</stp>
        <stp>CPN_TYP</stp>
        <stp>[TREASURY.xlsx]Sheet1!R476C11</stp>
        <tr r="K476" s="1"/>
      </tp>
      <tp t="s">
        <v>FIXED</v>
        <stp/>
        <stp>##V3_BDPV12</stp>
        <stp>912828HH Govt</stp>
        <stp>CPN_TYP</stp>
        <stp>[TREASURY.xlsx]Sheet1!R470C11</stp>
        <tr r="K470" s="1"/>
      </tp>
      <tp t="s">
        <v>FIXED</v>
        <stp/>
        <stp>##V3_BDPV12</stp>
        <stp>912828J8 Govt</stp>
        <stp>CPN_TYP</stp>
        <stp>[TREASURY.xlsx]Sheet1!R451C11</stp>
        <tr r="K451" s="1"/>
      </tp>
      <tp t="s">
        <v>FIXED</v>
        <stp/>
        <stp>##V3_BDPV12</stp>
        <stp>912828L6 Govt</stp>
        <stp>CPN_TYP</stp>
        <stp>[TREASURY.xlsx]Sheet1!R430C11</stp>
        <tr r="K430" s="1"/>
      </tp>
      <tp t="s">
        <v>FIXED</v>
        <stp/>
        <stp>##V3_BDPV12</stp>
        <stp>912828HY Govt</stp>
        <stp>CPN_TYP</stp>
        <stp>[TREASURY.xlsx]Sheet1!R450C11</stp>
        <tr r="K450" s="1"/>
      </tp>
      <tp t="s">
        <v>FIXED</v>
        <stp/>
        <stp>##V3_BDPV12</stp>
        <stp>912828JT Govt</stp>
        <stp>CPN_TYP</stp>
        <stp>[TREASURY.xlsx]Sheet1!R471C11</stp>
        <tr r="K471" s="1"/>
      </tp>
      <tp t="s">
        <v>FIXED</v>
        <stp/>
        <stp>##V3_BDPV12</stp>
        <stp>912828JZ Govt</stp>
        <stp>CPN_TYP</stp>
        <stp>[TREASURY.xlsx]Sheet1!R478C11</stp>
        <tr r="K478" s="1"/>
      </tp>
      <tp t="s">
        <v>FIXED</v>
        <stp/>
        <stp>##V3_BDPV12</stp>
        <stp>912828TX Govt</stp>
        <stp>CPN_TYP</stp>
        <stp>[TREASURY.xlsx]Sheet1!R467C11</stp>
        <tr r="K467" s="1"/>
      </tp>
      <tp t="s">
        <v>FIXED</v>
        <stp/>
        <stp>##V3_BDPV12</stp>
        <stp>912828UM Govt</stp>
        <stp>CPN_TYP</stp>
        <stp>[TREASURY.xlsx]Sheet1!R472C11</stp>
        <tr r="K472" s="1"/>
      </tp>
      <tp t="s">
        <v>FIXED</v>
        <stp/>
        <stp>##V3_BDPV12</stp>
        <stp>912828VJ Govt</stp>
        <stp>CPN_TYP</stp>
        <stp>[TREASURY.xlsx]Sheet1!R447C11</stp>
        <tr r="K447" s="1"/>
      </tp>
      <tp t="s">
        <v>FIXED</v>
        <stp/>
        <stp>##V3_BDPV12</stp>
        <stp>912828WB Govt</stp>
        <stp>CPN_TYP</stp>
        <stp>[TREASURY.xlsx]Sheet1!R457C11</stp>
        <tr r="K457" s="1"/>
      </tp>
      <tp t="s">
        <v>FIXED</v>
        <stp/>
        <stp>##V3_BDPV12</stp>
        <stp>912828SU Govt</stp>
        <stp>CPN_TYP</stp>
        <stp>[TREASURY.xlsx]Sheet1!R404C11</stp>
        <tr r="K404" s="1"/>
      </tp>
      <tp t="s">
        <v>FIXED</v>
        <stp/>
        <stp>##V3_BDPV12</stp>
        <stp>912828Q9 Govt</stp>
        <stp>CPN_TYP</stp>
        <stp>[TREASURY.xlsx]Sheet1!R425C11</stp>
        <tr r="K425" s="1"/>
      </tp>
      <tp t="s">
        <v>FIXED</v>
        <stp/>
        <stp>##V3_BDPV12</stp>
        <stp>912828P9 Govt</stp>
        <stp>CPN_TYP</stp>
        <stp>[TREASURY.xlsx]Sheet1!R431C11</stp>
        <tr r="K431" s="1"/>
      </tp>
      <tp t="s">
        <v>FIXED</v>
        <stp/>
        <stp>##V3_BDPV12</stp>
        <stp>912828Q4 Govt</stp>
        <stp>CPN_TYP</stp>
        <stp>[TREASURY.xlsx]Sheet1!R423C11</stp>
        <tr r="K423" s="1"/>
      </tp>
      <tp t="s">
        <v>FIXED</v>
        <stp/>
        <stp>##V3_BDPV12</stp>
        <stp>912828RT Govt</stp>
        <stp>CPN_TYP</stp>
        <stp>[TREASURY.xlsx]Sheet1!R420C11</stp>
        <tr r="K420" s="1"/>
      </tp>
      <tp t="s">
        <v>FIXED</v>
        <stp/>
        <stp>##V3_BDPV12</stp>
        <stp>912828Q3 Govt</stp>
        <stp>CPN_TYP</stp>
        <stp>[TREASURY.xlsx]Sheet1!R413C11</stp>
        <tr r="K413" s="1"/>
      </tp>
      <tp t="s">
        <v>FIXED</v>
        <stp/>
        <stp>##V3_BDPV12</stp>
        <stp>912828UZ Govt</stp>
        <stp>CPN_TYP</stp>
        <stp>[TREASURY.xlsx]Sheet1!R445C11</stp>
        <tr r="K445" s="1"/>
      </tp>
      <tp t="s">
        <v>FIXED</v>
        <stp/>
        <stp>##V3_BDPV12</stp>
        <stp>912828VP Govt</stp>
        <stp>CPN_TYP</stp>
        <stp>[TREASURY.xlsx]Sheet1!R479C11</stp>
        <tr r="K479" s="1"/>
      </tp>
      <tp t="s">
        <v>FIXED</v>
        <stp/>
        <stp>##V3_BDPV12</stp>
        <stp>912828QJ Govt</stp>
        <stp>CPN_TYP</stp>
        <stp>[TREASURY.xlsx]Sheet1!R407C11</stp>
        <tr r="K407" s="1"/>
      </tp>
      <tp t="s">
        <v>FIXED</v>
        <stp/>
        <stp>##V3_BDPV12</stp>
        <stp>912828QL Govt</stp>
        <stp>CPN_TYP</stp>
        <stp>[TREASURY.xlsx]Sheet1!R401C11</stp>
        <tr r="K401" s="1"/>
      </tp>
      <tp t="s">
        <v>FIXED</v>
        <stp/>
        <stp>##V3_BDPV12</stp>
        <stp>912828UE Govt</stp>
        <stp>CPN_TYP</stp>
        <stp>[TREASURY.xlsx]Sheet1!R446C11</stp>
        <tr r="K446" s="1"/>
      </tp>
      <tp t="s">
        <v>FIXED</v>
        <stp/>
        <stp>##V3_BDPV12</stp>
        <stp>912828R9 Govt</stp>
        <stp>CPN_TYP</stp>
        <stp>[TREASURY.xlsx]Sheet1!R437C11</stp>
        <tr r="K437" s="1"/>
      </tp>
      <tp t="s">
        <v>FIXED</v>
        <stp/>
        <stp>##V3_BDPV12</stp>
        <stp>912828RS Govt</stp>
        <stp>CPN_TYP</stp>
        <stp>[TREASURY.xlsx]Sheet1!R444C11</stp>
        <tr r="K444" s="1"/>
      </tp>
      <tp t="s">
        <v>FIXED</v>
        <stp/>
        <stp>##V3_BDPV12</stp>
        <stp>912828PH Govt</stp>
        <stp>CPN_TYP</stp>
        <stp>[TREASURY.xlsx]Sheet1!R464C11</stp>
        <tr r="K464" s="1"/>
      </tp>
      <tp t="s">
        <v>FIXED</v>
        <stp/>
        <stp>##V3_BDPV12</stp>
        <stp>912828UQ Govt</stp>
        <stp>CPN_TYP</stp>
        <stp>[TREASURY.xlsx]Sheet1!R421C11</stp>
        <tr r="K421" s="1"/>
      </tp>
      <tp t="s">
        <v>FIXED</v>
        <stp/>
        <stp>##V3_BDPV12</stp>
        <stp>912828RH Govt</stp>
        <stp>CPN_TYP</stp>
        <stp>[TREASURY.xlsx]Sheet1!R456C11</stp>
        <tr r="K456" s="1"/>
      </tp>
      <tp t="s">
        <v>FIXED</v>
        <stp/>
        <stp>##V3_BDPV12</stp>
        <stp>912828RB Govt</stp>
        <stp>CPN_TYP</stp>
        <stp>[TREASURY.xlsx]Sheet1!R459C11</stp>
        <tr r="K459" s="1"/>
      </tp>
      <tp t="s">
        <v>FIXED</v>
        <stp/>
        <stp>##V3_BDPV12</stp>
        <stp>912828TR Govt</stp>
        <stp>CPN_TYP</stp>
        <stp>[TREASURY.xlsx]Sheet1!R402C11</stp>
        <tr r="K402" s="1"/>
      </tp>
      <tp t="s">
        <v>FIXED</v>
        <stp/>
        <stp>##V3_BDPV12</stp>
        <stp>912828TL Govt</stp>
        <stp>CPN_TYP</stp>
        <stp>[TREASURY.xlsx]Sheet1!R409C11</stp>
        <tr r="K409" s="1"/>
      </tp>
      <tp t="s">
        <v>FIXED</v>
        <stp/>
        <stp>##V3_BDPV12</stp>
        <stp>912828QZ Govt</stp>
        <stp>CPN_TYP</stp>
        <stp>[TREASURY.xlsx]Sheet1!R449C11</stp>
        <tr r="K449" s="1"/>
      </tp>
      <tp t="s">
        <v>FIXED</v>
        <stp/>
        <stp>##V3_BDPV12</stp>
        <stp>912828ST Govt</stp>
        <stp>CPN_TYP</stp>
        <stp>[TREASURY.xlsx]Sheet1!R497C11</stp>
        <tr r="K497" s="1"/>
      </tp>
      <tp t="s">
        <v>FIXED</v>
        <stp/>
        <stp>##V3_BDPV12</stp>
        <stp>912828SG Govt</stp>
        <stp>CPN_TYP</stp>
        <stp>[TREASURY.xlsx]Sheet1!R496C11</stp>
        <tr r="K496" s="1"/>
      </tp>
      <tp t="s">
        <v>FIXED</v>
        <stp/>
        <stp>##V3_BDPV12</stp>
        <stp>912828SJ Govt</stp>
        <stp>CPN_TYP</stp>
        <stp>[TREASURY.xlsx]Sheet1!R489C11</stp>
        <tr r="K489" s="1"/>
      </tp>
      <tp t="s">
        <v>FIXED</v>
        <stp/>
        <stp>##V3_BDPV12</stp>
        <stp>912828S4 Govt</stp>
        <stp>CPN_TYP</stp>
        <stp>[TREASURY.xlsx]Sheet1!R487C11</stp>
        <tr r="K487" s="1"/>
      </tp>
      <tp t="s">
        <v>FIXED</v>
        <stp/>
        <stp>##V3_BDPV12</stp>
        <stp>912828XH Govt</stp>
        <stp>CPN_TYP</stp>
        <stp>[TREASURY.xlsx]Sheet1!R468C11</stp>
        <tr r="K468" s="1"/>
      </tp>
      <tp t="s">
        <v>FIXED</v>
        <stp/>
        <stp>##V3_BDPV12</stp>
        <stp>912828XY Govt</stp>
        <stp>CPN_TYP</stp>
        <stp>[TREASURY.xlsx]Sheet1!R473C11</stp>
        <tr r="K473" s="1"/>
      </tp>
      <tp t="s">
        <v>FIXED</v>
        <stp/>
        <stp>##V3_BDPV12</stp>
        <stp>912828WP Govt</stp>
        <stp>CPN_TYP</stp>
        <stp>[TREASURY.xlsx]Sheet1!R488C11</stp>
        <tr r="K488" s="1"/>
      </tp>
      <tp t="s">
        <v>FIXED</v>
        <stp/>
        <stp>##V3_BDPV12</stp>
        <stp>912828W6 Govt</stp>
        <stp>CPN_TYP</stp>
        <stp>[TREASURY.xlsx]Sheet1!R480C11</stp>
        <tr r="K480" s="1"/>
      </tp>
      <tp t="s">
        <v>FIXED</v>
        <stp/>
        <stp>##V3_BDPV12</stp>
        <stp>912828XE Govt</stp>
        <stp>CPN_TYP</stp>
        <stp>[TREASURY.xlsx]Sheet1!R448C11</stp>
        <tr r="K448" s="1"/>
      </tp>
      <tp t="s">
        <v>FIXED</v>
        <stp/>
        <stp>##V3_BDPV12</stp>
        <stp>912828U3 Govt</stp>
        <stp>CPN_TYP</stp>
        <stp>[TREASURY.xlsx]Sheet1!R491C11</stp>
        <tr r="K491" s="1"/>
      </tp>
      <tp t="s">
        <v>FIXED</v>
        <stp/>
        <stp>##V3_BDPV12</stp>
        <stp>912828TV Govt</stp>
        <stp>CPN_TYP</stp>
        <stp>[TREASURY.xlsx]Sheet1!R498C11</stp>
        <tr r="K498" s="1"/>
      </tp>
      <tp t="s">
        <v>FIXED</v>
        <stp/>
        <stp>##V3_BDPV12</stp>
        <stp>912828TS Govt</stp>
        <stp>CPN_TYP</stp>
        <stp>[TREASURY.xlsx]Sheet1!R490C11</stp>
        <tr r="K490" s="1"/>
      </tp>
      <tp t="s">
        <v>FIXED</v>
        <stp/>
        <stp>##V3_BDPV12</stp>
        <stp>912828U7 Govt</stp>
        <stp>CPN_TYP</stp>
        <stp>[TREASURY.xlsx]Sheet1!R484C11</stp>
        <tr r="K484" s="1"/>
      </tp>
      <tp t="s">
        <v>FIXED</v>
        <stp/>
        <stp>##V3_BDPV12</stp>
        <stp>9128282X Govt</stp>
        <stp>CPN_TYP</stp>
        <stp>[TREASURY.xlsx]Sheet1!R554C11</stp>
        <tr r="K554" s="1"/>
      </tp>
      <tp t="s">
        <v>FIXED</v>
        <stp/>
        <stp>##V3_BDPV12</stp>
        <stp>9128286V Govt</stp>
        <stp>CPN_TYP</stp>
        <stp>[TREASURY.xlsx]Sheet1!R523C11</stp>
        <tr r="K523" s="1"/>
      </tp>
      <tp t="s">
        <v>FIXED</v>
        <stp/>
        <stp>##V3_BDPV12</stp>
        <stp>9128284C Govt</stp>
        <stp>CPN_TYP</stp>
        <stp>[TREASURY.xlsx]Sheet1!R505C11</stp>
        <tr r="K505" s="1"/>
      </tp>
      <tp t="s">
        <v>FIXED</v>
        <stp/>
        <stp>##V3_BDPV12</stp>
        <stp>912828BY Govt</stp>
        <stp>CPN_TYP</stp>
        <stp>[TREASURY.xlsx]Sheet1!R506C11</stp>
        <tr r="K506" s="1"/>
      </tp>
      <tp t="s">
        <v>FIXED</v>
        <stp/>
        <stp>##V3_BDPV12</stp>
        <stp>912828EZ Govt</stp>
        <stp>CPN_TYP</stp>
        <stp>[TREASURY.xlsx]Sheet1!R572C11</stp>
        <tr r="K572" s="1"/>
      </tp>
      <tp t="s">
        <v>FIXED</v>
        <stp/>
        <stp>##V3_BDPV12</stp>
        <stp>912828CR Govt</stp>
        <stp>CPN_TYP</stp>
        <stp>[TREASURY.xlsx]Sheet1!R510C11</stp>
        <tr r="K510" s="1"/>
      </tp>
      <tp t="s">
        <v>FIXED</v>
        <stp/>
        <stp>##V3_BDPV12</stp>
        <stp>912828CT Govt</stp>
        <stp>CPN_TYP</stp>
        <stp>[TREASURY.xlsx]Sheet1!R514C11</stp>
        <tr r="K514" s="1"/>
      </tp>
      <tp t="s">
        <v>FIXED</v>
        <stp/>
        <stp>##V3_BDPV12</stp>
        <stp>912828AJ Govt</stp>
        <stp>CPN_TYP</stp>
        <stp>[TREASURY.xlsx]Sheet1!R531C11</stp>
        <tr r="K531" s="1"/>
      </tp>
      <tp t="s">
        <v>FIXED</v>
        <stp/>
        <stp>##V3_BDPV12</stp>
        <stp>912828AE Govt</stp>
        <stp>CPN_TYP</stp>
        <stp>[TREASURY.xlsx]Sheet1!R530C11</stp>
        <tr r="K530" s="1"/>
      </tp>
      <tp t="s">
        <v>FIXED</v>
        <stp/>
        <stp>##V3_BDPV12</stp>
        <stp>912828CV Govt</stp>
        <stp>CPN_TYP</stp>
        <stp>[TREASURY.xlsx]Sheet1!R508C11</stp>
        <tr r="K508" s="1"/>
      </tp>
      <tp t="s">
        <v>FIXED</v>
        <stp/>
        <stp>##V3_BDPV12</stp>
        <stp>912828KQ Govt</stp>
        <stp>CPN_TYP</stp>
        <stp>[TREASURY.xlsx]Sheet1!R583C11</stp>
        <tr r="K583" s="1"/>
      </tp>
      <tp t="s">
        <v>FIXED</v>
        <stp/>
        <stp>##V3_BDPV12</stp>
        <stp>912828BL Govt</stp>
        <stp>CPN_TYP</stp>
        <stp>[TREASURY.xlsx]Sheet1!R513C11</stp>
        <tr r="K513" s="1"/>
      </tp>
      <tp t="s">
        <v>FIXED</v>
        <stp/>
        <stp>##V3_BDPV12</stp>
        <stp>912828JB Govt</stp>
        <stp>CPN_TYP</stp>
        <stp>[TREASURY.xlsx]Sheet1!R598C11</stp>
        <tr r="K598" s="1"/>
      </tp>
      <tp t="s">
        <v>FIXED</v>
        <stp/>
        <stp>##V3_BDPV12</stp>
        <stp>912828KE Govt</stp>
        <stp>CPN_TYP</stp>
        <stp>[TREASURY.xlsx]Sheet1!R582C11</stp>
        <tr r="K582" s="1"/>
      </tp>
      <tp t="s">
        <v>FIXED</v>
        <stp/>
        <stp>##V3_BDPV12</stp>
        <stp>912828AQ Govt</stp>
        <stp>CPN_TYP</stp>
        <stp>[TREASURY.xlsx]Sheet1!R512C11</stp>
        <tr r="K512" s="1"/>
      </tp>
      <tp t="s">
        <v>FIXED</v>
        <stp/>
        <stp>##V3_BDPV12</stp>
        <stp>912828D8 Govt</stp>
        <stp>CPN_TYP</stp>
        <stp>[TREASURY.xlsx]Sheet1!R545C11</stp>
        <tr r="K545" s="1"/>
      </tp>
      <tp t="s">
        <v>FIXED</v>
        <stp/>
        <stp>##V3_BDPV12</stp>
        <stp>912828H2 Govt</stp>
        <stp>CPN_TYP</stp>
        <stp>[TREASURY.xlsx]Sheet1!R581C11</stp>
        <tr r="K581" s="1"/>
      </tp>
      <tp t="s">
        <v>FIXED</v>
        <stp/>
        <stp>##V3_BDPV12</stp>
        <stp>912828AY Govt</stp>
        <stp>CPN_TYP</stp>
        <stp>[TREASURY.xlsx]Sheet1!R507C11</stp>
        <tr r="K507" s="1"/>
      </tp>
      <tp t="s">
        <v>FIXED</v>
        <stp/>
        <stp>##V3_BDPV12</stp>
        <stp>912828AX Govt</stp>
        <stp>CPN_TYP</stp>
        <stp>[TREASURY.xlsx]Sheet1!R502C11</stp>
        <tr r="K502" s="1"/>
      </tp>
      <tp t="s">
        <v>FIXED</v>
        <stp/>
        <stp>##V3_BDPV12</stp>
        <stp>912828BU Govt</stp>
        <stp>CPN_TYP</stp>
        <stp>[TREASURY.xlsx]Sheet1!R533C11</stp>
        <tr r="K533" s="1"/>
      </tp>
      <tp t="s">
        <v>FIXED</v>
        <stp/>
        <stp>##V3_BDPV12</stp>
        <stp>912828G7 Govt</stp>
        <stp>CPN_TYP</stp>
        <stp>[TREASURY.xlsx]Sheet1!R560C11</stp>
        <tr r="K560" s="1"/>
      </tp>
      <tp t="s">
        <v>FIXED</v>
        <stp/>
        <stp>##V3_BDPV12</stp>
        <stp>912828BR Govt</stp>
        <stp>CPN_TYP</stp>
        <stp>[TREASURY.xlsx]Sheet1!R541C11</stp>
        <tr r="K541" s="1"/>
      </tp>
      <tp t="s">
        <v>FIXED</v>
        <stp/>
        <stp>##V3_BDPV12</stp>
        <stp>912828CL Govt</stp>
        <stp>CPN_TYP</stp>
        <stp>[TREASURY.xlsx]Sheet1!R557C11</stp>
        <tr r="K557" s="1"/>
      </tp>
      <tp t="s">
        <v>FIXED</v>
        <stp/>
        <stp>##V3_BDPV12</stp>
        <stp>912828CH Govt</stp>
        <stp>CPN_TYP</stp>
        <stp>[TREASURY.xlsx]Sheet1!R559C11</stp>
        <tr r="K559" s="1"/>
      </tp>
      <tp t="s">
        <v>FIXED</v>
        <stp/>
        <stp>##V3_BDPV12</stp>
        <stp>912828BX Govt</stp>
        <stp>CPN_TYP</stp>
        <stp>[TREASURY.xlsx]Sheet1!R556C11</stp>
        <tr r="K556" s="1"/>
      </tp>
      <tp t="s">
        <v>FIXED</v>
        <stp/>
        <stp>##V3_BDPV12</stp>
        <stp>912828GR Govt</stp>
        <stp>CPN_TYP</stp>
        <stp>[TREASURY.xlsx]Sheet1!R504C11</stp>
        <tr r="K504" s="1"/>
      </tp>
      <tp t="s">
        <v>FIXED</v>
        <stp/>
        <stp>##V3_BDPV12</stp>
        <stp>912828EQ Govt</stp>
        <stp>CPN_TYP</stp>
        <stp>[TREASURY.xlsx]Sheet1!R524C11</stp>
        <tr r="K524" s="1"/>
      </tp>
      <tp t="s">
        <v>FIXED</v>
        <stp/>
        <stp>##V3_BDPV12</stp>
        <stp>912828MW Govt</stp>
        <stp>CPN_TYP</stp>
        <stp>[TREASURY.xlsx]Sheet1!R599C11</stp>
        <tr r="K599" s="1"/>
      </tp>
      <tp t="s">
        <v>FIXED</v>
        <stp/>
        <stp>##V3_BDPV12</stp>
        <stp>912828LF Govt</stp>
        <stp>CPN_TYP</stp>
        <stp>[TREASURY.xlsx]Sheet1!R584C11</stp>
        <tr r="K584" s="1"/>
      </tp>
      <tp t="s">
        <v>FIXED</v>
        <stp/>
        <stp>##V3_BDPV12</stp>
        <stp>912828M9 Govt</stp>
        <stp>CPN_TYP</stp>
        <stp>[TREASURY.xlsx]Sheet1!R592C11</stp>
        <tr r="K592" s="1"/>
      </tp>
      <tp t="s">
        <v>FIXED</v>
        <stp/>
        <stp>##V3_BDPV12</stp>
        <stp>912828A4 Govt</stp>
        <stp>CPN_TYP</stp>
        <stp>[TREASURY.xlsx]Sheet1!R555C11</stp>
        <tr r="K555" s="1"/>
      </tp>
      <tp t="s">
        <v>FIXED</v>
        <stp/>
        <stp>##V3_BDPV12</stp>
        <stp>912828DP Govt</stp>
        <stp>CPN_TYP</stp>
        <stp>[TREASURY.xlsx]Sheet1!R517C11</stp>
        <tr r="K517" s="1"/>
      </tp>
      <tp t="s">
        <v>FIXED</v>
        <stp/>
        <stp>##V3_BDPV12</stp>
        <stp>912828FQ Govt</stp>
        <stp>CPN_TYP</stp>
        <stp>[TREASURY.xlsx]Sheet1!R534C11</stp>
        <tr r="K534" s="1"/>
      </tp>
      <tp t="s">
        <v>FIXED</v>
        <stp/>
        <stp>##V3_BDPV12</stp>
        <stp>912828FM Govt</stp>
        <stp>CPN_TYP</stp>
        <stp>[TREASURY.xlsx]Sheet1!R532C11</stp>
        <tr r="K532" s="1"/>
      </tp>
      <tp t="s">
        <v>FIXED</v>
        <stp/>
        <stp>##V3_BDPV12</stp>
        <stp>912828B8 Govt</stp>
        <stp>CPN_TYP</stp>
        <stp>[TREASURY.xlsx]Sheet1!R571C11</stp>
        <tr r="K571" s="1"/>
      </tp>
      <tp t="s">
        <v>FIXED</v>
        <stp/>
        <stp>##V3_BDPV12</stp>
        <stp>912828NU Govt</stp>
        <stp>CPN_TYP</stp>
        <stp>[TREASURY.xlsx]Sheet1!R547C11</stp>
        <tr r="K547" s="1"/>
      </tp>
      <tp t="s">
        <v>FIXED</v>
        <stp/>
        <stp>##V3_BDPV12</stp>
        <stp>912828HK Govt</stp>
        <stp>CPN_TYP</stp>
        <stp>[TREASURY.xlsx]Sheet1!R525C11</stp>
        <tr r="K525" s="1"/>
      </tp>
      <tp t="s">
        <v>FIXED</v>
        <stp/>
        <stp>##V3_BDPV12</stp>
        <stp>912828ME Govt</stp>
        <stp>CPN_TYP</stp>
        <stp>[TREASURY.xlsx]Sheet1!R574C11</stp>
        <tr r="K574" s="1"/>
      </tp>
      <tp t="s">
        <v>FIXED</v>
        <stp/>
        <stp>##V3_BDPV12</stp>
        <stp>912828K5 Govt</stp>
        <stp>CPN_TYP</stp>
        <stp>[TREASURY.xlsx]Sheet1!R518C11</stp>
        <tr r="K518" s="1"/>
      </tp>
      <tp t="s">
        <v>FIXED</v>
        <stp/>
        <stp>##V3_BDPV12</stp>
        <stp>912828LK Govt</stp>
        <stp>CPN_TYP</stp>
        <stp>[TREASURY.xlsx]Sheet1!R546C11</stp>
        <tr r="K546" s="1"/>
      </tp>
      <tp t="s">
        <v>FIXED</v>
        <stp/>
        <stp>##V3_BDPV12</stp>
        <stp>912828NG Govt</stp>
        <stp>CPN_TYP</stp>
        <stp>[TREASURY.xlsx]Sheet1!R562C11</stp>
        <tr r="K562" s="1"/>
      </tp>
      <tp t="s">
        <v>FIXED</v>
        <stp/>
        <stp>##V3_BDPV12</stp>
        <stp>912828LB Govt</stp>
        <stp>CPN_TYP</stp>
        <stp>[TREASURY.xlsx]Sheet1!R558C11</stp>
        <tr r="K558" s="1"/>
      </tp>
      <tp t="s">
        <v>FIXED</v>
        <stp/>
        <stp>##V3_BDPV12</stp>
        <stp>912828JF Govt</stp>
        <stp>CPN_TYP</stp>
        <stp>[TREASURY.xlsx]Sheet1!R537C11</stp>
        <tr r="K537" s="1"/>
      </tp>
      <tp t="s">
        <v>FIXED</v>
        <stp/>
        <stp>##V3_BDPV12</stp>
        <stp>912828A6 Govt</stp>
        <stp>CPN_TYP</stp>
        <stp>[TREASURY.xlsx]Sheet1!R580C11</stp>
        <tr r="K580" s="1"/>
      </tp>
      <tp t="s">
        <v>FIXED</v>
        <stp/>
        <stp>##V3_BDPV12</stp>
        <stp>912828JH Govt</stp>
        <stp>CPN_TYP</stp>
        <stp>[TREASURY.xlsx]Sheet1!R542C11</stp>
        <tr r="K542" s="1"/>
      </tp>
      <tp t="s">
        <v>FIXED</v>
        <stp/>
        <stp>##V3_BDPV12</stp>
        <stp>912828MK Govt</stp>
        <stp>CPN_TYP</stp>
        <stp>[TREASURY.xlsx]Sheet1!R538C11</stp>
        <tr r="K538" s="1"/>
      </tp>
      <tp t="s">
        <v>FIXED</v>
        <stp/>
        <stp>##V3_BDPV12</stp>
        <stp>912828LX Govt</stp>
        <stp>CPN_TYP</stp>
        <stp>[TREASURY.xlsx]Sheet1!R535C11</stp>
        <tr r="K535" s="1"/>
      </tp>
      <tp t="s">
        <v>FIXED</v>
        <stp/>
        <stp>##V3_BDPV12</stp>
        <stp>912828FT Govt</stp>
        <stp>CPN_TYP</stp>
        <stp>[TREASURY.xlsx]Sheet1!R597C11</stp>
        <tr r="K597" s="1"/>
      </tp>
      <tp t="s">
        <v>FIXED</v>
        <stp/>
        <stp>##V3_BDPV12</stp>
        <stp>912828HM Govt</stp>
        <stp>CPN_TYP</stp>
        <stp>[TREASURY.xlsx]Sheet1!R573C11</stp>
        <tr r="K573" s="1"/>
      </tp>
      <tp t="s">
        <v>FIXED</v>
        <stp/>
        <stp>##V3_BDPV12</stp>
        <stp>912828EG Govt</stp>
        <stp>CPN_TYP</stp>
        <stp>[TREASURY.xlsx]Sheet1!R596C11</stp>
        <tr r="K596" s="1"/>
      </tp>
      <tp t="s">
        <v>FIXED</v>
        <stp/>
        <stp>##V3_BDPV12</stp>
        <stp>912828LZ Govt</stp>
        <stp>CPN_TYP</stp>
        <stp>[TREASURY.xlsx]Sheet1!R515C11</stp>
        <tr r="K515" s="1"/>
      </tp>
      <tp t="s">
        <v>FIXED</v>
        <stp/>
        <stp>##V3_BDPV12</stp>
        <stp>912828KJ Govt</stp>
        <stp>CPN_TYP</stp>
        <stp>[TREASURY.xlsx]Sheet1!R561C11</stp>
        <tr r="K561" s="1"/>
      </tp>
      <tp t="s">
        <v>FIXED</v>
        <stp/>
        <stp>##V3_BDPV12</stp>
        <stp>912828DB Govt</stp>
        <stp>CPN_TYP</stp>
        <stp>[TREASURY.xlsx]Sheet1!R591C11</stp>
        <tr r="K591" s="1"/>
      </tp>
      <tp t="s">
        <v>FIXED</v>
        <stp/>
        <stp>##V3_BDPV12</stp>
        <stp>912828TK Govt</stp>
        <stp>CPN_TYP</stp>
        <stp>[TREASURY.xlsx]Sheet1!R565C11</stp>
        <tr r="K565" s="1"/>
      </tp>
      <tp t="s">
        <v>FIXED</v>
        <stp/>
        <stp>##V3_BDPV12</stp>
        <stp>912828SL Govt</stp>
        <stp>CPN_TYP</stp>
        <stp>[TREASURY.xlsx]Sheet1!R511C11</stp>
        <tr r="K511" s="1"/>
      </tp>
      <tp t="s">
        <v>FIXED</v>
        <stp/>
        <stp>##V3_BDPV12</stp>
        <stp>912828SM Govt</stp>
        <stp>CPN_TYP</stp>
        <stp>[TREASURY.xlsx]Sheet1!R516C11</stp>
        <tr r="K516" s="1"/>
      </tp>
      <tp t="s">
        <v>FIXED</v>
        <stp/>
        <stp>##V3_BDPV12</stp>
        <stp>912828WS Govt</stp>
        <stp>CPN_TYP</stp>
        <stp>[TREASURY.xlsx]Sheet1!R543C11</stp>
        <tr r="K543" s="1"/>
      </tp>
      <tp t="s">
        <v>FIXED</v>
        <stp/>
        <stp>##V3_BDPV12</stp>
        <stp>912828XP Govt</stp>
        <stp>CPN_TYP</stp>
        <stp>[TREASURY.xlsx]Sheet1!R588C11</stp>
        <tr r="K588" s="1"/>
      </tp>
      <tp t="s">
        <v>FIXED</v>
        <stp/>
        <stp>##V3_BDPV12</stp>
        <stp>912828UT Govt</stp>
        <stp>CPN_TYP</stp>
        <stp>[TREASURY.xlsx]Sheet1!R552C11</stp>
        <tr r="K552" s="1"/>
      </tp>
      <tp t="s">
        <v>FIXED</v>
        <stp/>
        <stp>##V3_BDPV12</stp>
        <stp>912828VR Govt</stp>
        <stp>CPN_TYP</stp>
        <stp>[TREASURY.xlsx]Sheet1!R566C11</stp>
        <tr r="K566" s="1"/>
      </tp>
      <tp t="s">
        <v>FIXED</v>
        <stp/>
        <stp>##V3_BDPV12</stp>
        <stp>912828QX Govt</stp>
        <stp>CPN_TYP</stp>
        <stp>[TREASURY.xlsx]Sheet1!R519C11</stp>
        <tr r="K519" s="1"/>
      </tp>
      <tp t="s">
        <v>FIXED</v>
        <stp/>
        <stp>##V3_BDPV12</stp>
        <stp>912828WM Govt</stp>
        <stp>CPN_TYP</stp>
        <stp>[TREASURY.xlsx]Sheet1!R567C11</stp>
        <tr r="K567" s="1"/>
      </tp>
      <tp t="s">
        <v>FIXED</v>
        <stp/>
        <stp>##V3_BDPV12</stp>
        <stp>912828QA Govt</stp>
        <stp>CPN_TYP</stp>
        <stp>[TREASURY.xlsx]Sheet1!R509C11</stp>
        <tr r="K509" s="1"/>
      </tp>
      <tp t="s">
        <v>FIXED</v>
        <stp/>
        <stp>##V3_BDPV12</stp>
        <stp>912828VC Govt</stp>
        <stp>CPN_TYP</stp>
        <stp>[TREASURY.xlsx]Sheet1!R577C11</stp>
        <tr r="K577" s="1"/>
      </tp>
      <tp t="s">
        <v>FIXED</v>
        <stp/>
        <stp>##V3_BDPV12</stp>
        <stp>912828UB Govt</stp>
        <stp>CPN_TYP</stp>
        <stp>[TREASURY.xlsx]Sheet1!R540C11</stp>
        <tr r="K540" s="1"/>
      </tp>
      <tp t="s">
        <v>FIXED</v>
        <stp/>
        <stp>##V3_BDPV12</stp>
        <stp>912828Y4 Govt</stp>
        <stp>CPN_TYP</stp>
        <stp>[TREASURY.xlsx]Sheet1!R589C11</stp>
        <tr r="K589" s="1"/>
      </tp>
      <tp t="s">
        <v>FIXED</v>
        <stp/>
        <stp>##V3_BDPV12</stp>
        <stp>912828SZ Govt</stp>
        <stp>CPN_TYP</stp>
        <stp>[TREASURY.xlsx]Sheet1!R551C11</stp>
        <tr r="K551" s="1"/>
      </tp>
      <tp t="s">
        <v>FIXED</v>
        <stp/>
        <stp>##V3_BDPV12</stp>
        <stp>912828RP Govt</stp>
        <stp>CPN_TYP</stp>
        <stp>[TREASURY.xlsx]Sheet1!R549C11</stp>
        <tr r="K549" s="1"/>
      </tp>
      <tp t="s">
        <v>FIXED</v>
        <stp/>
        <stp>##V3_BDPV12</stp>
        <stp>912828TA Govt</stp>
        <stp>CPN_TYP</stp>
        <stp>[TREASURY.xlsx]Sheet1!R520C11</stp>
        <tr r="K520" s="1"/>
      </tp>
      <tp t="s">
        <v>FIXED</v>
        <stp/>
        <stp>##V3_BDPV12</stp>
        <stp>912828QF Govt</stp>
        <stp>CPN_TYP</stp>
        <stp>[TREASURY.xlsx]Sheet1!R576C11</stp>
        <tr r="K576" s="1"/>
      </tp>
      <tp t="s">
        <v>FIXED</v>
        <stp/>
        <stp>##V3_BDPV12</stp>
        <stp>912828PZ Govt</stp>
        <stp>CPN_TYP</stp>
        <stp>[TREASURY.xlsx]Sheet1!R575C11</stp>
        <tr r="K575" s="1"/>
      </tp>
      <tp t="s">
        <v>FIXED</v>
        <stp/>
        <stp>##V3_BDPV12</stp>
        <stp>912828TU Govt</stp>
        <stp>CPN_TYP</stp>
        <stp>[TREASURY.xlsx]Sheet1!R539C11</stp>
        <tr r="K539" s="1"/>
      </tp>
      <tp t="s">
        <v>FIXED</v>
        <stp/>
        <stp>##V3_BDPV12</stp>
        <stp>912828QP Govt</stp>
        <stp>CPN_TYP</stp>
        <stp>[TREASURY.xlsx]Sheet1!R550C11</stp>
        <tr r="K550" s="1"/>
      </tp>
      <tp t="s">
        <v>FIXED</v>
        <stp/>
        <stp>##V3_BDPV12</stp>
        <stp>912828RM Govt</stp>
        <stp>CPN_TYP</stp>
        <stp>[TREASURY.xlsx]Sheet1!R563C11</stp>
        <tr r="K563" s="1"/>
      </tp>
      <tp t="s">
        <v>FIXED</v>
        <stp/>
        <stp>##V3_BDPV12</stp>
        <stp>912828PE Govt</stp>
        <stp>CPN_TYP</stp>
        <stp>[TREASURY.xlsx]Sheet1!R548C11</stp>
        <tr r="K548" s="1"/>
      </tp>
      <tp t="s">
        <v>FIXED</v>
        <stp/>
        <stp>##V3_BDPV12</stp>
        <stp>912828SB Govt</stp>
        <stp>CPN_TYP</stp>
        <stp>[TREASURY.xlsx]Sheet1!R564C11</stp>
        <tr r="K564" s="1"/>
      </tp>
      <tp t="s">
        <v>FIXED</v>
        <stp/>
        <stp>##V3_BDPV12</stp>
        <stp>912828XM Govt</stp>
        <stp>CPN_TYP</stp>
        <stp>[TREASURY.xlsx]Sheet1!R536C11</stp>
        <tr r="K536" s="1"/>
      </tp>
      <tp t="s">
        <v>FIXED</v>
        <stp/>
        <stp>##V3_BDPV12</stp>
        <stp>912828QH Govt</stp>
        <stp>CPN_TYP</stp>
        <stp>[TREASURY.xlsx]Sheet1!R595C11</stp>
        <tr r="K595" s="1"/>
      </tp>
      <tp t="s">
        <v>FIXED</v>
        <stp/>
        <stp>##V3_BDPV12</stp>
        <stp>912828PY Govt</stp>
        <stp>CPN_TYP</stp>
        <stp>[TREASURY.xlsx]Sheet1!R594C11</stp>
        <tr r="K594" s="1"/>
      </tp>
      <tp t="s">
        <v>FIXED</v>
        <stp/>
        <stp>##V3_BDPV12</stp>
        <stp>912828PM Govt</stp>
        <stp>CPN_TYP</stp>
        <stp>[TREASURY.xlsx]Sheet1!R593C11</stp>
        <tr r="K593" s="1"/>
      </tp>
      <tp t="s">
        <v>FIXED</v>
        <stp/>
        <stp>##V3_BDPV12</stp>
        <stp>912828VG Govt</stp>
        <stp>CPN_TYP</stp>
        <stp>[TREASURY.xlsx]Sheet1!R587C11</stp>
        <tr r="K587" s="1"/>
      </tp>
      <tp t="s">
        <v>FIXED</v>
        <stp/>
        <stp>##V3_BDPV12</stp>
        <stp>912828TH Govt</stp>
        <stp>CPN_TYP</stp>
        <stp>[TREASURY.xlsx]Sheet1!R585C11</stp>
        <tr r="K585" s="1"/>
      </tp>
      <tp t="s">
        <v>FIXED</v>
        <stp/>
        <stp>##V3_BDPV12</stp>
        <stp>912828UD Govt</stp>
        <stp>CPN_TYP</stp>
        <stp>[TREASURY.xlsx]Sheet1!R586C11</stp>
        <tr r="K586" s="1"/>
      </tp>
      <tp t="s">
        <v>US912828YQ73</v>
        <stp/>
        <stp>##V3_BDPV12</stp>
        <stp>912828YQ Govt</stp>
        <stp>ID_ISIN</stp>
        <stp>[TREASURY.xlsx]Sheet1!R87C12</stp>
        <tr r="L87" s="1"/>
      </tp>
      <tp t="s">
        <v>US912828ZQ64</v>
        <stp/>
        <stp>##V3_BDPV12</stp>
        <stp>912828ZQ Govt</stp>
        <stp>ID_ISIN</stp>
        <stp>[TREASURY.xlsx]Sheet1!R31C12</stp>
        <tr r="L31" s="1"/>
      </tp>
      <tp t="s">
        <v>US91282CBQ33</v>
        <stp/>
        <stp>##V3_BDPV12</stp>
        <stp>91282CBQ Govt</stp>
        <stp>ID_ISIN</stp>
        <stp>[TREASURY.xlsx]Sheet1!R30C12</stp>
        <tr r="L30" s="1"/>
      </tp>
      <tp t="s">
        <v>US912810SQ22</v>
        <stp/>
        <stp>##V3_BDPV12</stp>
        <stp>912810SQ Govt</stp>
        <stp>ID_ISIN</stp>
        <stp>[TREASURY.xlsx]Sheet1!R92C12</stp>
        <tr r="L92" s="1"/>
      </tp>
      <tp t="s">
        <v>FIXED</v>
        <stp/>
        <stp>##V3_BDPV12</stp>
        <stp>912810SU Govt</stp>
        <stp>CPN_TYP</stp>
        <stp>[TREASURY.xlsx]Sheet1!R15C11</stp>
        <tr r="K15" s="1"/>
      </tp>
      <tp t="s">
        <v>FIXED</v>
        <stp/>
        <stp>##V3_BDPV12</stp>
        <stp>912810PU Govt</stp>
        <stp>CPN_TYP</stp>
        <stp>[TREASURY.xlsx]Sheet1!R63C11</stp>
        <tr r="K63" s="1"/>
      </tp>
      <tp t="s">
        <v>FIXED</v>
        <stp/>
        <stp>##V3_BDPV12</stp>
        <stp>91282CBU Govt</stp>
        <stp>CPN_TYP</stp>
        <stp>[TREASURY.xlsx]Sheet1!R53C11</stp>
        <tr r="K53" s="1"/>
      </tp>
      <tp t="s">
        <v>NORMAL</v>
        <stp/>
        <stp>##V3_BDPV12</stp>
        <stp>912828D5 Govt</stp>
        <stp>MTY_TYP</stp>
        <stp>[TREASURY.xlsx]Sheet1!R70C6</stp>
        <tr r="F70" s="1"/>
      </tp>
      <tp t="s">
        <v>11/15/2029</v>
        <stp/>
        <stp>##V3_BDPV12</stp>
        <stp>912828YS Govt</stp>
        <stp>MATURITY</stp>
        <stp>[TREASURY.xlsx]Sheet1!R38C5</stp>
        <tr r="E38" s="1"/>
      </tp>
      <tp t="s">
        <v>T</v>
        <stp/>
        <stp>##V3_BDPV12</stp>
        <stp>9128282V Govt</stp>
        <stp>TICKER</stp>
        <stp>[TREASURY.xlsx]Sheet1!R362C2</stp>
        <tr r="B362" s="1"/>
      </tp>
      <tp t="s">
        <v>T</v>
        <stp/>
        <stp>##V3_BDPV12</stp>
        <stp>9128284T Govt</stp>
        <stp>TICKER</stp>
        <stp>[TREASURY.xlsx]Sheet1!R344C2</stp>
        <tr r="B344" s="1"/>
      </tp>
      <tp t="s">
        <v>T</v>
        <stp/>
        <stp>##V3_BDPV12</stp>
        <stp>9128282U Govt</stp>
        <stp>TICKER</stp>
        <stp>[TREASURY.xlsx]Sheet1!R252C2</stp>
        <tr r="B252" s="1"/>
      </tp>
      <tp t="s">
        <v>T</v>
        <stp/>
        <stp>##V3_BDPV12</stp>
        <stp>9128282S Govt</stp>
        <stp>TICKER</stp>
        <stp>[TREASURY.xlsx]Sheet1!R212C2</stp>
        <tr r="B212" s="1"/>
      </tp>
      <tp t="s">
        <v>T</v>
        <stp/>
        <stp>##V3_BDPV12</stp>
        <stp>9128284S Govt</stp>
        <stp>TICKER</stp>
        <stp>[TREASURY.xlsx]Sheet1!R294C2</stp>
        <tr r="B294" s="1"/>
      </tp>
      <tp t="s">
        <v>T</v>
        <stp/>
        <stp>##V3_BDPV12</stp>
        <stp>9128283S Govt</stp>
        <stp>TICKER</stp>
        <stp>[TREASURY.xlsx]Sheet1!R433C2</stp>
        <tr r="B433" s="1"/>
      </tp>
      <tp t="s">
        <v>NORMAL</v>
        <stp/>
        <stp>##V3_BDPV12</stp>
        <stp>91282CCE Govt</stp>
        <stp>MTY_TYP</stp>
        <stp>[TREASURY.xlsx]Sheet1!R77C6</stp>
        <tr r="F77" s="1"/>
      </tp>
      <tp t="s">
        <v>NORMAL</v>
        <stp/>
        <stp>##V3_BDPV12</stp>
        <stp>91282CCG Govt</stp>
        <stp>MTY_TYP</stp>
        <stp>[TREASURY.xlsx]Sheet1!R47C6</stp>
        <tr r="F47" s="1"/>
      </tp>
      <tp t="s">
        <v>T</v>
        <stp/>
        <stp>##V3_BDPV12</stp>
        <stp>9128286L Govt</stp>
        <stp>TICKER</stp>
        <stp>[TREASURY.xlsx]Sheet1!R276C2</stp>
        <tr r="B276" s="1"/>
      </tp>
      <tp t="s">
        <v>NORMAL</v>
        <stp/>
        <stp>##V3_BDPV12</stp>
        <stp>91282CAZ Govt</stp>
        <stp>MTY_TYP</stp>
        <stp>[TREASURY.xlsx]Sheet1!R45C6</stp>
        <tr r="F45" s="1"/>
      </tp>
      <tp t="s">
        <v>NORMAL</v>
        <stp/>
        <stp>##V3_BDPV12</stp>
        <stp>91282CBP Govt</stp>
        <stp>MTY_TYP</stp>
        <stp>[TREASURY.xlsx]Sheet1!R86C6</stp>
        <tr r="F86" s="1"/>
      </tp>
      <tp t="s">
        <v>T</v>
        <stp/>
        <stp>##V3_BDPV12</stp>
        <stp>9128285C Govt</stp>
        <stp>TICKER</stp>
        <stp>[TREASURY.xlsx]Sheet1!R205C2</stp>
        <tr r="B205" s="1"/>
      </tp>
      <tp t="s">
        <v>T</v>
        <stp/>
        <stp>##V3_BDPV12</stp>
        <stp>912827X6 Govt</stp>
        <stp>TICKER</stp>
        <stp>[TREASURY.xlsx]Sheet1!R1212C2</stp>
        <tr r="B1212" s="1"/>
      </tp>
      <tp t="s">
        <v>T</v>
        <stp/>
        <stp>##V3_BDPV12</stp>
        <stp>912827S6 Govt</stp>
        <stp>TICKER</stp>
        <stp>[TREASURY.xlsx]Sheet1!R1182C2</stp>
        <tr r="B1182" s="1"/>
      </tp>
      <tp t="s">
        <v>T</v>
        <stp/>
        <stp>##V3_BDPV12</stp>
        <stp>912827Q2 Govt</stp>
        <stp>TICKER</stp>
        <stp>[TREASURY.xlsx]Sheet1!R1176C2</stp>
        <tr r="B1176" s="1"/>
      </tp>
      <tp t="s">
        <v>T</v>
        <stp/>
        <stp>##V3_BDPV12</stp>
        <stp>912827L4 Govt</stp>
        <stp>TICKER</stp>
        <stp>[TREASURY.xlsx]Sheet1!R1040C2</stp>
        <tr r="B1040" s="1"/>
      </tp>
      <tp t="s">
        <v>T</v>
        <stp/>
        <stp>##V3_BDPV12</stp>
        <stp>912827K7 Govt</stp>
        <stp>TICKER</stp>
        <stp>[TREASURY.xlsx]Sheet1!R1563C2</stp>
        <tr r="B1563" s="1"/>
      </tp>
      <tp t="s">
        <v>T</v>
        <stp/>
        <stp>##V3_BDPV12</stp>
        <stp>912827C5 Govt</stp>
        <stp>TICKER</stp>
        <stp>[TREASURY.xlsx]Sheet1!R1481C2</stp>
        <tr r="B1481" s="1"/>
      </tp>
      <tp t="s">
        <v>USD</v>
        <stp/>
        <stp>##V3_BDPV12</stp>
        <stp>9128272P Govt</stp>
        <stp>CRNCY</stp>
        <stp>[TREASURY.xlsx]Sheet1!R1519C7</stp>
        <tr r="G1519" s="1"/>
      </tp>
      <tp t="s">
        <v>USD</v>
        <stp/>
        <stp>##V3_BDPV12</stp>
        <stp>9128273Q Govt</stp>
        <stp>CRNCY</stp>
        <stp>[TREASURY.xlsx]Sheet1!R1358C7</stp>
        <tr r="G1358" s="1"/>
      </tp>
      <tp t="s">
        <v>FIXED</v>
        <stp/>
        <stp>##V3_BDPV12</stp>
        <stp>91282CBM Govt</stp>
        <stp>CPN_TYP</stp>
        <stp>[TREASURY.xlsx]Sheet1!R107C11</stp>
        <tr r="K107" s="1"/>
      </tp>
      <tp t="s">
        <v>FIXED</v>
        <stp/>
        <stp>##V3_BDPV12</stp>
        <stp>91282CAD Govt</stp>
        <stp>CPN_TYP</stp>
        <stp>[TREASURY.xlsx]Sheet1!R132C11</stp>
        <tr r="K132" s="1"/>
      </tp>
      <tp t="s">
        <v>FIXED</v>
        <stp/>
        <stp>##V3_BDPV12</stp>
        <stp>91282CAG Govt</stp>
        <stp>CPN_TYP</stp>
        <stp>[TREASURY.xlsx]Sheet1!R133C11</stp>
        <tr r="K133" s="1"/>
      </tp>
      <tp t="s">
        <v>FIXED</v>
        <stp/>
        <stp>##V3_BDPV12</stp>
        <stp>91282CBB Govt</stp>
        <stp>CPN_TYP</stp>
        <stp>[TREASURY.xlsx]Sheet1!R114C11</stp>
        <tr r="K114" s="1"/>
      </tp>
      <tp t="s">
        <v>FIXED</v>
        <stp/>
        <stp>##V3_BDPV12</stp>
        <stp>91282CAC Govt</stp>
        <stp>CPN_TYP</stp>
        <stp>[TREASURY.xlsx]Sheet1!R120C11</stp>
        <tr r="K120" s="1"/>
      </tp>
      <tp t="s">
        <v>FIXED</v>
        <stp/>
        <stp>##V3_BDPV12</stp>
        <stp>91282CBE Govt</stp>
        <stp>CPN_TYP</stp>
        <stp>[TREASURY.xlsx]Sheet1!R115C11</stp>
        <tr r="K115" s="1"/>
      </tp>
      <tp t="s">
        <v>FIXED</v>
        <stp/>
        <stp>##V3_BDPV12</stp>
        <stp>91282CBZ Govt</stp>
        <stp>CPN_TYP</stp>
        <stp>[TREASURY.xlsx]Sheet1!R126C11</stp>
        <tr r="K126" s="1"/>
      </tp>
      <tp t="s">
        <v>FIXED</v>
        <stp/>
        <stp>##V3_BDPV12</stp>
        <stp>91282CBJ Govt</stp>
        <stp>CPN_TYP</stp>
        <stp>[TREASURY.xlsx]Sheet1!R123C11</stp>
        <tr r="K123" s="1"/>
      </tp>
      <tp t="s">
        <v>FIXED</v>
        <stp/>
        <stp>##V3_BDPV12</stp>
        <stp>91282CAW Govt</stp>
        <stp>CPN_TYP</stp>
        <stp>[TREASURY.xlsx]Sheet1!R109C11</stp>
        <tr r="K109" s="1"/>
      </tp>
      <tp t="s">
        <v>FIXED</v>
        <stp/>
        <stp>##V3_BDPV12</stp>
        <stp>91282CAU Govt</stp>
        <stp>CPN_TYP</stp>
        <stp>[TREASURY.xlsx]Sheet1!R102C11</stp>
        <tr r="K102" s="1"/>
      </tp>
      <tp t="s">
        <v>FIXED</v>
        <stp/>
        <stp>##V3_BDPV12</stp>
        <stp>91282CAH Govt</stp>
        <stp>CPN_TYP</stp>
        <stp>[TREASURY.xlsx]Sheet1!R167C11</stp>
        <tr r="K167" s="1"/>
      </tp>
      <tp t="s">
        <v>FIXED</v>
        <stp/>
        <stp>##V3_BDPV12</stp>
        <stp>91282CAP Govt</stp>
        <stp>CPN_TYP</stp>
        <stp>[TREASURY.xlsx]Sheet1!R151C11</stp>
        <tr r="K151" s="1"/>
      </tp>
      <tp t="s">
        <v>FIXED</v>
        <stp/>
        <stp>##V3_BDPV12</stp>
        <stp>91282CAY Govt</stp>
        <stp>CPN_TYP</stp>
        <stp>[TREASURY.xlsx]Sheet1!R144C11</stp>
        <tr r="K144" s="1"/>
      </tp>
      <tp t="s">
        <v>FIXED</v>
        <stp/>
        <stp>##V3_BDPV12</stp>
        <stp>91282CAL Govt</stp>
        <stp>CPN_TYP</stp>
        <stp>[TREASURY.xlsx]Sheet1!R142C11</stp>
        <tr r="K142" s="1"/>
      </tp>
      <tp t="s">
        <v>FIXED</v>
        <stp/>
        <stp>##V3_BDPV12</stp>
        <stp>91282CAF Govt</stp>
        <stp>CPN_TYP</stp>
        <stp>[TREASURY.xlsx]Sheet1!R195C11</stp>
        <tr r="K195" s="1"/>
      </tp>
      <tp t="s">
        <v>USD</v>
        <stp/>
        <stp>##V3_BDPV12</stp>
        <stp>9128272C Govt</stp>
        <stp>CRNCY</stp>
        <stp>[TREASURY.xlsx]Sheet1!R1449C7</stp>
        <tr r="G1449" s="1"/>
      </tp>
      <tp t="s">
        <v>USD</v>
        <stp/>
        <stp>##V3_BDPV12</stp>
        <stp>9128272E Govt</stp>
        <stp>CRNCY</stp>
        <stp>[TREASURY.xlsx]Sheet1!R1009C7</stp>
        <tr r="G1009" s="1"/>
      </tp>
      <tp t="s">
        <v>USD</v>
        <stp/>
        <stp>##V3_BDPV12</stp>
        <stp>9128273J Govt</stp>
        <stp>CRNCY</stp>
        <stp>[TREASURY.xlsx]Sheet1!R1528C7</stp>
        <tr r="G1528" s="1"/>
      </tp>
      <tp t="s">
        <v>T 3 3/4 11/15/18</v>
        <stp/>
        <stp>##V3_BDPV12</stp>
        <stp>912828JR Govt</stp>
        <stp>SECURITY_NAME</stp>
        <stp>[TREASURY.xlsx]Sheet1!R396C16</stp>
        <tr r="P396" s="1"/>
      </tp>
      <tp t="s">
        <v>T 1 1/2 12/31/13</v>
        <stp/>
        <stp>##V3_BDPV12</stp>
        <stp>912828JW Govt</stp>
        <stp>SECURITY_NAME</stp>
        <stp>[TREASURY.xlsx]Sheet1!R643C16</stp>
        <tr r="P643" s="1"/>
      </tp>
      <tp t="s">
        <v>FIXED</v>
        <stp/>
        <stp>##V3_BDPV12</stp>
        <stp>912810EW Govt</stp>
        <stp>CPN_TYP</stp>
        <stp>[TREASURY.xlsx]Sheet1!R277C11</stp>
        <tr r="K277" s="1"/>
      </tp>
      <tp t="s">
        <v>FIXED</v>
        <stp/>
        <stp>##V3_BDPV12</stp>
        <stp>912810FE Govt</stp>
        <stp>CPN_TYP</stp>
        <stp>[TREASURY.xlsx]Sheet1!R253C11</stp>
        <tr r="K253" s="1"/>
      </tp>
      <tp t="s">
        <v>FIXED</v>
        <stp/>
        <stp>##V3_BDPV12</stp>
        <stp>912810FJ Govt</stp>
        <stp>CPN_TYP</stp>
        <stp>[TREASURY.xlsx]Sheet1!R267C11</stp>
        <tr r="K267" s="1"/>
      </tp>
      <tp t="s">
        <v>FIXED</v>
        <stp/>
        <stp>##V3_BDPV12</stp>
        <stp>912810EL Govt</stp>
        <stp>CPN_TYP</stp>
        <stp>[TREASURY.xlsx]Sheet1!R211C11</stp>
        <tr r="K211" s="1"/>
      </tp>
      <tp t="s">
        <v>FIXED</v>
        <stp/>
        <stp>##V3_BDPV12</stp>
        <stp>912810FG Govt</stp>
        <stp>CPN_TYP</stp>
        <stp>[TREASURY.xlsx]Sheet1!R223C11</stp>
        <tr r="K223" s="1"/>
      </tp>
      <tp t="s">
        <v>FIXED</v>
        <stp/>
        <stp>##V3_BDPV12</stp>
        <stp>912810FF Govt</stp>
        <stp>CPN_TYP</stp>
        <stp>[TREASURY.xlsx]Sheet1!R292C11</stp>
        <tr r="K292" s="1"/>
      </tp>
      <tp t="s">
        <v>FIXED</v>
        <stp/>
        <stp>##V3_BDPV12</stp>
        <stp>912810EQ Govt</stp>
        <stp>CPN_TYP</stp>
        <stp>[TREASURY.xlsx]Sheet1!R298C11</stp>
        <tr r="K298" s="1"/>
      </tp>
      <tp t="s">
        <v>FIXED</v>
        <stp/>
        <stp>##V3_BDPV12</stp>
        <stp>912810QT Govt</stp>
        <stp>CPN_TYP</stp>
        <stp>[TREASURY.xlsx]Sheet1!R237C11</stp>
        <tr r="K237" s="1"/>
      </tp>
      <tp t="s">
        <v>FIXED</v>
        <stp/>
        <stp>##V3_BDPV12</stp>
        <stp>912810PT Govt</stp>
        <stp>CPN_TYP</stp>
        <stp>[TREASURY.xlsx]Sheet1!R226C11</stp>
        <tr r="K226" s="1"/>
      </tp>
      <tp t="s">
        <v>FIXED</v>
        <stp/>
        <stp>##V3_BDPV12</stp>
        <stp>912810QK Govt</stp>
        <stp>CPN_TYP</stp>
        <stp>[TREASURY.xlsx]Sheet1!R238C11</stp>
        <tr r="K238" s="1"/>
      </tp>
      <tp t="s">
        <v>FIXED</v>
        <stp/>
        <stp>##V3_BDPV12</stp>
        <stp>912810RD Govt</stp>
        <stp>CPN_TYP</stp>
        <stp>[TREASURY.xlsx]Sheet1!R235C11</stp>
        <tr r="K235" s="1"/>
      </tp>
      <tp t="s">
        <v>FIXED</v>
        <stp/>
        <stp>##V3_BDPV12</stp>
        <stp>912810QX Govt</stp>
        <stp>CPN_TYP</stp>
        <stp>[TREASURY.xlsx]Sheet1!R275C11</stp>
        <tr r="K275" s="1"/>
      </tp>
      <tp t="s">
        <v>FIXED</v>
        <stp/>
        <stp>##V3_BDPV12</stp>
        <stp>912810QY Govt</stp>
        <stp>CPN_TYP</stp>
        <stp>[TREASURY.xlsx]Sheet1!R270C11</stp>
        <tr r="K270" s="1"/>
      </tp>
      <tp t="s">
        <v>FIXED</v>
        <stp/>
        <stp>##V3_BDPV12</stp>
        <stp>912810QB Govt</stp>
        <stp>CPN_TYP</stp>
        <stp>[TREASURY.xlsx]Sheet1!R274C11</stp>
        <tr r="K274" s="1"/>
      </tp>
      <tp t="s">
        <v>FIXED</v>
        <stp/>
        <stp>##V3_BDPV12</stp>
        <stp>912810RH Govt</stp>
        <stp>CPN_TYP</stp>
        <stp>[TREASURY.xlsx]Sheet1!R259C11</stp>
        <tr r="K259" s="1"/>
      </tp>
      <tp t="s">
        <v>FIXED</v>
        <stp/>
        <stp>##V3_BDPV12</stp>
        <stp>912810SC Govt</stp>
        <stp>CPN_TYP</stp>
        <stp>[TREASURY.xlsx]Sheet1!R243C11</stp>
        <tr r="K243" s="1"/>
      </tp>
      <tp t="s">
        <v>FIXED</v>
        <stp/>
        <stp>##V3_BDPV12</stp>
        <stp>912810RB Govt</stp>
        <stp>CPN_TYP</stp>
        <stp>[TREASURY.xlsx]Sheet1!R269C11</stp>
        <tr r="K269" s="1"/>
      </tp>
      <tp t="s">
        <v>FIXED</v>
        <stp/>
        <stp>##V3_BDPV12</stp>
        <stp>912810RC Govt</stp>
        <stp>CPN_TYP</stp>
        <stp>[TREASURY.xlsx]Sheet1!R263C11</stp>
        <tr r="K263" s="1"/>
      </tp>
      <tp t="s">
        <v>FIXED</v>
        <stp/>
        <stp>##V3_BDPV12</stp>
        <stp>912810RZ Govt</stp>
        <stp>CPN_TYP</stp>
        <stp>[TREASURY.xlsx]Sheet1!R273C11</stp>
        <tr r="K273" s="1"/>
      </tp>
      <tp t="s">
        <v>FIXED</v>
        <stp/>
        <stp>##V3_BDPV12</stp>
        <stp>912810RP Govt</stp>
        <stp>CPN_TYP</stp>
        <stp>[TREASURY.xlsx]Sheet1!R278C11</stp>
        <tr r="K278" s="1"/>
      </tp>
      <tp t="s">
        <v>FIXED</v>
        <stp/>
        <stp>##V3_BDPV12</stp>
        <stp>912810RG Govt</stp>
        <stp>CPN_TYP</stp>
        <stp>[TREASURY.xlsx]Sheet1!R284C11</stp>
        <tr r="K284" s="1"/>
      </tp>
      <tp t="s">
        <v>FIXED</v>
        <stp/>
        <stp>##V3_BDPV12</stp>
        <stp>912810RN Govt</stp>
        <stp>CPN_TYP</stp>
        <stp>[TREASURY.xlsx]Sheet1!R293C11</stp>
        <tr r="K293" s="1"/>
      </tp>
      <tp t="s">
        <v>FIXED</v>
        <stp/>
        <stp>##V3_BDPV12</stp>
        <stp>912810RE Govt</stp>
        <stp>CPN_TYP</stp>
        <stp>[TREASURY.xlsx]Sheet1!R295C11</stp>
        <tr r="K295" s="1"/>
      </tp>
      <tp t="s">
        <v>FIXED</v>
        <stp/>
        <stp>##V3_BDPV12</stp>
        <stp>912810PW Govt</stp>
        <stp>CPN_TYP</stp>
        <stp>[TREASURY.xlsx]Sheet1!R289C11</stp>
        <tr r="K289" s="1"/>
      </tp>
      <tp t="s">
        <v>FIXED</v>
        <stp/>
        <stp>##V3_BDPV12</stp>
        <stp>912810PX Govt</stp>
        <stp>CPN_TYP</stp>
        <stp>[TREASURY.xlsx]Sheet1!R282C11</stp>
        <tr r="K282" s="1"/>
      </tp>
      <tp t="s">
        <v>FIXED</v>
        <stp/>
        <stp>##V3_BDPV12</stp>
        <stp>912810QN Govt</stp>
        <stp>CPN_TYP</stp>
        <stp>[TREASURY.xlsx]Sheet1!R291C11</stp>
        <tr r="K291" s="1"/>
      </tp>
      <tp t="s">
        <v>FIXED</v>
        <stp/>
        <stp>##V3_BDPV12</stp>
        <stp>912810QU Govt</stp>
        <stp>CPN_TYP</stp>
        <stp>[TREASURY.xlsx]Sheet1!R287C11</stp>
        <tr r="K287" s="1"/>
      </tp>
      <tp t="s">
        <v>FIXED</v>
        <stp/>
        <stp>##V3_BDPV12</stp>
        <stp>912810QW Govt</stp>
        <stp>CPN_TYP</stp>
        <stp>[TREASURY.xlsx]Sheet1!R286C11</stp>
        <tr r="K286" s="1"/>
      </tp>
      <tp t="s">
        <v>FIXED</v>
        <stp/>
        <stp>##V3_BDPV12</stp>
        <stp>912810QA Govt</stp>
        <stp>CPN_TYP</stp>
        <stp>[TREASURY.xlsx]Sheet1!R280C11</stp>
        <tr r="K280" s="1"/>
      </tp>
      <tp t="s">
        <v>T 2 11/30/13</v>
        <stp/>
        <stp>##V3_BDPV12</stp>
        <stp>912828JT Govt</stp>
        <stp>SECURITY_NAME</stp>
        <stp>[TREASURY.xlsx]Sheet1!R471C16</stp>
        <tr r="P471" s="1"/>
      </tp>
      <tp t="s">
        <v>FIXED</v>
        <stp/>
        <stp>##V3_BDPV12</stp>
        <stp>912810EK Govt</stp>
        <stp>CPN_TYP</stp>
        <stp>[TREASURY.xlsx]Sheet1!R357C11</stp>
        <tr r="K357" s="1"/>
      </tp>
      <tp t="s">
        <v>FIXED</v>
        <stp/>
        <stp>##V3_BDPV12</stp>
        <stp>912810EX Govt</stp>
        <stp>CPN_TYP</stp>
        <stp>[TREASURY.xlsx]Sheet1!R324C11</stp>
        <tr r="K324" s="1"/>
      </tp>
      <tp t="s">
        <v>FIXED</v>
        <stp/>
        <stp>##V3_BDPV12</stp>
        <stp>912810EZ Govt</stp>
        <stp>CPN_TYP</stp>
        <stp>[TREASURY.xlsx]Sheet1!R323C11</stp>
        <tr r="K323" s="1"/>
      </tp>
      <tp t="s">
        <v>FIXED</v>
        <stp/>
        <stp>##V3_BDPV12</stp>
        <stp>912810EY Govt</stp>
        <stp>CPN_TYP</stp>
        <stp>[TREASURY.xlsx]Sheet1!R328C11</stp>
        <tr r="K328" s="1"/>
      </tp>
      <tp t="s">
        <v>FIXED</v>
        <stp/>
        <stp>##V3_BDPV12</stp>
        <stp>912810EV Govt</stp>
        <stp>CPN_TYP</stp>
        <stp>[TREASURY.xlsx]Sheet1!R326C11</stp>
        <tr r="K326" s="1"/>
      </tp>
      <tp t="s">
        <v>FIXED</v>
        <stp/>
        <stp>##V3_BDPV12</stp>
        <stp>912810FA Govt</stp>
        <stp>CPN_TYP</stp>
        <stp>[TREASURY.xlsx]Sheet1!R314C11</stp>
        <tr r="K314" s="1"/>
      </tp>
      <tp t="s">
        <v>FIXED</v>
        <stp/>
        <stp>##V3_BDPV12</stp>
        <stp>912810EP Govt</stp>
        <stp>CPN_TYP</stp>
        <stp>[TREASURY.xlsx]Sheet1!R317C11</stp>
        <tr r="K317" s="1"/>
      </tp>
      <tp t="s">
        <v>FIXED</v>
        <stp/>
        <stp>##V3_BDPV12</stp>
        <stp>912810ET Govt</stp>
        <stp>CPN_TYP</stp>
        <stp>[TREASURY.xlsx]Sheet1!R313C11</stp>
        <tr r="K313" s="1"/>
      </tp>
      <tp t="s">
        <v>FIXED</v>
        <stp/>
        <stp>##V3_BDPV12</stp>
        <stp>912810ES Govt</stp>
        <stp>CPN_TYP</stp>
        <stp>[TREASURY.xlsx]Sheet1!R312C11</stp>
        <tr r="K312" s="1"/>
      </tp>
      <tp t="s">
        <v>FIXED</v>
        <stp/>
        <stp>##V3_BDPV12</stp>
        <stp>912810EN Govt</stp>
        <stp>CPN_TYP</stp>
        <stp>[TREASURY.xlsx]Sheet1!R319C11</stp>
        <tr r="K319" s="1"/>
      </tp>
      <tp t="s">
        <v>FIXED</v>
        <stp/>
        <stp>##V3_BDPV12</stp>
        <stp>912810FB Govt</stp>
        <stp>CPN_TYP</stp>
        <stp>[TREASURY.xlsx]Sheet1!R320C11</stp>
        <tr r="K320" s="1"/>
      </tp>
      <tp t="s">
        <v>FIXED</v>
        <stp/>
        <stp>##V3_BDPV12</stp>
        <stp>912810EM Govt</stp>
        <stp>CPN_TYP</stp>
        <stp>[TREASURY.xlsx]Sheet1!R304C11</stp>
        <tr r="K304" s="1"/>
      </tp>
      <tp t="s">
        <v>FIXED</v>
        <stp/>
        <stp>##V3_BDPV12</stp>
        <stp>912810DJ Govt</stp>
        <stp>CPN_TYP</stp>
        <stp>[TREASURY.xlsx]Sheet1!R399C11</stp>
        <tr r="K399" s="1"/>
      </tp>
      <tp t="s">
        <v>FIXED</v>
        <stp/>
        <stp>##V3_BDPV12</stp>
        <stp>912810QL Govt</stp>
        <stp>CPN_TYP</stp>
        <stp>[TREASURY.xlsx]Sheet1!R321C11</stp>
        <tr r="K321" s="1"/>
      </tp>
      <tp t="s">
        <v>FIXED</v>
        <stp/>
        <stp>##V3_BDPV12</stp>
        <stp>912810QZ Govt</stp>
        <stp>CPN_TYP</stp>
        <stp>[TREASURY.xlsx]Sheet1!R310C11</stp>
        <tr r="K310" s="1"/>
      </tp>
      <tp t="s">
        <v>FIXED</v>
        <stp/>
        <stp>##V3_BDPV12</stp>
        <stp>912810QQ Govt</stp>
        <stp>CPN_TYP</stp>
        <stp>[TREASURY.xlsx]Sheet1!R315C11</stp>
        <tr r="K315" s="1"/>
      </tp>
      <tp t="s">
        <v>FIXED</v>
        <stp/>
        <stp>##V3_BDPV12</stp>
        <stp>912810QH Govt</stp>
        <stp>CPN_TYP</stp>
        <stp>[TREASURY.xlsx]Sheet1!R316C11</stp>
        <tr r="K316" s="1"/>
      </tp>
      <tp t="s">
        <v>FIXED</v>
        <stp/>
        <stp>##V3_BDPV12</stp>
        <stp>912810QC Govt</stp>
        <stp>CPN_TYP</stp>
        <stp>[TREASURY.xlsx]Sheet1!R318C11</stp>
        <tr r="K318" s="1"/>
      </tp>
      <tp t="s">
        <v>FIXED</v>
        <stp/>
        <stp>##V3_BDPV12</stp>
        <stp>912810QD Govt</stp>
        <stp>CPN_TYP</stp>
        <stp>[TREASURY.xlsx]Sheet1!R311C11</stp>
        <tr r="K311" s="1"/>
      </tp>
      <tp t="s">
        <v>FIXED</v>
        <stp/>
        <stp>##V3_BDPV12</stp>
        <stp>912810QS Govt</stp>
        <stp>CPN_TYP</stp>
        <stp>[TREASURY.xlsx]Sheet1!R303C11</stp>
        <tr r="K303" s="1"/>
      </tp>
      <tp t="s">
        <v>FIXED</v>
        <stp/>
        <stp>##V3_BDPV12</stp>
        <stp>912810QE Govt</stp>
        <stp>CPN_TYP</stp>
        <stp>[TREASURY.xlsx]Sheet1!R302C11</stp>
        <tr r="K302" s="1"/>
      </tp>
      <tp t="s">
        <v>FIXED</v>
        <stp/>
        <stp>##V3_BDPV12</stp>
        <stp>912810FM Govt</stp>
        <stp>CPN_TYP</stp>
        <stp>[TREASURY.xlsx]Sheet1!R188C11</stp>
        <tr r="K188" s="1"/>
      </tp>
      <tp t="s">
        <v>FIXED</v>
        <stp/>
        <stp>##V3_BDPV12</stp>
        <stp>912810RK Govt</stp>
        <stp>CPN_TYP</stp>
        <stp>[TREASURY.xlsx]Sheet1!R103C11</stp>
        <tr r="K103" s="1"/>
      </tp>
      <tp t="s">
        <v>FIXED</v>
        <stp/>
        <stp>##V3_BDPV12</stp>
        <stp>912810SR Govt</stp>
        <stp>CPN_TYP</stp>
        <stp>[TREASURY.xlsx]Sheet1!R100C11</stp>
        <tr r="K100" s="1"/>
      </tp>
      <tp t="s">
        <v>FIXED</v>
        <stp/>
        <stp>##V3_BDPV12</stp>
        <stp>912810SH Govt</stp>
        <stp>CPN_TYP</stp>
        <stp>[TREASURY.xlsx]Sheet1!R156C11</stp>
        <tr r="K156" s="1"/>
      </tp>
      <tp t="s">
        <v>FIXED</v>
        <stp/>
        <stp>##V3_BDPV12</stp>
        <stp>912810SE Govt</stp>
        <stp>CPN_TYP</stp>
        <stp>[TREASURY.xlsx]Sheet1!R152C11</stp>
        <tr r="K152" s="1"/>
      </tp>
      <tp t="s">
        <v>FIXED</v>
        <stp/>
        <stp>##V3_BDPV12</stp>
        <stp>912810RU Govt</stp>
        <stp>CPN_TYP</stp>
        <stp>[TREASURY.xlsx]Sheet1!R154C11</stp>
        <tr r="K154" s="1"/>
      </tp>
      <tp t="s">
        <v>FIXED</v>
        <stp/>
        <stp>##V3_BDPV12</stp>
        <stp>912810SA Govt</stp>
        <stp>CPN_TYP</stp>
        <stp>[TREASURY.xlsx]Sheet1!R146C11</stp>
        <tr r="K146" s="1"/>
      </tp>
      <tp t="s">
        <v>FIXED</v>
        <stp/>
        <stp>##V3_BDPV12</stp>
        <stp>912810RS Govt</stp>
        <stp>CPN_TYP</stp>
        <stp>[TREASURY.xlsx]Sheet1!R163C11</stp>
        <tr r="K163" s="1"/>
      </tp>
      <tp t="s">
        <v>FIXED</v>
        <stp/>
        <stp>##V3_BDPV12</stp>
        <stp>912810SF Govt</stp>
        <stp>CPN_TYP</stp>
        <stp>[TREASURY.xlsx]Sheet1!R177C11</stp>
        <tr r="K177" s="1"/>
      </tp>
      <tp t="s">
        <v>FIXED</v>
        <stp/>
        <stp>##V3_BDPV12</stp>
        <stp>912810RQ Govt</stp>
        <stp>CPN_TYP</stp>
        <stp>[TREASURY.xlsx]Sheet1!R172C11</stp>
        <tr r="K172" s="1"/>
      </tp>
      <tp t="s">
        <v>FIXED</v>
        <stp/>
        <stp>##V3_BDPV12</stp>
        <stp>912810RM Govt</stp>
        <stp>CPN_TYP</stp>
        <stp>[TREASURY.xlsx]Sheet1!R176C11</stp>
        <tr r="K176" s="1"/>
      </tp>
      <tp t="s">
        <v>FIXED</v>
        <stp/>
        <stp>##V3_BDPV12</stp>
        <stp>912810RJ Govt</stp>
        <stp>CPN_TYP</stp>
        <stp>[TREASURY.xlsx]Sheet1!R180C11</stp>
        <tr r="K180" s="1"/>
      </tp>
      <tp t="s">
        <v>FIXED</v>
        <stp/>
        <stp>##V3_BDPV12</stp>
        <stp>912810RX Govt</stp>
        <stp>CPN_TYP</stp>
        <stp>[TREASURY.xlsx]Sheet1!R197C11</stp>
        <tr r="K197" s="1"/>
      </tp>
      <tp t="s">
        <v>FIXED</v>
        <stp/>
        <stp>##V3_BDPV12</stp>
        <stp>912810RY Govt</stp>
        <stp>CPN_TYP</stp>
        <stp>[TREASURY.xlsx]Sheet1!R191C11</stp>
        <tr r="K191" s="1"/>
      </tp>
      <tp t="s">
        <v>FIXED</v>
        <stp/>
        <stp>##V3_BDPV12</stp>
        <stp>912810SD Govt</stp>
        <stp>CPN_TYP</stp>
        <stp>[TREASURY.xlsx]Sheet1!R181C11</stp>
        <tr r="K181" s="1"/>
      </tp>
      <tp t="s">
        <v>FIXED</v>
        <stp/>
        <stp>##V3_BDPV12</stp>
        <stp>912810ED Govt</stp>
        <stp>CPN_TYP</stp>
        <stp>[TREASURY.xlsx]Sheet1!R664C11</stp>
        <tr r="K664" s="1"/>
      </tp>
      <tp t="s">
        <v>FIXED</v>
        <stp/>
        <stp>##V3_BDPV12</stp>
        <stp>912810DW Govt</stp>
        <stp>CPN_TYP</stp>
        <stp>[TREASURY.xlsx]Sheet1!R609C11</stp>
        <tr r="K609" s="1"/>
      </tp>
      <tp t="s">
        <v>FIXED</v>
        <stp/>
        <stp>##V3_BDPV12</stp>
        <stp>912810EC Govt</stp>
        <stp>CPN_TYP</stp>
        <stp>[TREASURY.xlsx]Sheet1!R612C11</stp>
        <tr r="K612" s="1"/>
      </tp>
      <tp t="s">
        <v>FIXED</v>
        <stp/>
        <stp>##V3_BDPV12</stp>
        <stp>912810CX Govt</stp>
        <stp>CPN_TYP</stp>
        <stp>[TREASURY.xlsx]Sheet1!R661C11</stp>
        <tr r="K661" s="1"/>
      </tp>
      <tp t="s">
        <v>FIXED</v>
        <stp/>
        <stp>##V3_BDPV12</stp>
        <stp>912810CS Govt</stp>
        <stp>CPN_TYP</stp>
        <stp>[TREASURY.xlsx]Sheet1!R660C11</stp>
        <tr r="K660" s="1"/>
      </tp>
      <tp t="s">
        <v>FIXED</v>
        <stp/>
        <stp>##V3_BDPV12</stp>
        <stp>912810EF Govt</stp>
        <stp>CPN_TYP</stp>
        <stp>[TREASURY.xlsx]Sheet1!R606C11</stp>
        <tr r="K606" s="1"/>
      </tp>
      <tp t="s">
        <v>FIXED</v>
        <stp/>
        <stp>##V3_BDPV12</stp>
        <stp>912810DP Govt</stp>
        <stp>CPN_TYP</stp>
        <stp>[TREASURY.xlsx]Sheet1!R698C11</stp>
        <tr r="K698" s="1"/>
      </tp>
      <tp t="s">
        <v>FIXED</v>
        <stp/>
        <stp>##V3_BDPV12</stp>
        <stp>912810DZ Govt</stp>
        <stp>CPN_TYP</stp>
        <stp>[TREASURY.xlsx]Sheet1!R699C11</stp>
        <tr r="K699" s="1"/>
      </tp>
      <tp t="s">
        <v>FIXED</v>
        <stp/>
        <stp>##V3_BDPV12</stp>
        <stp>912810DM Govt</stp>
        <stp>CPN_TYP</stp>
        <stp>[TREASURY.xlsx]Sheet1!R697C11</stp>
        <tr r="K697" s="1"/>
      </tp>
      <tp t="s">
        <v>FIXED</v>
        <stp/>
        <stp>##V3_BDPV12</stp>
        <stp>912810CY Govt</stp>
        <stp>CPN_TYP</stp>
        <stp>[TREASURY.xlsx]Sheet1!R414C11</stp>
        <tr r="K414" s="1"/>
      </tp>
      <tp t="s">
        <v>FIXED</v>
        <stp/>
        <stp>##V3_BDPV12</stp>
        <stp>912810DX Govt</stp>
        <stp>CPN_TYP</stp>
        <stp>[TREASURY.xlsx]Sheet1!R461C11</stp>
        <tr r="K461" s="1"/>
      </tp>
      <tp t="s">
        <v>FIXED</v>
        <stp/>
        <stp>##V3_BDPV12</stp>
        <stp>912810CP Govt</stp>
        <stp>CPN_TYP</stp>
        <stp>[TREASURY.xlsx]Sheet1!R405C11</stp>
        <tr r="K405" s="1"/>
      </tp>
      <tp t="s">
        <v>FIXED</v>
        <stp/>
        <stp>##V3_BDPV12</stp>
        <stp>912810DS Govt</stp>
        <stp>CPN_TYP</stp>
        <stp>[TREASURY.xlsx]Sheet1!R454C11</stp>
        <tr r="K454" s="1"/>
      </tp>
      <tp t="s">
        <v>FIXED</v>
        <stp/>
        <stp>##V3_BDPV12</stp>
        <stp>912810DU Govt</stp>
        <stp>CPN_TYP</stp>
        <stp>[TREASURY.xlsx]Sheet1!R432C11</stp>
        <tr r="K432" s="1"/>
      </tp>
      <tp t="s">
        <v>FIXED</v>
        <stp/>
        <stp>##V3_BDPV12</stp>
        <stp>912810EH Govt</stp>
        <stp>CPN_TYP</stp>
        <stp>[TREASURY.xlsx]Sheet1!R400C11</stp>
        <tr r="K400" s="1"/>
      </tp>
      <tp t="s">
        <v>FIXED</v>
        <stp/>
        <stp>##V3_BDPV12</stp>
        <stp>912810CT Govt</stp>
        <stp>CPN_TYP</stp>
        <stp>[TREASURY.xlsx]Sheet1!R501C11</stp>
        <tr r="K501" s="1"/>
      </tp>
      <tp t="s">
        <v>FIXED</v>
        <stp/>
        <stp>##V3_BDPV12</stp>
        <stp>912810CC Govt</stp>
        <stp>CPN_TYP</stp>
        <stp>[TREASURY.xlsx]Sheet1!R526C11</stp>
        <tr r="K526" s="1"/>
      </tp>
      <tp t="s">
        <v>FIXED</v>
        <stp/>
        <stp>##V3_BDPV12</stp>
        <stp>912810DV Govt</stp>
        <stp>CPN_TYP</stp>
        <stp>[TREASURY.xlsx]Sheet1!R527C11</stp>
        <tr r="K527" s="1"/>
      </tp>
      <tp t="s">
        <v>FIXED</v>
        <stp/>
        <stp>##V3_BDPV12</stp>
        <stp>912810DA Govt</stp>
        <stp>CPN_TYP</stp>
        <stp>[TREASURY.xlsx]Sheet1!R529C11</stp>
        <tr r="K529" s="1"/>
      </tp>
      <tp t="s">
        <v>FIXED</v>
        <stp/>
        <stp>##V3_BDPV12</stp>
        <stp>912810EJ Govt</stp>
        <stp>CPN_TYP</stp>
        <stp>[TREASURY.xlsx]Sheet1!R521C11</stp>
        <tr r="K521" s="1"/>
      </tp>
      <tp t="s">
        <v>FIXED</v>
        <stp/>
        <stp>##V3_BDPV12</stp>
        <stp>912810EE Govt</stp>
        <stp>CPN_TYP</stp>
        <stp>[TREASURY.xlsx]Sheet1!R503C11</stp>
        <tr r="K503" s="1"/>
      </tp>
      <tp t="s">
        <v>T 2 3/4 10/31/13</v>
        <stp/>
        <stp>##V3_BDPV12</stp>
        <stp>912828JQ Govt</stp>
        <stp>SECURITY_NAME</stp>
        <stp>[TREASURY.xlsx]Sheet1!R811C16</stp>
        <tr r="P811" s="1"/>
      </tp>
      <tp t="s">
        <v>T 1 3/4 11/15/11</v>
        <stp/>
        <stp>##V3_BDPV12</stp>
        <stp>912828JU Govt</stp>
        <stp>SECURITY_NAME</stp>
        <stp>[TREASURY.xlsx]Sheet1!R855C16</stp>
        <tr r="P855" s="1"/>
      </tp>
      <tp t="s">
        <v>T 0 7/8 01/31/11</v>
        <stp/>
        <stp>##V3_BDPV12</stp>
        <stp>912828JY Govt</stp>
        <stp>SECURITY_NAME</stp>
        <stp>[TREASURY.xlsx]Sheet1!R691C16</stp>
        <tr r="P691" s="1"/>
      </tp>
      <tp t="s">
        <v>T 0 7/8 12/31/10</v>
        <stp/>
        <stp>##V3_BDPV12</stp>
        <stp>912828JV Govt</stp>
        <stp>SECURITY_NAME</stp>
        <stp>[TREASURY.xlsx]Sheet1!R972C16</stp>
        <tr r="P972" s="1"/>
      </tp>
      <tp t="s">
        <v>T 1 3/4 01/31/14</v>
        <stp/>
        <stp>##V3_BDPV12</stp>
        <stp>912828JZ Govt</stp>
        <stp>SECURITY_NAME</stp>
        <stp>[TREASURY.xlsx]Sheet1!R478C16</stp>
        <tr r="P478" s="1"/>
      </tp>
      <tp t="s">
        <v>T 3 3/8 07/31/13</v>
        <stp/>
        <stp>##V3_BDPV12</stp>
        <stp>912828JG Govt</stp>
        <stp>SECURITY_NAME</stp>
        <stp>[TREASURY.xlsx]Sheet1!R417C16</stp>
        <tr r="P417" s="1"/>
      </tp>
      <tp t="s">
        <v>T 2 3/4 07/31/10</v>
        <stp/>
        <stp>##V3_BDPV12</stp>
        <stp>912828JF Govt</stp>
        <stp>SECURITY_NAME</stp>
        <stp>[TREASURY.xlsx]Sheet1!R537C16</stp>
        <tr r="P537" s="1"/>
      </tp>
      <tp t="s">
        <v>T 3 1/8 08/31/13</v>
        <stp/>
        <stp>##V3_BDPV12</stp>
        <stp>912828JK Govt</stp>
        <stp>SECURITY_NAME</stp>
        <stp>[TREASURY.xlsx]Sheet1!R854C16</stp>
        <tr r="P854" s="1"/>
      </tp>
      <tp t="s">
        <v>T 3 1/8 09/30/13</v>
        <stp/>
        <stp>##V3_BDPV12</stp>
        <stp>912828JM Govt</stp>
        <stp>SECURITY_NAME</stp>
        <stp>[TREASURY.xlsx]Sheet1!R810C16</stp>
        <tr r="P810" s="1"/>
      </tp>
      <tp t="s">
        <v>T 3 1/2 05/31/13</v>
        <stp/>
        <stp>##V3_BDPV12</stp>
        <stp>912828JB Govt</stp>
        <stp>SECURITY_NAME</stp>
        <stp>[TREASURY.xlsx]Sheet1!R598C16</stp>
        <tr r="P598" s="1"/>
      </tp>
      <tp t="s">
        <v>T 2 7/8 06/30/10</v>
        <stp/>
        <stp>##V3_BDPV12</stp>
        <stp>912828JC Govt</stp>
        <stp>SECURITY_NAME</stp>
        <stp>[TREASURY.xlsx]Sheet1!R853C16</stp>
        <tr r="P853" s="1"/>
      </tp>
      <tp t="s">
        <v>T 4 08/15/18</v>
        <stp/>
        <stp>##V3_BDPV12</stp>
        <stp>912828JH Govt</stp>
        <stp>SECURITY_NAME</stp>
        <stp>[TREASURY.xlsx]Sheet1!R542C16</stp>
        <tr r="P542" s="1"/>
      </tp>
      <tp t="s">
        <v>T 3 3/8 06/30/13</v>
        <stp/>
        <stp>##V3_BDPV12</stp>
        <stp>912828JD Govt</stp>
        <stp>SECURITY_NAME</stp>
        <stp>[TREASURY.xlsx]Sheet1!R971C16</stp>
        <tr r="P971" s="1"/>
      </tp>
      <tp t="s">
        <v>T 2 3/8 08/31/10</v>
        <stp/>
        <stp>##V3_BDPV12</stp>
        <stp>912828JJ Govt</stp>
        <stp>SECURITY_NAME</stp>
        <stp>[TREASURY.xlsx]Sheet1!R690C16</stp>
        <tr r="P690" s="1"/>
      </tp>
      <tp t="s">
        <v>US9128282R06</v>
        <stp/>
        <stp>##V3_BDPV12</stp>
        <stp>9128282R Govt</stp>
        <stp>ID_ISIN</stp>
        <stp>[TREASURY.xlsx]Sheet1!R98C12</stp>
        <tr r="L98" s="1"/>
      </tp>
      <tp t="s">
        <v>US91282CBR16</v>
        <stp/>
        <stp>##V3_BDPV12</stp>
        <stp>91282CBR Govt</stp>
        <stp>ID_ISIN</stp>
        <stp>[TREASURY.xlsx]Sheet1!R55C12</stp>
        <tr r="L55" s="1"/>
      </tp>
      <tp t="s">
        <v>US91282CAR25</v>
        <stp/>
        <stp>##V3_BDPV12</stp>
        <stp>91282CAR Govt</stp>
        <stp>ID_ISIN</stp>
        <stp>[TREASURY.xlsx]Sheet1!R64C12</stp>
        <tr r="L64" s="1"/>
      </tp>
      <tp t="s">
        <v>US91282CCR07</v>
        <stp/>
        <stp>##V3_BDPV12</stp>
        <stp>91282CCR Govt</stp>
        <stp>ID_ISIN</stp>
        <stp>[TREASURY.xlsx]Sheet1!R20C12</stp>
        <tr r="L20" s="1"/>
      </tp>
      <tp t="s">
        <v>FIXED</v>
        <stp/>
        <stp>##V3_BDPV12</stp>
        <stp>912810RV Govt</stp>
        <stp>CPN_TYP</stp>
        <stp>[TREASURY.xlsx]Sheet1!R28C11</stp>
        <tr r="K28" s="1"/>
      </tp>
      <tp t="s">
        <v>FIXED</v>
        <stp/>
        <stp>##V3_BDPV12</stp>
        <stp>9128284V Govt</stp>
        <stp>CPN_TYP</stp>
        <stp>[TREASURY.xlsx]Sheet1!R23C11</stp>
        <tr r="K23" s="1"/>
      </tp>
      <tp t="s">
        <v>FIXED</v>
        <stp/>
        <stp>##V3_BDPV12</stp>
        <stp>91282CAV Govt</stp>
        <stp>CPN_TYP</stp>
        <stp>[TREASURY.xlsx]Sheet1!R17C11</stp>
        <tr r="K17" s="1"/>
      </tp>
      <tp t="s">
        <v>FIXED</v>
        <stp/>
        <stp>##V3_BDPV12</stp>
        <stp>91282CBV Govt</stp>
        <stp>CPN_TYP</stp>
        <stp>[TREASURY.xlsx]Sheet1!R89C11</stp>
        <tr r="K89" s="1"/>
      </tp>
      <tp t="s">
        <v>5/15/2041</v>
        <stp/>
        <stp>##V3_BDPV12</stp>
        <stp>912810SY Govt</stp>
        <stp>MATURITY</stp>
        <stp>[TREASURY.xlsx]Sheet1!R21C5</stp>
        <tr r="E21" s="1"/>
      </tp>
      <tp t="s">
        <v>T</v>
        <stp/>
        <stp>##V3_BDPV12</stp>
        <stp>9128273X Govt</stp>
        <stp>TICKER</stp>
        <stp>[TREASURY.xlsx]Sheet1!R500C2</stp>
        <tr r="B500" s="1"/>
      </tp>
      <tp t="s">
        <v>NORMAL</v>
        <stp/>
        <stp>##V3_BDPV12</stp>
        <stp>91282CAN Govt</stp>
        <stp>MTY_TYP</stp>
        <stp>[TREASURY.xlsx]Sheet1!R46C6</stp>
        <tr r="F46" s="1"/>
      </tp>
      <tp t="s">
        <v>NORMAL</v>
        <stp/>
        <stp>##V3_BDPV12</stp>
        <stp>91282CCN Govt</stp>
        <stp>MTY_TYP</stp>
        <stp>[TREASURY.xlsx]Sheet1!R24C6</stp>
        <tr r="F24" s="1"/>
      </tp>
      <tp t="s">
        <v>T</v>
        <stp/>
        <stp>##V3_BDPV12</stp>
        <stp>9128284W Govt</stp>
        <stp>TICKER</stp>
        <stp>[TREASURY.xlsx]Sheet1!R347C2</stp>
        <tr r="B347" s="1"/>
      </tp>
      <tp t="s">
        <v>T</v>
        <stp/>
        <stp>##V3_BDPV12</stp>
        <stp>9128284R Govt</stp>
        <stp>TICKER</stp>
        <stp>[TREASURY.xlsx]Sheet1!R257C2</stp>
        <tr r="B257" s="1"/>
      </tp>
      <tp t="s">
        <v>T</v>
        <stp/>
        <stp>##V3_BDPV12</stp>
        <stp>9128284P Govt</stp>
        <stp>TICKER</stp>
        <stp>[TREASURY.xlsx]Sheet1!R367C2</stp>
        <tr r="B367" s="1"/>
      </tp>
      <tp t="s">
        <v>NORMAL</v>
        <stp/>
        <stp>##V3_BDPV12</stp>
        <stp>91282CCF Govt</stp>
        <stp>MTY_TYP</stp>
        <stp>[TREASURY.xlsx]Sheet1!R34C6</stp>
        <tr r="F34" s="1"/>
      </tp>
      <tp t="s">
        <v>T</v>
        <stp/>
        <stp>##V3_BDPV12</stp>
        <stp>9128283L Govt</stp>
        <stp>TICKER</stp>
        <stp>[TREASURY.xlsx]Sheet1!R350C2</stp>
        <tr r="B350" s="1"/>
      </tp>
      <tp t="s">
        <v>T</v>
        <stp/>
        <stp>##V3_BDPV12</stp>
        <stp>9128284M Govt</stp>
        <stp>TICKER</stp>
        <stp>[TREASURY.xlsx]Sheet1!R227C2</stp>
        <tr r="B227" s="1"/>
      </tp>
      <tp t="s">
        <v>T</v>
        <stp/>
        <stp>##V3_BDPV12</stp>
        <stp>9128282J Govt</stp>
        <stp>TICKER</stp>
        <stp>[TREASURY.xlsx]Sheet1!R611C2</stp>
        <tr r="B611" s="1"/>
      </tp>
      <tp t="s">
        <v>T</v>
        <stp/>
        <stp>##V3_BDPV12</stp>
        <stp>9128285F Govt</stp>
        <stp>TICKER</stp>
        <stp>[TREASURY.xlsx]Sheet1!R106C2</stp>
        <tr r="B106" s="1"/>
      </tp>
      <tp t="s">
        <v>T</v>
        <stp/>
        <stp>##V3_BDPV12</stp>
        <stp>9128286F Govt</stp>
        <stp>TICKER</stp>
        <stp>[TREASURY.xlsx]Sheet1!R225C2</stp>
        <tr r="B225" s="1"/>
      </tp>
      <tp t="s">
        <v>T</v>
        <stp/>
        <stp>##V3_BDPV12</stp>
        <stp>9128283G Govt</stp>
        <stp>TICKER</stp>
        <stp>[TREASURY.xlsx]Sheet1!R380C2</stp>
        <tr r="B380" s="1"/>
      </tp>
      <tp t="s">
        <v>NORMAL</v>
        <stp/>
        <stp>##V3_BDPV12</stp>
        <stp>91282CBR Govt</stp>
        <stp>MTY_TYP</stp>
        <stp>[TREASURY.xlsx]Sheet1!R55C6</stp>
        <tr r="F55" s="1"/>
      </tp>
      <tp t="s">
        <v>NORMAL</v>
        <stp/>
        <stp>##V3_BDPV12</stp>
        <stp>91282CBS Govt</stp>
        <stp>MTY_TYP</stp>
        <stp>[TREASURY.xlsx]Sheet1!R75C6</stp>
        <tr r="F75" s="1"/>
      </tp>
      <tp t="s">
        <v>T</v>
        <stp/>
        <stp>##V3_BDPV12</stp>
        <stp>9128277B Govt</stp>
        <stp>TICKER</stp>
        <stp>[TREASURY.xlsx]Sheet1!R354C2</stp>
        <tr r="B354" s="1"/>
      </tp>
      <tp t="s">
        <v>T</v>
        <stp/>
        <stp>##V3_BDPV12</stp>
        <stp>9128286A Govt</stp>
        <stp>TICKER</stp>
        <stp>[TREASURY.xlsx]Sheet1!R265C2</stp>
        <tr r="B265" s="1"/>
      </tp>
      <tp t="s">
        <v>T 1 3/8 02/29/20</v>
        <stp/>
        <stp>##V3_BDPV12</stp>
        <stp>912828J5 Govt</stp>
        <stp>SECURITY_NAME</stp>
        <stp>[TREASURY.xlsx]Sheet1!R403C16</stp>
        <tr r="P403" s="1"/>
      </tp>
      <tp t="s">
        <v>T 0 1/2 03/31/17</v>
        <stp/>
        <stp>##V3_BDPV12</stp>
        <stp>912828J9 Govt</stp>
        <stp>SECURITY_NAME</stp>
        <stp>[TREASURY.xlsx]Sheet1!R852C16</stp>
        <tr r="P852" s="1"/>
      </tp>
      <tp t="s">
        <v>T 1 03/15/18</v>
        <stp/>
        <stp>##V3_BDPV12</stp>
        <stp>912828J6 Govt</stp>
        <stp>SECURITY_NAME</stp>
        <stp>[TREASURY.xlsx]Sheet1!R686C16</stp>
        <tr r="P686" s="1"/>
      </tp>
      <tp t="s">
        <v>T</v>
        <stp/>
        <stp>##V3_BDPV12</stp>
        <stp>912828M6 Govt</stp>
        <stp>TICKER</stp>
        <stp>[TREASURY.xlsx]Sheet1!R1251C2</stp>
        <tr r="B1251" s="1"/>
      </tp>
      <tp t="s">
        <v>T</v>
        <stp/>
        <stp>##V3_BDPV12</stp>
        <stp>912828B7 Govt</stp>
        <stp>TICKER</stp>
        <stp>[TREASURY.xlsx]Sheet1!R1270C2</stp>
        <tr r="B1270" s="1"/>
      </tp>
      <tp t="s">
        <v>T</v>
        <stp/>
        <stp>##V3_BDPV12</stp>
        <stp>912828Q5 Govt</stp>
        <stp>TICKER</stp>
        <stp>[TREASURY.xlsx]Sheet1!R1262C2</stp>
        <tr r="B1262" s="1"/>
      </tp>
      <tp t="s">
        <v>T</v>
        <stp/>
        <stp>##V3_BDPV12</stp>
        <stp>912827E6 Govt</stp>
        <stp>TICKER</stp>
        <stp>[TREASURY.xlsx]Sheet1!R1371C2</stp>
        <tr r="B1371" s="1"/>
      </tp>
      <tp t="s">
        <v>T</v>
        <stp/>
        <stp>##V3_BDPV12</stp>
        <stp>912827E4 Govt</stp>
        <stp>TICKER</stp>
        <stp>[TREASURY.xlsx]Sheet1!R1313C2</stp>
        <tr r="B1313" s="1"/>
      </tp>
      <tp t="s">
        <v>T</v>
        <stp/>
        <stp>##V3_BDPV12</stp>
        <stp>912827F3 Govt</stp>
        <stp>TICKER</stp>
        <stp>[TREASURY.xlsx]Sheet1!R1314C2</stp>
        <tr r="B1314" s="1"/>
      </tp>
      <tp t="s">
        <v>T</v>
        <stp/>
        <stp>##V3_BDPV12</stp>
        <stp>912827T6 Govt</stp>
        <stp>TICKER</stp>
        <stp>[TREASURY.xlsx]Sheet1!R1191C2</stp>
        <tr r="B1191" s="1"/>
      </tp>
      <tp t="s">
        <v>T</v>
        <stp/>
        <stp>##V3_BDPV12</stp>
        <stp>912827L6 Govt</stp>
        <stp>TICKER</stp>
        <stp>[TREASURY.xlsx]Sheet1!R1041C2</stp>
        <tr r="B1041" s="1"/>
      </tp>
      <tp t="s">
        <v>T</v>
        <stp/>
        <stp>##V3_BDPV12</stp>
        <stp>912827X3 Govt</stp>
        <stp>TICKER</stp>
        <stp>[TREASURY.xlsx]Sheet1!R1094C2</stp>
        <tr r="B1094" s="1"/>
      </tp>
      <tp t="s">
        <v>T</v>
        <stp/>
        <stp>##V3_BDPV12</stp>
        <stp>912827T7 Govt</stp>
        <stp>TICKER</stp>
        <stp>[TREASURY.xlsx]Sheet1!R1070C2</stp>
        <tr r="B1070" s="1"/>
      </tp>
      <tp t="s">
        <v>T</v>
        <stp/>
        <stp>##V3_BDPV12</stp>
        <stp>912827L3 Govt</stp>
        <stp>TICKER</stp>
        <stp>[TREASURY.xlsx]Sheet1!R1564C2</stp>
        <tr r="B1564" s="1"/>
      </tp>
      <tp t="s">
        <v>T</v>
        <stp/>
        <stp>##V3_BDPV12</stp>
        <stp>912827C4 Govt</stp>
        <stp>TICKER</stp>
        <stp>[TREASURY.xlsx]Sheet1!R1553C2</stp>
        <tr r="B1553" s="1"/>
      </tp>
      <tp t="s">
        <v>T</v>
        <stp/>
        <stp>##V3_BDPV12</stp>
        <stp>912827B2 Govt</stp>
        <stp>TICKER</stp>
        <stp>[TREASURY.xlsx]Sheet1!R1475C2</stp>
        <tr r="B1475" s="1"/>
      </tp>
      <tp t="s">
        <v>T</v>
        <stp/>
        <stp>##V3_BDPV12</stp>
        <stp>912827Q3 Govt</stp>
        <stp>TICKER</stp>
        <stp>[TREASURY.xlsx]Sheet1!R1494C2</stp>
        <tr r="B1494" s="1"/>
      </tp>
      <tp t="s">
        <v>T</v>
        <stp/>
        <stp>##V3_BDPV12</stp>
        <stp>912827U4 Govt</stp>
        <stp>TICKER</stp>
        <stp>[TREASURY.xlsx]Sheet1!R1403C2</stp>
        <tr r="B1403" s="1"/>
      </tp>
      <tp t="s">
        <v>T</v>
        <stp/>
        <stp>##V3_BDPV12</stp>
        <stp>912827V7 Govt</stp>
        <stp>TICKER</stp>
        <stp>[TREASURY.xlsx]Sheet1!R1410C2</stp>
        <tr r="B1410" s="1"/>
      </tp>
      <tp t="s">
        <v>T 6 12/31/97</v>
        <stp/>
        <stp>##V3_BDPV12</stp>
        <stp>912827J2 Govt</stp>
        <stp>SECURITY_NAME</stp>
        <stp>[TREASURY.xlsx]Sheet1!R706C16</stp>
        <tr r="P706" s="1"/>
      </tp>
      <tp t="s">
        <v>T 1 3/4 03/31/22</v>
        <stp/>
        <stp>##V3_BDPV12</stp>
        <stp>912828J7 Govt</stp>
        <stp>SECURITY_NAME</stp>
        <stp>[TREASURY.xlsx]Sheet1!R204C16</stp>
        <tr r="P204" s="1"/>
      </tp>
      <tp t="s">
        <v>T 6 3/8 01/15/00</v>
        <stp/>
        <stp>##V3_BDPV12</stp>
        <stp>912827J3 Govt</stp>
        <stp>SECURITY_NAME</stp>
        <stp>[TREASURY.xlsx]Sheet1!R707C16</stp>
        <tr r="P707" s="1"/>
      </tp>
      <tp t="s">
        <v>T 1 3/4 02/28/22</v>
        <stp/>
        <stp>##V3_BDPV12</stp>
        <stp>912828J4 Govt</stp>
        <stp>SECURITY_NAME</stp>
        <stp>[TREASURY.xlsx]Sheet1!R308C16</stp>
        <tr r="P308" s="1"/>
      </tp>
      <tp t="s">
        <v>T 1 3/8 03/31/20</v>
        <stp/>
        <stp>##V3_BDPV12</stp>
        <stp>912828J8 Govt</stp>
        <stp>SECURITY_NAME</stp>
        <stp>[TREASURY.xlsx]Sheet1!R451C16</stp>
        <tr r="P451" s="1"/>
      </tp>
      <tp t="s">
        <v>T 8 7/8 06/30/84</v>
        <stp/>
        <stp>##V3_BDPV12</stp>
        <stp>912827KV Govt</stp>
        <stp>SECURITY_NAME</stp>
        <stp>[TREASURY.xlsx]Sheet1!R711C16</stp>
        <tr r="P711" s="1"/>
      </tp>
      <tp t="s">
        <v>T 3 1/4 05/31/16</v>
        <stp/>
        <stp>##V3_BDPV12</stp>
        <stp>912828KW Govt</stp>
        <stp>SECURITY_NAME</stp>
        <stp>[TREASURY.xlsx]Sheet1!R617C16</stp>
        <tr r="P617" s="1"/>
      </tp>
      <tp t="s">
        <v>T 2 1/4 05/31/14</v>
        <stp/>
        <stp>##V3_BDPV12</stp>
        <stp>912828KV Govt</stp>
        <stp>SECURITY_NAME</stp>
        <stp>[TREASURY.xlsx]Sheet1!R616C16</stp>
        <tr r="P616" s="1"/>
      </tp>
      <tp t="s">
        <v>T 8 5/8 06/30/82</v>
        <stp/>
        <stp>##V3_BDPV12</stp>
        <stp>912827KU Govt</stp>
        <stp>SECURITY_NAME</stp>
        <stp>[TREASURY.xlsx]Sheet1!R683C16</stp>
        <tr r="P683" s="1"/>
      </tp>
      <tp t="s">
        <v>T 3 1/4 06/30/16</v>
        <stp/>
        <stp>##V3_BDPV12</stp>
        <stp>912828KZ Govt</stp>
        <stp>SECURITY_NAME</stp>
        <stp>[TREASURY.xlsx]Sheet1!R974C16</stp>
        <tr r="P974" s="1"/>
      </tp>
      <tp t="s">
        <v>T 9 3/8 05/31/82</v>
        <stp/>
        <stp>##V3_BDPV12</stp>
        <stp>912827KS Govt</stp>
        <stp>SECURITY_NAME</stp>
        <stp>[TREASURY.xlsx]Sheet1!R668C16</stp>
        <tr r="P668" s="1"/>
      </tp>
      <tp t="s">
        <v>T 3 1/8 05/15/19</v>
        <stp/>
        <stp>##V3_BDPV12</stp>
        <stp>912828KQ Govt</stp>
        <stp>SECURITY_NAME</stp>
        <stp>[TREASURY.xlsx]Sheet1!R583C16</stp>
        <tr r="P583" s="1"/>
      </tp>
      <tp t="s">
        <v>T 8 7/8 07/31/82</v>
        <stp/>
        <stp>##V3_BDPV12</stp>
        <stp>912827KW Govt</stp>
        <stp>SECURITY_NAME</stp>
        <stp>[TREASURY.xlsx]Sheet1!R392C16</stp>
        <tr r="P392" s="1"/>
      </tp>
      <tp t="s">
        <v>T 2 5/8 04/30/16</v>
        <stp/>
        <stp>##V3_BDPV12</stp>
        <stp>912828KR Govt</stp>
        <stp>SECURITY_NAME</stp>
        <stp>[TREASURY.xlsx]Sheet1!R676C16</stp>
        <tr r="P676" s="1"/>
      </tp>
      <tp t="s">
        <v>T 2 5/8 02/29/16</v>
        <stp/>
        <stp>##V3_BDPV12</stp>
        <stp>912828KS Govt</stp>
        <stp>SECURITY_NAME</stp>
        <stp>[TREASURY.xlsx]Sheet1!R418C16</stp>
        <tr r="P418" s="1"/>
      </tp>
      <tp t="s">
        <v>T 11 3/8 04/30/82</v>
        <stp/>
        <stp>##V3_BDPV12</stp>
        <stp>912827KQ Govt</stp>
        <stp>SECURITY_NAME</stp>
        <stp>[TREASURY.xlsx]Sheet1!R710C16</stp>
        <tr r="P710" s="1"/>
      </tp>
      <tp t="s">
        <v>T 14 1/4 03/31/84</v>
        <stp/>
        <stp>##V3_BDPV12</stp>
        <stp>912827KP Govt</stp>
        <stp>SECURITY_NAME</stp>
        <stp>[TREASURY.xlsx]Sheet1!R885C16</stp>
        <tr r="P885" s="1"/>
      </tp>
      <tp t="s">
        <v>T 11 1/8 08/31/82</v>
        <stp/>
        <stp>##V3_BDPV12</stp>
        <stp>912827KZ Govt</stp>
        <stp>SECURITY_NAME</stp>
        <stp>[TREASURY.xlsx]Sheet1!R713C16</stp>
        <tr r="P713" s="1"/>
      </tp>
      <tp t="s">
        <v>T 0 7/8 05/31/11</v>
        <stp/>
        <stp>##V3_BDPV12</stp>
        <stp>912828KU Govt</stp>
        <stp>SECURITY_NAME</stp>
        <stp>[TREASURY.xlsx]Sheet1!R813C16</stp>
        <tr r="P813" s="1"/>
      </tp>
      <tp t="s">
        <v>T 2 3/8 03/31/16</v>
        <stp/>
        <stp>##V3_BDPV12</stp>
        <stp>912828KT Govt</stp>
        <stp>SECURITY_NAME</stp>
        <stp>[TREASURY.xlsx]Sheet1!R973C16</stp>
        <tr r="P973" s="1"/>
      </tp>
      <tp t="s">
        <v>T 2 5/8 06/30/14</v>
        <stp/>
        <stp>##V3_BDPV12</stp>
        <stp>912828KY Govt</stp>
        <stp>SECURITY_NAME</stp>
        <stp>[TREASURY.xlsx]Sheet1!R644C16</stp>
        <tr r="P644" s="1"/>
      </tp>
      <tp t="s">
        <v>T 10 3/4 08/15/90</v>
        <stp/>
        <stp>##V3_BDPV12</stp>
        <stp>912827KY Govt</stp>
        <stp>SECURITY_NAME</stp>
        <stp>[TREASURY.xlsx]Sheet1!R712C16</stp>
        <tr r="P712" s="1"/>
      </tp>
      <tp t="s">
        <v>T 1 1/8 01/15/12</v>
        <stp/>
        <stp>##V3_BDPV12</stp>
        <stp>912828KB Govt</stp>
        <stp>SECURITY_NAME</stp>
        <stp>[TREASURY.xlsx]Sheet1!R398C16</stp>
        <tr r="P398" s="1"/>
      </tp>
      <tp t="s">
        <v>T 0 7/8 02/28/11</v>
        <stp/>
        <stp>##V3_BDPV12</stp>
        <stp>912828KE Govt</stp>
        <stp>SECURITY_NAME</stp>
        <stp>[TREASURY.xlsx]Sheet1!R582C16</stp>
        <tr r="P582" s="1"/>
      </tp>
      <tp t="s">
        <v>T 11 7/8 08/15/83</v>
        <stp/>
        <stp>##V3_BDPV12</stp>
        <stp>912827KJ Govt</stp>
        <stp>SECURITY_NAME</stp>
        <stp>[TREASURY.xlsx]Sheet1!R884C16</stp>
        <tr r="P884" s="1"/>
      </tp>
      <tp t="s">
        <v>T 10 3/4 11/15/89</v>
        <stp/>
        <stp>##V3_BDPV12</stp>
        <stp>912827KC Govt</stp>
        <stp>SECURITY_NAME</stp>
        <stp>[TREASURY.xlsx]Sheet1!R608C16</stp>
        <tr r="P608" s="1"/>
      </tp>
      <tp t="s">
        <v>T 0 7/8 04/30/11</v>
        <stp/>
        <stp>##V3_BDPV12</stp>
        <stp>912828KL Govt</stp>
        <stp>SECURITY_NAME</stp>
        <stp>[TREASURY.xlsx]Sheet1!R857C16</stp>
        <tr r="P857" s="1"/>
      </tp>
      <tp t="s">
        <v>T 2 3/4 02/15/19</v>
        <stp/>
        <stp>##V3_BDPV12</stp>
        <stp>912828KD Govt</stp>
        <stp>SECURITY_NAME</stp>
        <stp>[TREASURY.xlsx]Sheet1!R364C16</stp>
        <tr r="P364" s="1"/>
      </tp>
      <tp t="s">
        <v>T 1 1/8 12/15/11</v>
        <stp/>
        <stp>##V3_BDPV12</stp>
        <stp>912828KA Govt</stp>
        <stp>SECURITY_NAME</stp>
        <stp>[TREASURY.xlsx]Sheet1!R856C16</stp>
        <tr r="P856" s="1"/>
      </tp>
      <tp t="s">
        <v>#N/A Field Not Applicable</v>
        <stp/>
        <stp>##V3_BDPV12</stp>
        <stp>9128286T Govt</stp>
        <stp>IDX_RATIO</stp>
        <stp>[TREASURY.xlsx]Sheet1!R48C20</stp>
        <tr r="T48" s="1"/>
      </tp>
      <tp t="s">
        <v>#N/A Field Not Applicable</v>
        <stp/>
        <stp>##V3_BDPV12</stp>
        <stp>9128286B Govt</stp>
        <stp>IDX_RATIO</stp>
        <stp>[TREASURY.xlsx]Sheet1!R43C20</stp>
        <tr r="T43" s="1"/>
      </tp>
      <tp t="s">
        <v>T 15 03/31/82</v>
        <stp/>
        <stp>##V3_BDPV12</stp>
        <stp>912827KN Govt</stp>
        <stp>SECURITY_NAME</stp>
        <stp>[TREASURY.xlsx]Sheet1!R569C16</stp>
        <tr r="P569" s="1"/>
      </tp>
      <tp t="s">
        <v>#N/A Field Not Applicable</v>
        <stp/>
        <stp>##V3_BDPV12</stp>
        <stp>9128284V Govt</stp>
        <stp>IDX_RATIO</stp>
        <stp>[TREASURY.xlsx]Sheet1!R23C20</stp>
        <tr r="T23" s="1"/>
      </tp>
      <tp t="s">
        <v>#N/A Field Not Applicable</v>
        <stp/>
        <stp>##V3_BDPV12</stp>
        <stp>9128284N Govt</stp>
        <stp>IDX_RATIO</stp>
        <stp>[TREASURY.xlsx]Sheet1!R71C20</stp>
        <tr r="T71" s="1"/>
      </tp>
      <tp t="s">
        <v>T 14 3/8 05/15/85</v>
        <stp/>
        <stp>##V3_BDPV12</stp>
        <stp>912827KM Govt</stp>
        <stp>SECURITY_NAME</stp>
        <stp>[TREASURY.xlsx]Sheet1!R709C16</stp>
        <tr r="P709" s="1"/>
      </tp>
      <tp t="s">
        <v>#N/A Field Not Applicable</v>
        <stp/>
        <stp>##V3_BDPV12</stp>
        <stp>9128285D Govt</stp>
        <stp>IDX_RATIO</stp>
        <stp>[TREASURY.xlsx]Sheet1!R54C20</stp>
        <tr r="T54" s="1"/>
      </tp>
      <tp t="s">
        <v>#N/A Field Not Applicable</v>
        <stp/>
        <stp>##V3_BDPV12</stp>
        <stp>9128285M Govt</stp>
        <stp>IDX_RATIO</stp>
        <stp>[TREASURY.xlsx]Sheet1!R51C20</stp>
        <tr r="T51" s="1"/>
      </tp>
      <tp t="s">
        <v>#N/A Field Not Applicable</v>
        <stp/>
        <stp>##V3_BDPV12</stp>
        <stp>9128282R Govt</stp>
        <stp>IDX_RATIO</stp>
        <stp>[TREASURY.xlsx]Sheet1!R98C20</stp>
        <tr r="T98" s="1"/>
      </tp>
      <tp t="s">
        <v>#N/A Field Not Applicable</v>
        <stp/>
        <stp>##V3_BDPV12</stp>
        <stp>9128282A Govt</stp>
        <stp>IDX_RATIO</stp>
        <stp>[TREASURY.xlsx]Sheet1!R56C20</stp>
        <tr r="T56" s="1"/>
      </tp>
      <tp t="s">
        <v>T 12 05/15/87</v>
        <stp/>
        <stp>##V3_BDPV12</stp>
        <stp>912827KK Govt</stp>
        <stp>SECURITY_NAME</stp>
        <stp>[TREASURY.xlsx]Sheet1!R708C16</stp>
        <tr r="P708" s="1"/>
      </tp>
      <tp t="s">
        <v>T 11 1/2 01/31/82</v>
        <stp/>
        <stp>##V3_BDPV12</stp>
        <stp>912827KH Govt</stp>
        <stp>SECURITY_NAME</stp>
        <stp>[TREASURY.xlsx]Sheet1!R455C16</stp>
        <tr r="P455" s="1"/>
      </tp>
      <tp t="s">
        <v>#N/A Field Not Applicable</v>
        <stp/>
        <stp>##V3_BDPV12</stp>
        <stp>9128283W Govt</stp>
        <stp>IDX_RATIO</stp>
        <stp>[TREASURY.xlsx]Sheet1!R68C20</stp>
        <tr r="T68" s="1"/>
      </tp>
      <tp t="s">
        <v>#N/A Field Not Applicable</v>
        <stp/>
        <stp>##V3_BDPV12</stp>
        <stp>9128283F Govt</stp>
        <stp>IDX_RATIO</stp>
        <stp>[TREASURY.xlsx]Sheet1!R65C20</stp>
        <tr r="T65" s="1"/>
      </tp>
      <tp t="s">
        <v>T 1 3/4 03/31/14</v>
        <stp/>
        <stp>##V3_BDPV12</stp>
        <stp>912828KJ Govt</stp>
        <stp>SECURITY_NAME</stp>
        <stp>[TREASURY.xlsx]Sheet1!R561C16</stp>
        <tr r="P561" s="1"/>
      </tp>
      <tp t="s">
        <v>T 1 7/8 02/28/14</v>
        <stp/>
        <stp>##V3_BDPV12</stp>
        <stp>912828KF Govt</stp>
        <stp>SECURITY_NAME</stp>
        <stp>[TREASURY.xlsx]Sheet1!R812C16</stp>
        <tr r="P812" s="1"/>
      </tp>
      <tp t="s">
        <v>US912828YS30</v>
        <stp/>
        <stp>##V3_BDPV12</stp>
        <stp>912828YS Govt</stp>
        <stp>ID_ISIN</stp>
        <stp>[TREASURY.xlsx]Sheet1!R38C12</stp>
        <tr r="L38" s="1"/>
      </tp>
      <tp t="s">
        <v>US91282CBS98</v>
        <stp/>
        <stp>##V3_BDPV12</stp>
        <stp>91282CBS Govt</stp>
        <stp>ID_ISIN</stp>
        <stp>[TREASURY.xlsx]Sheet1!R75C12</stp>
        <tr r="L75" s="1"/>
      </tp>
      <tp t="s">
        <v>US912810SS87</v>
        <stp/>
        <stp>##V3_BDPV12</stp>
        <stp>912810SS Govt</stp>
        <stp>ID_ISIN</stp>
        <stp>[TREASURY.xlsx]Sheet1!R37C12</stp>
        <tr r="L37" s="1"/>
      </tp>
      <tp t="s">
        <v>FIXED</v>
        <stp/>
        <stp>##V3_BDPV12</stp>
        <stp>912810SW Govt</stp>
        <stp>CPN_TYP</stp>
        <stp>[TREASURY.xlsx]Sheet1!R44C11</stp>
        <tr r="K44" s="1"/>
      </tp>
      <tp t="s">
        <v>FIXED</v>
        <stp/>
        <stp>##V3_BDPV12</stp>
        <stp>9128283W Govt</stp>
        <stp>CPN_TYP</stp>
        <stp>[TREASURY.xlsx]Sheet1!R68C11</stp>
        <tr r="K68" s="1"/>
      </tp>
      <tp t="s">
        <v>FIXED</v>
        <stp/>
        <stp>##V3_BDPV12</stp>
        <stp>91282CBW Govt</stp>
        <stp>CPN_TYP</stp>
        <stp>[TREASURY.xlsx]Sheet1!R29C11</stp>
        <tr r="K29" s="1"/>
      </tp>
      <tp t="s">
        <v>T</v>
        <stp/>
        <stp>##V3_BDPV12</stp>
        <stp>9128283Z Govt</stp>
        <stp>TICKER</stp>
        <stp>[TREASURY.xlsx]Sheet1!R261C2</stp>
        <tr r="B261" s="1"/>
      </tp>
      <tp t="s">
        <v>NORMAL</v>
        <stp/>
        <stp>##V3_BDPV12</stp>
        <stp>91282CBL Govt</stp>
        <stp>MTY_TYP</stp>
        <stp>[TREASURY.xlsx]Sheet1!R14C6</stp>
        <tr r="F14" s="1"/>
      </tp>
      <tp t="s">
        <v>T</v>
        <stp/>
        <stp>##V3_BDPV12</stp>
        <stp>9128286X Govt</stp>
        <stp>TICKER</stp>
        <stp>[TREASURY.xlsx]Sheet1!R264C2</stp>
        <tr r="B264" s="1"/>
      </tp>
      <tp t="s">
        <v>T</v>
        <stp/>
        <stp>##V3_BDPV12</stp>
        <stp>9128284X Govt</stp>
        <stp>TICKER</stp>
        <stp>[TREASURY.xlsx]Sheet1!R256C2</stp>
        <tr r="B256" s="1"/>
      </tp>
      <tp t="s">
        <v>T</v>
        <stp/>
        <stp>##V3_BDPV12</stp>
        <stp>9128284Y Govt</stp>
        <stp>TICKER</stp>
        <stp>[TREASURY.xlsx]Sheet1!R376C2</stp>
        <tr r="B376" s="1"/>
      </tp>
      <tp t="s">
        <v>7/31/2026</v>
        <stp/>
        <stp>##V3_BDPV12</stp>
        <stp>91282CCP Govt</stp>
        <stp>MATURITY</stp>
        <stp>[TREASURY.xlsx]Sheet1!R19C5</stp>
        <tr r="E19" s="1"/>
      </tp>
      <tp t="s">
        <v>T</v>
        <stp/>
        <stp>##V3_BDPV12</stp>
        <stp>9128282T Govt</stp>
        <stp>TICKER</stp>
        <stp>[TREASURY.xlsx]Sheet1!R330C2</stp>
        <tr r="B330" s="1"/>
      </tp>
      <tp t="s">
        <v>NORMAL</v>
        <stp/>
        <stp>##V3_BDPV12</stp>
        <stp>91282CAX Govt</stp>
        <stp>MTY_TYP</stp>
        <stp>[TREASURY.xlsx]Sheet1!R67C6</stp>
        <tr r="F67" s="1"/>
      </tp>
      <tp t="s">
        <v>T</v>
        <stp/>
        <stp>##V3_BDPV12</stp>
        <stp>9128282D Govt</stp>
        <stp>TICKER</stp>
        <stp>[TREASURY.xlsx]Sheet1!R260C2</stp>
        <tr r="B260" s="1"/>
      </tp>
      <tp t="s">
        <v>T</v>
        <stp/>
        <stp>##V3_BDPV12</stp>
        <stp>9128283D Govt</stp>
        <stp>TICKER</stp>
        <stp>[TREASURY.xlsx]Sheet1!R231C2</stp>
        <tr r="B231" s="1"/>
      </tp>
      <tp t="s">
        <v>NORMAL</v>
        <stp/>
        <stp>##V3_BDPV12</stp>
        <stp>91282CAV Govt</stp>
        <stp>MTY_TYP</stp>
        <stp>[TREASURY.xlsx]Sheet1!R17C6</stp>
        <tr r="F17" s="1"/>
      </tp>
      <tp t="s">
        <v>T 5 1/2 04/15/00</v>
        <stp/>
        <stp>##V3_BDPV12</stp>
        <stp>912827K4 Govt</stp>
        <stp>SECURITY_NAME</stp>
        <stp>[TREASURY.xlsx]Sheet1!R568C16</stp>
        <tr r="P568" s="1"/>
      </tp>
      <tp t="s">
        <v>T 1 3/8 04/30/20</v>
        <stp/>
        <stp>##V3_BDPV12</stp>
        <stp>912828K5 Govt</stp>
        <stp>SECURITY_NAME</stp>
        <stp>[TREASURY.xlsx]Sheet1!R518C16</stp>
        <tr r="P518" s="1"/>
      </tp>
      <tp t="s">
        <v>T</v>
        <stp/>
        <stp>##V3_BDPV12</stp>
        <stp>912828A5 Govt</stp>
        <stp>TICKER</stp>
        <stp>[TREASURY.xlsx]Sheet1!R1233C2</stp>
        <tr r="B1233" s="1"/>
      </tp>
      <tp t="s">
        <v>T</v>
        <stp/>
        <stp>##V3_BDPV12</stp>
        <stp>912827M2 Govt</stp>
        <stp>TICKER</stp>
        <stp>[TREASURY.xlsx]Sheet1!R1164C2</stp>
        <tr r="B1164" s="1"/>
      </tp>
      <tp t="s">
        <v>T</v>
        <stp/>
        <stp>##V3_BDPV12</stp>
        <stp>912827A7 Govt</stp>
        <stp>TICKER</stp>
        <stp>[TREASURY.xlsx]Sheet1!R1031C2</stp>
        <tr r="B1031" s="1"/>
      </tp>
      <tp t="s">
        <v>T</v>
        <stp/>
        <stp>##V3_BDPV12</stp>
        <stp>912827G2 Govt</stp>
        <stp>TICKER</stp>
        <stp>[TREASURY.xlsx]Sheet1!R1034C2</stp>
        <tr r="B1034" s="1"/>
      </tp>
      <tp t="s">
        <v>T</v>
        <stp/>
        <stp>##V3_BDPV12</stp>
        <stp>912827V5 Govt</stp>
        <stp>TICKER</stp>
        <stp>[TREASURY.xlsx]Sheet1!R1083C2</stp>
        <tr r="B1083" s="1"/>
      </tp>
      <tp t="s">
        <v>T</v>
        <stp/>
        <stp>##V3_BDPV12</stp>
        <stp>912827Y4 Govt</stp>
        <stp>TICKER</stp>
        <stp>[TREASURY.xlsx]Sheet1!R1602C2</stp>
        <tr r="B1602" s="1"/>
      </tp>
      <tp t="s">
        <v>T</v>
        <stp/>
        <stp>##V3_BDPV12</stp>
        <stp>912827B6 Govt</stp>
        <stp>TICKER</stp>
        <stp>[TREASURY.xlsx]Sheet1!R1550C2</stp>
        <tr r="B1550" s="1"/>
      </tp>
      <tp t="s">
        <v>T</v>
        <stp/>
        <stp>##V3_BDPV12</stp>
        <stp>912827B7 Govt</stp>
        <stp>TICKER</stp>
        <stp>[TREASURY.xlsx]Sheet1!R1551C2</stp>
        <tr r="B1551" s="1"/>
      </tp>
      <tp t="s">
        <v>T</v>
        <stp/>
        <stp>##V3_BDPV12</stp>
        <stp>912827S3 Govt</stp>
        <stp>TICKER</stp>
        <stp>[TREASURY.xlsx]Sheet1!R1585C2</stp>
        <tr r="B1585" s="1"/>
      </tp>
      <tp t="s">
        <v>T</v>
        <stp/>
        <stp>##V3_BDPV12</stp>
        <stp>912827R6 Govt</stp>
        <stp>TICKER</stp>
        <stp>[TREASURY.xlsx]Sheet1!R1500C2</stp>
        <tr r="B1500" s="1"/>
      </tp>
      <tp t="s">
        <v>T</v>
        <stp/>
        <stp>##V3_BDPV12</stp>
        <stp>912827U7 Govt</stp>
        <stp>TICKER</stp>
        <stp>[TREASURY.xlsx]Sheet1!R1511C2</stp>
        <tr r="B1511" s="1"/>
      </tp>
      <tp t="s">
        <v>T</v>
        <stp/>
        <stp>##V3_BDPV12</stp>
        <stp>912827K6 Govt</stp>
        <stp>TICKER</stp>
        <stp>[TREASURY.xlsx]Sheet1!R1490C2</stp>
        <tr r="B1490" s="1"/>
      </tp>
      <tp t="s">
        <v>T</v>
        <stp/>
        <stp>##V3_BDPV12</stp>
        <stp>912827A5 Govt</stp>
        <stp>TICKER</stp>
        <stp>[TREASURY.xlsx]Sheet1!R1473C2</stp>
        <tr r="B1473" s="1"/>
      </tp>
      <tp t="s">
        <v>#N/A Field Not Applicable</v>
        <stp/>
        <stp>##V3_BDPV12</stp>
        <stp>912828J2 Govt</stp>
        <stp>IDX_RATIO</stp>
        <stp>[TREASURY.xlsx]Sheet1!R94C20</stp>
        <tr r="T94" s="1"/>
      </tp>
      <tp t="s">
        <v>#N/A Field Not Applicable</v>
        <stp/>
        <stp>##V3_BDPV12</stp>
        <stp>912828K7 Govt</stp>
        <stp>IDX_RATIO</stp>
        <stp>[TREASURY.xlsx]Sheet1!R81C20</stp>
        <tr r="T81" s="1"/>
      </tp>
      <tp t="s">
        <v>#N/A Field Not Applicable</v>
        <stp/>
        <stp>##V3_BDPV12</stp>
        <stp>912828D5 Govt</stp>
        <stp>IDX_RATIO</stp>
        <stp>[TREASURY.xlsx]Sheet1!R70C20</stp>
        <tr r="T70" s="1"/>
      </tp>
      <tp t="s">
        <v>T 1 08/15/18</v>
        <stp/>
        <stp>##V3_BDPV12</stp>
        <stp>912828K8 Govt</stp>
        <stp>SECURITY_NAME</stp>
        <stp>[TREASURY.xlsx]Sheet1!R369C16</stp>
        <tr r="P369" s="1"/>
      </tp>
      <tp t="s">
        <v>#N/A Field Not Applicable</v>
        <stp/>
        <stp>##V3_BDPV12</stp>
        <stp>912828Z5 Govt</stp>
        <stp>IDX_RATIO</stp>
        <stp>[TREASURY.xlsx]Sheet1!R83C20</stp>
        <tr r="T83" s="1"/>
      </tp>
      <tp t="s">
        <v>#N/A Field Not Applicable</v>
        <stp/>
        <stp>##V3_BDPV12</stp>
        <stp>912828Z9 Govt</stp>
        <stp>IDX_RATIO</stp>
        <stp>[TREASURY.xlsx]Sheet1!R25C20</stp>
        <tr r="T25" s="1"/>
      </tp>
      <tp t="s">
        <v>#N/A Field Not Applicable</v>
        <stp/>
        <stp>##V3_BDPV12</stp>
        <stp>912828ZQ Govt</stp>
        <stp>IDX_RATIO</stp>
        <stp>[TREASURY.xlsx]Sheet1!R31C20</stp>
        <tr r="T31" s="1"/>
      </tp>
      <tp t="s">
        <v>#N/A Field Not Applicable</v>
        <stp/>
        <stp>##V3_BDPV12</stp>
        <stp>912828ZT Govt</stp>
        <stp>IDX_RATIO</stp>
        <stp>[TREASURY.xlsx]Sheet1!R85C20</stp>
        <tr r="T85" s="1"/>
      </tp>
      <tp t="s">
        <v>#N/A Field Not Applicable</v>
        <stp/>
        <stp>##V3_BDPV12</stp>
        <stp>912828ZC Govt</stp>
        <stp>IDX_RATIO</stp>
        <stp>[TREASURY.xlsx]Sheet1!R74C20</stp>
        <tr r="T74" s="1"/>
      </tp>
      <tp t="s">
        <v>#N/A Field Not Applicable</v>
        <stp/>
        <stp>##V3_BDPV12</stp>
        <stp>912828ZF Govt</stp>
        <stp>IDX_RATIO</stp>
        <stp>[TREASURY.xlsx]Sheet1!R61C20</stp>
        <tr r="T61" s="1"/>
      </tp>
      <tp t="s">
        <v>#N/A Field Not Applicable</v>
        <stp/>
        <stp>##V3_BDPV12</stp>
        <stp>912828ZG Govt</stp>
        <stp>IDX_RATIO</stp>
        <stp>[TREASURY.xlsx]Sheet1!R62C20</stp>
        <tr r="T62" s="1"/>
      </tp>
      <tp t="s">
        <v>#N/A Field Not Applicable</v>
        <stp/>
        <stp>##V3_BDPV12</stp>
        <stp>912828ZL Govt</stp>
        <stp>IDX_RATIO</stp>
        <stp>[TREASURY.xlsx]Sheet1!R66C20</stp>
        <tr r="T66" s="1"/>
      </tp>
      <tp t="s">
        <v>#N/A Field Not Applicable</v>
        <stp/>
        <stp>##V3_BDPV12</stp>
        <stp>912828X8 Govt</stp>
        <stp>IDX_RATIO</stp>
        <stp>[TREASURY.xlsx]Sheet1!R97C20</stp>
        <tr r="T97" s="1"/>
      </tp>
      <tp t="s">
        <v>#N/A Field Not Applicable</v>
        <stp/>
        <stp>##V3_BDPV12</stp>
        <stp>912828YS Govt</stp>
        <stp>IDX_RATIO</stp>
        <stp>[TREASURY.xlsx]Sheet1!R38C20</stp>
        <tr r="T38" s="1"/>
      </tp>
      <tp t="s">
        <v>#N/A Field Not Applicable</v>
        <stp/>
        <stp>##V3_BDPV12</stp>
        <stp>912828YQ Govt</stp>
        <stp>IDX_RATIO</stp>
        <stp>[TREASURY.xlsx]Sheet1!R87C20</stp>
        <tr r="T87" s="1"/>
      </tp>
      <tp t="s">
        <v>#N/A Field Not Applicable</v>
        <stp/>
        <stp>##V3_BDPV12</stp>
        <stp>912828YJ Govt</stp>
        <stp>IDX_RATIO</stp>
        <stp>[TREASURY.xlsx]Sheet1!R80C20</stp>
        <tr r="T80" s="1"/>
      </tp>
      <tp t="s">
        <v>#N/A Field Not Applicable</v>
        <stp/>
        <stp>##V3_BDPV12</stp>
        <stp>912828YB Govt</stp>
        <stp>IDX_RATIO</stp>
        <stp>[TREASURY.xlsx]Sheet1!R26C20</stp>
        <tr r="T26" s="1"/>
      </tp>
      <tp t="s">
        <v>#N/A Field Not Applicable</v>
        <stp/>
        <stp>##V3_BDPV12</stp>
        <stp>912828YF Govt</stp>
        <stp>IDX_RATIO</stp>
        <stp>[TREASURY.xlsx]Sheet1!R76C20</stp>
        <tr r="T76" s="1"/>
      </tp>
      <tp t="s">
        <v>#N/A Field Not Applicable</v>
        <stp/>
        <stp>##V3_BDPV12</stp>
        <stp>912828YG Govt</stp>
        <stp>IDX_RATIO</stp>
        <stp>[TREASURY.xlsx]Sheet1!R69C20</stp>
        <tr r="T69" s="1"/>
      </tp>
      <tp t="s">
        <v>#N/A Field Not Applicable</v>
        <stp/>
        <stp>##V3_BDPV12</stp>
        <stp>912828U2 Govt</stp>
        <stp>IDX_RATIO</stp>
        <stp>[TREASURY.xlsx]Sheet1!R84C20</stp>
        <tr r="T84" s="1"/>
      </tp>
      <tp t="s">
        <v>#N/A Field Not Applicable</v>
        <stp/>
        <stp>##V3_BDPV12</stp>
        <stp>912828P4 Govt</stp>
        <stp>IDX_RATIO</stp>
        <stp>[TREASURY.xlsx]Sheet1!R91C20</stp>
        <tr r="T91" s="1"/>
      </tp>
      <tp t="s">
        <v>T 13 7/8 11/15/86</v>
        <stp/>
        <stp>##V3_BDPV12</stp>
        <stp>912827LY Govt</stp>
        <stp>SECURITY_NAME</stp>
        <stp>[TREASURY.xlsx]Sheet1!R894C16</stp>
        <tr r="P894" s="1"/>
      </tp>
      <tp t="s">
        <v>T 15 3/4 05/15/84</v>
        <stp/>
        <stp>##V3_BDPV12</stp>
        <stp>912827LV Govt</stp>
        <stp>SECURITY_NAME</stp>
        <stp>[TREASURY.xlsx]Sheet1!R717C16</stp>
        <tr r="P717" s="1"/>
      </tp>
      <tp t="s">
        <v>T 1 09/30/11</v>
        <stp/>
        <stp>##V3_BDPV12</stp>
        <stp>912828LW Govt</stp>
        <stp>SECURITY_NAME</stp>
        <stp>[TREASURY.xlsx]Sheet1!R629C16</stp>
        <tr r="P629" s="1"/>
      </tp>
      <tp t="s">
        <v>T 15 5/8 05/31/83</v>
        <stp/>
        <stp>##V3_BDPV12</stp>
        <stp>912827LX Govt</stp>
        <stp>SECURITY_NAME</stp>
        <stp>[TREASURY.xlsx]Sheet1!R893C16</stp>
        <tr r="P893" s="1"/>
      </tp>
      <tp t="s">
        <v>T 2 3/8 09/30/14</v>
        <stp/>
        <stp>##V3_BDPV12</stp>
        <stp>912828LQ Govt</stp>
        <stp>SECURITY_NAME</stp>
        <stp>[TREASURY.xlsx]Sheet1!R486C16</stp>
        <tr r="P486" s="1"/>
      </tp>
      <tp t="s">
        <v>T 3 09/30/16</v>
        <stp/>
        <stp>##V3_BDPV12</stp>
        <stp>912828LP Govt</stp>
        <stp>SECURITY_NAME</stp>
        <stp>[TREASURY.xlsx]Sheet1!R816C16</stp>
        <tr r="P816" s="1"/>
      </tp>
      <tp t="s">
        <v>T 2 3/8 10/31/14</v>
        <stp/>
        <stp>##V3_BDPV12</stp>
        <stp>912828LS Govt</stp>
        <stp>SECURITY_NAME</stp>
        <stp>[TREASURY.xlsx]Sheet1!R858C16</stp>
        <tr r="P858" s="1"/>
      </tp>
      <tp t="s">
        <v>T 1 3/8 10/15/12</v>
        <stp/>
        <stp>##V3_BDPV12</stp>
        <stp>912828LR Govt</stp>
        <stp>SECURITY_NAME</stp>
        <stp>[TREASURY.xlsx]Sheet1!R817C16</stp>
        <tr r="P817" s="1"/>
      </tp>
      <tp t="s">
        <v>T 3 3/8 11/15/19</v>
        <stp/>
        <stp>##V3_BDPV12</stp>
        <stp>912828LY Govt</stp>
        <stp>SECURITY_NAME</stp>
        <stp>[TREASURY.xlsx]Sheet1!R353C16</stp>
        <tr r="P353" s="1"/>
      </tp>
      <tp t="s">
        <v>T 14 1/2 04/30/83</v>
        <stp/>
        <stp>##V3_BDPV12</stp>
        <stp>912827LU Govt</stp>
        <stp>SECURITY_NAME</stp>
        <stp>[TREASURY.xlsx]Sheet1!R892C16</stp>
        <tr r="P892" s="1"/>
      </tp>
      <tp t="s">
        <v>T 3 1/8 10/31/16</v>
        <stp/>
        <stp>##V3_BDPV12</stp>
        <stp>912828LU Govt</stp>
        <stp>SECURITY_NAME</stp>
        <stp>[TREASURY.xlsx]Sheet1!R818C16</stp>
        <tr r="P818" s="1"/>
      </tp>
      <tp t="s">
        <v>T 1 3/8 11/15/12</v>
        <stp/>
        <stp>##V3_BDPV12</stp>
        <stp>912828LX Govt</stp>
        <stp>SECURITY_NAME</stp>
        <stp>[TREASURY.xlsx]Sheet1!R535C16</stp>
        <tr r="P535" s="1"/>
      </tp>
      <tp t="s">
        <v>T 1 10/31/11</v>
        <stp/>
        <stp>##V3_BDPV12</stp>
        <stp>912828LT Govt</stp>
        <stp>SECURITY_NAME</stp>
        <stp>[TREASURY.xlsx]Sheet1!R975C16</stp>
        <tr r="P975" s="1"/>
      </tp>
      <tp t="s">
        <v>T 2 1/8 11/30/14</v>
        <stp/>
        <stp>##V3_BDPV12</stp>
        <stp>912828LZ Govt</stp>
        <stp>SECURITY_NAME</stp>
        <stp>[TREASURY.xlsx]Sheet1!R515C16</stp>
        <tr r="P515" s="1"/>
      </tp>
      <tp t="s">
        <v>T 13 11/15/90</v>
        <stp/>
        <stp>##V3_BDPV12</stp>
        <stp>912827LF Govt</stp>
        <stp>SECURITY_NAME</stp>
        <stp>[TREASURY.xlsx]Sheet1!R656C16</stp>
        <tr r="P656" s="1"/>
      </tp>
      <tp t="s">
        <v>T 1 1/8 06/30/11</v>
        <stp/>
        <stp>##V3_BDPV12</stp>
        <stp>912828LF Govt</stp>
        <stp>SECURITY_NAME</stp>
        <stp>[TREASURY.xlsx]Sheet1!R584C16</stp>
        <tr r="P584" s="1"/>
      </tp>
      <tp t="s">
        <v>T 15 1/8 12/31/82</v>
        <stp/>
        <stp>##V3_BDPV12</stp>
        <stp>912827LJ Govt</stp>
        <stp>SECURITY_NAME</stp>
        <stp>[TREASURY.xlsx]Sheet1!R890C16</stp>
        <tr r="P890" s="1"/>
      </tp>
      <tp t="s">
        <v>T 12 3/8 01/15/88</v>
        <stp/>
        <stp>##V3_BDPV12</stp>
        <stp>912827LL Govt</stp>
        <stp>SECURITY_NAME</stp>
        <stp>[TREASURY.xlsx]Sheet1!R891C16</stp>
        <tr r="P891" s="1"/>
      </tp>
      <tp t="s">
        <v>T 1 1/2 07/15/12</v>
        <stp/>
        <stp>##V3_BDPV12</stp>
        <stp>912828LB Govt</stp>
        <stp>SECURITY_NAME</stp>
        <stp>[TREASURY.xlsx]Sheet1!R558C16</stp>
        <tr r="P558" s="1"/>
      </tp>
      <tp t="s">
        <v>T 11 3/4 11/15/85</v>
        <stp/>
        <stp>##V3_BDPV12</stp>
        <stp>912827LA Govt</stp>
        <stp>SECURITY_NAME</stp>
        <stp>[TREASURY.xlsx]Sheet1!R887C16</stp>
        <tr r="P887" s="1"/>
      </tp>
      <tp t="s">
        <v>T 13 1/4 08/15/84</v>
        <stp/>
        <stp>##V3_BDPV12</stp>
        <stp>912827LN Govt</stp>
        <stp>SECURITY_NAME</stp>
        <stp>[TREASURY.xlsx]Sheet1!R716C16</stp>
        <tr r="P716" s="1"/>
      </tp>
      <tp t="s">
        <v>T 12 1/8 09/30/84</v>
        <stp/>
        <stp>##V3_BDPV12</stp>
        <stp>912827LC Govt</stp>
        <stp>SECURITY_NAME</stp>
        <stp>[TREASURY.xlsx]Sheet1!R888C16</stp>
        <tr r="P888" s="1"/>
      </tp>
      <tp t="s">
        <v>T 13 5/8 01/31/83</v>
        <stp/>
        <stp>##V3_BDPV12</stp>
        <stp>912827LM Govt</stp>
        <stp>SECURITY_NAME</stp>
        <stp>[TREASURY.xlsx]Sheet1!R715C16</stp>
        <tr r="P715" s="1"/>
      </tp>
      <tp t="s">
        <v>T 13 1/4 05/15/84</v>
        <stp/>
        <stp>##V3_BDPV12</stp>
        <stp>912827LE Govt</stp>
        <stp>SECURITY_NAME</stp>
        <stp>[TREASURY.xlsx]Sheet1!R889C16</stp>
        <tr r="P889" s="1"/>
      </tp>
      <tp t="s">
        <v>T 3 1/4 07/31/16</v>
        <stp/>
        <stp>##V3_BDPV12</stp>
        <stp>912828LD Govt</stp>
        <stp>SECURITY_NAME</stp>
        <stp>[TREASURY.xlsx]Sheet1!R814C16</stp>
        <tr r="P814" s="1"/>
      </tp>
      <tp t="s">
        <v>T 1 07/31/11</v>
        <stp/>
        <stp>##V3_BDPV12</stp>
        <stp>912828LG Govt</stp>
        <stp>SECURITY_NAME</stp>
        <stp>[TREASURY.xlsx]Sheet1!R815C16</stp>
        <tr r="P815" s="1"/>
      </tp>
      <tp t="s">
        <v>T 3 5/8 08/15/19</v>
        <stp/>
        <stp>##V3_BDPV12</stp>
        <stp>912828LJ Govt</stp>
        <stp>SECURITY_NAME</stp>
        <stp>[TREASURY.xlsx]Sheet1!R485C16</stp>
        <tr r="P485" s="1"/>
      </tp>
      <tp t="s">
        <v>T 2 3/8 08/31/14</v>
        <stp/>
        <stp>##V3_BDPV12</stp>
        <stp>912828LK Govt</stp>
        <stp>SECURITY_NAME</stp>
        <stp>[TREASURY.xlsx]Sheet1!R546C16</stp>
        <tr r="P546" s="1"/>
      </tp>
      <tp t="s">
        <v>US912828ZT04</v>
        <stp/>
        <stp>##V3_BDPV12</stp>
        <stp>912828ZT Govt</stp>
        <stp>ID_ISIN</stp>
        <stp>[TREASURY.xlsx]Sheet1!R85C12</stp>
        <tr r="L85" s="1"/>
      </tp>
      <tp t="s">
        <v>US9128286T26</v>
        <stp/>
        <stp>##V3_BDPV12</stp>
        <stp>9128286T Govt</stp>
        <stp>ID_ISIN</stp>
        <stp>[TREASURY.xlsx]Sheet1!R48C12</stp>
        <tr r="L48" s="1"/>
      </tp>
      <tp t="s">
        <v>US91282CBT71</v>
        <stp/>
        <stp>##V3_BDPV12</stp>
        <stp>91282CBT Govt</stp>
        <stp>ID_ISIN</stp>
        <stp>[TREASURY.xlsx]Sheet1!R52C12</stp>
        <tr r="L52" s="1"/>
      </tp>
      <tp t="s">
        <v>US91282CCT62</v>
        <stp/>
        <stp>##V3_BDPV12</stp>
        <stp>91282CCT Govt</stp>
        <stp>ID_ISIN</stp>
        <stp>[TREASURY.xlsx]Sheet1!R16C12</stp>
        <tr r="L16" s="1"/>
      </tp>
      <tp t="s">
        <v>US91282CAT80</v>
        <stp/>
        <stp>##V3_BDPV12</stp>
        <stp>91282CAT Govt</stp>
        <stp>ID_ISIN</stp>
        <stp>[TREASURY.xlsx]Sheet1!R39C12</stp>
        <tr r="L39" s="1"/>
      </tp>
      <tp t="s">
        <v>US912810FT08</v>
        <stp/>
        <stp>##V3_BDPV12</stp>
        <stp>912810FT Govt</stp>
        <stp>ID_ISIN</stp>
        <stp>[TREASURY.xlsx]Sheet1!R79C12</stp>
        <tr r="L79" s="1"/>
      </tp>
      <tp t="s">
        <v>US912810RT79</v>
        <stp/>
        <stp>##V3_BDPV12</stp>
        <stp>912810RT Govt</stp>
        <stp>ID_ISIN</stp>
        <stp>[TREASURY.xlsx]Sheet1!R96C12</stp>
        <tr r="L96" s="1"/>
      </tp>
      <tp t="s">
        <v>US912810ST60</v>
        <stp/>
        <stp>##V3_BDPV12</stp>
        <stp>912810ST Govt</stp>
        <stp>ID_ISIN</stp>
        <stp>[TREASURY.xlsx]Sheet1!R90C12</stp>
        <tr r="L90" s="1"/>
      </tp>
      <tp t="s">
        <v>FIXED</v>
        <stp/>
        <stp>##V3_BDPV12</stp>
        <stp>912810SP Govt</stp>
        <stp>CPN_TYP</stp>
        <stp>[TREASURY.xlsx]Sheet1!R35C11</stp>
        <tr r="K35" s="1"/>
      </tp>
      <tp t="s">
        <v>FIXED</v>
        <stp/>
        <stp>##V3_BDPV12</stp>
        <stp>912810FP Govt</stp>
        <stp>CPN_TYP</stp>
        <stp>[TREASURY.xlsx]Sheet1!R93C11</stp>
        <tr r="K93" s="1"/>
      </tp>
      <tp t="s">
        <v>FIXED</v>
        <stp/>
        <stp>##V3_BDPV12</stp>
        <stp>91282CCP Govt</stp>
        <stp>CPN_TYP</stp>
        <stp>[TREASURY.xlsx]Sheet1!R19C11</stp>
        <tr r="K19" s="1"/>
      </tp>
      <tp t="s">
        <v>FIXED</v>
        <stp/>
        <stp>##V3_BDPV12</stp>
        <stp>91282CBP Govt</stp>
        <stp>CPN_TYP</stp>
        <stp>[TREASURY.xlsx]Sheet1!R86C11</stp>
        <tr r="K86" s="1"/>
      </tp>
      <tp t="s">
        <v>NORMAL</v>
        <stp/>
        <stp>##V3_BDPV12</stp>
        <stp>91282CCJ Govt</stp>
        <stp>MTY_TYP</stp>
        <stp>[TREASURY.xlsx]Sheet1!R22C6</stp>
        <tr r="F22" s="1"/>
      </tp>
      <tp t="s">
        <v>NORMAL</v>
        <stp/>
        <stp>##V3_BDPV12</stp>
        <stp>91282CAK Govt</stp>
        <stp>MTY_TYP</stp>
        <stp>[TREASURY.xlsx]Sheet1!R60C6</stp>
        <tr r="F60" s="1"/>
      </tp>
      <tp t="s">
        <v>T</v>
        <stp/>
        <stp>##V3_BDPV12</stp>
        <stp>9128284Z Govt</stp>
        <stp>TICKER</stp>
        <stp>[TREASURY.xlsx]Sheet1!R251C2</stp>
        <tr r="B251" s="1"/>
      </tp>
      <tp t="s">
        <v>T</v>
        <stp/>
        <stp>##V3_BDPV12</stp>
        <stp>9128285Z Govt</stp>
        <stp>TICKER</stp>
        <stp>[TREASURY.xlsx]Sheet1!R220C2</stp>
        <tr r="B220" s="1"/>
      </tp>
      <tp t="s">
        <v>NORMAL</v>
        <stp/>
        <stp>##V3_BDPV12</stp>
        <stp>91282CCL Govt</stp>
        <stp>MTY_TYP</stp>
        <stp>[TREASURY.xlsx]Sheet1!R32C6</stp>
        <tr r="F32" s="1"/>
      </tp>
      <tp t="s">
        <v>2/15/2047</v>
        <stp/>
        <stp>##V3_BDPV12</stp>
        <stp>912810RV Govt</stp>
        <stp>MATURITY</stp>
        <stp>[TREASURY.xlsx]Sheet1!R28C5</stp>
        <tr r="E28" s="1"/>
      </tp>
      <tp t="s">
        <v>4/30/2026</v>
        <stp/>
        <stp>##V3_BDPV12</stp>
        <stp>91282CBW Govt</stp>
        <stp>MATURITY</stp>
        <stp>[TREASURY.xlsx]Sheet1!R29C5</stp>
        <tr r="E29" s="1"/>
      </tp>
      <tp t="s">
        <v>T</v>
        <stp/>
        <stp>##V3_BDPV12</stp>
        <stp>9128286V Govt</stp>
        <stp>TICKER</stp>
        <stp>[TREASURY.xlsx]Sheet1!R523C2</stp>
        <tr r="B523" s="1"/>
      </tp>
      <tp t="s">
        <v>NORMAL</v>
        <stp/>
        <stp>##V3_BDPV12</stp>
        <stp>91282CCB Govt</stp>
        <stp>MTY_TYP</stp>
        <stp>[TREASURY.xlsx]Sheet1!R12C6</stp>
        <tr r="F12" s="1"/>
      </tp>
      <tp t="s">
        <v>T</v>
        <stp/>
        <stp>##V3_BDPV12</stp>
        <stp>9128285U Govt</stp>
        <stp>TICKER</stp>
        <stp>[TREASURY.xlsx]Sheet1!R160C2</stp>
        <tr r="B160" s="1"/>
      </tp>
      <tp t="s">
        <v>T</v>
        <stp/>
        <stp>##V3_BDPV12</stp>
        <stp>9128286U Govt</stp>
        <stp>TICKER</stp>
        <stp>[TREASURY.xlsx]Sheet1!R233C2</stp>
        <tr r="B233" s="1"/>
      </tp>
      <tp t="s">
        <v>T</v>
        <stp/>
        <stp>##V3_BDPV12</stp>
        <stp>9128285R Govt</stp>
        <stp>TICKER</stp>
        <stp>[TREASURY.xlsx]Sheet1!R140C2</stp>
        <tr r="B140" s="1"/>
      </tp>
      <tp t="s">
        <v>T</v>
        <stp/>
        <stp>##V3_BDPV12</stp>
        <stp>9128285Q Govt</stp>
        <stp>TICKER</stp>
        <stp>[TREASURY.xlsx]Sheet1!R410C2</stp>
        <tr r="B410" s="1"/>
      </tp>
      <tp t="s">
        <v>T</v>
        <stp/>
        <stp>##V3_BDPV12</stp>
        <stp>9128285N Govt</stp>
        <stp>TICKER</stp>
        <stp>[TREASURY.xlsx]Sheet1!R290C2</stp>
        <tr r="B290" s="1"/>
      </tp>
      <tp t="s">
        <v>T</v>
        <stp/>
        <stp>##V3_BDPV12</stp>
        <stp>9128283N Govt</stp>
        <stp>TICKER</stp>
        <stp>[TREASURY.xlsx]Sheet1!R366C2</stp>
        <tr r="B366" s="1"/>
      </tp>
      <tp t="s">
        <v>T</v>
        <stp/>
        <stp>##V3_BDPV12</stp>
        <stp>9128283J Govt</stp>
        <stp>TICKER</stp>
        <stp>[TREASURY.xlsx]Sheet1!R216C2</stp>
        <tr r="B216" s="1"/>
      </tp>
      <tp t="s">
        <v>T</v>
        <stp/>
        <stp>##V3_BDPV12</stp>
        <stp>9128284J Govt</stp>
        <stp>TICKER</stp>
        <stp>[TREASURY.xlsx]Sheet1!R381C2</stp>
        <tr r="B381" s="1"/>
      </tp>
      <tp t="s">
        <v>T</v>
        <stp/>
        <stp>##V3_BDPV12</stp>
        <stp>9128282K Govt</stp>
        <stp>TICKER</stp>
        <stp>[TREASURY.xlsx]Sheet1!R957C2</stp>
        <tr r="B957" s="1"/>
      </tp>
      <tp t="s">
        <v>T</v>
        <stp/>
        <stp>##V3_BDPV12</stp>
        <stp>9128283C Govt</stp>
        <stp>TICKER</stp>
        <stp>[TREASURY.xlsx]Sheet1!R186C2</stp>
        <tr r="B186" s="1"/>
      </tp>
      <tp t="s">
        <v>NORMAL</v>
        <stp/>
        <stp>##V3_BDPV12</stp>
        <stp>91282CBU Govt</stp>
        <stp>MTY_TYP</stp>
        <stp>[TREASURY.xlsx]Sheet1!R53C6</stp>
        <tr r="F53" s="1"/>
      </tp>
      <tp t="s">
        <v>T 1 3/8 08/31/20</v>
        <stp/>
        <stp>##V3_BDPV12</stp>
        <stp>912828L3 Govt</stp>
        <stp>SECURITY_NAME</stp>
        <stp>[TREASURY.xlsx]Sheet1!R327C16</stp>
        <tr r="P327" s="1"/>
      </tp>
      <tp t="s">
        <v>T</v>
        <stp/>
        <stp>##V3_BDPV12</stp>
        <stp>912828R5 Govt</stp>
        <stp>TICKER</stp>
        <stp>[TREASURY.xlsx]Sheet1!R1284C2</stp>
        <tr r="B1284" s="1"/>
      </tp>
      <tp t="s">
        <v>T</v>
        <stp/>
        <stp>##V3_BDPV12</stp>
        <stp>912827J6 Govt</stp>
        <stp>TICKER</stp>
        <stp>[TREASURY.xlsx]Sheet1!R1317C2</stp>
        <tr r="B1317" s="1"/>
      </tp>
      <tp t="s">
        <v>T</v>
        <stp/>
        <stp>##V3_BDPV12</stp>
        <stp>912827L8 Govt</stp>
        <stp>TICKER</stp>
        <stp>[TREASURY.xlsx]Sheet1!R1319C2</stp>
        <tr r="B1319" s="1"/>
      </tp>
      <tp t="s">
        <v>T</v>
        <stp/>
        <stp>##V3_BDPV12</stp>
        <stp>912827P6 Govt</stp>
        <stp>TICKER</stp>
        <stp>[TREASURY.xlsx]Sheet1!R1387C2</stp>
        <tr r="B1387" s="1"/>
      </tp>
      <tp t="s">
        <v>T</v>
        <stp/>
        <stp>##V3_BDPV12</stp>
        <stp>912827Z4 Govt</stp>
        <stp>TICKER</stp>
        <stp>[TREASURY.xlsx]Sheet1!R1225C2</stp>
        <tr r="B1225" s="1"/>
      </tp>
      <tp t="s">
        <v>T</v>
        <stp/>
        <stp>##V3_BDPV12</stp>
        <stp>912827M4 Govt</stp>
        <stp>TICKER</stp>
        <stp>[TREASURY.xlsx]Sheet1!R1165C2</stp>
        <tr r="B1165" s="1"/>
      </tp>
      <tp t="s">
        <v>T</v>
        <stp/>
        <stp>##V3_BDPV12</stp>
        <stp>912827L2 Govt</stp>
        <stp>TICKER</stp>
        <stp>[TREASURY.xlsx]Sheet1!R1163C2</stp>
        <tr r="B1163" s="1"/>
      </tp>
      <tp t="s">
        <v>T</v>
        <stp/>
        <stp>##V3_BDPV12</stp>
        <stp>912827E2 Govt</stp>
        <stp>TICKER</stp>
        <stp>[TREASURY.xlsx]Sheet1!R1153C2</stp>
        <tr r="B1153" s="1"/>
      </tp>
      <tp t="s">
        <v>T</v>
        <stp/>
        <stp>##V3_BDPV12</stp>
        <stp>912827G4 Govt</stp>
        <stp>TICKER</stp>
        <stp>[TREASURY.xlsx]Sheet1!R1035C2</stp>
        <tr r="B1035" s="1"/>
      </tp>
      <tp t="s">
        <v>T</v>
        <stp/>
        <stp>##V3_BDPV12</stp>
        <stp>912827D2 Govt</stp>
        <stp>TICKER</stp>
        <stp>[TREASURY.xlsx]Sheet1!R1033C2</stp>
        <tr r="B1033" s="1"/>
      </tp>
      <tp t="s">
        <v>T</v>
        <stp/>
        <stp>##V3_BDPV12</stp>
        <stp>912827A9 Govt</stp>
        <stp>TICKER</stp>
        <stp>[TREASURY.xlsx]Sheet1!R1548C2</stp>
        <tr r="B1548" s="1"/>
      </tp>
      <tp t="s">
        <v>T</v>
        <stp/>
        <stp>##V3_BDPV12</stp>
        <stp>912827R9 Govt</stp>
        <stp>TICKER</stp>
        <stp>[TREASURY.xlsx]Sheet1!R1578C2</stp>
        <tr r="B1578" s="1"/>
      </tp>
      <tp t="s">
        <v>T</v>
        <stp/>
        <stp>##V3_BDPV12</stp>
        <stp>912827D5 Govt</stp>
        <stp>TICKER</stp>
        <stp>[TREASURY.xlsx]Sheet1!R1484C2</stp>
        <tr r="B1484" s="1"/>
      </tp>
      <tp t="s">
        <v>T</v>
        <stp/>
        <stp>##V3_BDPV12</stp>
        <stp>912827W5 Govt</stp>
        <stp>TICKER</stp>
        <stp>[TREASURY.xlsx]Sheet1!R1414C2</stp>
        <tr r="B1414" s="1"/>
      </tp>
      <tp t="s">
        <v>T</v>
        <stp/>
        <stp>##V3_BDPV12</stp>
        <stp>912827W7 Govt</stp>
        <stp>TICKER</stp>
        <stp>[TREASURY.xlsx]Sheet1!R1416C2</stp>
        <tr r="B1416" s="1"/>
      </tp>
      <tp t="s">
        <v>T 1 7/8 08/31/22</v>
        <stp/>
        <stp>##V3_BDPV12</stp>
        <stp>912828L2 Govt</stp>
        <stp>SECURITY_NAME</stp>
        <stp>[TREASURY.xlsx]Sheet1!R173C16</stp>
        <tr r="P173" s="1"/>
      </tp>
      <tp t="s">
        <v>T 1 3/8 09/30/20</v>
        <stp/>
        <stp>##V3_BDPV12</stp>
        <stp>912828L6 Govt</stp>
        <stp>SECURITY_NAME</stp>
        <stp>[TREASURY.xlsx]Sheet1!R430C16</stp>
        <tr r="P430" s="1"/>
      </tp>
      <tp t="s">
        <v>T 1 09/15/18</v>
        <stp/>
        <stp>##V3_BDPV12</stp>
        <stp>912828L4 Govt</stp>
        <stp>SECURITY_NAME</stp>
        <stp>[TREASURY.xlsx]Sheet1!R669C16</stp>
        <tr r="P669" s="1"/>
      </tp>
      <tp t="s">
        <v>USD</v>
        <stp/>
        <stp>##V3_BDPV12</stp>
        <stp>9128276V Govt</stp>
        <stp>CRNCY</stp>
        <stp>[TREASURY.xlsx]Sheet1!R1468C7</stp>
        <tr r="G1468" s="1"/>
      </tp>
      <tp t="s">
        <v>T 1 3/4 09/30/22</v>
        <stp/>
        <stp>##V3_BDPV12</stp>
        <stp>912828L5 Govt</stp>
        <stp>SECURITY_NAME</stp>
        <stp>[TREASURY.xlsx]Sheet1!R161C16</stp>
        <tr r="P161" s="1"/>
      </tp>
      <tp t="s">
        <v>T 1 3/8 10/31/20</v>
        <stp/>
        <stp>##V3_BDPV12</stp>
        <stp>912828L9 Govt</stp>
        <stp>SECURITY_NAME</stp>
        <stp>[TREASURY.xlsx]Sheet1!R358C16</stp>
        <tr r="P358" s="1"/>
      </tp>
      <tp t="s">
        <v>T 4 1/4 07/31/95</v>
        <stp/>
        <stp>##V3_BDPV12</stp>
        <stp>912827L5 Govt</stp>
        <stp>SECURITY_NAME</stp>
        <stp>[TREASURY.xlsx]Sheet1!R886C16</stp>
        <tr r="P886" s="1"/>
      </tp>
      <tp t="s">
        <v>T 3 7/8 08/31/95</v>
        <stp/>
        <stp>##V3_BDPV12</stp>
        <stp>912827L9 Govt</stp>
        <stp>SECURITY_NAME</stp>
        <stp>[TREASURY.xlsx]Sheet1!R714C16</stp>
        <tr r="P714" s="1"/>
      </tp>
      <tp t="s">
        <v>USD</v>
        <stp/>
        <stp>##V3_BDPV12</stp>
        <stp>9128276L Govt</stp>
        <stp>CRNCY</stp>
        <stp>[TREASURY.xlsx]Sheet1!R1538C7</stp>
        <tr r="G1538" s="1"/>
      </tp>
      <tp t="s">
        <v>T 1 03/31/12</v>
        <stp/>
        <stp>##V3_BDPV12</stp>
        <stp>912828MU Govt</stp>
        <stp>SECURITY_NAME</stp>
        <stp>[TREASURY.xlsx]Sheet1!R494C16</stp>
        <tr r="P494" s="1"/>
      </tp>
      <tp t="s">
        <v>T 1 3/4 04/15/13</v>
        <stp/>
        <stp>##V3_BDPV12</stp>
        <stp>912828MX Govt</stp>
        <stp>SECURITY_NAME</stp>
        <stp>[TREASURY.xlsx]Sheet1!R825C16</stp>
        <tr r="P825" s="1"/>
      </tp>
      <tp t="s">
        <v>T 3 5/8 02/15/20</v>
        <stp/>
        <stp>##V3_BDPV12</stp>
        <stp>912828MP Govt</stp>
        <stp>SECURITY_NAME</stp>
        <stp>[TREASURY.xlsx]Sheet1!R386C16</stp>
        <tr r="P386" s="1"/>
      </tp>
      <tp t="s">
        <v>T 14 5/8 01/15/89</v>
        <stp/>
        <stp>##V3_BDPV12</stp>
        <stp>912827MT Govt</stp>
        <stp>SECURITY_NAME</stp>
        <stp>[TREASURY.xlsx]Sheet1!R724C16</stp>
        <tr r="P724" s="1"/>
      </tp>
      <tp t="s">
        <v>T 2 1/2 03/31/15</v>
        <stp/>
        <stp>##V3_BDPV12</stp>
        <stp>912828MW Govt</stp>
        <stp>SECURITY_NAME</stp>
        <stp>[TREASURY.xlsx]Sheet1!R599C16</stp>
        <tr r="P599" s="1"/>
      </tp>
      <tp t="s">
        <v>T 0 7/8 02/29/12</v>
        <stp/>
        <stp>##V3_BDPV12</stp>
        <stp>912828MQ Govt</stp>
        <stp>SECURITY_NAME</stp>
        <stp>[TREASURY.xlsx]Sheet1!R483C16</stp>
        <tr r="P483" s="1"/>
      </tp>
      <tp t="s">
        <v>T 12 3/4 02/15/87</v>
        <stp/>
        <stp>##V3_BDPV12</stp>
        <stp>912827MQ Govt</stp>
        <stp>SECURITY_NAME</stp>
        <stp>[TREASURY.xlsx]Sheet1!R723C16</stp>
        <tr r="P723" s="1"/>
      </tp>
      <tp t="s">
        <v>T 12 1/8 11/30/83</v>
        <stp/>
        <stp>##V3_BDPV12</stp>
        <stp>912827MP Govt</stp>
        <stp>SECURITY_NAME</stp>
        <stp>[TREASURY.xlsx]Sheet1!R899C16</stp>
        <tr r="P899" s="1"/>
      </tp>
      <tp t="s">
        <v>T 3 02/28/17</v>
        <stp/>
        <stp>##V3_BDPV12</stp>
        <stp>912828MS Govt</stp>
        <stp>SECURITY_NAME</stp>
        <stp>[TREASURY.xlsx]Sheet1!R861C16</stp>
        <tr r="P861" s="1"/>
      </tp>
      <tp t="s">
        <v>T 2 3/8 02/28/15</v>
        <stp/>
        <stp>##V3_BDPV12</stp>
        <stp>912828MR Govt</stp>
        <stp>SECURITY_NAME</stp>
        <stp>[TREASURY.xlsx]Sheet1!R823C16</stp>
        <tr r="P823" s="1"/>
      </tp>
      <tp t="s">
        <v>T 14 05/15/87</v>
        <stp/>
        <stp>##V3_BDPV12</stp>
        <stp>912827MY Govt</stp>
        <stp>SECURITY_NAME</stp>
        <stp>[TREASURY.xlsx]Sheet1!R725C16</stp>
        <tr r="P725" s="1"/>
      </tp>
      <tp t="s">
        <v>T 3 1/4 03/31/17</v>
        <stp/>
        <stp>##V3_BDPV12</stp>
        <stp>912828MV Govt</stp>
        <stp>SECURITY_NAME</stp>
        <stp>[TREASURY.xlsx]Sheet1!R824C16</stp>
        <tr r="P824" s="1"/>
      </tp>
      <tp t="s">
        <v>T 16 1/4 08/31/83</v>
        <stp/>
        <stp>##V3_BDPV12</stp>
        <stp>912827MF Govt</stp>
        <stp>SECURITY_NAME</stp>
        <stp>[TREASURY.xlsx]Sheet1!R722C16</stp>
        <tr r="P722" s="1"/>
      </tp>
      <tp t="s">
        <v>T 2 1/4 01/31/15</v>
        <stp/>
        <stp>##V3_BDPV12</stp>
        <stp>912828MH Govt</stp>
        <stp>SECURITY_NAME</stp>
        <stp>[TREASURY.xlsx]Sheet1!R976C16</stp>
        <tr r="P976" s="1"/>
      </tp>
      <tp t="s">
        <v>T 2 5/8 12/31/14</v>
        <stp/>
        <stp>##V3_BDPV12</stp>
        <stp>912828ME Govt</stp>
        <stp>SECURITY_NAME</stp>
        <stp>[TREASURY.xlsx]Sheet1!R574C16</stp>
        <tr r="P574" s="1"/>
      </tp>
      <tp t="s">
        <v>T 15 3/8 10/15/88</v>
        <stp/>
        <stp>##V3_BDPV12</stp>
        <stp>912827MK Govt</stp>
        <stp>SECURITY_NAME</stp>
        <stp>[TREASURY.xlsx]Sheet1!R898C16</stp>
        <tr r="P898" s="1"/>
      </tp>
      <tp t="s">
        <v>T 15 7/8 09/30/85</v>
        <stp/>
        <stp>##V3_BDPV12</stp>
        <stp>912827MJ Govt</stp>
        <stp>SECURITY_NAME</stp>
        <stp>[TREASURY.xlsx]Sheet1!R897C16</stp>
        <tr r="P897" s="1"/>
      </tp>
      <tp t="s">
        <v>T 0 7/8 01/31/12</v>
        <stp/>
        <stp>##V3_BDPV12</stp>
        <stp>912828MJ Govt</stp>
        <stp>SECURITY_NAME</stp>
        <stp>[TREASURY.xlsx]Sheet1!R820C16</stp>
        <tr r="P820" s="1"/>
      </tp>
      <tp t="s">
        <v>T 14 07/15/88</v>
        <stp/>
        <stp>##V3_BDPV12</stp>
        <stp>912827MB Govt</stp>
        <stp>SECURITY_NAME</stp>
        <stp>[TREASURY.xlsx]Sheet1!R721C16</stp>
        <tr r="P721" s="1"/>
      </tp>
      <tp t="s">
        <v>T 0 3/4 11/30/11</v>
        <stp/>
        <stp>##V3_BDPV12</stp>
        <stp>912828MM Govt</stp>
        <stp>SECURITY_NAME</stp>
        <stp>[TREASURY.xlsx]Sheet1!R821C16</stp>
        <tr r="P821" s="1"/>
      </tp>
      <tp t="s">
        <v>T 14 06/30/85</v>
        <stp/>
        <stp>##V3_BDPV12</stp>
        <stp>912827MA Govt</stp>
        <stp>SECURITY_NAME</stp>
        <stp>[TREASURY.xlsx]Sheet1!R720C16</stp>
        <tr r="P720" s="1"/>
      </tp>
      <tp t="s">
        <v>T 1 3/8 02/15/13</v>
        <stp/>
        <stp>##V3_BDPV12</stp>
        <stp>912828MN Govt</stp>
        <stp>SECURITY_NAME</stp>
        <stp>[TREASURY.xlsx]Sheet1!R822C16</stp>
        <tr r="P822" s="1"/>
      </tp>
      <tp t="s">
        <v>T 1 1/8 12/15/12</v>
        <stp/>
        <stp>##V3_BDPV12</stp>
        <stp>912828MB Govt</stp>
        <stp>SECURITY_NAME</stp>
        <stp>[TREASURY.xlsx]Sheet1!R819C16</stp>
        <tr r="P819" s="1"/>
      </tp>
      <tp t="s">
        <v>T 14 7/8 08/15/91</v>
        <stp/>
        <stp>##V3_BDPV12</stp>
        <stp>912827ME Govt</stp>
        <stp>SECURITY_NAME</stp>
        <stp>[TREASURY.xlsx]Sheet1!R895C16</stp>
        <tr r="P895" s="1"/>
      </tp>
      <tp t="s">
        <v>T 16 09/30/83</v>
        <stp/>
        <stp>##V3_BDPV12</stp>
        <stp>912827MH Govt</stp>
        <stp>SECURITY_NAME</stp>
        <stp>[TREASURY.xlsx]Sheet1!R544C16</stp>
        <tr r="P544" s="1"/>
      </tp>
      <tp t="s">
        <v>T 3 1/4 12/31/16</v>
        <stp/>
        <stp>##V3_BDPV12</stp>
        <stp>912828MD Govt</stp>
        <stp>SECURITY_NAME</stp>
        <stp>[TREASURY.xlsx]Sheet1!R859C16</stp>
        <tr r="P859" s="1"/>
      </tp>
      <tp t="s">
        <v>T 16 1/8 11/15/86</v>
        <stp/>
        <stp>##V3_BDPV12</stp>
        <stp>912827MG Govt</stp>
        <stp>SECURITY_NAME</stp>
        <stp>[TREASURY.xlsx]Sheet1!R896C16</stp>
        <tr r="P896" s="1"/>
      </tp>
      <tp t="s">
        <v>T 1 3/8 01/15/13</v>
        <stp/>
        <stp>##V3_BDPV12</stp>
        <stp>912828MG Govt</stp>
        <stp>SECURITY_NAME</stp>
        <stp>[TREASURY.xlsx]Sheet1!R860C16</stp>
        <tr r="P860" s="1"/>
      </tp>
      <tp t="s">
        <v>T 3 1/8 01/31/17</v>
        <stp/>
        <stp>##V3_BDPV12</stp>
        <stp>912828MK Govt</stp>
        <stp>SECURITY_NAME</stp>
        <stp>[TREASURY.xlsx]Sheet1!R538C16</stp>
        <tr r="P538" s="1"/>
      </tp>
      <tp t="s">
        <v>US91282CBU45</v>
        <stp/>
        <stp>##V3_BDPV12</stp>
        <stp>91282CBU Govt</stp>
        <stp>ID_ISIN</stp>
        <stp>[TREASURY.xlsx]Sheet1!R53C12</stp>
        <tr r="L53" s="1"/>
      </tp>
      <tp t="s">
        <v>US912810PU60</v>
        <stp/>
        <stp>##V3_BDPV12</stp>
        <stp>912810PU Govt</stp>
        <stp>ID_ISIN</stp>
        <stp>[TREASURY.xlsx]Sheet1!R63C12</stp>
        <tr r="L63" s="1"/>
      </tp>
      <tp t="s">
        <v>US912810SU34</v>
        <stp/>
        <stp>##V3_BDPV12</stp>
        <stp>912810SU Govt</stp>
        <stp>ID_ISIN</stp>
        <stp>[TREASURY.xlsx]Sheet1!R15C12</stp>
        <tr r="L15" s="1"/>
      </tp>
      <tp t="s">
        <v>FIXED</v>
        <stp/>
        <stp>##V3_BDPV12</stp>
        <stp>912810SQ Govt</stp>
        <stp>CPN_TYP</stp>
        <stp>[TREASURY.xlsx]Sheet1!R92C11</stp>
        <tr r="K92" s="1"/>
      </tp>
      <tp t="s">
        <v>FIXED</v>
        <stp/>
        <stp>##V3_BDPV12</stp>
        <stp>912828YQ Govt</stp>
        <stp>CPN_TYP</stp>
        <stp>[TREASURY.xlsx]Sheet1!R87C11</stp>
        <tr r="K87" s="1"/>
      </tp>
      <tp t="s">
        <v>FIXED</v>
        <stp/>
        <stp>##V3_BDPV12</stp>
        <stp>912828ZQ Govt</stp>
        <stp>CPN_TYP</stp>
        <stp>[TREASURY.xlsx]Sheet1!R31C11</stp>
        <tr r="K31" s="1"/>
      </tp>
      <tp t="s">
        <v>FIXED</v>
        <stp/>
        <stp>##V3_BDPV12</stp>
        <stp>91282CBQ Govt</stp>
        <stp>CPN_TYP</stp>
        <stp>[TREASURY.xlsx]Sheet1!R30C11</stp>
        <tr r="K30" s="1"/>
      </tp>
      <tp t="s">
        <v>NORMAL</v>
        <stp/>
        <stp>##V3_BDPV12</stp>
        <stp>91282CCK Govt</stp>
        <stp>MTY_TYP</stp>
        <stp>[TREASURY.xlsx]Sheet1!R33C6</stp>
        <tr r="F33" s="1"/>
      </tp>
      <tp t="s">
        <v>NORMAL</v>
        <stp/>
        <stp>##V3_BDPV12</stp>
        <stp>91282CBN Govt</stp>
        <stp>MTY_TYP</stp>
        <stp>[TREASURY.xlsx]Sheet1!R82C6</stp>
        <tr r="F82" s="1"/>
      </tp>
      <tp t="s">
        <v>T</v>
        <stp/>
        <stp>##V3_BDPV12</stp>
        <stp>9128273Y Govt</stp>
        <stp>TICKER</stp>
        <stp>[TREASURY.xlsx]Sheet1!R607C2</stp>
        <tr r="B607" s="1"/>
      </tp>
      <tp t="s">
        <v>2/15/2028</v>
        <stp/>
        <stp>##V3_BDPV12</stp>
        <stp>9128283W Govt</stp>
        <stp>MATURITY</stp>
        <stp>[TREASURY.xlsx]Sheet1!R68C5</stp>
        <tr r="E68" s="1"/>
      </tp>
      <tp t="s">
        <v>11/30/2025</v>
        <stp/>
        <stp>##V3_BDPV12</stp>
        <stp>91282CAZ Govt</stp>
        <stp>MATURITY</stp>
        <stp>[TREASURY.xlsx]Sheet1!R45C5</stp>
        <tr r="E45" s="1"/>
      </tp>
      <tp t="s">
        <v>11/30/2022</v>
        <stp/>
        <stp>##V3_BDPV12</stp>
        <stp>91282CAX Govt</stp>
        <stp>MATURITY</stp>
        <stp>[TREASURY.xlsx]Sheet1!R67C5</stp>
        <tr r="E67" s="1"/>
      </tp>
      <tp t="s">
        <v>4/15/2024</v>
        <stp/>
        <stp>##V3_BDPV12</stp>
        <stp>91282CBV Govt</stp>
        <stp>MATURITY</stp>
        <stp>[TREASURY.xlsx]Sheet1!R89C5</stp>
        <tr r="E89" s="1"/>
      </tp>
      <tp t="s">
        <v>T</v>
        <stp/>
        <stp>##V3_BDPV12</stp>
        <stp>9128282W Govt</stp>
        <stp>TICKER</stp>
        <stp>[TREASURY.xlsx]Sheet1!R166C2</stp>
        <tr r="B166" s="1"/>
      </tp>
      <tp t="s">
        <v>T</v>
        <stp/>
        <stp>##V3_BDPV12</stp>
        <stp>9128274T Govt</stp>
        <stp>TICKER</stp>
        <stp>[TREASURY.xlsx]Sheet1!R610C2</stp>
        <tr r="B610" s="1"/>
      </tp>
      <tp t="s">
        <v>T</v>
        <stp/>
        <stp>##V3_BDPV12</stp>
        <stp>9128286S Govt</stp>
        <stp>TICKER</stp>
        <stp>[TREASURY.xlsx]Sheet1!R322C2</stp>
        <tr r="B322" s="1"/>
      </tp>
      <tp t="s">
        <v>T</v>
        <stp/>
        <stp>##V3_BDPV12</stp>
        <stp>9128285P Govt</stp>
        <stp>TICKER</stp>
        <stp>[TREASURY.xlsx]Sheet1!R271C2</stp>
        <tr r="B271" s="1"/>
      </tp>
      <tp t="s">
        <v>NORMAL</v>
        <stp/>
        <stp>##V3_BDPV12</stp>
        <stp>91282CBX Govt</stp>
        <stp>MTY_TYP</stp>
        <stp>[TREASURY.xlsx]Sheet1!R72C6</stp>
        <tr r="F72" s="1"/>
      </tp>
      <tp t="s">
        <v>NORMAL</v>
        <stp/>
        <stp>##V3_BDPV12</stp>
        <stp>91282CCY Govt</stp>
        <stp>MTY_TYP</stp>
        <stp>[TREASURY.xlsx]Sheet1!R13C6</stp>
        <tr r="F13" s="1"/>
      </tp>
      <tp t="s">
        <v>T</v>
        <stp/>
        <stp>##V3_BDPV12</stp>
        <stp>9128284G Govt</stp>
        <stp>TICKER</stp>
        <stp>[TREASURY.xlsx]Sheet1!R390C2</stp>
        <tr r="B390" s="1"/>
      </tp>
      <tp t="s">
        <v>NORMAL</v>
        <stp/>
        <stp>##V3_BDPV12</stp>
        <stp>91282CBT Govt</stp>
        <stp>MTY_TYP</stp>
        <stp>[TREASURY.xlsx]Sheet1!R52C6</stp>
        <tr r="F52" s="1"/>
      </tp>
      <tp t="s">
        <v>T</v>
        <stp/>
        <stp>##V3_BDPV12</stp>
        <stp>9128286C Govt</stp>
        <stp>TICKER</stp>
        <stp>[TREASURY.xlsx]Sheet1!R272C2</stp>
        <tr r="B272" s="1"/>
      </tp>
      <tp t="s">
        <v>T 4 3/4 10/31/98</v>
        <stp/>
        <stp>##V3_BDPV12</stp>
        <stp>912827M6 Govt</stp>
        <stp>SECURITY_NAME</stp>
        <stp>[TREASURY.xlsx]Sheet1!R719C16</stp>
        <tr r="P719" s="1"/>
      </tp>
      <tp t="s">
        <v>T</v>
        <stp/>
        <stp>##V3_BDPV12</stp>
        <stp>912828F8 Govt</stp>
        <stp>TICKER</stp>
        <stp>[TREASURY.xlsx]Sheet1!R1118C2</stp>
        <tr r="B1118" s="1"/>
      </tp>
      <tp t="s">
        <v>T</v>
        <stp/>
        <stp>##V3_BDPV12</stp>
        <stp>912828A2 Govt</stp>
        <stp>TICKER</stp>
        <stp>[TREASURY.xlsx]Sheet1!R1232C2</stp>
        <tr r="B1232" s="1"/>
      </tp>
      <tp t="s">
        <v>T</v>
        <stp/>
        <stp>##V3_BDPV12</stp>
        <stp>912828R4 Govt</stp>
        <stp>TICKER</stp>
        <stp>[TREASURY.xlsx]Sheet1!R1264C2</stp>
        <tr r="B1264" s="1"/>
      </tp>
      <tp t="s">
        <v>T</v>
        <stp/>
        <stp>##V3_BDPV12</stp>
        <stp>912827P9 Govt</stp>
        <stp>TICKER</stp>
        <stp>[TREASURY.xlsx]Sheet1!R1339C2</stp>
        <tr r="B1339" s="1"/>
      </tp>
      <tp t="s">
        <v>T</v>
        <stp/>
        <stp>##V3_BDPV12</stp>
        <stp>912827Z6 Govt</stp>
        <stp>TICKER</stp>
        <stp>[TREASURY.xlsx]Sheet1!R1226C2</stp>
        <tr r="B1226" s="1"/>
      </tp>
      <tp t="s">
        <v>T</v>
        <stp/>
        <stp>##V3_BDPV12</stp>
        <stp>912827U8 Govt</stp>
        <stp>TICKER</stp>
        <stp>[TREASURY.xlsx]Sheet1!R1198C2</stp>
        <tr r="B1198" s="1"/>
      </tp>
      <tp t="s">
        <v>T</v>
        <stp/>
        <stp>##V3_BDPV12</stp>
        <stp>912827J8 Govt</stp>
        <stp>TICKER</stp>
        <stp>[TREASURY.xlsx]Sheet1!R1038C2</stp>
        <tr r="B1038" s="1"/>
      </tp>
      <tp t="s">
        <v>T</v>
        <stp/>
        <stp>##V3_BDPV12</stp>
        <stp>912827G6 Govt</stp>
        <stp>TICKER</stp>
        <stp>[TREASURY.xlsx]Sheet1!R1036C2</stp>
        <tr r="B1036" s="1"/>
      </tp>
      <tp t="s">
        <v>T</v>
        <stp/>
        <stp>##V3_BDPV12</stp>
        <stp>912827G7 Govt</stp>
        <stp>TICKER</stp>
        <stp>[TREASURY.xlsx]Sheet1!R1037C2</stp>
        <tr r="B1037" s="1"/>
      </tp>
      <tp t="s">
        <v>T</v>
        <stp/>
        <stp>##V3_BDPV12</stp>
        <stp>912827V2 Govt</stp>
        <stp>TICKER</stp>
        <stp>[TREASURY.xlsx]Sheet1!R1082C2</stp>
        <tr r="B1082" s="1"/>
      </tp>
      <tp t="s">
        <v>T</v>
        <stp/>
        <stp>##V3_BDPV12</stp>
        <stp>912827E8 Govt</stp>
        <stp>TICKER</stp>
        <stp>[TREASURY.xlsx]Sheet1!R1558C2</stp>
        <tr r="B1558" s="1"/>
      </tp>
      <tp t="s">
        <v>T</v>
        <stp/>
        <stp>##V3_BDPV12</stp>
        <stp>912827R7 Govt</stp>
        <stp>TICKER</stp>
        <stp>[TREASURY.xlsx]Sheet1!R1577C2</stp>
        <tr r="B1577" s="1"/>
      </tp>
      <tp t="s">
        <v>T</v>
        <stp/>
        <stp>##V3_BDPV12</stp>
        <stp>912827D3 Govt</stp>
        <stp>TICKER</stp>
        <stp>[TREASURY.xlsx]Sheet1!R1483C2</stp>
        <tr r="B1483" s="1"/>
      </tp>
      <tp t="s">
        <v>T</v>
        <stp/>
        <stp>##V3_BDPV12</stp>
        <stp>912827B8 Govt</stp>
        <stp>TICKER</stp>
        <stp>[TREASURY.xlsx]Sheet1!R1478C2</stp>
        <tr r="B1478" s="1"/>
      </tp>
      <tp t="s">
        <v>T 0 7/8 11/30/17</v>
        <stp/>
        <stp>##V3_BDPV12</stp>
        <stp>912828M7 Govt</stp>
        <stp>SECURITY_NAME</stp>
        <stp>[TREASURY.xlsx]Sheet1!R443C16</stp>
        <tr r="P443" s="1"/>
      </tp>
      <tp t="s">
        <v>T 3 7/8 10/31/95</v>
        <stp/>
        <stp>##V3_BDPV12</stp>
        <stp>912827M5 Govt</stp>
        <stp>SECURITY_NAME</stp>
        <stp>[TREASURY.xlsx]Sheet1!R718C16</stp>
        <tr r="P718" s="1"/>
      </tp>
      <tp t="s">
        <v>USD</v>
        <stp/>
        <stp>##V3_BDPV12</stp>
        <stp>9128276Q Govt</stp>
        <stp>CRNCY</stp>
        <stp>[TREASURY.xlsx]Sheet1!R1539C7</stp>
        <tr r="G1539" s="1"/>
      </tp>
      <tp t="s">
        <v>T 2 1/4 11/15/25</v>
        <stp/>
        <stp>##V3_BDPV12</stp>
        <stp>912828M5 Govt</stp>
        <stp>SECURITY_NAME</stp>
        <stp>[TREASURY.xlsx]Sheet1!R116C16</stp>
        <tr r="P116" s="1"/>
      </tp>
      <tp t="s">
        <v>T 1 7/8 10/31/22</v>
        <stp/>
        <stp>##V3_BDPV12</stp>
        <stp>912828M4 Govt</stp>
        <stp>SECURITY_NAME</stp>
        <stp>[TREASURY.xlsx]Sheet1!R254C16</stp>
        <tr r="P254" s="1"/>
      </tp>
      <tp t="s">
        <v>T 2 11/30/22</v>
        <stp/>
        <stp>##V3_BDPV12</stp>
        <stp>912828M8 Govt</stp>
        <stp>SECURITY_NAME</stp>
        <stp>[TREASURY.xlsx]Sheet1!R150C16</stp>
        <tr r="P150" s="1"/>
      </tp>
      <tp t="s">
        <v>USD</v>
        <stp/>
        <stp>##V3_BDPV12</stp>
        <stp>9128276X Govt</stp>
        <stp>CRNCY</stp>
        <stp>[TREASURY.xlsx]Sheet1!R1469C7</stp>
        <tr r="G1469" s="1"/>
      </tp>
      <tp t="s">
        <v>T 1 5/8 11/30/20</v>
        <stp/>
        <stp>##V3_BDPV12</stp>
        <stp>912828M9 Govt</stp>
        <stp>SECURITY_NAME</stp>
        <stp>[TREASURY.xlsx]Sheet1!R592C16</stp>
        <tr r="P592" s="1"/>
      </tp>
      <tp t="s">
        <v>USD</v>
        <stp/>
        <stp>##V3_BDPV12</stp>
        <stp>9128277H Govt</stp>
        <stp>CRNCY</stp>
        <stp>[TREASURY.xlsx]Sheet1!R1028C7</stp>
        <tr r="G1028" s="1"/>
      </tp>
      <tp t="s">
        <v>T 0 3/8 09/30/12</v>
        <stp/>
        <stp>##V3_BDPV12</stp>
        <stp>912828NX Govt</stp>
        <stp>SECURITY_NAME</stp>
        <stp>[TREASURY.xlsx]Sheet1!R980C16</stp>
        <tr r="P980" s="1"/>
      </tp>
      <tp t="s">
        <v>T 10 1/2 11/15/92</v>
        <stp/>
        <stp>##V3_BDPV12</stp>
        <stp>912827NV Govt</stp>
        <stp>SECURITY_NAME</stp>
        <stp>[TREASURY.xlsx]Sheet1!R734C16</stp>
        <tr r="P734" s="1"/>
      </tp>
      <tp t="s">
        <v>T 0 3/4 08/15/13</v>
        <stp/>
        <stp>##V3_BDPV12</stp>
        <stp>912828NU Govt</stp>
        <stp>SECURITY_NAME</stp>
        <stp>[TREASURY.xlsx]Sheet1!R547C16</stp>
        <tr r="P547" s="1"/>
      </tp>
      <tp t="s">
        <v>T 1 1/4 08/31/15</v>
        <stp/>
        <stp>##V3_BDPV12</stp>
        <stp>912828NV Govt</stp>
        <stp>SECURITY_NAME</stp>
        <stp>[TREASURY.xlsx]Sheet1!R382C16</stp>
        <tr r="P382" s="1"/>
      </tp>
      <tp t="s">
        <v>T 12 5/8 11/15/87</v>
        <stp/>
        <stp>##V3_BDPV12</stp>
        <stp>912827NP Govt</stp>
        <stp>SECURITY_NAME</stp>
        <stp>[TREASURY.xlsx]Sheet1!R733C16</stp>
        <tr r="P733" s="1"/>
      </tp>
      <tp t="s">
        <v>T 2 5/8 08/15/20</v>
        <stp/>
        <stp>##V3_BDPV12</stp>
        <stp>912828NT Govt</stp>
        <stp>SECURITY_NAME</stp>
        <stp>[TREASURY.xlsx]Sheet1!R351C16</stp>
        <tr r="P351" s="1"/>
      </tp>
      <tp t="s">
        <v>T 1 3/4 07/31/15</v>
        <stp/>
        <stp>##V3_BDPV12</stp>
        <stp>912828NP Govt</stp>
        <stp>SECURITY_NAME</stp>
        <stp>[TREASURY.xlsx]Sheet1!R865C16</stp>
        <tr r="P865" s="1"/>
      </tp>
      <tp t="s">
        <v>T 0 5/8 06/30/12</v>
        <stp/>
        <stp>##V3_BDPV12</stp>
        <stp>912828NS Govt</stp>
        <stp>SECURITY_NAME</stp>
        <stp>[TREASURY.xlsx]Sheet1!R979C16</stp>
        <tr r="P979" s="1"/>
      </tp>
      <tp t="s">
        <v>T 1 04/30/12</v>
        <stp/>
        <stp>##V3_BDPV12</stp>
        <stp>912828NB Govt</stp>
        <stp>SECURITY_NAME</stp>
        <stp>[TREASURY.xlsx]Sheet1!R388C16</stp>
        <tr r="P388" s="1"/>
      </tp>
      <tp t="s">
        <v>T 14 1/8 05/15/85</v>
        <stp/>
        <stp>##V3_BDPV12</stp>
        <stp>912827ND Govt</stp>
        <stp>SECURITY_NAME</stp>
        <stp>[TREASURY.xlsx]Sheet1!R731C16</stp>
        <tr r="P731" s="1"/>
      </tp>
      <tp t="s">
        <v>T 14 1/2 07/15/89</v>
        <stp/>
        <stp>##V3_BDPV12</stp>
        <stp>912827NK Govt</stp>
        <stp>SECURITY_NAME</stp>
        <stp>[TREASURY.xlsx]Sheet1!R901C16</stp>
        <tr r="P901" s="1"/>
      </tp>
      <tp t="s">
        <v>T 3 1/2 05/15/20</v>
        <stp/>
        <stp>##V3_BDPV12</stp>
        <stp>912828ND Govt</stp>
        <stp>SECURITY_NAME</stp>
        <stp>[TREASURY.xlsx]Sheet1!R645C16</stp>
        <tr r="P645" s="1"/>
      </tp>
      <tp t="s">
        <v>T 2 3/4 05/31/17</v>
        <stp/>
        <stp>##V3_BDPV12</stp>
        <stp>912828NG Govt</stp>
        <stp>SECURITY_NAME</stp>
        <stp>[TREASURY.xlsx]Sheet1!R562C16</stp>
        <tr r="P562" s="1"/>
      </tp>
      <tp t="s">
        <v>T 2 1/2 06/30/17</v>
        <stp/>
        <stp>##V3_BDPV12</stp>
        <stp>912828NK Govt</stp>
        <stp>SECURITY_NAME</stp>
        <stp>[TREASURY.xlsx]Sheet1!R978C16</stp>
        <tr r="P978" s="1"/>
      </tp>
      <tp t="s">
        <v>T 13 1/8 07/31/84</v>
        <stp/>
        <stp>##V3_BDPV12</stp>
        <stp>912827NL Govt</stp>
        <stp>SECURITY_NAME</stp>
        <stp>[TREASURY.xlsx]Sheet1!R902C16</stp>
        <tr r="P902" s="1"/>
      </tp>
      <tp t="s">
        <v>T 13 7/8 04/30/84</v>
        <stp/>
        <stp>##V3_BDPV12</stp>
        <stp>912827NC Govt</stp>
        <stp>SECURITY_NAME</stp>
        <stp>[TREASURY.xlsx]Sheet1!R730C16</stp>
        <tr r="P730" s="1"/>
      </tp>
      <tp t="s">
        <v>T 1 7/8 06/30/15</v>
        <stp/>
        <stp>##V3_BDPV12</stp>
        <stp>912828NL Govt</stp>
        <stp>SECURITY_NAME</stp>
        <stp>[TREASURY.xlsx]Sheet1!R863C16</stp>
        <tr r="P863" s="1"/>
      </tp>
      <tp t="s">
        <v>T 1 07/15/13</v>
        <stp/>
        <stp>##V3_BDPV12</stp>
        <stp>912828NN Govt</stp>
        <stp>SECURITY_NAME</stp>
        <stp>[TREASURY.xlsx]Sheet1!R864C16</stp>
        <tr r="P864" s="1"/>
      </tp>
      <tp t="s">
        <v>T 1 3/8 05/15/13</v>
        <stp/>
        <stp>##V3_BDPV12</stp>
        <stp>912828NC Govt</stp>
        <stp>SECURITY_NAME</stp>
        <stp>[TREASURY.xlsx]Sheet1!R862C16</stp>
        <tr r="P862" s="1"/>
      </tp>
      <tp t="s">
        <v>T 13 1/8 08/15/85</v>
        <stp/>
        <stp>##V3_BDPV12</stp>
        <stp>912827NM Govt</stp>
        <stp>SECURITY_NAME</stp>
        <stp>[TREASURY.xlsx]Sheet1!R732C16</stp>
        <tr r="P732" s="1"/>
      </tp>
      <tp t="s">
        <v>T 0 3/4 05/31/12</v>
        <stp/>
        <stp>##V3_BDPV12</stp>
        <stp>912828NE Govt</stp>
        <stp>SECURITY_NAME</stp>
        <stp>[TREASURY.xlsx]Sheet1!R977C16</stp>
        <tr r="P977" s="1"/>
      </tp>
      <tp t="s">
        <v>T 1 1/8 06/15/13</v>
        <stp/>
        <stp>##V3_BDPV12</stp>
        <stp>912828NH Govt</stp>
        <stp>SECURITY_NAME</stp>
        <stp>[TREASURY.xlsx]Sheet1!R622C16</stp>
        <tr r="P622" s="1"/>
      </tp>
      <tp t="s">
        <v>US9128284V99</v>
        <stp/>
        <stp>##V3_BDPV12</stp>
        <stp>9128284V Govt</stp>
        <stp>ID_ISIN</stp>
        <stp>[TREASURY.xlsx]Sheet1!R23C12</stp>
        <tr r="L23" s="1"/>
      </tp>
      <tp t="s">
        <v>US91282CAV37</v>
        <stp/>
        <stp>##V3_BDPV12</stp>
        <stp>91282CAV Govt</stp>
        <stp>ID_ISIN</stp>
        <stp>[TREASURY.xlsx]Sheet1!R17C12</stp>
        <tr r="L17" s="1"/>
      </tp>
      <tp t="s">
        <v>US91282CBV28</v>
        <stp/>
        <stp>##V3_BDPV12</stp>
        <stp>91282CBV Govt</stp>
        <stp>ID_ISIN</stp>
        <stp>[TREASURY.xlsx]Sheet1!R89C12</stp>
        <tr r="L89" s="1"/>
      </tp>
      <tp t="s">
        <v>US912810RV26</v>
        <stp/>
        <stp>##V3_BDPV12</stp>
        <stp>912810RV Govt</stp>
        <stp>ID_ISIN</stp>
        <stp>[TREASURY.xlsx]Sheet1!R28C12</stp>
        <tr r="L28" s="1"/>
      </tp>
      <tp t="s">
        <v>FIXED</v>
        <stp/>
        <stp>##V3_BDPV12</stp>
        <stp>9128282R Govt</stp>
        <stp>CPN_TYP</stp>
        <stp>[TREASURY.xlsx]Sheet1!R98C11</stp>
        <tr r="K98" s="1"/>
      </tp>
      <tp t="s">
        <v>FIXED</v>
        <stp/>
        <stp>##V3_BDPV12</stp>
        <stp>91282CCR Govt</stp>
        <stp>CPN_TYP</stp>
        <stp>[TREASURY.xlsx]Sheet1!R20C11</stp>
        <tr r="K20" s="1"/>
      </tp>
      <tp t="s">
        <v>FIXED</v>
        <stp/>
        <stp>##V3_BDPV12</stp>
        <stp>91282CBR Govt</stp>
        <stp>CPN_TYP</stp>
        <stp>[TREASURY.xlsx]Sheet1!R55C11</stp>
        <tr r="K55" s="1"/>
      </tp>
      <tp t="s">
        <v>FIXED</v>
        <stp/>
        <stp>##V3_BDPV12</stp>
        <stp>91282CAR Govt</stp>
        <stp>CPN_TYP</stp>
        <stp>[TREASURY.xlsx]Sheet1!R64C11</stp>
        <tr r="K64" s="1"/>
      </tp>
      <tp t="s">
        <v>NORMAL</v>
        <stp/>
        <stp>##V3_BDPV12</stp>
        <stp>91282CAM Govt</stp>
        <stp>MTY_TYP</stp>
        <stp>[TREASURY.xlsx]Sheet1!R42C6</stp>
        <tr r="F42" s="1"/>
      </tp>
      <tp t="s">
        <v>T</v>
        <stp/>
        <stp>##V3_BDPV12</stp>
        <stp>9128285X Govt</stp>
        <stp>TICKER</stp>
        <stp>[TREASURY.xlsx]Sheet1!R372C2</stp>
        <tr r="B372" s="1"/>
      </tp>
      <tp t="s">
        <v>T</v>
        <stp/>
        <stp>##V3_BDPV12</stp>
        <stp>9128282Y Govt</stp>
        <stp>TICKER</stp>
        <stp>[TREASURY.xlsx]Sheet1!R145C2</stp>
        <tr r="B145" s="1"/>
      </tp>
      <tp t="s">
        <v>T</v>
        <stp/>
        <stp>##V3_BDPV12</stp>
        <stp>9128286Y Govt</stp>
        <stp>TICKER</stp>
        <stp>[TREASURY.xlsx]Sheet1!R241C2</stp>
        <tr r="B241" s="1"/>
      </tp>
      <tp t="s">
        <v>5/15/2029</v>
        <stp/>
        <stp>##V3_BDPV12</stp>
        <stp>9128286T Govt</stp>
        <stp>MATURITY</stp>
        <stp>[TREASURY.xlsx]Sheet1!R48C5</stp>
        <tr r="E48" s="1"/>
      </tp>
      <tp t="s">
        <v>NORMAL</v>
        <stp/>
        <stp>##V3_BDPV12</stp>
        <stp>91282CBC Govt</stp>
        <stp>MTY_TYP</stp>
        <stp>[TREASURY.xlsx]Sheet1!R41C6</stp>
        <tr r="F41" s="1"/>
      </tp>
      <tp t="s">
        <v>T</v>
        <stp/>
        <stp>##V3_BDPV12</stp>
        <stp>9128286R Govt</stp>
        <stp>TICKER</stp>
        <stp>[TREASURY.xlsx]Sheet1!R201C2</stp>
        <tr r="B201" s="1"/>
      </tp>
      <tp t="s">
        <v>T</v>
        <stp/>
        <stp>##V3_BDPV12</stp>
        <stp>9128276P Govt</stp>
        <stp>TICKER</stp>
        <stp>[TREASURY.xlsx]Sheet1!R441C2</stp>
        <tr r="B441" s="1"/>
      </tp>
      <tp t="s">
        <v>T</v>
        <stp/>
        <stp>##V3_BDPV12</stp>
        <stp>9128283H Govt</stp>
        <stp>TICKER</stp>
        <stp>[TREASURY.xlsx]Sheet1!R784C2</stp>
        <tr r="B784" s="1"/>
      </tp>
      <tp t="s">
        <v>T</v>
        <stp/>
        <stp>##V3_BDPV12</stp>
        <stp>9128282F Govt</stp>
        <stp>TICKER</stp>
        <stp>[TREASURY.xlsx]Sheet1!R345C2</stp>
        <tr r="B345" s="1"/>
      </tp>
      <tp t="s">
        <v>T</v>
        <stp/>
        <stp>##V3_BDPV12</stp>
        <stp>9128275F Govt</stp>
        <stp>TICKER</stp>
        <stp>[TREASURY.xlsx]Sheet1!R662C2</stp>
        <tr r="B662" s="1"/>
      </tp>
      <tp t="s">
        <v>NORMAL</v>
        <stp/>
        <stp>##V3_BDPV12</stp>
        <stp>91282CCR Govt</stp>
        <stp>MTY_TYP</stp>
        <stp>[TREASURY.xlsx]Sheet1!R20C6</stp>
        <tr r="F20" s="1"/>
      </tp>
      <tp t="s">
        <v>T</v>
        <stp/>
        <stp>##V3_BDPV12</stp>
        <stp>9128285B Govt</stp>
        <stp>TICKER</stp>
        <stp>[TREASURY.xlsx]Sheet1!R442C2</stp>
        <tr r="B442" s="1"/>
      </tp>
      <tp t="s">
        <v>T 5 01/31/99</v>
        <stp/>
        <stp>##V3_BDPV12</stp>
        <stp>912827N6 Govt</stp>
        <stp>SECURITY_NAME</stp>
        <stp>[TREASURY.xlsx]Sheet1!R728C16</stp>
        <tr r="P728" s="1"/>
      </tp>
      <tp t="s">
        <v>T 1 1/8 01/15/19</v>
        <stp/>
        <stp>##V3_BDPV12</stp>
        <stp>912828N6 Govt</stp>
        <stp>SECURITY_NAME</stp>
        <stp>[TREASURY.xlsx]Sheet1!R621C16</stp>
        <tr r="P621" s="1"/>
      </tp>
      <tp t="s">
        <v>T 1 3/4 12/31/20</v>
        <stp/>
        <stp>##V3_BDPV12</stp>
        <stp>912828N4 Govt</stp>
        <stp>SECURITY_NAME</stp>
        <stp>[TREASURY.xlsx]Sheet1!R463C16</stp>
        <tr r="P463" s="1"/>
      </tp>
      <tp t="s">
        <v>USD</v>
        <stp/>
        <stp>##V3_BDPV12</stp>
        <stp>9128275S Govt</stp>
        <stp>CRNCY</stp>
        <stp>[TREASURY.xlsx]Sheet1!R1019C7</stp>
        <tr r="G1019" s="1"/>
      </tp>
      <tp t="s">
        <v>T</v>
        <stp/>
        <stp>##V3_BDPV12</stp>
        <stp>912828F4 Govt</stp>
        <stp>TICKER</stp>
        <stp>[TREASURY.xlsx]Sheet1!R1117C2</stp>
        <tr r="B1117" s="1"/>
      </tp>
      <tp t="s">
        <v>T</v>
        <stp/>
        <stp>##V3_BDPV12</stp>
        <stp>912827T4 Govt</stp>
        <stp>TICKER</stp>
        <stp>[TREASURY.xlsx]Sheet1!R1397C2</stp>
        <tr r="B1397" s="1"/>
      </tp>
      <tp t="s">
        <v>T</v>
        <stp/>
        <stp>##V3_BDPV12</stp>
        <stp>912827X2 Govt</stp>
        <stp>TICKER</stp>
        <stp>[TREASURY.xlsx]Sheet1!R1211C2</stp>
        <tr r="B1211" s="1"/>
      </tp>
      <tp t="s">
        <v>T</v>
        <stp/>
        <stp>##V3_BDPV12</stp>
        <stp>912827H4 Govt</stp>
        <stp>TICKER</stp>
        <stp>[TREASURY.xlsx]Sheet1!R1157C2</stp>
        <tr r="B1157" s="1"/>
      </tp>
      <tp t="s">
        <v>T</v>
        <stp/>
        <stp>##V3_BDPV12</stp>
        <stp>912827G5 Govt</stp>
        <stp>TICKER</stp>
        <stp>[TREASURY.xlsx]Sheet1!R1156C2</stp>
        <tr r="B1156" s="1"/>
      </tp>
      <tp t="s">
        <v>T</v>
        <stp/>
        <stp>##V3_BDPV12</stp>
        <stp>912827S2 Govt</stp>
        <stp>TICKER</stp>
        <stp>[TREASURY.xlsx]Sheet1!R1181C2</stp>
        <tr r="B1181" s="1"/>
      </tp>
      <tp t="s">
        <v>T</v>
        <stp/>
        <stp>##V3_BDPV12</stp>
        <stp>912827Q4 Govt</stp>
        <stp>TICKER</stp>
        <stp>[TREASURY.xlsx]Sheet1!R1177C2</stp>
        <tr r="B1177" s="1"/>
      </tp>
      <tp t="s">
        <v>T</v>
        <stp/>
        <stp>##V3_BDPV12</stp>
        <stp>912827M7 Govt</stp>
        <stp>TICKER</stp>
        <stp>[TREASURY.xlsx]Sheet1!R1044C2</stp>
        <tr r="B1044" s="1"/>
      </tp>
      <tp t="s">
        <v>T</v>
        <stp/>
        <stp>##V3_BDPV12</stp>
        <stp>912827A3 Govt</stp>
        <stp>TICKER</stp>
        <stp>[TREASURY.xlsx]Sheet1!R1030C2</stp>
        <tr r="B1030" s="1"/>
      </tp>
      <tp t="s">
        <v>T</v>
        <stp/>
        <stp>##V3_BDPV12</stp>
        <stp>912827R3 Govt</stp>
        <stp>TICKER</stp>
        <stp>[TREASURY.xlsx]Sheet1!R1060C2</stp>
        <tr r="B1060" s="1"/>
      </tp>
      <tp t="s">
        <v>T</v>
        <stp/>
        <stp>##V3_BDPV12</stp>
        <stp>912827D4 Govt</stp>
        <stp>TICKER</stp>
        <stp>[TREASURY.xlsx]Sheet1!R1557C2</stp>
        <tr r="B1557" s="1"/>
      </tp>
      <tp t="s">
        <v>T</v>
        <stp/>
        <stp>##V3_BDPV12</stp>
        <stp>912827A4 Govt</stp>
        <stp>TICKER</stp>
        <stp>[TREASURY.xlsx]Sheet1!R1547C2</stp>
        <tr r="B1547" s="1"/>
      </tp>
      <tp t="s">
        <v>T</v>
        <stp/>
        <stp>##V3_BDPV12</stp>
        <stp>912827S7 Govt</stp>
        <stp>TICKER</stp>
        <stp>[TREASURY.xlsx]Sheet1!R1504C2</stp>
        <tr r="B1504" s="1"/>
      </tp>
      <tp t="s">
        <v>T</v>
        <stp/>
        <stp>##V3_BDPV12</stp>
        <stp>912827C3 Govt</stp>
        <stp>TICKER</stp>
        <stp>[TREASURY.xlsx]Sheet1!R1480C2</stp>
        <tr r="B1480" s="1"/>
      </tp>
      <tp t="s">
        <v>T</v>
        <stp/>
        <stp>##V3_BDPV12</stp>
        <stp>912827W6 Govt</stp>
        <stp>TICKER</stp>
        <stp>[TREASURY.xlsx]Sheet1!R1415C2</stp>
        <tr r="B1415" s="1"/>
      </tp>
      <tp t="s">
        <v>T 1 12/31/17</v>
        <stp/>
        <stp>##V3_BDPV12</stp>
        <stp>912828N5 Govt</stp>
        <stp>SECURITY_NAME</stp>
        <stp>[TREASURY.xlsx]Sheet1!R600C16</stp>
        <tr r="P600" s="1"/>
      </tp>
      <tp t="s">
        <v>T 2 1/8 12/31/22</v>
        <stp/>
        <stp>##V3_BDPV12</stp>
        <stp>912828N3 Govt</stp>
        <stp>SECURITY_NAME</stp>
        <stp>[TREASURY.xlsx]Sheet1!R129C16</stp>
        <tr r="P129" s="1"/>
      </tp>
      <tp t="s">
        <v>T 4 01/31/96</v>
        <stp/>
        <stp>##V3_BDPV12</stp>
        <stp>912827N5 Govt</stp>
        <stp>SECURITY_NAME</stp>
        <stp>[TREASURY.xlsx]Sheet1!R727C16</stp>
        <tr r="P727" s="1"/>
      </tp>
      <tp t="s">
        <v>T 4 1/4 12/31/95</v>
        <stp/>
        <stp>##V3_BDPV12</stp>
        <stp>912827N3 Govt</stp>
        <stp>SECURITY_NAME</stp>
        <stp>[TREASURY.xlsx]Sheet1!R726C16</stp>
        <tr r="P726" s="1"/>
      </tp>
      <tp t="s">
        <v>T 1 1/4 12/15/18</v>
        <stp/>
        <stp>##V3_BDPV12</stp>
        <stp>912828N2 Govt</stp>
        <stp>SECURITY_NAME</stp>
        <stp>[TREASURY.xlsx]Sheet1!R440C16</stp>
        <tr r="P440" s="1"/>
      </tp>
      <tp t="s">
        <v>T 1 3/8 01/31/21</v>
        <stp/>
        <stp>##V3_BDPV12</stp>
        <stp>912828N8 Govt</stp>
        <stp>SECURITY_NAME</stp>
        <stp>[TREASURY.xlsx]Sheet1!R343C16</stp>
        <tr r="P343" s="1"/>
      </tp>
      <tp t="s">
        <v>USD</v>
        <stp/>
        <stp>##V3_BDPV12</stp>
        <stp>9128274X Govt</stp>
        <stp>CRNCY</stp>
        <stp>[TREASURY.xlsx]Sheet1!R1368C7</stp>
        <tr r="G1368" s="1"/>
      </tp>
      <tp t="s">
        <v>T 5 7/8 02/15/04</v>
        <stp/>
        <stp>##V3_BDPV12</stp>
        <stp>912827N8 Govt</stp>
        <stp>SECURITY_NAME</stp>
        <stp>[TREASURY.xlsx]Sheet1!R729C16</stp>
        <tr r="P729" s="1"/>
      </tp>
      <tp t="s">
        <v>T 4 3/4 02/15/97</v>
        <stp/>
        <stp>##V3_BDPV12</stp>
        <stp>912827N7 Govt</stp>
        <stp>SECURITY_NAME</stp>
        <stp>[TREASURY.xlsx]Sheet1!R900C16</stp>
        <tr r="P900" s="1"/>
      </tp>
      <tp t="s">
        <v>USD</v>
        <stp/>
        <stp>##V3_BDPV12</stp>
        <stp>9128274C Govt</stp>
        <stp>CRNCY</stp>
        <stp>[TREASURY.xlsx]Sheet1!R1458C7</stp>
        <tr r="G1458" s="1"/>
      </tp>
      <tp t="s">
        <v>#N/A Field Not Applicable</v>
        <stp/>
        <stp>##V3_BDPV12</stp>
        <stp>912827B8 Govt</stp>
        <stp>IDX_RATIO</stp>
        <stp>[TREASURY.xlsx]Sheet1!R1478C20</stp>
        <tr r="T1478" s="1"/>
      </tp>
      <tp t="s">
        <v>#N/A Field Not Applicable</v>
        <stp/>
        <stp>##V3_BDPV12</stp>
        <stp>912827P8 Govt</stp>
        <stp>IDX_RATIO</stp>
        <stp>[TREASURY.xlsx]Sheet1!R1492C20</stp>
        <tr r="T1492" s="1"/>
      </tp>
      <tp t="s">
        <v>#N/A Field Not Applicable</v>
        <stp/>
        <stp>##V3_BDPV12</stp>
        <stp>912827H8 Govt</stp>
        <stp>IDX_RATIO</stp>
        <stp>[TREASURY.xlsx]Sheet1!R1487C20</stp>
        <tr r="T1487" s="1"/>
      </tp>
      <tp t="s">
        <v>#N/A Field Not Applicable</v>
        <stp/>
        <stp>##V3_BDPV12</stp>
        <stp>912827C8 Govt</stp>
        <stp>IDX_RATIO</stp>
        <stp>[TREASURY.xlsx]Sheet1!R1482C20</stp>
        <tr r="T1482" s="1"/>
      </tp>
      <tp t="s">
        <v>#N/A Field Not Applicable</v>
        <stp/>
        <stp>##V3_BDPV12</stp>
        <stp>912827D8 Govt</stp>
        <stp>IDX_RATIO</stp>
        <stp>[TREASURY.xlsx]Sheet1!R1485C20</stp>
        <tr r="T1485" s="1"/>
      </tp>
      <tp t="s">
        <v>#N/A Field Not Applicable</v>
        <stp/>
        <stp>##V3_BDPV12</stp>
        <stp>912827Q8 Govt</stp>
        <stp>IDX_RATIO</stp>
        <stp>[TREASURY.xlsx]Sheet1!R1572C20</stp>
        <tr r="T1572" s="1"/>
      </tp>
      <tp t="s">
        <v>#N/A Field Not Applicable</v>
        <stp/>
        <stp>##V3_BDPV12</stp>
        <stp>912827E8 Govt</stp>
        <stp>IDX_RATIO</stp>
        <stp>[TREASURY.xlsx]Sheet1!R1558C20</stp>
        <tr r="T1558" s="1"/>
      </tp>
      <tp t="s">
        <v>#N/A Field Not Applicable</v>
        <stp/>
        <stp>##V3_BDPV12</stp>
        <stp>912827S8 Govt</stp>
        <stp>IDX_RATIO</stp>
        <stp>[TREASURY.xlsx]Sheet1!R1586C20</stp>
        <tr r="T1586" s="1"/>
      </tp>
      <tp t="s">
        <v>#N/A Field Not Applicable</v>
        <stp/>
        <stp>##V3_BDPV12</stp>
        <stp>912827X8 Govt</stp>
        <stp>IDX_RATIO</stp>
        <stp>[TREASURY.xlsx]Sheet1!R1213C20</stp>
        <tr r="T1213" s="1"/>
      </tp>
      <tp t="s">
        <v>#N/A Field Not Applicable</v>
        <stp/>
        <stp>##V3_BDPV12</stp>
        <stp>912827G8 Govt</stp>
        <stp>IDX_RATIO</stp>
        <stp>[TREASURY.xlsx]Sheet1!R1374C20</stp>
        <tr r="T1374" s="1"/>
      </tp>
      <tp t="s">
        <v>#N/A Field Not Applicable</v>
        <stp/>
        <stp>##V3_BDPV12</stp>
        <stp>912827L8 Govt</stp>
        <stp>IDX_RATIO</stp>
        <stp>[TREASURY.xlsx]Sheet1!R1319C20</stp>
        <tr r="T1319" s="1"/>
      </tp>
      <tp t="s">
        <v>#N/A Field Not Applicable</v>
        <stp/>
        <stp>##V3_BDPV12</stp>
        <stp>912828T8 Govt</stp>
        <stp>IDX_RATIO</stp>
        <stp>[TREASURY.xlsx]Sheet1!R1304C20</stp>
        <tr r="T1304" s="1"/>
      </tp>
      <tp t="s">
        <v>USD</v>
        <stp/>
        <stp>##V3_BDPV12</stp>
        <stp>9128275G Govt</stp>
        <stp>CRNCY</stp>
        <stp>[TREASURY.xlsx]Sheet1!R1369C7</stp>
        <tr r="G1369" s="1"/>
      </tp>
      <tp t="s">
        <v>#N/A Field Not Applicable</v>
        <stp/>
        <stp>##V3_BDPV12</stp>
        <stp>912827T8 Govt</stp>
        <stp>IDX_RATIO</stp>
        <stp>[TREASURY.xlsx]Sheet1!R1071C20</stp>
        <tr r="T1071" s="1"/>
      </tp>
      <tp t="s">
        <v>#N/A Field Not Applicable</v>
        <stp/>
        <stp>##V3_BDPV12</stp>
        <stp>912827J8 Govt</stp>
        <stp>IDX_RATIO</stp>
        <stp>[TREASURY.xlsx]Sheet1!R1038C20</stp>
        <tr r="T1038" s="1"/>
      </tp>
      <tp t="s">
        <v>#N/A Field Not Applicable</v>
        <stp/>
        <stp>##V3_BDPV12</stp>
        <stp>912827A8 Govt</stp>
        <stp>IDX_RATIO</stp>
        <stp>[TREASURY.xlsx]Sheet1!R1032C20</stp>
        <tr r="T1032" s="1"/>
      </tp>
      <tp t="s">
        <v>#N/A Field Not Applicable</v>
        <stp/>
        <stp>##V3_BDPV12</stp>
        <stp>912827F8 Govt</stp>
        <stp>IDX_RATIO</stp>
        <stp>[TREASURY.xlsx]Sheet1!R1154C20</stp>
        <tr r="T1154" s="1"/>
      </tp>
      <tp t="s">
        <v>#N/A Field Not Applicable</v>
        <stp/>
        <stp>##V3_BDPV12</stp>
        <stp>912827Z8 Govt</stp>
        <stp>IDX_RATIO</stp>
        <stp>[TREASURY.xlsx]Sheet1!R1102C20</stp>
        <tr r="T1102" s="1"/>
      </tp>
      <tp t="s">
        <v>#N/A Field Not Applicable</v>
        <stp/>
        <stp>##V3_BDPV12</stp>
        <stp>912828F8 Govt</stp>
        <stp>IDX_RATIO</stp>
        <stp>[TREASURY.xlsx]Sheet1!R1118C20</stp>
        <tr r="T1118" s="1"/>
      </tp>
      <tp t="s">
        <v>#N/A Field Not Applicable</v>
        <stp/>
        <stp>##V3_BDPV12</stp>
        <stp>912828L8 Govt</stp>
        <stp>IDX_RATIO</stp>
        <stp>[TREASURY.xlsx]Sheet1!R1127C20</stp>
        <tr r="T1127" s="1"/>
      </tp>
      <tp t="s">
        <v>#N/A Field Not Applicable</v>
        <stp/>
        <stp>##V3_BDPV12</stp>
        <stp>912827U8 Govt</stp>
        <stp>IDX_RATIO</stp>
        <stp>[TREASURY.xlsx]Sheet1!R1198C20</stp>
        <tr r="T1198" s="1"/>
      </tp>
      <tp t="s">
        <v>US9128283W81</v>
        <stp/>
        <stp>##V3_BDPV12</stp>
        <stp>9128283W Govt</stp>
        <stp>ID_ISIN</stp>
        <stp>[TREASURY.xlsx]Sheet1!R68C12</stp>
        <tr r="L68" s="1"/>
      </tp>
      <tp t="s">
        <v>US91282CBW01</v>
        <stp/>
        <stp>##V3_BDPV12</stp>
        <stp>91282CBW Govt</stp>
        <stp>ID_ISIN</stp>
        <stp>[TREASURY.xlsx]Sheet1!R29C12</stp>
        <tr r="L29" s="1"/>
      </tp>
      <tp t="s">
        <v>US912810SW99</v>
        <stp/>
        <stp>##V3_BDPV12</stp>
        <stp>912810SW Govt</stp>
        <stp>ID_ISIN</stp>
        <stp>[TREASURY.xlsx]Sheet1!R44C12</stp>
        <tr r="L44" s="1"/>
      </tp>
      <tp t="s">
        <v>FIXED</v>
        <stp/>
        <stp>##V3_BDPV12</stp>
        <stp>912810SS Govt</stp>
        <stp>CPN_TYP</stp>
        <stp>[TREASURY.xlsx]Sheet1!R37C11</stp>
        <tr r="K37" s="1"/>
      </tp>
      <tp t="s">
        <v>FIXED</v>
        <stp/>
        <stp>##V3_BDPV12</stp>
        <stp>912828YS Govt</stp>
        <stp>CPN_TYP</stp>
        <stp>[TREASURY.xlsx]Sheet1!R38C11</stp>
        <tr r="K38" s="1"/>
      </tp>
      <tp t="s">
        <v>FIXED</v>
        <stp/>
        <stp>##V3_BDPV12</stp>
        <stp>91282CBS Govt</stp>
        <stp>CPN_TYP</stp>
        <stp>[TREASURY.xlsx]Sheet1!R75C11</stp>
        <tr r="K75" s="1"/>
      </tp>
      <tp t="s">
        <v>9128282B5</v>
        <stp/>
        <stp>##V3_BDPV12</stp>
        <stp>9128282B Govt</stp>
        <stp>ID_CUSIP</stp>
        <stp>[TREASURY.xlsx]Sheet1!R373C19</stp>
        <tr r="S373" s="1"/>
      </tp>
      <tp t="s">
        <v>9128285B2</v>
        <stp/>
        <stp>##V3_BDPV12</stp>
        <stp>9128285B Govt</stp>
        <stp>ID_CUSIP</stp>
        <stp>[TREASURY.xlsx]Sheet1!R442C19</stp>
        <tr r="S442" s="1"/>
      </tp>
      <tp t="s">
        <v>9128283D0</v>
        <stp/>
        <stp>##V3_BDPV12</stp>
        <stp>9128283D Govt</stp>
        <stp>ID_CUSIP</stp>
        <stp>[TREASURY.xlsx]Sheet1!R231C19</stp>
        <tr r="S231" s="1"/>
      </tp>
      <tp t="s">
        <v>9128282F6</v>
        <stp/>
        <stp>##V3_BDPV12</stp>
        <stp>9128282F Govt</stp>
        <stp>ID_CUSIP</stp>
        <stp>[TREASURY.xlsx]Sheet1!R345C19</stp>
        <tr r="S345" s="1"/>
      </tp>
      <tp t="s">
        <v>9128284C1</v>
        <stp/>
        <stp>##V3_BDPV12</stp>
        <stp>9128284C Govt</stp>
        <stp>ID_CUSIP</stp>
        <stp>[TREASURY.xlsx]Sheet1!R505C19</stp>
        <tr r="S505" s="1"/>
      </tp>
      <tp t="s">
        <v>9128283J7</v>
        <stp/>
        <stp>##V3_BDPV12</stp>
        <stp>9128283J Govt</stp>
        <stp>ID_CUSIP</stp>
        <stp>[TREASURY.xlsx]Sheet1!R216C19</stp>
        <tr r="S216" s="1"/>
      </tp>
      <tp t="s">
        <v>9128282T6</v>
        <stp/>
        <stp>##V3_BDPV12</stp>
        <stp>9128282T Govt</stp>
        <stp>ID_CUSIP</stp>
        <stp>[TREASURY.xlsx]Sheet1!R330C19</stp>
        <tr r="S330" s="1"/>
      </tp>
      <tp t="s">
        <v>9128282V1</v>
        <stp/>
        <stp>##V3_BDPV12</stp>
        <stp>9128282V Govt</stp>
        <stp>ID_CUSIP</stp>
        <stp>[TREASURY.xlsx]Sheet1!R362C19</stp>
        <tr r="S362" s="1"/>
      </tp>
      <tp t="s">
        <v>9128285Q9</v>
        <stp/>
        <stp>##V3_BDPV12</stp>
        <stp>9128285Q Govt</stp>
        <stp>ID_CUSIP</stp>
        <stp>[TREASURY.xlsx]Sheet1!R410C19</stp>
        <tr r="S410" s="1"/>
      </tp>
      <tp t="s">
        <v>9128285S5</v>
        <stp/>
        <stp>##V3_BDPV12</stp>
        <stp>9128285S Govt</stp>
        <stp>ID_CUSIP</stp>
        <stp>[TREASURY.xlsx]Sheet1!R429C19</stp>
        <tr r="S429" s="1"/>
      </tp>
      <tp t="s">
        <v>9128283V0</v>
        <stp/>
        <stp>##V3_BDPV12</stp>
        <stp>9128283V Govt</stp>
        <stp>ID_CUSIP</stp>
        <stp>[TREASURY.xlsx]Sheet1!R242C19</stp>
        <tr r="S242" s="1"/>
      </tp>
      <tp t="s">
        <v>9128283U2</v>
        <stp/>
        <stp>##V3_BDPV12</stp>
        <stp>9128283U Govt</stp>
        <stp>ID_CUSIP</stp>
        <stp>[TREASURY.xlsx]Sheet1!R268C19</stp>
        <tr r="S268" s="1"/>
      </tp>
      <tp t="s">
        <v>9128283Z1</v>
        <stp/>
        <stp>##V3_BDPV12</stp>
        <stp>9128283Z Govt</stp>
        <stp>ID_CUSIP</stp>
        <stp>[TREASURY.xlsx]Sheet1!R261C19</stp>
        <tr r="S261" s="1"/>
      </tp>
      <tp t="s">
        <v>9128282D1</v>
        <stp/>
        <stp>##V3_BDPV12</stp>
        <stp>9128282D Govt</stp>
        <stp>ID_CUSIP</stp>
        <stp>[TREASURY.xlsx]Sheet1!R260C19</stp>
        <tr r="S260" s="1"/>
      </tp>
      <tp t="s">
        <v>9128283G3</v>
        <stp/>
        <stp>##V3_BDPV12</stp>
        <stp>9128283G Govt</stp>
        <stp>ID_CUSIP</stp>
        <stp>[TREASURY.xlsx]Sheet1!R380C19</stp>
        <tr r="S380" s="1"/>
      </tp>
      <tp t="s">
        <v>9128283N8</v>
        <stp/>
        <stp>##V3_BDPV12</stp>
        <stp>9128283N Govt</stp>
        <stp>ID_CUSIP</stp>
        <stp>[TREASURY.xlsx]Sheet1!R366C19</stp>
        <tr r="S366" s="1"/>
      </tp>
      <tp t="s">
        <v>9128283L2</v>
        <stp/>
        <stp>##V3_BDPV12</stp>
        <stp>9128283L Govt</stp>
        <stp>ID_CUSIP</stp>
        <stp>[TREASURY.xlsx]Sheet1!R350C19</stp>
        <tr r="S350" s="1"/>
      </tp>
      <tp t="s">
        <v>9128282N9</v>
        <stp/>
        <stp>##V3_BDPV12</stp>
        <stp>9128282N Govt</stp>
        <stp>ID_CUSIP</stp>
        <stp>[TREASURY.xlsx]Sheet1!R258C19</stp>
        <tr r="S258" s="1"/>
      </tp>
      <tp t="s">
        <v>9128283Q1</v>
        <stp/>
        <stp>##V3_BDPV12</stp>
        <stp>9128283Q Govt</stp>
        <stp>ID_CUSIP</stp>
        <stp>[TREASURY.xlsx]Sheet1!R375C19</stp>
        <tr r="S375" s="1"/>
      </tp>
      <tp t="s">
        <v>9128282U3</v>
        <stp/>
        <stp>##V3_BDPV12</stp>
        <stp>9128282U Govt</stp>
        <stp>ID_CUSIP</stp>
        <stp>[TREASURY.xlsx]Sheet1!R252C19</stp>
        <tr r="S252" s="1"/>
      </tp>
      <tp t="s">
        <v>9128283Y4</v>
        <stp/>
        <stp>##V3_BDPV12</stp>
        <stp>9128283Y Govt</stp>
        <stp>ID_CUSIP</stp>
        <stp>[TREASURY.xlsx]Sheet1!R395C19</stp>
        <tr r="S395" s="1"/>
      </tp>
      <tp t="s">
        <v>9128282P4</v>
        <stp/>
        <stp>##V3_BDPV12</stp>
        <stp>9128282P Govt</stp>
        <stp>ID_CUSIP</stp>
        <stp>[TREASURY.xlsx]Sheet1!R214C19</stp>
        <tr r="S214" s="1"/>
      </tp>
      <tp t="s">
        <v>9128282S8</v>
        <stp/>
        <stp>##V3_BDPV12</stp>
        <stp>9128282S Govt</stp>
        <stp>ID_CUSIP</stp>
        <stp>[TREASURY.xlsx]Sheet1!R212C19</stp>
        <tr r="S212" s="1"/>
      </tp>
      <tp t="s">
        <v>9128286V7</v>
        <stp/>
        <stp>##V3_BDPV12</stp>
        <stp>9128286V Govt</stp>
        <stp>ID_CUSIP</stp>
        <stp>[TREASURY.xlsx]Sheet1!R523C19</stp>
        <tr r="S523" s="1"/>
      </tp>
      <tp t="s">
        <v>9128282W9</v>
        <stp/>
        <stp>##V3_BDPV12</stp>
        <stp>9128282W Govt</stp>
        <stp>ID_CUSIP</stp>
        <stp>[TREASURY.xlsx]Sheet1!R166C19</stp>
        <tr r="S166" s="1"/>
      </tp>
      <tp t="s">
        <v>9128282Y5</v>
        <stp/>
        <stp>##V3_BDPV12</stp>
        <stp>9128282Y Govt</stp>
        <stp>ID_CUSIP</stp>
        <stp>[TREASURY.xlsx]Sheet1!R145C19</stp>
        <tr r="S145" s="1"/>
      </tp>
      <tp t="s">
        <v>9128283C2</v>
        <stp/>
        <stp>##V3_BDPV12</stp>
        <stp>9128283C Govt</stp>
        <stp>ID_CUSIP</stp>
        <stp>[TREASURY.xlsx]Sheet1!R186C19</stp>
        <tr r="S186" s="1"/>
      </tp>
      <tp t="s">
        <v>9128284Q0</v>
        <stp/>
        <stp>##V3_BDPV12</stp>
        <stp>9128284Q Govt</stp>
        <stp>ID_CUSIP</stp>
        <stp>[TREASURY.xlsx]Sheet1!R675C19</stp>
        <tr r="S675" s="1"/>
      </tp>
      <tp t="s">
        <v>9128283P3</v>
        <stp/>
        <stp>##V3_BDPV12</stp>
        <stp>9128283P Govt</stp>
        <stp>ID_CUSIP</stp>
        <stp>[TREASURY.xlsx]Sheet1!R185C19</stp>
        <tr r="S185" s="1"/>
      </tp>
      <tp t="s">
        <v>9128286D7</v>
        <stp/>
        <stp>##V3_BDPV12</stp>
        <stp>9128286D Govt</stp>
        <stp>ID_CUSIP</stp>
        <stp>[TREASURY.xlsx]Sheet1!R348C19</stp>
        <tr r="S348" s="1"/>
      </tp>
      <tp t="s">
        <v>9128287C8</v>
        <stp/>
        <stp>##V3_BDPV12</stp>
        <stp>9128287C Govt</stp>
        <stp>ID_CUSIP</stp>
        <stp>[TREASURY.xlsx]Sheet1!R219C19</stp>
        <tr r="S219" s="1"/>
      </tp>
      <tp t="s">
        <v>9128284U1</v>
        <stp/>
        <stp>##V3_BDPV12</stp>
        <stp>9128284U Govt</stp>
        <stp>ID_CUSIP</stp>
        <stp>[TREASURY.xlsx]Sheet1!R128C19</stp>
        <tr r="S128" s="1"/>
      </tp>
      <tp t="s">
        <v>9128286S4</v>
        <stp/>
        <stp>##V3_BDPV12</stp>
        <stp>9128286S Govt</stp>
        <stp>ID_CUSIP</stp>
        <stp>[TREASURY.xlsx]Sheet1!R322C19</stp>
        <tr r="S322" s="1"/>
      </tp>
      <tp t="s">
        <v>9128286C9</v>
        <stp/>
        <stp>##V3_BDPV12</stp>
        <stp>9128286C Govt</stp>
        <stp>ID_CUSIP</stp>
        <stp>[TREASURY.xlsx]Sheet1!R272C19</stp>
        <tr r="S272" s="1"/>
      </tp>
      <tp t="s">
        <v>9128286F2</v>
        <stp/>
        <stp>##V3_BDPV12</stp>
        <stp>9128286F Govt</stp>
        <stp>ID_CUSIP</stp>
        <stp>[TREASURY.xlsx]Sheet1!R225C19</stp>
        <tr r="S225" s="1"/>
      </tp>
      <tp t="s">
        <v>9128287F1</v>
        <stp/>
        <stp>##V3_BDPV12</stp>
        <stp>9128287F Govt</stp>
        <stp>ID_CUSIP</stp>
        <stp>[TREASURY.xlsx]Sheet1!R329C19</stp>
        <tr r="S329" s="1"/>
      </tp>
      <tp t="s">
        <v>9128285L0</v>
        <stp/>
        <stp>##V3_BDPV12</stp>
        <stp>9128285L Govt</stp>
        <stp>ID_CUSIP</stp>
        <stp>[TREASURY.xlsx]Sheet1!R193C19</stp>
        <tr r="S193" s="1"/>
      </tp>
      <tp t="s">
        <v>9128285F3</v>
        <stp/>
        <stp>##V3_BDPV12</stp>
        <stp>9128285F Govt</stp>
        <stp>ID_CUSIP</stp>
        <stp>[TREASURY.xlsx]Sheet1!R106C19</stp>
        <tr r="S106" s="1"/>
      </tp>
      <tp t="s">
        <v>9128286A3</v>
        <stp/>
        <stp>##V3_BDPV12</stp>
        <stp>9128286A Govt</stp>
        <stp>ID_CUSIP</stp>
        <stp>[TREASURY.xlsx]Sheet1!R265C19</stp>
        <tr r="S265" s="1"/>
      </tp>
      <tp t="s">
        <v>9128283H1</v>
        <stp/>
        <stp>##V3_BDPV12</stp>
        <stp>9128283H Govt</stp>
        <stp>ID_CUSIP</stp>
        <stp>[TREASURY.xlsx]Sheet1!R784C19</stp>
        <tr r="S784" s="1"/>
      </tp>
      <tp t="s">
        <v>9128287B0</v>
        <stp/>
        <stp>##V3_BDPV12</stp>
        <stp>9128287B Govt</stp>
        <stp>ID_CUSIP</stp>
        <stp>[TREASURY.xlsx]Sheet1!R306C19</stp>
        <tr r="S306" s="1"/>
      </tp>
      <tp t="s">
        <v>9128287A2</v>
        <stp/>
        <stp>##V3_BDPV12</stp>
        <stp>9128287A Govt</stp>
        <stp>ID_CUSIP</stp>
        <stp>[TREASURY.xlsx]Sheet1!R339C19</stp>
        <tr r="S339" s="1"/>
      </tp>
      <tp t="s">
        <v>9128286G0</v>
        <stp/>
        <stp>##V3_BDPV12</stp>
        <stp>9128286G Govt</stp>
        <stp>ID_CUSIP</stp>
        <stp>[TREASURY.xlsx]Sheet1!R240C19</stp>
        <tr r="S240" s="1"/>
      </tp>
      <tp t="s">
        <v>9128286M7</v>
        <stp/>
        <stp>##V3_BDPV12</stp>
        <stp>9128286M Govt</stp>
        <stp>ID_CUSIP</stp>
        <stp>[TREASURY.xlsx]Sheet1!R218C19</stp>
        <tr r="S218" s="1"/>
      </tp>
      <tp t="s">
        <v>9128286H8</v>
        <stp/>
        <stp>##V3_BDPV12</stp>
        <stp>9128286H Govt</stp>
        <stp>ID_CUSIP</stp>
        <stp>[TREASURY.xlsx]Sheet1!R228C19</stp>
        <tr r="S228" s="1"/>
      </tp>
      <tp t="s">
        <v>9128282J8</v>
        <stp/>
        <stp>##V3_BDPV12</stp>
        <stp>9128282J Govt</stp>
        <stp>ID_CUSIP</stp>
        <stp>[TREASURY.xlsx]Sheet1!R611C19</stp>
        <tr r="S611" s="1"/>
      </tp>
      <tp t="s">
        <v>9128286L9</v>
        <stp/>
        <stp>##V3_BDPV12</stp>
        <stp>9128286L Govt</stp>
        <stp>ID_CUSIP</stp>
        <stp>[TREASURY.xlsx]Sheet1!R276C19</stp>
        <tr r="S276" s="1"/>
      </tp>
      <tp t="s">
        <v>9128286U9</v>
        <stp/>
        <stp>##V3_BDPV12</stp>
        <stp>9128286U Govt</stp>
        <stp>ID_CUSIP</stp>
        <stp>[TREASURY.xlsx]Sheet1!R233C19</stp>
        <tr r="S233" s="1"/>
      </tp>
      <tp t="s">
        <v>9128285R7</v>
        <stp/>
        <stp>##V3_BDPV12</stp>
        <stp>9128285R Govt</stp>
        <stp>ID_CUSIP</stp>
        <stp>[TREASURY.xlsx]Sheet1!R140C19</stp>
        <tr r="S140" s="1"/>
      </tp>
      <tp t="s">
        <v>9128285V8</v>
        <stp/>
        <stp>##V3_BDPV12</stp>
        <stp>9128285V Govt</stp>
        <stp>ID_CUSIP</stp>
        <stp>[TREASURY.xlsx]Sheet1!R179C19</stp>
        <tr r="S179" s="1"/>
      </tp>
      <tp t="s">
        <v>9128286R6</v>
        <stp/>
        <stp>##V3_BDPV12</stp>
        <stp>9128286R Govt</stp>
        <stp>ID_CUSIP</stp>
        <stp>[TREASURY.xlsx]Sheet1!R201C19</stp>
        <tr r="S201" s="1"/>
      </tp>
      <tp t="s">
        <v>9128285U0</v>
        <stp/>
        <stp>##V3_BDPV12</stp>
        <stp>9128285U Govt</stp>
        <stp>ID_CUSIP</stp>
        <stp>[TREASURY.xlsx]Sheet1!R160C19</stp>
        <tr r="S160" s="1"/>
      </tp>
      <tp t="s">
        <v>9128286Y1</v>
        <stp/>
        <stp>##V3_BDPV12</stp>
        <stp>9128286Y Govt</stp>
        <stp>ID_CUSIP</stp>
        <stp>[TREASURY.xlsx]Sheet1!R241C19</stp>
        <tr r="S241" s="1"/>
      </tp>
      <tp t="s">
        <v>9128286X3</v>
        <stp/>
        <stp>##V3_BDPV12</stp>
        <stp>9128286X Govt</stp>
        <stp>ID_CUSIP</stp>
        <stp>[TREASURY.xlsx]Sheet1!R264C19</stp>
        <tr r="S264" s="1"/>
      </tp>
      <tp t="s">
        <v>9128286Z8</v>
        <stp/>
        <stp>##V3_BDPV12</stp>
        <stp>9128286Z Govt</stp>
        <stp>ID_CUSIP</stp>
        <stp>[TREASURY.xlsx]Sheet1!R200C19</stp>
        <tr r="S200" s="1"/>
      </tp>
      <tp t="s">
        <v>9128285N6</v>
        <stp/>
        <stp>##V3_BDPV12</stp>
        <stp>9128285N Govt</stp>
        <stp>ID_CUSIP</stp>
        <stp>[TREASURY.xlsx]Sheet1!R290C19</stp>
        <tr r="S290" s="1"/>
      </tp>
      <tp t="s">
        <v>9128284J6</v>
        <stp/>
        <stp>##V3_BDPV12</stp>
        <stp>9128284J Govt</stp>
        <stp>ID_CUSIP</stp>
        <stp>[TREASURY.xlsx]Sheet1!R381C19</stp>
        <tr r="S381" s="1"/>
      </tp>
      <tp t="s">
        <v>9128285C0</v>
        <stp/>
        <stp>##V3_BDPV12</stp>
        <stp>9128285C Govt</stp>
        <stp>ID_CUSIP</stp>
        <stp>[TREASURY.xlsx]Sheet1!R205C19</stp>
        <tr r="S205" s="1"/>
      </tp>
      <tp t="s">
        <v>9128284G2</v>
        <stp/>
        <stp>##V3_BDPV12</stp>
        <stp>9128284G Govt</stp>
        <stp>ID_CUSIP</stp>
        <stp>[TREASURY.xlsx]Sheet1!R390C19</stp>
        <tr r="S390" s="1"/>
      </tp>
      <tp t="s">
        <v>9128285J5</v>
        <stp/>
        <stp>##V3_BDPV12</stp>
        <stp>9128285J Govt</stp>
        <stp>ID_CUSIP</stp>
        <stp>[TREASURY.xlsx]Sheet1!R248C19</stp>
        <tr r="S248" s="1"/>
      </tp>
      <tp t="s">
        <v>9128285A4</v>
        <stp/>
        <stp>##V3_BDPV12</stp>
        <stp>9128285A Govt</stp>
        <stp>ID_CUSIP</stp>
        <stp>[TREASURY.xlsx]Sheet1!R283C19</stp>
        <tr r="S283" s="1"/>
      </tp>
      <tp t="s">
        <v>9128285K2</v>
        <stp/>
        <stp>##V3_BDPV12</stp>
        <stp>9128285K Govt</stp>
        <stp>ID_CUSIP</stp>
        <stp>[TREASURY.xlsx]Sheet1!R229C19</stp>
        <tr r="S229" s="1"/>
      </tp>
      <tp t="s">
        <v>9128284P2</v>
        <stp/>
        <stp>##V3_BDPV12</stp>
        <stp>9128284P Govt</stp>
        <stp>ID_CUSIP</stp>
        <stp>[TREASURY.xlsx]Sheet1!R367C19</stp>
        <tr r="S367" s="1"/>
      </tp>
      <tp t="s">
        <v>9128285P1</v>
        <stp/>
        <stp>##V3_BDPV12</stp>
        <stp>9128285P Govt</stp>
        <stp>ID_CUSIP</stp>
        <stp>[TREASURY.xlsx]Sheet1!R271C19</stp>
        <tr r="S271" s="1"/>
      </tp>
      <tp t="s">
        <v>9128285T3</v>
        <stp/>
        <stp>##V3_BDPV12</stp>
        <stp>9128285T Govt</stp>
        <stp>ID_CUSIP</stp>
        <stp>[TREASURY.xlsx]Sheet1!R239C19</stp>
        <tr r="S239" s="1"/>
      </tp>
      <tp t="s">
        <v>9128283S7</v>
        <stp/>
        <stp>##V3_BDPV12</stp>
        <stp>9128283S Govt</stp>
        <stp>ID_CUSIP</stp>
        <stp>[TREASURY.xlsx]Sheet1!R433C19</stp>
        <tr r="S433" s="1"/>
      </tp>
      <tp t="s">
        <v>9128284T4</v>
        <stp/>
        <stp>##V3_BDPV12</stp>
        <stp>9128284T Govt</stp>
        <stp>ID_CUSIP</stp>
        <stp>[TREASURY.xlsx]Sheet1!R344C19</stp>
        <tr r="S344" s="1"/>
      </tp>
      <tp t="s">
        <v>9128284W7</v>
        <stp/>
        <stp>##V3_BDPV12</stp>
        <stp>9128284W Govt</stp>
        <stp>ID_CUSIP</stp>
        <stp>[TREASURY.xlsx]Sheet1!R347C19</stp>
        <tr r="S347" s="1"/>
      </tp>
      <tp t="s">
        <v>9128282X7</v>
        <stp/>
        <stp>##V3_BDPV12</stp>
        <stp>9128282X Govt</stp>
        <stp>ID_CUSIP</stp>
        <stp>[TREASURY.xlsx]Sheet1!R554C19</stp>
        <tr r="S554" s="1"/>
      </tp>
      <tp t="s">
        <v>9128284Y3</v>
        <stp/>
        <stp>##V3_BDPV12</stp>
        <stp>9128284Y Govt</stp>
        <stp>ID_CUSIP</stp>
        <stp>[TREASURY.xlsx]Sheet1!R376C19</stp>
        <tr r="S376" s="1"/>
      </tp>
      <tp t="s">
        <v>9128285Z9</v>
        <stp/>
        <stp>##V3_BDPV12</stp>
        <stp>9128285Z Govt</stp>
        <stp>ID_CUSIP</stp>
        <stp>[TREASURY.xlsx]Sheet1!R220C19</stp>
        <tr r="S220" s="1"/>
      </tp>
      <tp t="s">
        <v>9128284D9</v>
        <stp/>
        <stp>##V3_BDPV12</stp>
        <stp>9128284D Govt</stp>
        <stp>ID_CUSIP</stp>
        <stp>[TREASURY.xlsx]Sheet1!R202C19</stp>
        <tr r="S202" s="1"/>
      </tp>
      <tp t="s">
        <v>9128284L1</v>
        <stp/>
        <stp>##V3_BDPV12</stp>
        <stp>9128284L Govt</stp>
        <stp>ID_CUSIP</stp>
        <stp>[TREASURY.xlsx]Sheet1!R299C19</stp>
        <tr r="S299" s="1"/>
      </tp>
      <tp t="s">
        <v>9128282C3</v>
        <stp/>
        <stp>##V3_BDPV12</stp>
        <stp>9128282C Govt</stp>
        <stp>ID_CUSIP</stp>
        <stp>[TREASURY.xlsx]Sheet1!R439C19</stp>
        <tr r="S439" s="1"/>
      </tp>
      <tp t="s">
        <v>9128285G1</v>
        <stp/>
        <stp>##V3_BDPV12</stp>
        <stp>9128285G Govt</stp>
        <stp>ID_CUSIP</stp>
        <stp>[TREASURY.xlsx]Sheet1!R368C19</stp>
        <tr r="S368" s="1"/>
      </tp>
      <tp t="s">
        <v>9128284F4</v>
        <stp/>
        <stp>##V3_BDPV12</stp>
        <stp>9128284F Govt</stp>
        <stp>ID_CUSIP</stp>
        <stp>[TREASURY.xlsx]Sheet1!R285C19</stp>
        <tr r="S285" s="1"/>
      </tp>
      <tp t="s">
        <v>9128284M9</v>
        <stp/>
        <stp>##V3_BDPV12</stp>
        <stp>9128284M Govt</stp>
        <stp>ID_CUSIP</stp>
        <stp>[TREASURY.xlsx]Sheet1!R227C19</stp>
        <tr r="S227" s="1"/>
      </tp>
      <tp t="s">
        <v>9128284A5</v>
        <stp/>
        <stp>##V3_BDPV12</stp>
        <stp>9128284A Govt</stp>
        <stp>ID_CUSIP</stp>
        <stp>[TREASURY.xlsx]Sheet1!R288C19</stp>
        <tr r="S288" s="1"/>
      </tp>
      <tp t="s">
        <v>9128284R8</v>
        <stp/>
        <stp>##V3_BDPV12</stp>
        <stp>9128284R Govt</stp>
        <stp>ID_CUSIP</stp>
        <stp>[TREASURY.xlsx]Sheet1!R257C19</stp>
        <tr r="S257" s="1"/>
      </tp>
      <tp t="s">
        <v>9128282Q2</v>
        <stp/>
        <stp>##V3_BDPV12</stp>
        <stp>9128282Q Govt</stp>
        <stp>ID_CUSIP</stp>
        <stp>[TREASURY.xlsx]Sheet1!R469C19</stp>
        <tr r="S469" s="1"/>
      </tp>
      <tp t="s">
        <v>9128284X5</v>
        <stp/>
        <stp>##V3_BDPV12</stp>
        <stp>9128284X Govt</stp>
        <stp>ID_CUSIP</stp>
        <stp>[TREASURY.xlsx]Sheet1!R256C19</stp>
        <tr r="S256" s="1"/>
      </tp>
      <tp t="s">
        <v>9128285X4</v>
        <stp/>
        <stp>##V3_BDPV12</stp>
        <stp>9128285X Govt</stp>
        <stp>ID_CUSIP</stp>
        <stp>[TREASURY.xlsx]Sheet1!R372C19</stp>
        <tr r="S372" s="1"/>
      </tp>
      <tp t="s">
        <v>9128284Z0</v>
        <stp/>
        <stp>##V3_BDPV12</stp>
        <stp>9128284Z Govt</stp>
        <stp>ID_CUSIP</stp>
        <stp>[TREASURY.xlsx]Sheet1!R251C19</stp>
        <tr r="S251" s="1"/>
      </tp>
      <tp t="s">
        <v>9128284S6</v>
        <stp/>
        <stp>##V3_BDPV12</stp>
        <stp>9128284S Govt</stp>
        <stp>ID_CUSIP</stp>
        <stp>[TREASURY.xlsx]Sheet1!R294C19</stp>
        <tr r="S294" s="1"/>
      </tp>
      <tp t="s">
        <v>9128282K5</v>
        <stp/>
        <stp>##V3_BDPV12</stp>
        <stp>9128282K Govt</stp>
        <stp>ID_CUSIP</stp>
        <stp>[TREASURY.xlsx]Sheet1!R957C19</stp>
        <tr r="S957" s="1"/>
      </tp>
      <tp t="s">
        <v>912828H37</v>
        <stp/>
        <stp>##V3_BDPV12</stp>
        <stp>912828H3 Govt</stp>
        <stp>ID_CUSIP</stp>
        <stp>[TREASURY.xlsx]Sheet1!R968C19</stp>
        <tr r="S968" s="1"/>
      </tp>
      <tp t="s">
        <v>912828D80</v>
        <stp/>
        <stp>##V3_BDPV12</stp>
        <stp>912828D8 Govt</stp>
        <stp>ID_CUSIP</stp>
        <stp>[TREASURY.xlsx]Sheet1!R545C19</stp>
        <tr r="S545" s="1"/>
      </tp>
      <tp t="s">
        <v>912828B90</v>
        <stp/>
        <stp>##V3_BDPV12</stp>
        <stp>912828B9 Govt</stp>
        <stp>ID_CUSIP</stp>
        <stp>[TREASURY.xlsx]Sheet1!R371C19</stp>
        <tr r="S371" s="1"/>
      </tp>
      <tp t="s">
        <v>912828HF0</v>
        <stp/>
        <stp>##V3_BDPV12</stp>
        <stp>912828HF Govt</stp>
        <stp>ID_CUSIP</stp>
        <stp>[TREASURY.xlsx]Sheet1!R970C19</stp>
        <tr r="S970" s="1"/>
      </tp>
      <tp t="s">
        <v>912828HD5</v>
        <stp/>
        <stp>##V3_BDPV12</stp>
        <stp>912828HD Govt</stp>
        <stp>ID_CUSIP</stp>
        <stp>[TREASURY.xlsx]Sheet1!R969C19</stp>
        <tr r="S969" s="1"/>
      </tp>
      <tp t="s">
        <v>912828FJ4</v>
        <stp/>
        <stp>##V3_BDPV12</stp>
        <stp>912828FJ Govt</stp>
        <stp>ID_CUSIP</stp>
        <stp>[TREASURY.xlsx]Sheet1!R799C19</stp>
        <tr r="S799" s="1"/>
      </tp>
      <tp t="s">
        <v>912828FC9</v>
        <stp/>
        <stp>##V3_BDPV12</stp>
        <stp>912828FC Govt</stp>
        <stp>ID_CUSIP</stp>
        <stp>[TREASURY.xlsx]Sheet1!R798C19</stp>
        <tr r="S798" s="1"/>
      </tp>
      <tp t="s">
        <v>912828DB3</v>
        <stp/>
        <stp>##V3_BDPV12</stp>
        <stp>912828DB Govt</stp>
        <stp>ID_CUSIP</stp>
        <stp>[TREASURY.xlsx]Sheet1!R591C19</stp>
        <tr r="S591" s="1"/>
      </tp>
      <tp t="s">
        <v>912828GQ7</v>
        <stp/>
        <stp>##V3_BDPV12</stp>
        <stp>912828GQ Govt</stp>
        <stp>ID_CUSIP</stp>
        <stp>[TREASURY.xlsx]Sheet1!R672C19</stp>
        <tr r="S672" s="1"/>
      </tp>
      <tp t="s">
        <v>912828DP2</v>
        <stp/>
        <stp>##V3_BDPV12</stp>
        <stp>912828DP Govt</stp>
        <stp>ID_CUSIP</stp>
        <stp>[TREASURY.xlsx]Sheet1!R517C19</stp>
        <tr r="S517" s="1"/>
      </tp>
      <tp t="s">
        <v>912828GS3</v>
        <stp/>
        <stp>##V3_BDPV12</stp>
        <stp>912828GS Govt</stp>
        <stp>ID_CUSIP</stp>
        <stp>[TREASURY.xlsx]Sheet1!R615C19</stp>
        <tr r="S615" s="1"/>
      </tp>
      <tp t="s">
        <v>912828EU0</v>
        <stp/>
        <stp>##V3_BDPV12</stp>
        <stp>912828EU Govt</stp>
        <stp>ID_CUSIP</stp>
        <stp>[TREASURY.xlsx]Sheet1!R466C19</stp>
        <tr r="S466" s="1"/>
      </tp>
      <tp t="s">
        <v>912828C57</v>
        <stp/>
        <stp>##V3_BDPV12</stp>
        <stp>912828C5 Govt</stp>
        <stp>ID_CUSIP</stp>
        <stp>[TREASURY.xlsx]Sheet1!R342C19</stp>
        <tr r="S342" s="1"/>
      </tp>
      <tp t="s">
        <v>912828C65</v>
        <stp/>
        <stp>##V3_BDPV12</stp>
        <stp>912828C6 Govt</stp>
        <stp>ID_CUSIP</stp>
        <stp>[TREASURY.xlsx]Sheet1!R349C19</stp>
        <tr r="S349" s="1"/>
      </tp>
      <tp t="s">
        <v>912828HB9</v>
        <stp/>
        <stp>##V3_BDPV12</stp>
        <stp>912828HB Govt</stp>
        <stp>ID_CUSIP</stp>
        <stp>[TREASURY.xlsx]Sheet1!R849C19</stp>
        <tr r="S849" s="1"/>
      </tp>
      <tp t="s">
        <v>912828HG8</v>
        <stp/>
        <stp>##V3_BDPV12</stp>
        <stp>912828HG Govt</stp>
        <stp>ID_CUSIP</stp>
        <stp>[TREASURY.xlsx]Sheet1!R806C19</stp>
        <tr r="S806" s="1"/>
      </tp>
      <tp t="s">
        <v>912828HE3</v>
        <stp/>
        <stp>##V3_BDPV12</stp>
        <stp>912828HE Govt</stp>
        <stp>ID_CUSIP</stp>
        <stp>[TREASURY.xlsx]Sheet1!R850C19</stp>
        <tr r="S850" s="1"/>
      </tp>
      <tp t="s">
        <v>912828FD7</v>
        <stp/>
        <stp>##V3_BDPV12</stp>
        <stp>912828FD Govt</stp>
        <stp>ID_CUSIP</stp>
        <stp>[TREASURY.xlsx]Sheet1!R650C19</stp>
        <tr r="S650" s="1"/>
      </tp>
      <tp t="s">
        <v>912828CB4</v>
        <stp/>
        <stp>##V3_BDPV12</stp>
        <stp>912828CB Govt</stp>
        <stp>ID_CUSIP</stp>
        <stp>[TREASURY.xlsx]Sheet1!R331C19</stp>
        <tr r="S331" s="1"/>
      </tp>
      <tp t="s">
        <v>912828CC2</v>
        <stp/>
        <stp>##V3_BDPV12</stp>
        <stp>912828CC Govt</stp>
        <stp>ID_CUSIP</stp>
        <stp>[TREASURY.xlsx]Sheet1!R325C19</stp>
        <tr r="S325" s="1"/>
      </tp>
      <tp t="s">
        <v>912828CA6</v>
        <stp/>
        <stp>##V3_BDPV12</stp>
        <stp>912828CA Govt</stp>
        <stp>ID_CUSIP</stp>
        <stp>[TREASURY.xlsx]Sheet1!R337C19</stp>
        <tr r="S337" s="1"/>
      </tp>
      <tp t="s">
        <v>912828CJ7</v>
        <stp/>
        <stp>##V3_BDPV12</stp>
        <stp>912828CJ Govt</stp>
        <stp>ID_CUSIP</stp>
        <stp>[TREASURY.xlsx]Sheet1!R393C19</stp>
        <tr r="S393" s="1"/>
      </tp>
      <tp t="s">
        <v>912828CD0</v>
        <stp/>
        <stp>##V3_BDPV12</stp>
        <stp>912828CD Govt</stp>
        <stp>ID_CUSIP</stp>
        <stp>[TREASURY.xlsx]Sheet1!R384C19</stp>
        <tr r="S384" s="1"/>
      </tp>
      <tp t="s">
        <v>912828EG1</v>
        <stp/>
        <stp>##V3_BDPV12</stp>
        <stp>912828EG Govt</stp>
        <stp>ID_CUSIP</stp>
        <stp>[TREASURY.xlsx]Sheet1!R596C19</stp>
        <tr r="S596" s="1"/>
      </tp>
      <tp t="s">
        <v>912828HJ2</v>
        <stp/>
        <stp>##V3_BDPV12</stp>
        <stp>912828HJ Govt</stp>
        <stp>ID_CUSIP</stp>
        <stp>[TREASURY.xlsx]Sheet1!R807C19</stp>
        <tr r="S807" s="1"/>
      </tp>
      <tp t="s">
        <v>912828FU9</v>
        <stp/>
        <stp>##V3_BDPV12</stp>
        <stp>912828FU Govt</stp>
        <stp>ID_CUSIP</stp>
        <stp>[TREASURY.xlsx]Sheet1!R614C19</stp>
        <tr r="S614" s="1"/>
      </tp>
      <tp t="s">
        <v>912828HU7</v>
        <stp/>
        <stp>##V3_BDPV12</stp>
        <stp>912828HU Govt</stp>
        <stp>ID_CUSIP</stp>
        <stp>[TREASURY.xlsx]Sheet1!R808C19</stp>
        <tr r="S808" s="1"/>
      </tp>
      <tp t="s">
        <v>912828HT0</v>
        <stp/>
        <stp>##V3_BDPV12</stp>
        <stp>912828HT Govt</stp>
        <stp>ID_CUSIP</stp>
        <stp>[TREASURY.xlsx]Sheet1!R851C19</stp>
        <tr r="S851" s="1"/>
      </tp>
      <tp t="s">
        <v>912828EQ9</v>
        <stp/>
        <stp>##V3_BDPV12</stp>
        <stp>912828EQ Govt</stp>
        <stp>ID_CUSIP</stp>
        <stp>[TREASURY.xlsx]Sheet1!R524C19</stp>
        <tr r="S524" s="1"/>
      </tp>
      <tp t="s">
        <v>912828EZ9</v>
        <stp/>
        <stp>##V3_BDPV12</stp>
        <stp>912828EZ Govt</stp>
        <stp>ID_CUSIP</stp>
        <stp>[TREASURY.xlsx]Sheet1!R572C19</stp>
        <tr r="S572" s="1"/>
      </tp>
      <tp t="s">
        <v>912828HX1</v>
        <stp/>
        <stp>##V3_BDPV12</stp>
        <stp>912828HX Govt</stp>
        <stp>ID_CUSIP</stp>
        <stp>[TREASURY.xlsx]Sheet1!R809C19</stp>
        <tr r="S809" s="1"/>
      </tp>
      <tp t="s">
        <v>912828B66</v>
        <stp/>
        <stp>##V3_BDPV12</stp>
        <stp>912828B6 Govt</stp>
        <stp>ID_CUSIP</stp>
        <stp>[TREASURY.xlsx]Sheet1!R110C19</stp>
        <tr r="S110" s="1"/>
      </tp>
      <tp t="s">
        <v>912828G95</v>
        <stp/>
        <stp>##V3_BDPV12</stp>
        <stp>912828G9 Govt</stp>
        <stp>ID_CUSIP</stp>
        <stp>[TREASURY.xlsx]Sheet1!R422C19</stp>
        <tr r="S422" s="1"/>
      </tp>
      <tp t="s">
        <v>912828KA7</v>
        <stp/>
        <stp>##V3_BDPV12</stp>
        <stp>912828KA Govt</stp>
        <stp>ID_CUSIP</stp>
        <stp>[TREASURY.xlsx]Sheet1!R856C19</stp>
        <tr r="S856" s="1"/>
      </tp>
      <tp t="s">
        <v>912828KF6</v>
        <stp/>
        <stp>##V3_BDPV12</stp>
        <stp>912828KF Govt</stp>
        <stp>ID_CUSIP</stp>
        <stp>[TREASURY.xlsx]Sheet1!R812C19</stp>
        <tr r="S812" s="1"/>
      </tp>
      <tp t="s">
        <v>912828JD3</v>
        <stp/>
        <stp>##V3_BDPV12</stp>
        <stp>912828JD Govt</stp>
        <stp>ID_CUSIP</stp>
        <stp>[TREASURY.xlsx]Sheet1!R971C19</stp>
        <tr r="S971" s="1"/>
      </tp>
      <tp t="s">
        <v>912828DD9</v>
        <stp/>
        <stp>##V3_BDPV12</stp>
        <stp>912828DD Govt</stp>
        <stp>ID_CUSIP</stp>
        <stp>[TREASURY.xlsx]Sheet1!R791C19</stp>
        <tr r="S791" s="1"/>
      </tp>
      <tp t="s">
        <v>912828FM7</v>
        <stp/>
        <stp>##V3_BDPV12</stp>
        <stp>912828FM Govt</stp>
        <stp>ID_CUSIP</stp>
        <stp>[TREASURY.xlsx]Sheet1!R532C19</stp>
        <tr r="S532" s="1"/>
      </tp>
      <tp t="s">
        <v>912828KL3</v>
        <stp/>
        <stp>##V3_BDPV12</stp>
        <stp>912828KL Govt</stp>
        <stp>ID_CUSIP</stp>
        <stp>[TREASURY.xlsx]Sheet1!R857C19</stp>
        <tr r="S857" s="1"/>
      </tp>
      <tp t="s">
        <v>912828EN6</v>
        <stp/>
        <stp>##V3_BDPV12</stp>
        <stp>912828EN Govt</stp>
        <stp>ID_CUSIP</stp>
        <stp>[TREASURY.xlsx]Sheet1!R649C19</stp>
        <tr r="S649" s="1"/>
      </tp>
      <tp t="s">
        <v>912828KU3</v>
        <stp/>
        <stp>##V3_BDPV12</stp>
        <stp>912828KU Govt</stp>
        <stp>ID_CUSIP</stp>
        <stp>[TREASURY.xlsx]Sheet1!R813C19</stp>
        <tr r="S813" s="1"/>
      </tp>
      <tp t="s">
        <v>912828JV3</v>
        <stp/>
        <stp>##V3_BDPV12</stp>
        <stp>912828JV Govt</stp>
        <stp>ID_CUSIP</stp>
        <stp>[TREASURY.xlsx]Sheet1!R972C19</stp>
        <tr r="S972" s="1"/>
      </tp>
      <tp t="s">
        <v>912828ER7</v>
        <stp/>
        <stp>##V3_BDPV12</stp>
        <stp>912828ER Govt</stp>
        <stp>ID_CUSIP</stp>
        <stp>[TREASURY.xlsx]Sheet1!R604C19</stp>
        <tr r="S604" s="1"/>
      </tp>
      <tp t="s">
        <v>912828FQ8</v>
        <stp/>
        <stp>##V3_BDPV12</stp>
        <stp>912828FQ Govt</stp>
        <stp>ID_CUSIP</stp>
        <stp>[TREASURY.xlsx]Sheet1!R534C19</stp>
        <tr r="S534" s="1"/>
      </tp>
      <tp t="s">
        <v>912828FT2</v>
        <stp/>
        <stp>##V3_BDPV12</stp>
        <stp>912828FT Govt</stp>
        <stp>ID_CUSIP</stp>
        <stp>[TREASURY.xlsx]Sheet1!R597C19</stp>
        <tr r="S597" s="1"/>
      </tp>
      <tp t="s">
        <v>912828DW7</v>
        <stp/>
        <stp>##V3_BDPV12</stp>
        <stp>912828DW Govt</stp>
        <stp>ID_CUSIP</stp>
        <stp>[TREASURY.xlsx]Sheet1!R793C19</stp>
        <tr r="S793" s="1"/>
      </tp>
      <tp t="s">
        <v>912828DR8</v>
        <stp/>
        <stp>##V3_BDPV12</stp>
        <stp>912828DR Govt</stp>
        <stp>ID_CUSIP</stp>
        <stp>[TREASURY.xlsx]Sheet1!R792C19</stp>
        <tr r="S792" s="1"/>
      </tp>
      <tp t="s">
        <v>912828D64</v>
        <stp/>
        <stp>##V3_BDPV12</stp>
        <stp>912828D6 Govt</stp>
        <stp>ID_CUSIP</stp>
        <stp>[TREASURY.xlsx]Sheet1!R613C19</stp>
        <tr r="S613" s="1"/>
      </tp>
      <tp t="s">
        <v>912828F62</v>
        <stp/>
        <stp>##V3_BDPV12</stp>
        <stp>912828F6 Govt</stp>
        <stp>ID_CUSIP</stp>
        <stp>[TREASURY.xlsx]Sheet1!R411C19</stp>
        <tr r="S411" s="1"/>
      </tp>
      <tp t="s">
        <v>912828G79</v>
        <stp/>
        <stp>##V3_BDPV12</stp>
        <stp>912828G7 Govt</stp>
        <stp>ID_CUSIP</stp>
        <stp>[TREASURY.xlsx]Sheet1!R560C19</stp>
        <tr r="S560" s="1"/>
      </tp>
      <tp t="s">
        <v>912828F39</v>
        <stp/>
        <stp>##V3_BDPV12</stp>
        <stp>912828F3 Govt</stp>
        <stp>ID_CUSIP</stp>
        <stp>[TREASURY.xlsx]Sheet1!R406C19</stp>
        <tr r="S406" s="1"/>
      </tp>
      <tp t="s">
        <v>912828D23</v>
        <stp/>
        <stp>##V3_BDPV12</stp>
        <stp>912828D2 Govt</stp>
        <stp>ID_CUSIP</stp>
        <stp>[TREASURY.xlsx]Sheet1!R619C19</stp>
        <tr r="S619" s="1"/>
      </tp>
      <tp t="s">
        <v>912828J92</v>
        <stp/>
        <stp>##V3_BDPV12</stp>
        <stp>912828J9 Govt</stp>
        <stp>ID_CUSIP</stp>
        <stp>[TREASURY.xlsx]Sheet1!R852C19</stp>
        <tr r="S852" s="1"/>
      </tp>
      <tp t="s">
        <v>912828EL0</v>
        <stp/>
        <stp>##V3_BDPV12</stp>
        <stp>912828EL Govt</stp>
        <stp>ID_CUSIP</stp>
        <stp>[TREASURY.xlsx]Sheet1!R797C19</stp>
        <tr r="S797" s="1"/>
      </tp>
      <tp t="s">
        <v>912828JC5</v>
        <stp/>
        <stp>##V3_BDPV12</stp>
        <stp>912828JC Govt</stp>
        <stp>ID_CUSIP</stp>
        <stp>[TREASURY.xlsx]Sheet1!R853C19</stp>
        <tr r="S853" s="1"/>
      </tp>
      <tp t="s">
        <v>912828FF2</v>
        <stp/>
        <stp>##V3_BDPV12</stp>
        <stp>912828FF Govt</stp>
        <stp>ID_CUSIP</stp>
        <stp>[TREASURY.xlsx]Sheet1!R475C19</stp>
        <tr r="S475" s="1"/>
      </tp>
      <tp t="s">
        <v>912828EK2</v>
        <stp/>
        <stp>##V3_BDPV12</stp>
        <stp>912828EK Govt</stp>
        <stp>ID_CUSIP</stp>
        <stp>[TREASURY.xlsx]Sheet1!R796C19</stp>
        <tr r="S796" s="1"/>
      </tp>
      <tp t="s">
        <v>912828JM3</v>
        <stp/>
        <stp>##V3_BDPV12</stp>
        <stp>912828JM Govt</stp>
        <stp>ID_CUSIP</stp>
        <stp>[TREASURY.xlsx]Sheet1!R810C19</stp>
        <tr r="S810" s="1"/>
      </tp>
      <tp t="s">
        <v>912828EE6</v>
        <stp/>
        <stp>##V3_BDPV12</stp>
        <stp>912828EE Govt</stp>
        <stp>ID_CUSIP</stp>
        <stp>[TREASURY.xlsx]Sheet1!R795C19</stp>
        <tr r="S795" s="1"/>
      </tp>
      <tp t="s">
        <v>912828JK7</v>
        <stp/>
        <stp>##V3_BDPV12</stp>
        <stp>912828JK Govt</stp>
        <stp>ID_CUSIP</stp>
        <stp>[TREASURY.xlsx]Sheet1!R854C19</stp>
        <tr r="S854" s="1"/>
      </tp>
      <tp t="s">
        <v>912828EC0</v>
        <stp/>
        <stp>##V3_BDPV12</stp>
        <stp>912828EC Govt</stp>
        <stp>ID_CUSIP</stp>
        <stp>[TREASURY.xlsx]Sheet1!R794C19</stp>
        <tr r="S794" s="1"/>
      </tp>
      <tp t="s">
        <v>912828DV9</v>
        <stp/>
        <stp>##V3_BDPV12</stp>
        <stp>912828DV Govt</stp>
        <stp>ID_CUSIP</stp>
        <stp>[TREASURY.xlsx]Sheet1!R620C19</stp>
        <tr r="S620" s="1"/>
      </tp>
      <tp t="s">
        <v>912828JQ4</v>
        <stp/>
        <stp>##V3_BDPV12</stp>
        <stp>912828JQ Govt</stp>
        <stp>ID_CUSIP</stp>
        <stp>[TREASURY.xlsx]Sheet1!R811C19</stp>
        <tr r="S811" s="1"/>
      </tp>
      <tp t="s">
        <v>912828JU5</v>
        <stp/>
        <stp>##V3_BDPV12</stp>
        <stp>912828JU Govt</stp>
        <stp>ID_CUSIP</stp>
        <stp>[TREASURY.xlsx]Sheet1!R855C19</stp>
        <tr r="S855" s="1"/>
      </tp>
      <tp t="s">
        <v>912828GR5</v>
        <stp/>
        <stp>##V3_BDPV12</stp>
        <stp>912828GR Govt</stp>
        <stp>ID_CUSIP</stp>
        <stp>[TREASURY.xlsx]Sheet1!R504C19</stp>
        <tr r="S504" s="1"/>
      </tp>
      <tp t="s">
        <v>912828KT6</v>
        <stp/>
        <stp>##V3_BDPV12</stp>
        <stp>912828KT Govt</stp>
        <stp>ID_CUSIP</stp>
        <stp>[TREASURY.xlsx]Sheet1!R973C19</stp>
        <tr r="S973" s="1"/>
      </tp>
      <tp t="s">
        <v>912828KZ2</v>
        <stp/>
        <stp>##V3_BDPV12</stp>
        <stp>912828KZ Govt</stp>
        <stp>ID_CUSIP</stp>
        <stp>[TREASURY.xlsx]Sheet1!R974C19</stp>
        <tr r="S974" s="1"/>
      </tp>
      <tp t="s">
        <v>T</v>
        <stp/>
        <stp>##V3_BDPV12</stp>
        <stp>9128286Z Govt</stp>
        <stp>TICKER</stp>
        <stp>[TREASURY.xlsx]Sheet1!R200C2</stp>
        <tr r="B200" s="1"/>
      </tp>
      <tp t="s">
        <v>912828G53</v>
        <stp/>
        <stp>##V3_BDPV12</stp>
        <stp>912828G5 Govt</stp>
        <stp>ID_CUSIP</stp>
        <stp>[TREASURY.xlsx]Sheet1!R230C19</stp>
        <tr r="S230" s="1"/>
      </tp>
      <tp t="s">
        <v>912828A75</v>
        <stp/>
        <stp>##V3_BDPV12</stp>
        <stp>912828A7 Govt</stp>
        <stp>ID_CUSIP</stp>
        <stp>[TREASURY.xlsx]Sheet1!R481C19</stp>
        <tr r="S481" s="1"/>
      </tp>
      <tp t="s">
        <v>912828G87</v>
        <stp/>
        <stp>##V3_BDPV12</stp>
        <stp>912828G8 Govt</stp>
        <stp>ID_CUSIP</stp>
        <stp>[TREASURY.xlsx]Sheet1!R209C19</stp>
        <tr r="S209" s="1"/>
      </tp>
      <tp t="s">
        <v>912828C24</v>
        <stp/>
        <stp>##V3_BDPV12</stp>
        <stp>912828C2 Govt</stp>
        <stp>ID_CUSIP</stp>
        <stp>[TREASURY.xlsx]Sheet1!R688C19</stp>
        <tr r="S688" s="1"/>
      </tp>
      <tp t="s">
        <v>912828A83</v>
        <stp/>
        <stp>##V3_BDPV12</stp>
        <stp>912828A8 Govt</stp>
        <stp>ID_CUSIP</stp>
        <stp>[TREASURY.xlsx]Sheet1!R434C19</stp>
        <tr r="S434" s="1"/>
      </tp>
      <tp t="s">
        <v>2/15/2036</v>
        <stp/>
        <stp>##V3_BDPV12</stp>
        <stp>912810FT Govt</stp>
        <stp>MATURITY</stp>
        <stp>[TREASURY.xlsx]Sheet1!R79C5</stp>
        <tr r="E79" s="1"/>
      </tp>
      <tp t="s">
        <v>912828AD2</v>
        <stp/>
        <stp>##V3_BDPV12</stp>
        <stp>912828AD Govt</stp>
        <stp>ID_CUSIP</stp>
        <stp>[TREASURY.xlsx]Sheet1!R412C19</stp>
        <tr r="S412" s="1"/>
      </tp>
      <tp t="s">
        <v>912828CN8</v>
        <stp/>
        <stp>##V3_BDPV12</stp>
        <stp>912828CN Govt</stp>
        <stp>ID_CUSIP</stp>
        <stp>[TREASURY.xlsx]Sheet1!R696C19</stp>
        <tr r="S696" s="1"/>
      </tp>
      <tp t="s">
        <v>912828MG2</v>
        <stp/>
        <stp>##V3_BDPV12</stp>
        <stp>912828MG Govt</stp>
        <stp>ID_CUSIP</stp>
        <stp>[TREASURY.xlsx]Sheet1!R860C19</stp>
        <tr r="S860" s="1"/>
      </tp>
      <tp t="s">
        <v>912828MD9</v>
        <stp/>
        <stp>##V3_BDPV12</stp>
        <stp>912828MD Govt</stp>
        <stp>ID_CUSIP</stp>
        <stp>[TREASURY.xlsx]Sheet1!R859C19</stp>
        <tr r="S859" s="1"/>
      </tp>
      <tp t="s">
        <v>912828AA8</v>
        <stp/>
        <stp>##V3_BDPV12</stp>
        <stp>912828AA Govt</stp>
        <stp>ID_CUSIP</stp>
        <stp>[TREASURY.xlsx]Sheet1!R426C19</stp>
        <tr r="S426" s="1"/>
      </tp>
      <tp t="s">
        <v>912828BK5</v>
        <stp/>
        <stp>##V3_BDPV12</stp>
        <stp>912828BK Govt</stp>
        <stp>ID_CUSIP</stp>
        <stp>[TREASURY.xlsx]Sheet1!R786C19</stp>
        <tr r="S786" s="1"/>
      </tp>
      <tp t="s">
        <v>912828MB3</v>
        <stp/>
        <stp>##V3_BDPV12</stp>
        <stp>912828MB Govt</stp>
        <stp>ID_CUSIP</stp>
        <stp>[TREASURY.xlsx]Sheet1!R819C19</stp>
        <tr r="S819" s="1"/>
      </tp>
      <tp t="s">
        <v>912828MN7</v>
        <stp/>
        <stp>##V3_BDPV12</stp>
        <stp>912828MN Govt</stp>
        <stp>ID_CUSIP</stp>
        <stp>[TREASURY.xlsx]Sheet1!R822C19</stp>
        <tr r="S822" s="1"/>
      </tp>
      <tp t="s">
        <v>912828MM9</v>
        <stp/>
        <stp>##V3_BDPV12</stp>
        <stp>912828MM Govt</stp>
        <stp>ID_CUSIP</stp>
        <stp>[TREASURY.xlsx]Sheet1!R821C19</stp>
        <tr r="S821" s="1"/>
      </tp>
      <tp t="s">
        <v>912828MJ6</v>
        <stp/>
        <stp>##V3_BDPV12</stp>
        <stp>912828MJ Govt</stp>
        <stp>ID_CUSIP</stp>
        <stp>[TREASURY.xlsx]Sheet1!R820C19</stp>
        <tr r="S820" s="1"/>
      </tp>
      <tp t="s">
        <v>912828MV9</v>
        <stp/>
        <stp>##V3_BDPV12</stp>
        <stp>912828MV Govt</stp>
        <stp>ID_CUSIP</stp>
        <stp>[TREASURY.xlsx]Sheet1!R824C19</stp>
        <tr r="S824" s="1"/>
      </tp>
      <tp t="s">
        <v>912828MS6</v>
        <stp/>
        <stp>##V3_BDPV12</stp>
        <stp>912828MS Govt</stp>
        <stp>ID_CUSIP</stp>
        <stp>[TREASURY.xlsx]Sheet1!R861C19</stp>
        <tr r="S861" s="1"/>
      </tp>
      <tp t="s">
        <v>912828CU2</v>
        <stp/>
        <stp>##V3_BDPV12</stp>
        <stp>912828CU Govt</stp>
        <stp>ID_CUSIP</stp>
        <stp>[TREASURY.xlsx]Sheet1!R636C19</stp>
        <tr r="S636" s="1"/>
      </tp>
      <tp t="s">
        <v>912828CW8</v>
        <stp/>
        <stp>##V3_BDPV12</stp>
        <stp>912828CW Govt</stp>
        <stp>ID_CUSIP</stp>
        <stp>[TREASURY.xlsx]Sheet1!R603C19</stp>
        <tr r="S603" s="1"/>
      </tp>
      <tp t="s">
        <v>912828MR8</v>
        <stp/>
        <stp>##V3_BDPV12</stp>
        <stp>912828MR Govt</stp>
        <stp>ID_CUSIP</stp>
        <stp>[TREASURY.xlsx]Sheet1!R823C19</stp>
        <tr r="S823" s="1"/>
      </tp>
      <tp t="s">
        <v>912828FY1</v>
        <stp/>
        <stp>##V3_BDPV12</stp>
        <stp>912828FY Govt</stp>
        <stp>ID_CUSIP</stp>
        <stp>[TREASURY.xlsx]Sheet1!R394C19</stp>
        <tr r="S394" s="1"/>
      </tp>
      <tp t="s">
        <v>912828AU4</v>
        <stp/>
        <stp>##V3_BDPV12</stp>
        <stp>912828AU Govt</stp>
        <stp>ID_CUSIP</stp>
        <stp>[TREASURY.xlsx]Sheet1!R474C19</stp>
        <tr r="S474" s="1"/>
      </tp>
      <tp t="s">
        <v>912828LT5</v>
        <stp/>
        <stp>##V3_BDPV12</stp>
        <stp>912828LT Govt</stp>
        <stp>ID_CUSIP</stp>
        <stp>[TREASURY.xlsx]Sheet1!R975C19</stp>
        <tr r="S975" s="1"/>
      </tp>
      <tp t="s">
        <v>912828BT6</v>
        <stp/>
        <stp>##V3_BDPV12</stp>
        <stp>912828BT Govt</stp>
        <stp>ID_CUSIP</stp>
        <stp>[TREASURY.xlsx]Sheet1!R787C19</stp>
        <tr r="S787" s="1"/>
      </tp>
      <tp t="s">
        <v>912828CX6</v>
        <stp/>
        <stp>##V3_BDPV12</stp>
        <stp>912828CX Govt</stp>
        <stp>ID_CUSIP</stp>
        <stp>[TREASURY.xlsx]Sheet1!R659C19</stp>
        <tr r="S659" s="1"/>
      </tp>
      <tp t="s">
        <v>912828MX5</v>
        <stp/>
        <stp>##V3_BDPV12</stp>
        <stp>912828MX Govt</stp>
        <stp>ID_CUSIP</stp>
        <stp>[TREASURY.xlsx]Sheet1!R825C19</stp>
        <tr r="S825" s="1"/>
      </tp>
      <tp t="s">
        <v>912828AZ3</v>
        <stp/>
        <stp>##V3_BDPV12</stp>
        <stp>912828AZ Govt</stp>
        <stp>ID_CUSIP</stp>
        <stp>[TREASURY.xlsx]Sheet1!R415C19</stp>
        <tr r="S415" s="1"/>
      </tp>
      <tp t="s">
        <v>912828C81</v>
        <stp/>
        <stp>##V3_BDPV12</stp>
        <stp>912828C8 Govt</stp>
        <stp>ID_CUSIP</stp>
        <stp>[TREASURY.xlsx]Sheet1!R788C19</stp>
        <tr r="S788" s="1"/>
      </tp>
      <tp t="s">
        <v>912828B58</v>
        <stp/>
        <stp>##V3_BDPV12</stp>
        <stp>912828B5 Govt</stp>
        <stp>ID_CUSIP</stp>
        <stp>[TREASURY.xlsx]Sheet1!R647C19</stp>
        <tr r="S647" s="1"/>
      </tp>
      <tp t="s">
        <v>912828A42</v>
        <stp/>
        <stp>##V3_BDPV12</stp>
        <stp>912828A4 Govt</stp>
        <stp>ID_CUSIP</stp>
        <stp>[TREASURY.xlsx]Sheet1!R555C19</stp>
        <tr r="S555" s="1"/>
      </tp>
      <tp t="s">
        <v>912828F21</v>
        <stp/>
        <stp>##V3_BDPV12</stp>
        <stp>912828F2 Govt</stp>
        <stp>ID_CUSIP</stp>
        <stp>[TREASURY.xlsx]Sheet1!R207C19</stp>
        <tr r="S207" s="1"/>
      </tp>
      <tp t="s">
        <v>912828A67</v>
        <stp/>
        <stp>##V3_BDPV12</stp>
        <stp>912828A6 Govt</stp>
        <stp>ID_CUSIP</stp>
        <stp>[TREASURY.xlsx]Sheet1!R580C19</stp>
        <tr r="S580" s="1"/>
      </tp>
      <tp t="s">
        <v>912828LD0</v>
        <stp/>
        <stp>##V3_BDPV12</stp>
        <stp>912828LD Govt</stp>
        <stp>ID_CUSIP</stp>
        <stp>[TREASURY.xlsx]Sheet1!R814C19</stp>
        <tr r="S814" s="1"/>
      </tp>
      <tp t="s">
        <v>912828AE0</v>
        <stp/>
        <stp>##V3_BDPV12</stp>
        <stp>912828AE Govt</stp>
        <stp>ID_CUSIP</stp>
        <stp>[TREASURY.xlsx]Sheet1!R530C19</stp>
        <tr r="S530" s="1"/>
      </tp>
      <tp t="s">
        <v>912828LG3</v>
        <stp/>
        <stp>##V3_BDPV12</stp>
        <stp>912828LG Govt</stp>
        <stp>ID_CUSIP</stp>
        <stp>[TREASURY.xlsx]Sheet1!R815C19</stp>
        <tr r="S815" s="1"/>
      </tp>
      <tp t="s">
        <v>912828BC3</v>
        <stp/>
        <stp>##V3_BDPV12</stp>
        <stp>912828BC Govt</stp>
        <stp>ID_CUSIP</stp>
        <stp>[TREASURY.xlsx]Sheet1!R641C19</stp>
        <tr r="S641" s="1"/>
      </tp>
      <tp t="s">
        <v>912828CK4</v>
        <stp/>
        <stp>##V3_BDPV12</stp>
        <stp>912828CK Govt</stp>
        <stp>ID_CUSIP</stp>
        <stp>[TREASURY.xlsx]Sheet1!R790C19</stp>
        <tr r="S790" s="1"/>
      </tp>
      <tp t="s">
        <v>912828BJ8</v>
        <stp/>
        <stp>##V3_BDPV12</stp>
        <stp>912828BJ Govt</stp>
        <stp>ID_CUSIP</stp>
        <stp>[TREASURY.xlsx]Sheet1!R642C19</stp>
        <tr r="S642" s="1"/>
      </tp>
      <tp t="s">
        <v>912828MH0</v>
        <stp/>
        <stp>##V3_BDPV12</stp>
        <stp>912828MH Govt</stp>
        <stp>ID_CUSIP</stp>
        <stp>[TREASURY.xlsx]Sheet1!R976C19</stp>
        <tr r="S976" s="1"/>
      </tp>
      <tp t="s">
        <v>912828CG3</v>
        <stp/>
        <stp>##V3_BDPV12</stp>
        <stp>912828CG Govt</stp>
        <stp>ID_CUSIP</stp>
        <stp>[TREASURY.xlsx]Sheet1!R789C19</stp>
        <tr r="S789" s="1"/>
      </tp>
      <tp t="s">
        <v>912828AJ9</v>
        <stp/>
        <stp>##V3_BDPV12</stp>
        <stp>912828AJ Govt</stp>
        <stp>ID_CUSIP</stp>
        <stp>[TREASURY.xlsx]Sheet1!R531C19</stp>
        <tr r="S531" s="1"/>
      </tp>
      <tp t="s">
        <v>912828GM6</v>
        <stp/>
        <stp>##V3_BDPV12</stp>
        <stp>912828GM Govt</stp>
        <stp>ID_CUSIP</stp>
        <stp>[TREASURY.xlsx]Sheet1!R379C19</stp>
        <tr r="S379" s="1"/>
      </tp>
      <tp t="s">
        <v>912828BP4</v>
        <stp/>
        <stp>##V3_BDPV12</stp>
        <stp>912828BP Govt</stp>
        <stp>ID_CUSIP</stp>
        <stp>[TREASURY.xlsx]Sheet1!R648C19</stp>
        <tr r="S648" s="1"/>
      </tp>
      <tp t="s">
        <v>912828LU2</v>
        <stp/>
        <stp>##V3_BDPV12</stp>
        <stp>912828LU Govt</stp>
        <stp>ID_CUSIP</stp>
        <stp>[TREASURY.xlsx]Sheet1!R818C19</stp>
        <tr r="S818" s="1"/>
      </tp>
      <tp t="s">
        <v>912828LS7</v>
        <stp/>
        <stp>##V3_BDPV12</stp>
        <stp>912828LS Govt</stp>
        <stp>ID_CUSIP</stp>
        <stp>[TREASURY.xlsx]Sheet1!R858C19</stp>
        <tr r="S858" s="1"/>
      </tp>
      <tp t="s">
        <v>912828AQ3</v>
        <stp/>
        <stp>##V3_BDPV12</stp>
        <stp>912828AQ Govt</stp>
        <stp>ID_CUSIP</stp>
        <stp>[TREASURY.xlsx]Sheet1!R512C19</stp>
        <tr r="S512" s="1"/>
      </tp>
      <tp t="s">
        <v>912828LP3</v>
        <stp/>
        <stp>##V3_BDPV12</stp>
        <stp>912828LP Govt</stp>
        <stp>ID_CUSIP</stp>
        <stp>[TREASURY.xlsx]Sheet1!R816C19</stp>
        <tr r="S816" s="1"/>
      </tp>
      <tp t="s">
        <v>912828BS8</v>
        <stp/>
        <stp>##V3_BDPV12</stp>
        <stp>912828BS Govt</stp>
        <stp>ID_CUSIP</stp>
        <stp>[TREASURY.xlsx]Sheet1!R628C19</stp>
        <tr r="S628" s="1"/>
      </tp>
      <tp t="s">
        <v>912828LR9</v>
        <stp/>
        <stp>##V3_BDPV12</stp>
        <stp>912828LR Govt</stp>
        <stp>ID_CUSIP</stp>
        <stp>[TREASURY.xlsx]Sheet1!R817C19</stp>
        <tr r="S817" s="1"/>
      </tp>
      <tp t="s">
        <v>912828AX8</v>
        <stp/>
        <stp>##V3_BDPV12</stp>
        <stp>912828AX Govt</stp>
        <stp>ID_CUSIP</stp>
        <stp>[TREASURY.xlsx]Sheet1!R502C19</stp>
        <tr r="S502" s="1"/>
      </tp>
      <tp t="s">
        <v>912828AY6</v>
        <stp/>
        <stp>##V3_BDPV12</stp>
        <stp>912828AY Govt</stp>
        <stp>ID_CUSIP</stp>
        <stp>[TREASURY.xlsx]Sheet1!R507C19</stp>
        <tr r="S507" s="1"/>
      </tp>
      <tp t="s">
        <v>912828D72</v>
        <stp/>
        <stp>##V3_BDPV12</stp>
        <stp>912828D7 Govt</stp>
        <stp>ID_CUSIP</stp>
        <stp>[TREASURY.xlsx]Sheet1!R332C19</stp>
        <tr r="S332" s="1"/>
      </tp>
      <tp t="s">
        <v>912828C73</v>
        <stp/>
        <stp>##V3_BDPV12</stp>
        <stp>912828C7 Govt</stp>
        <stp>ID_CUSIP</stp>
        <stp>[TREASURY.xlsx]Sheet1!R416C19</stp>
        <tr r="S416" s="1"/>
      </tp>
      <tp t="s">
        <v>912828F96</v>
        <stp/>
        <stp>##V3_BDPV12</stp>
        <stp>912828F9 Govt</stp>
        <stp>ID_CUSIP</stp>
        <stp>[TREASURY.xlsx]Sheet1!R199C19</stp>
        <tr r="S199" s="1"/>
      </tp>
      <tp t="s">
        <v>T</v>
        <stp/>
        <stp>##V3_BDPV12</stp>
        <stp>9128282X Govt</stp>
        <stp>TICKER</stp>
        <stp>[TREASURY.xlsx]Sheet1!R554C2</stp>
        <tr r="B554" s="1"/>
      </tp>
      <tp t="s">
        <v>912828A34</v>
        <stp/>
        <stp>##V3_BDPV12</stp>
        <stp>912828A3 Govt</stp>
        <stp>ID_CUSIP</stp>
        <stp>[TREASURY.xlsx]Sheet1!R627C19</stp>
        <tr r="S627" s="1"/>
      </tp>
      <tp t="s">
        <v>T</v>
        <stp/>
        <stp>##V3_BDPV12</stp>
        <stp>9128275X Govt</stp>
        <stp>TICKER</stp>
        <stp>[TREASURY.xlsx]Sheet1!R633C2</stp>
        <tr r="B633" s="1"/>
      </tp>
      <tp t="s">
        <v>912828C40</v>
        <stp/>
        <stp>##V3_BDPV12</stp>
        <stp>912828C4 Govt</stp>
        <stp>ID_CUSIP</stp>
        <stp>[TREASURY.xlsx]Sheet1!R492C19</stp>
        <tr r="S492" s="1"/>
      </tp>
      <tp t="s">
        <v>912828A91</v>
        <stp/>
        <stp>##V3_BDPV12</stp>
        <stp>912828A9 Govt</stp>
        <stp>ID_CUSIP</stp>
        <stp>[TREASURY.xlsx]Sheet1!R640C19</stp>
        <tr r="S640" s="1"/>
      </tp>
      <tp t="s">
        <v>912828B82</v>
        <stp/>
        <stp>##V3_BDPV12</stp>
        <stp>912828B8 Govt</stp>
        <stp>ID_CUSIP</stp>
        <stp>[TREASURY.xlsx]Sheet1!R571C19</stp>
        <tr r="S571" s="1"/>
      </tp>
      <tp t="s">
        <v>912828CM0</v>
        <stp/>
        <stp>##V3_BDPV12</stp>
        <stp>912828CM Govt</stp>
        <stp>ID_CUSIP</stp>
        <stp>[TREASURY.xlsx]Sheet1!R493C19</stp>
        <tr r="S493" s="1"/>
      </tp>
      <tp t="s">
        <v>912828DC1</v>
        <stp/>
        <stp>##V3_BDPV12</stp>
        <stp>912828DC Govt</stp>
        <stp>ID_CUSIP</stp>
        <stp>[TREASURY.xlsx]Sheet1!R352C19</stp>
        <tr r="S352" s="1"/>
      </tp>
      <tp t="s">
        <v>912828CF5</v>
        <stp/>
        <stp>##V3_BDPV12</stp>
        <stp>912828CF Govt</stp>
        <stp>ID_CUSIP</stp>
        <stp>[TREASURY.xlsx]Sheet1!R465C19</stp>
        <tr r="S465" s="1"/>
      </tp>
      <tp t="s">
        <v>912828NE6</v>
        <stp/>
        <stp>##V3_BDPV12</stp>
        <stp>912828NE Govt</stp>
        <stp>ID_CUSIP</stp>
        <stp>[TREASURY.xlsx]Sheet1!R977C19</stp>
        <tr r="S977" s="1"/>
      </tp>
      <tp t="s">
        <v>912828NK2</v>
        <stp/>
        <stp>##V3_BDPV12</stp>
        <stp>912828NK Govt</stp>
        <stp>ID_CUSIP</stp>
        <stp>[TREASURY.xlsx]Sheet1!R978C19</stp>
        <tr r="S978" s="1"/>
      </tp>
      <tp t="s">
        <v>912828BL3</v>
        <stp/>
        <stp>##V3_BDPV12</stp>
        <stp>912828BL Govt</stp>
        <stp>ID_CUSIP</stp>
        <stp>[TREASURY.xlsx]Sheet1!R513C19</stp>
        <tr r="S513" s="1"/>
      </tp>
      <tp t="s">
        <v>912828AL4</v>
        <stp/>
        <stp>##V3_BDPV12</stp>
        <stp>912828AL Govt</stp>
        <stp>ID_CUSIP</stp>
        <stp>[TREASURY.xlsx]Sheet1!R666C19</stp>
        <tr r="S666" s="1"/>
      </tp>
      <tp t="s">
        <v>912828AN0</v>
        <stp/>
        <stp>##V3_BDPV12</stp>
        <stp>912828AN Govt</stp>
        <stp>ID_CUSIP</stp>
        <stp>[TREASURY.xlsx]Sheet1!R657C19</stp>
        <tr r="S657" s="1"/>
      </tp>
      <tp t="s">
        <v>912828NS5</v>
        <stp/>
        <stp>##V3_BDPV12</stp>
        <stp>912828NS Govt</stp>
        <stp>ID_CUSIP</stp>
        <stp>[TREASURY.xlsx]Sheet1!R979C19</stp>
        <tr r="S979" s="1"/>
      </tp>
      <tp t="s">
        <v>912828CS7</v>
        <stp/>
        <stp>##V3_BDPV12</stp>
        <stp>912828CS Govt</stp>
        <stp>ID_CUSIP</stp>
        <stp>[TREASURY.xlsx]Sheet1!R462C19</stp>
        <tr r="S462" s="1"/>
      </tp>
      <tp t="s">
        <v>912828AV2</v>
        <stp/>
        <stp>##V3_BDPV12</stp>
        <stp>912828AV Govt</stp>
        <stp>ID_CUSIP</stp>
        <stp>[TREASURY.xlsx]Sheet1!R602C19</stp>
        <tr r="S602" s="1"/>
      </tp>
      <tp t="s">
        <v>912828BU3</v>
        <stp/>
        <stp>##V3_BDPV12</stp>
        <stp>912828BU Govt</stp>
        <stp>ID_CUSIP</stp>
        <stp>[TREASURY.xlsx]Sheet1!R533C19</stp>
        <tr r="S533" s="1"/>
      </tp>
      <tp t="s">
        <v>912828BR0</v>
        <stp/>
        <stp>##V3_BDPV12</stp>
        <stp>912828BR Govt</stp>
        <stp>ID_CUSIP</stp>
        <stp>[TREASURY.xlsx]Sheet1!R541C19</stp>
        <tr r="S541" s="1"/>
      </tp>
      <tp t="s">
        <v>912828AT7</v>
        <stp/>
        <stp>##V3_BDPV12</stp>
        <stp>912828AT Govt</stp>
        <stp>ID_CUSIP</stp>
        <stp>[TREASURY.xlsx]Sheet1!R635C19</stp>
        <tr r="S635" s="1"/>
      </tp>
      <tp t="s">
        <v>912828AR1</v>
        <stp/>
        <stp>##V3_BDPV12</stp>
        <stp>912828AR Govt</stp>
        <stp>ID_CUSIP</stp>
        <stp>[TREASURY.xlsx]Sheet1!R658C19</stp>
        <tr r="S658" s="1"/>
      </tp>
      <tp t="s">
        <v>912828NX4</v>
        <stp/>
        <stp>##V3_BDPV12</stp>
        <stp>912828NX Govt</stp>
        <stp>ID_CUSIP</stp>
        <stp>[TREASURY.xlsx]Sheet1!R980C19</stp>
        <tr r="S980" s="1"/>
      </tp>
      <tp t="s">
        <v>912828AW0</v>
        <stp/>
        <stp>##V3_BDPV12</stp>
        <stp>912828AW Govt</stp>
        <stp>ID_CUSIP</stp>
        <stp>[TREASURY.xlsx]Sheet1!R667C19</stp>
        <tr r="S667" s="1"/>
      </tp>
      <tp t="s">
        <v>912828BX7</v>
        <stp/>
        <stp>##V3_BDPV12</stp>
        <stp>912828BX Govt</stp>
        <stp>ID_CUSIP</stp>
        <stp>[TREASURY.xlsx]Sheet1!R556C19</stp>
        <tr r="S556" s="1"/>
      </tp>
      <tp t="s">
        <v>912828CY4</v>
        <stp/>
        <stp>##V3_BDPV12</stp>
        <stp>912828CY Govt</stp>
        <stp>ID_CUSIP</stp>
        <stp>[TREASURY.xlsx]Sheet1!R477C19</stp>
        <tr r="S477" s="1"/>
      </tp>
      <tp t="s">
        <v>912828BY5</v>
        <stp/>
        <stp>##V3_BDPV12</stp>
        <stp>912828BY Govt</stp>
        <stp>ID_CUSIP</stp>
        <stp>[TREASURY.xlsx]Sheet1!R506C19</stp>
        <tr r="S506" s="1"/>
      </tp>
      <tp t="s">
        <v>T</v>
        <stp/>
        <stp>##V3_BDPV12</stp>
        <stp>9128283Y Govt</stp>
        <stp>TICKER</stp>
        <stp>[TREASURY.xlsx]Sheet1!R395C2</stp>
        <tr r="B395" s="1"/>
      </tp>
      <tp t="s">
        <v>912828G38</v>
        <stp/>
        <stp>##V3_BDPV12</stp>
        <stp>912828G3 Govt</stp>
        <stp>ID_CUSIP</stp>
        <stp>[TREASURY.xlsx]Sheet1!R137C19</stp>
        <tr r="S137" s="1"/>
      </tp>
      <tp t="s">
        <v>912828B41</v>
        <stp/>
        <stp>##V3_BDPV12</stp>
        <stp>912828B4 Govt</stp>
        <stp>ID_CUSIP</stp>
        <stp>[TREASURY.xlsx]Sheet1!R458C19</stp>
        <tr r="S458" s="1"/>
      </tp>
      <tp t="s">
        <v>10/31/2025</v>
        <stp/>
        <stp>##V3_BDPV12</stp>
        <stp>91282CAT Govt</stp>
        <stp>MATURITY</stp>
        <stp>[TREASURY.xlsx]Sheet1!R39C5</stp>
        <tr r="E39" s="1"/>
      </tp>
      <tp t="s">
        <v>912828NC0</v>
        <stp/>
        <stp>##V3_BDPV12</stp>
        <stp>912828NC Govt</stp>
        <stp>ID_CUSIP</stp>
        <stp>[TREASURY.xlsx]Sheet1!R862C19</stp>
        <tr r="S862" s="1"/>
      </tp>
      <tp t="s">
        <v>912828BG4</v>
        <stp/>
        <stp>##V3_BDPV12</stp>
        <stp>912828BG Govt</stp>
        <stp>ID_CUSIP</stp>
        <stp>[TREASURY.xlsx]Sheet1!R427C19</stp>
        <tr r="S427" s="1"/>
      </tp>
      <tp t="s">
        <v>912828BA7</v>
        <stp/>
        <stp>##V3_BDPV12</stp>
        <stp>912828BA Govt</stp>
        <stp>ID_CUSIP</stp>
        <stp>[TREASURY.xlsx]Sheet1!R408C19</stp>
        <tr r="S408" s="1"/>
      </tp>
      <tp t="s">
        <v>912828BH2</v>
        <stp/>
        <stp>##V3_BDPV12</stp>
        <stp>912828BH Govt</stp>
        <stp>ID_CUSIP</stp>
        <stp>[TREASURY.xlsx]Sheet1!R452C19</stp>
        <tr r="S452" s="1"/>
      </tp>
      <tp t="s">
        <v>912828CH1</v>
        <stp/>
        <stp>##V3_BDPV12</stp>
        <stp>912828CH Govt</stp>
        <stp>ID_CUSIP</stp>
        <stp>[TREASURY.xlsx]Sheet1!R559C19</stp>
        <tr r="S559" s="1"/>
      </tp>
      <tp t="s">
        <v>912828BM1</v>
        <stp/>
        <stp>##V3_BDPV12</stp>
        <stp>912828BM Govt</stp>
        <stp>ID_CUSIP</stp>
        <stp>[TREASURY.xlsx]Sheet1!R453C19</stp>
        <tr r="S453" s="1"/>
      </tp>
      <tp t="s">
        <v>912828NN6</v>
        <stp/>
        <stp>##V3_BDPV12</stp>
        <stp>912828NN Govt</stp>
        <stp>ID_CUSIP</stp>
        <stp>[TREASURY.xlsx]Sheet1!R864C19</stp>
        <tr r="S864" s="1"/>
      </tp>
      <tp t="s">
        <v>912828CL2</v>
        <stp/>
        <stp>##V3_BDPV12</stp>
        <stp>912828CL Govt</stp>
        <stp>ID_CUSIP</stp>
        <stp>[TREASURY.xlsx]Sheet1!R557C19</stp>
        <tr r="S557" s="1"/>
      </tp>
      <tp t="s">
        <v>912828BB5</v>
        <stp/>
        <stp>##V3_BDPV12</stp>
        <stp>912828BB Govt</stp>
        <stp>ID_CUSIP</stp>
        <stp>[TREASURY.xlsx]Sheet1!R482C19</stp>
        <tr r="S482" s="1"/>
      </tp>
      <tp t="s">
        <v>912828NL0</v>
        <stp/>
        <stp>##V3_BDPV12</stp>
        <stp>912828NL Govt</stp>
        <stp>ID_CUSIP</stp>
        <stp>[TREASURY.xlsx]Sheet1!R863C19</stp>
        <tr r="S863" s="1"/>
      </tp>
      <tp t="s">
        <v>912828CT5</v>
        <stp/>
        <stp>##V3_BDPV12</stp>
        <stp>912828CT Govt</stp>
        <stp>ID_CUSIP</stp>
        <stp>[TREASURY.xlsx]Sheet1!R514C19</stp>
        <tr r="S514" s="1"/>
      </tp>
      <tp t="s">
        <v>912828NP1</v>
        <stp/>
        <stp>##V3_BDPV12</stp>
        <stp>912828NP Govt</stp>
        <stp>ID_CUSIP</stp>
        <stp>[TREASURY.xlsx]Sheet1!R865C19</stp>
        <tr r="S865" s="1"/>
      </tp>
      <tp t="s">
        <v>912828CV0</v>
        <stp/>
        <stp>##V3_BDPV12</stp>
        <stp>912828CV Govt</stp>
        <stp>ID_CUSIP</stp>
        <stp>[TREASURY.xlsx]Sheet1!R508C19</stp>
        <tr r="S508" s="1"/>
      </tp>
      <tp t="s">
        <v>912828EX4</v>
        <stp/>
        <stp>##V3_BDPV12</stp>
        <stp>912828EX Govt</stp>
        <stp>ID_CUSIP</stp>
        <stp>[TREASURY.xlsx]Sheet1!R397C19</stp>
        <tr r="S397" s="1"/>
      </tp>
      <tp t="s">
        <v>912828BQ2</v>
        <stp/>
        <stp>##V3_BDPV12</stp>
        <stp>912828BQ Govt</stp>
        <stp>ID_CUSIP</stp>
        <stp>[TREASURY.xlsx]Sheet1!R435C19</stp>
        <tr r="S435" s="1"/>
      </tp>
      <tp t="s">
        <v>912828CR9</v>
        <stp/>
        <stp>##V3_BDPV12</stp>
        <stp>912828CR Govt</stp>
        <stp>ID_CUSIP</stp>
        <stp>[TREASURY.xlsx]Sheet1!R510C19</stp>
        <tr r="S510" s="1"/>
      </tp>
      <tp t="s">
        <v>912828BV1</v>
        <stp/>
        <stp>##V3_BDPV12</stp>
        <stp>912828BV Govt</stp>
        <stp>ID_CUSIP</stp>
        <stp>[TREASURY.xlsx]Sheet1!R495C19</stp>
        <tr r="S495" s="1"/>
      </tp>
      <tp t="s">
        <v>912828BZ2</v>
        <stp/>
        <stp>##V3_BDPV12</stp>
        <stp>912828BZ Govt</stp>
        <stp>ID_CUSIP</stp>
        <stp>[TREASURY.xlsx]Sheet1!R436C19</stp>
        <tr r="S436" s="1"/>
      </tp>
      <tp t="s">
        <v>912828AS9</v>
        <stp/>
        <stp>##V3_BDPV12</stp>
        <stp>912828AS Govt</stp>
        <stp>ID_CUSIP</stp>
        <stp>[TREASURY.xlsx]Sheet1!R785C19</stp>
        <tr r="S785" s="1"/>
      </tp>
      <tp t="s">
        <v>912828J43</v>
        <stp/>
        <stp>##V3_BDPV12</stp>
        <stp>912828J4 Govt</stp>
        <stp>ID_CUSIP</stp>
        <stp>[TREASURY.xlsx]Sheet1!R308C19</stp>
        <tr r="S308" s="1"/>
      </tp>
      <tp t="s">
        <v>912828M72</v>
        <stp/>
        <stp>##V3_BDPV12</stp>
        <stp>912828M7 Govt</stp>
        <stp>ID_CUSIP</stp>
        <stp>[TREASURY.xlsx]Sheet1!R443C19</stp>
        <tr r="S443" s="1"/>
      </tp>
      <tp t="s">
        <v>912828AG5</v>
        <stp/>
        <stp>##V3_BDPV12</stp>
        <stp>912828AG Govt</stp>
        <stp>ID_CUSIP</stp>
        <stp>[TREASURY.xlsx]Sheet1!R837C19</stp>
        <tr r="S837" s="1"/>
      </tp>
      <tp t="s">
        <v>912828LB4</v>
        <stp/>
        <stp>##V3_BDPV12</stp>
        <stp>912828LB Govt</stp>
        <stp>ID_CUSIP</stp>
        <stp>[TREASURY.xlsx]Sheet1!R558C19</stp>
        <tr r="S558" s="1"/>
      </tp>
      <tp t="s">
        <v>912828LF5</v>
        <stp/>
        <stp>##V3_BDPV12</stp>
        <stp>912828LF Govt</stp>
        <stp>ID_CUSIP</stp>
        <stp>[TREASURY.xlsx]Sheet1!R584C19</stp>
        <tr r="S584" s="1"/>
      </tp>
      <tp t="s">
        <v>912828LK4</v>
        <stp/>
        <stp>##V3_BDPV12</stp>
        <stp>912828LK Govt</stp>
        <stp>ID_CUSIP</stp>
        <stp>[TREASURY.xlsx]Sheet1!R546C19</stp>
        <tr r="S546" s="1"/>
      </tp>
      <tp t="s">
        <v>912828MU1</v>
        <stp/>
        <stp>##V3_BDPV12</stp>
        <stp>912828MU Govt</stp>
        <stp>ID_CUSIP</stp>
        <stp>[TREASURY.xlsx]Sheet1!R494C19</stp>
        <tr r="S494" s="1"/>
      </tp>
      <tp t="s">
        <v>912828MQ0</v>
        <stp/>
        <stp>##V3_BDPV12</stp>
        <stp>912828MQ Govt</stp>
        <stp>ID_CUSIP</stp>
        <stp>[TREASURY.xlsx]Sheet1!R483C19</stp>
        <tr r="S483" s="1"/>
      </tp>
      <tp t="s">
        <v>912828JR2</v>
        <stp/>
        <stp>##V3_BDPV12</stp>
        <stp>912828JR Govt</stp>
        <stp>ID_CUSIP</stp>
        <stp>[TREASURY.xlsx]Sheet1!R396C19</stp>
        <tr r="S396" s="1"/>
      </tp>
      <tp t="s">
        <v>912828LX6</v>
        <stp/>
        <stp>##V3_BDPV12</stp>
        <stp>912828LX Govt</stp>
        <stp>ID_CUSIP</stp>
        <stp>[TREASURY.xlsx]Sheet1!R535C19</stp>
        <tr r="S535" s="1"/>
      </tp>
      <tp t="s">
        <v>912828LZ1</v>
        <stp/>
        <stp>##V3_BDPV12</stp>
        <stp>912828LZ Govt</stp>
        <stp>ID_CUSIP</stp>
        <stp>[TREASURY.xlsx]Sheet1!R515C19</stp>
        <tr r="S515" s="1"/>
      </tp>
      <tp t="s">
        <v>912828N63</v>
        <stp/>
        <stp>##V3_BDPV12</stp>
        <stp>912828N6 Govt</stp>
        <stp>ID_CUSIP</stp>
        <stp>[TREASURY.xlsx]Sheet1!R621C19</stp>
        <tr r="S621" s="1"/>
      </tp>
      <tp t="s">
        <v>912828L65</v>
        <stp/>
        <stp>##V3_BDPV12</stp>
        <stp>912828L6 Govt</stp>
        <stp>ID_CUSIP</stp>
        <stp>[TREASURY.xlsx]Sheet1!R430C19</stp>
        <tr r="S430" s="1"/>
      </tp>
      <tp t="s">
        <v>912828N55</v>
        <stp/>
        <stp>##V3_BDPV12</stp>
        <stp>912828N5 Govt</stp>
        <stp>ID_CUSIP</stp>
        <stp>[TREASURY.xlsx]Sheet1!R600C19</stp>
        <tr r="S600" s="1"/>
      </tp>
      <tp t="s">
        <v>912828J76</v>
        <stp/>
        <stp>##V3_BDPV12</stp>
        <stp>912828J7 Govt</stp>
        <stp>ID_CUSIP</stp>
        <stp>[TREASURY.xlsx]Sheet1!R204C19</stp>
        <tr r="S204" s="1"/>
      </tp>
      <tp t="s">
        <v>912828M98</v>
        <stp/>
        <stp>##V3_BDPV12</stp>
        <stp>912828M9 Govt</stp>
        <stp>ID_CUSIP</stp>
        <stp>[TREASURY.xlsx]Sheet1!R592C19</stp>
        <tr r="S592" s="1"/>
      </tp>
      <tp t="s">
        <v>T</v>
        <stp/>
        <stp>##V3_BDPV12</stp>
        <stp>9128274W Govt</stp>
        <stp>TICKER</stp>
        <stp>[TREASURY.xlsx]Sheet1!R522C2</stp>
        <tr r="B522" s="1"/>
      </tp>
      <tp t="s">
        <v>912828K82</v>
        <stp/>
        <stp>##V3_BDPV12</stp>
        <stp>912828K8 Govt</stp>
        <stp>ID_CUSIP</stp>
        <stp>[TREASURY.xlsx]Sheet1!R369C19</stp>
        <tr r="S369" s="1"/>
      </tp>
      <tp t="s">
        <v>912828AB6</v>
        <stp/>
        <stp>##V3_BDPV12</stp>
        <stp>912828AB Govt</stp>
        <stp>ID_CUSIP</stp>
        <stp>[TREASURY.xlsx]Sheet1!R958C19</stp>
        <tr r="S958" s="1"/>
      </tp>
      <tp t="s">
        <v>912828ND8</v>
        <stp/>
        <stp>##V3_BDPV12</stp>
        <stp>912828ND Govt</stp>
        <stp>ID_CUSIP</stp>
        <stp>[TREASURY.xlsx]Sheet1!R645C19</stp>
        <tr r="S645" s="1"/>
      </tp>
      <tp t="s">
        <v>912828KD1</v>
        <stp/>
        <stp>##V3_BDPV12</stp>
        <stp>912828KD Govt</stp>
        <stp>ID_CUSIP</stp>
        <stp>[TREASURY.xlsx]Sheet1!R364C19</stp>
        <tr r="S364" s="1"/>
      </tp>
      <tp t="s">
        <v>912828ME7</v>
        <stp/>
        <stp>##V3_BDPV12</stp>
        <stp>912828ME Govt</stp>
        <stp>ID_CUSIP</stp>
        <stp>[TREASURY.xlsx]Sheet1!R574C19</stp>
        <tr r="S574" s="1"/>
      </tp>
      <tp t="s">
        <v>912828LJ7</v>
        <stp/>
        <stp>##V3_BDPV12</stp>
        <stp>912828LJ Govt</stp>
        <stp>ID_CUSIP</stp>
        <stp>[TREASURY.xlsx]Sheet1!R485C19</stp>
        <tr r="S485" s="1"/>
      </tp>
      <tp t="s">
        <v>912828AK6</v>
        <stp/>
        <stp>##V3_BDPV12</stp>
        <stp>912828AK Govt</stp>
        <stp>ID_CUSIP</stp>
        <stp>[TREASURY.xlsx]Sheet1!R959C19</stp>
        <tr r="S959" s="1"/>
      </tp>
      <tp t="s">
        <v>912828MK3</v>
        <stp/>
        <stp>##V3_BDPV12</stp>
        <stp>912828MK Govt</stp>
        <stp>ID_CUSIP</stp>
        <stp>[TREASURY.xlsx]Sheet1!R538C19</stp>
        <tr r="S538" s="1"/>
      </tp>
      <tp t="s">
        <v>912828NH9</v>
        <stp/>
        <stp>##V3_BDPV12</stp>
        <stp>912828NH Govt</stp>
        <stp>ID_CUSIP</stp>
        <stp>[TREASURY.xlsx]Sheet1!R622C19</stp>
        <tr r="S622" s="1"/>
      </tp>
      <tp t="s">
        <v>912828KB5</v>
        <stp/>
        <stp>##V3_BDPV12</stp>
        <stp>912828KB Govt</stp>
        <stp>ID_CUSIP</stp>
        <stp>[TREASURY.xlsx]Sheet1!R398C19</stp>
        <tr r="S398" s="1"/>
      </tp>
      <tp t="s">
        <v>912828MW7</v>
        <stp/>
        <stp>##V3_BDPV12</stp>
        <stp>912828MW Govt</stp>
        <stp>ID_CUSIP</stp>
        <stp>[TREASURY.xlsx]Sheet1!R599C19</stp>
        <tr r="S599" s="1"/>
      </tp>
      <tp t="s">
        <v>912828LQ1</v>
        <stp/>
        <stp>##V3_BDPV12</stp>
        <stp>912828LQ Govt</stp>
        <stp>ID_CUSIP</stp>
        <stp>[TREASURY.xlsx]Sheet1!R486C19</stp>
        <tr r="S486" s="1"/>
      </tp>
      <tp t="s">
        <v>912828C32</v>
        <stp/>
        <stp>##V3_BDPV12</stp>
        <stp>912828C3 Govt</stp>
        <stp>ID_CUSIP</stp>
        <stp>[TREASURY.xlsx]Sheet1!R838C19</stp>
        <tr r="S838" s="1"/>
      </tp>
      <tp t="s">
        <v>912828NG1</v>
        <stp/>
        <stp>##V3_BDPV12</stp>
        <stp>912828NG Govt</stp>
        <stp>ID_CUSIP</stp>
        <stp>[TREASURY.xlsx]Sheet1!R562C19</stp>
        <tr r="S562" s="1"/>
      </tp>
      <tp t="s">
        <v>912828BN9</v>
        <stp/>
        <stp>##V3_BDPV12</stp>
        <stp>912828BN Govt</stp>
        <stp>ID_CUSIP</stp>
        <stp>[TREASURY.xlsx]Sheet1!R960C19</stp>
        <tr r="S960" s="1"/>
      </tp>
      <tp t="s">
        <v>912828NU0</v>
        <stp/>
        <stp>##V3_BDPV12</stp>
        <stp>912828NU Govt</stp>
        <stp>ID_CUSIP</stp>
        <stp>[TREASURY.xlsx]Sheet1!R547C19</stp>
        <tr r="S547" s="1"/>
      </tp>
      <tp t="s">
        <v>912828HZ6</v>
        <stp/>
        <stp>##V3_BDPV12</stp>
        <stp>912828HZ Govt</stp>
        <stp>ID_CUSIP</stp>
        <stp>[TREASURY.xlsx]Sheet1!R356C19</stp>
        <tr r="S356" s="1"/>
      </tp>
      <tp t="s">
        <v>912828N22</v>
        <stp/>
        <stp>##V3_BDPV12</stp>
        <stp>912828N2 Govt</stp>
        <stp>ID_CUSIP</stp>
        <stp>[TREASURY.xlsx]Sheet1!R440C19</stp>
        <tr r="S440" s="1"/>
      </tp>
      <tp t="s">
        <v>912828N48</v>
        <stp/>
        <stp>##V3_BDPV12</stp>
        <stp>912828N4 Govt</stp>
        <stp>ID_CUSIP</stp>
        <stp>[TREASURY.xlsx]Sheet1!R463C19</stp>
        <tr r="S463" s="1"/>
      </tp>
      <tp t="s">
        <v>912828L40</v>
        <stp/>
        <stp>##V3_BDPV12</stp>
        <stp>912828L4 Govt</stp>
        <stp>ID_CUSIP</stp>
        <stp>[TREASURY.xlsx]Sheet1!R669C19</stp>
        <tr r="S669" s="1"/>
      </tp>
      <tp t="s">
        <v>912828H86</v>
        <stp/>
        <stp>##V3_BDPV12</stp>
        <stp>912828H8 Govt</stp>
        <stp>ID_CUSIP</stp>
        <stp>[TREASURY.xlsx]Sheet1!R247C19</stp>
        <tr r="S247" s="1"/>
      </tp>
      <tp t="s">
        <v>912828LW8</v>
        <stp/>
        <stp>##V3_BDPV12</stp>
        <stp>912828LW Govt</stp>
        <stp>ID_CUSIP</stp>
        <stp>[TREASURY.xlsx]Sheet1!R629C19</stp>
        <tr r="S629" s="1"/>
      </tp>
      <tp t="s">
        <v>912828L24</v>
        <stp/>
        <stp>##V3_BDPV12</stp>
        <stp>912828L2 Govt</stp>
        <stp>ID_CUSIP</stp>
        <stp>[TREASURY.xlsx]Sheet1!R173C19</stp>
        <tr r="S173" s="1"/>
      </tp>
      <tp t="s">
        <v>912828D49</v>
        <stp/>
        <stp>##V3_BDPV12</stp>
        <stp>912828D4 Govt</stp>
        <stp>ID_CUSIP</stp>
        <stp>[TREASURY.xlsx]Sheet1!R961C19</stp>
        <tr r="S961" s="1"/>
      </tp>
      <tp t="s">
        <v>912828L57</v>
        <stp/>
        <stp>##V3_BDPV12</stp>
        <stp>912828L5 Govt</stp>
        <stp>ID_CUSIP</stp>
        <stp>[TREASURY.xlsx]Sheet1!R161C19</stp>
        <tr r="S161" s="1"/>
      </tp>
      <tp t="s">
        <v>912828N89</v>
        <stp/>
        <stp>##V3_BDPV12</stp>
        <stp>912828N8 Govt</stp>
        <stp>ID_CUSIP</stp>
        <stp>[TREASURY.xlsx]Sheet1!R343C19</stp>
        <tr r="S343" s="1"/>
      </tp>
      <tp t="s">
        <v>912828H29</v>
        <stp/>
        <stp>##V3_BDPV12</stp>
        <stp>912828H2 Govt</stp>
        <stp>ID_CUSIP</stp>
        <stp>[TREASURY.xlsx]Sheet1!R581C19</stp>
        <tr r="S581" s="1"/>
      </tp>
      <tp t="s">
        <v>NORMAL</v>
        <stp/>
        <stp>##V3_BDPV12</stp>
        <stp>91282CBD Govt</stp>
        <stp>MTY_TYP</stp>
        <stp>[TREASURY.xlsx]Sheet1!R50C6</stp>
        <tr r="F50" s="1"/>
      </tp>
      <tp t="s">
        <v>912828DN7</v>
        <stp/>
        <stp>##V3_BDPV12</stp>
        <stp>912828DN Govt</stp>
        <stp>ID_CUSIP</stp>
        <stp>[TREASURY.xlsx]Sheet1!R963C19</stp>
        <tr r="S963" s="1"/>
      </tp>
      <tp t="s">
        <v>912828HK9</v>
        <stp/>
        <stp>##V3_BDPV12</stp>
        <stp>912828HK Govt</stp>
        <stp>ID_CUSIP</stp>
        <stp>[TREASURY.xlsx]Sheet1!R525C19</stp>
        <tr r="S525" s="1"/>
      </tp>
      <tp t="s">
        <v>912828DL1</v>
        <stp/>
        <stp>##V3_BDPV12</stp>
        <stp>912828DL Govt</stp>
        <stp>ID_CUSIP</stp>
        <stp>[TREASURY.xlsx]Sheet1!R962C19</stp>
        <tr r="S962" s="1"/>
      </tp>
      <tp t="s">
        <v>912828HM5</v>
        <stp/>
        <stp>##V3_BDPV12</stp>
        <stp>912828HM Govt</stp>
        <stp>ID_CUSIP</stp>
        <stp>[TREASURY.xlsx]Sheet1!R573C19</stp>
        <tr r="S573" s="1"/>
      </tp>
      <tp t="s">
        <v>912828NB2</v>
        <stp/>
        <stp>##V3_BDPV12</stp>
        <stp>912828NB Govt</stp>
        <stp>ID_CUSIP</stp>
        <stp>[TREASURY.xlsx]Sheet1!R388C19</stp>
        <tr r="S388" s="1"/>
      </tp>
      <tp t="s">
        <v>912828KR0</v>
        <stp/>
        <stp>##V3_BDPV12</stp>
        <stp>912828KR Govt</stp>
        <stp>ID_CUSIP</stp>
        <stp>[TREASURY.xlsx]Sheet1!R676C19</stp>
        <tr r="S676" s="1"/>
      </tp>
      <tp t="s">
        <v>912828KW9</v>
        <stp/>
        <stp>##V3_BDPV12</stp>
        <stp>912828KW Govt</stp>
        <stp>ID_CUSIP</stp>
        <stp>[TREASURY.xlsx]Sheet1!R617C19</stp>
        <tr r="S617" s="1"/>
      </tp>
      <tp t="s">
        <v>912828KV1</v>
        <stp/>
        <stp>##V3_BDPV12</stp>
        <stp>912828KV Govt</stp>
        <stp>ID_CUSIP</stp>
        <stp>[TREASURY.xlsx]Sheet1!R616C19</stp>
        <tr r="S616" s="1"/>
      </tp>
      <tp t="s">
        <v>912828NT3</v>
        <stp/>
        <stp>##V3_BDPV12</stp>
        <stp>912828NT Govt</stp>
        <stp>ID_CUSIP</stp>
        <stp>[TREASURY.xlsx]Sheet1!R351C19</stp>
        <tr r="S351" s="1"/>
      </tp>
      <tp t="s">
        <v>912828EV8</v>
        <stp/>
        <stp>##V3_BDPV12</stp>
        <stp>912828EV Govt</stp>
        <stp>ID_CUSIP</stp>
        <stp>[TREASURY.xlsx]Sheet1!R841C19</stp>
        <tr r="S841" s="1"/>
      </tp>
      <tp t="s">
        <v>912828EW6</v>
        <stp/>
        <stp>##V3_BDPV12</stp>
        <stp>912828EW Govt</stp>
        <stp>ID_CUSIP</stp>
        <stp>[TREASURY.xlsx]Sheet1!R842C19</stp>
        <tr r="S842" s="1"/>
      </tp>
      <tp t="s">
        <v>912828KY5</v>
        <stp/>
        <stp>##V3_BDPV12</stp>
        <stp>912828KY Govt</stp>
        <stp>ID_CUSIP</stp>
        <stp>[TREASURY.xlsx]Sheet1!R644C19</stp>
        <tr r="S644" s="1"/>
      </tp>
      <tp t="s">
        <v>912828NV8</v>
        <stp/>
        <stp>##V3_BDPV12</stp>
        <stp>912828NV Govt</stp>
        <stp>ID_CUSIP</stp>
        <stp>[TREASURY.xlsx]Sheet1!R382C19</stp>
        <tr r="S382" s="1"/>
      </tp>
      <tp t="s">
        <v>912828M56</v>
        <stp/>
        <stp>##V3_BDPV12</stp>
        <stp>912828M5 Govt</stp>
        <stp>ID_CUSIP</stp>
        <stp>[TREASURY.xlsx]Sheet1!R116C19</stp>
        <tr r="S116" s="1"/>
      </tp>
      <tp t="s">
        <v>912828H52</v>
        <stp/>
        <stp>##V3_BDPV12</stp>
        <stp>912828H5 Govt</stp>
        <stp>ID_CUSIP</stp>
        <stp>[TREASURY.xlsx]Sheet1!R419C19</stp>
        <tr r="S419" s="1"/>
      </tp>
      <tp t="s">
        <v>912828M80</v>
        <stp/>
        <stp>##V3_BDPV12</stp>
        <stp>912828M8 Govt</stp>
        <stp>ID_CUSIP</stp>
        <stp>[TREASURY.xlsx]Sheet1!R150C19</stp>
        <tr r="S150" s="1"/>
      </tp>
      <tp t="s">
        <v>912828J68</v>
        <stp/>
        <stp>##V3_BDPV12</stp>
        <stp>912828J6 Govt</stp>
        <stp>ID_CUSIP</stp>
        <stp>[TREASURY.xlsx]Sheet1!R686C19</stp>
        <tr r="S686" s="1"/>
      </tp>
      <tp t="s">
        <v>912828D98</v>
        <stp/>
        <stp>##V3_BDPV12</stp>
        <stp>912828D9 Govt</stp>
        <stp>ID_CUSIP</stp>
        <stp>[TREASURY.xlsx]Sheet1!R839C19</stp>
        <tr r="S839" s="1"/>
      </tp>
      <tp t="s">
        <v>912828DF4</v>
        <stp/>
        <stp>##V3_BDPV12</stp>
        <stp>912828DF Govt</stp>
        <stp>ID_CUSIP</stp>
        <stp>[TREASURY.xlsx]Sheet1!R840C19</stp>
        <tr r="S840" s="1"/>
      </tp>
      <tp t="s">
        <v>912828ED8</v>
        <stp/>
        <stp>##V3_BDPV12</stp>
        <stp>912828ED Govt</stp>
        <stp>ID_CUSIP</stp>
        <stp>[TREASURY.xlsx]Sheet1!R964C19</stp>
        <tr r="S964" s="1"/>
      </tp>
      <tp t="s">
        <v>912828JJ0</v>
        <stp/>
        <stp>##V3_BDPV12</stp>
        <stp>912828JJ Govt</stp>
        <stp>ID_CUSIP</stp>
        <stp>[TREASURY.xlsx]Sheet1!R690C19</stp>
        <tr r="S690" s="1"/>
      </tp>
      <tp t="s">
        <v>912828HL7</v>
        <stp/>
        <stp>##V3_BDPV12</stp>
        <stp>912828HL Govt</stp>
        <stp>ID_CUSIP</stp>
        <stp>[TREASURY.xlsx]Sheet1!R424C19</stp>
        <tr r="S424" s="1"/>
      </tp>
      <tp t="s">
        <v>912828HH6</v>
        <stp/>
        <stp>##V3_BDPV12</stp>
        <stp>912828HH Govt</stp>
        <stp>ID_CUSIP</stp>
        <stp>[TREASURY.xlsx]Sheet1!R470C19</stp>
        <tr r="S470" s="1"/>
      </tp>
      <tp t="s">
        <v>912828HR4</v>
        <stp/>
        <stp>##V3_BDPV12</stp>
        <stp>912828HR Govt</stp>
        <stp>ID_CUSIP</stp>
        <stp>[TREASURY.xlsx]Sheet1!R476C19</stp>
        <tr r="S476" s="1"/>
      </tp>
      <tp t="s">
        <v>912828EP1</v>
        <stp/>
        <stp>##V3_BDPV12</stp>
        <stp>912828EP Govt</stp>
        <stp>ID_CUSIP</stp>
        <stp>[TREASURY.xlsx]Sheet1!R965C19</stp>
        <tr r="S965" s="1"/>
      </tp>
      <tp t="s">
        <v>912828JY7</v>
        <stp/>
        <stp>##V3_BDPV12</stp>
        <stp>912828JY Govt</stp>
        <stp>ID_CUSIP</stp>
        <stp>[TREASURY.xlsx]Sheet1!R691C19</stp>
        <tr r="S691" s="1"/>
      </tp>
      <tp t="s">
        <v>912828JW1</v>
        <stp/>
        <stp>##V3_BDPV12</stp>
        <stp>912828JW Govt</stp>
        <stp>ID_CUSIP</stp>
        <stp>[TREASURY.xlsx]Sheet1!R643C19</stp>
        <tr r="S643" s="1"/>
      </tp>
      <tp t="s">
        <v>912828HY9</v>
        <stp/>
        <stp>##V3_BDPV12</stp>
        <stp>912828HY Govt</stp>
        <stp>ID_CUSIP</stp>
        <stp>[TREASURY.xlsx]Sheet1!R450C19</stp>
        <tr r="S450" s="1"/>
      </tp>
      <tp t="s">
        <v>T</v>
        <stp/>
        <stp>##V3_BDPV12</stp>
        <stp>9128283P Govt</stp>
        <stp>TICKER</stp>
        <stp>[TREASURY.xlsx]Sheet1!R185C2</stp>
        <tr r="B185" s="1"/>
      </tp>
      <tp t="s">
        <v>T</v>
        <stp/>
        <stp>##V3_BDPV12</stp>
        <stp>9128282P Govt</stp>
        <stp>TICKER</stp>
        <stp>[TREASURY.xlsx]Sheet1!R214C2</stp>
        <tr r="B214" s="1"/>
      </tp>
      <tp t="s">
        <v>912828L32</v>
        <stp/>
        <stp>##V3_BDPV12</stp>
        <stp>912828L3 Govt</stp>
        <stp>ID_CUSIP</stp>
        <stp>[TREASURY.xlsx]Sheet1!R327C19</stp>
        <tr r="S327" s="1"/>
      </tp>
      <tp t="s">
        <v>912828M49</v>
        <stp/>
        <stp>##V3_BDPV12</stp>
        <stp>912828M4 Govt</stp>
        <stp>ID_CUSIP</stp>
        <stp>[TREASURY.xlsx]Sheet1!R254C19</stp>
        <tr r="S254" s="1"/>
      </tp>
      <tp t="s">
        <v>912828N30</v>
        <stp/>
        <stp>##V3_BDPV12</stp>
        <stp>912828N3 Govt</stp>
        <stp>ID_CUSIP</stp>
        <stp>[TREASURY.xlsx]Sheet1!R129C19</stp>
        <tr r="S129" s="1"/>
      </tp>
      <tp t="s">
        <v>912828L99</v>
        <stp/>
        <stp>##V3_BDPV12</stp>
        <stp>912828L9 Govt</stp>
        <stp>ID_CUSIP</stp>
        <stp>[TREASURY.xlsx]Sheet1!R358C19</stp>
        <tr r="S358" s="1"/>
      </tp>
      <tp t="s">
        <v>912828JF8</v>
        <stp/>
        <stp>##V3_BDPV12</stp>
        <stp>912828JF Govt</stp>
        <stp>ID_CUSIP</stp>
        <stp>[TREASURY.xlsx]Sheet1!R537C19</stp>
        <tr r="S537" s="1"/>
      </tp>
      <tp t="s">
        <v>912828GA2</v>
        <stp/>
        <stp>##V3_BDPV12</stp>
        <stp>912828GA Govt</stp>
        <stp>ID_CUSIP</stp>
        <stp>[TREASURY.xlsx]Sheet1!R801C19</stp>
        <tr r="S801" s="1"/>
      </tp>
      <tp t="s">
        <v>912828JH4</v>
        <stp/>
        <stp>##V3_BDPV12</stp>
        <stp>912828JH Govt</stp>
        <stp>ID_CUSIP</stp>
        <stp>[TREASURY.xlsx]Sheet1!R542C19</stp>
        <tr r="S542" s="1"/>
      </tp>
      <tp t="s">
        <v>912828GL8</v>
        <stp/>
        <stp>##V3_BDPV12</stp>
        <stp>912828GL Govt</stp>
        <stp>ID_CUSIP</stp>
        <stp>[TREASURY.xlsx]Sheet1!R847C19</stp>
        <tr r="S847" s="1"/>
      </tp>
      <tp t="s">
        <v>912828GJ3</v>
        <stp/>
        <stp>##V3_BDPV12</stp>
        <stp>912828GJ Govt</stp>
        <stp>ID_CUSIP</stp>
        <stp>[TREASURY.xlsx]Sheet1!R802C19</stp>
        <tr r="S802" s="1"/>
      </tp>
      <tp t="s">
        <v>912828JB7</v>
        <stp/>
        <stp>##V3_BDPV12</stp>
        <stp>912828JB Govt</stp>
        <stp>ID_CUSIP</stp>
        <stp>[TREASURY.xlsx]Sheet1!R598C19</stp>
        <tr r="S598" s="1"/>
      </tp>
      <tp t="s">
        <v>912828GT1</v>
        <stp/>
        <stp>##V3_BDPV12</stp>
        <stp>912828GT Govt</stp>
        <stp>ID_CUSIP</stp>
        <stp>[TREASURY.xlsx]Sheet1!R804C19</stp>
        <tr r="S804" s="1"/>
      </tp>
      <tp t="s">
        <v>912828GV6</v>
        <stp/>
        <stp>##V3_BDPV12</stp>
        <stp>912828GV Govt</stp>
        <stp>ID_CUSIP</stp>
        <stp>[TREASURY.xlsx]Sheet1!R805C19</stp>
        <tr r="S805" s="1"/>
      </tp>
      <tp t="s">
        <v>912828GP9</v>
        <stp/>
        <stp>##V3_BDPV12</stp>
        <stp>912828GP Govt</stp>
        <stp>ID_CUSIP</stp>
        <stp>[TREASURY.xlsx]Sheet1!R803C19</stp>
        <tr r="S803" s="1"/>
      </tp>
      <tp t="s">
        <v>912828GU8</v>
        <stp/>
        <stp>##V3_BDPV12</stp>
        <stp>912828GU Govt</stp>
        <stp>ID_CUSIP</stp>
        <stp>[TREASURY.xlsx]Sheet1!R848C19</stp>
        <tr r="S848" s="1"/>
      </tp>
      <tp t="s">
        <v>912828KS8</v>
        <stp/>
        <stp>##V3_BDPV12</stp>
        <stp>912828KS Govt</stp>
        <stp>ID_CUSIP</stp>
        <stp>[TREASURY.xlsx]Sheet1!R418C19</stp>
        <tr r="S418" s="1"/>
      </tp>
      <tp t="s">
        <v>912828LY4</v>
        <stp/>
        <stp>##V3_BDPV12</stp>
        <stp>912828LY Govt</stp>
        <stp>ID_CUSIP</stp>
        <stp>[TREASURY.xlsx]Sheet1!R353C19</stp>
        <tr r="S353" s="1"/>
      </tp>
      <tp t="s">
        <v>912828K58</v>
        <stp/>
        <stp>##V3_BDPV12</stp>
        <stp>912828K5 Govt</stp>
        <stp>ID_CUSIP</stp>
        <stp>[TREASURY.xlsx]Sheet1!R518C19</stp>
        <tr r="S518" s="1"/>
      </tp>
      <tp t="s">
        <v>912828J50</v>
        <stp/>
        <stp>##V3_BDPV12</stp>
        <stp>912828J5 Govt</stp>
        <stp>ID_CUSIP</stp>
        <stp>[TREASURY.xlsx]Sheet1!R403C19</stp>
        <tr r="S403" s="1"/>
      </tp>
      <tp t="s">
        <v>T</v>
        <stp/>
        <stp>##V3_BDPV12</stp>
        <stp>9128283Q Govt</stp>
        <stp>TICKER</stp>
        <stp>[TREASURY.xlsx]Sheet1!R375C2</stp>
        <tr r="B375" s="1"/>
      </tp>
      <tp t="s">
        <v>912828H78</v>
        <stp/>
        <stp>##V3_BDPV12</stp>
        <stp>912828H7 Govt</stp>
        <stp>ID_CUSIP</stp>
        <stp>[TREASURY.xlsx]Sheet1!R605C19</stp>
        <tr r="S605" s="1"/>
      </tp>
      <tp t="s">
        <v>912828G61</v>
        <stp/>
        <stp>##V3_BDPV12</stp>
        <stp>912828G6 Govt</stp>
        <stp>ID_CUSIP</stp>
        <stp>[TREASURY.xlsx]Sheet1!R966C19</stp>
        <tr r="S966" s="1"/>
      </tp>
      <tp t="s">
        <v>912828J84</v>
        <stp/>
        <stp>##V3_BDPV12</stp>
        <stp>912828J8 Govt</stp>
        <stp>ID_CUSIP</stp>
        <stp>[TREASURY.xlsx]Sheet1!R451C19</stp>
        <tr r="S451" s="1"/>
      </tp>
      <tp t="s">
        <v>912828JG6</v>
        <stp/>
        <stp>##V3_BDPV12</stp>
        <stp>912828JG Govt</stp>
        <stp>ID_CUSIP</stp>
        <stp>[TREASURY.xlsx]Sheet1!R417C19</stp>
        <tr r="S417" s="1"/>
      </tp>
      <tp t="s">
        <v>912828GG9</v>
        <stp/>
        <stp>##V3_BDPV12</stp>
        <stp>912828GG Govt</stp>
        <stp>ID_CUSIP</stp>
        <stp>[TREASURY.xlsx]Sheet1!R967C19</stp>
        <tr r="S967" s="1"/>
      </tp>
      <tp t="s">
        <v>912828FH8</v>
        <stp/>
        <stp>##V3_BDPV12</stp>
        <stp>912828FH Govt</stp>
        <stp>ID_CUSIP</stp>
        <stp>[TREASURY.xlsx]Sheet1!R843C19</stp>
        <tr r="S843" s="1"/>
      </tp>
      <tp t="s">
        <v>912828KJ8</v>
        <stp/>
        <stp>##V3_BDPV12</stp>
        <stp>912828KJ Govt</stp>
        <stp>ID_CUSIP</stp>
        <stp>[TREASURY.xlsx]Sheet1!R561C19</stp>
        <tr r="S561" s="1"/>
      </tp>
      <tp t="s">
        <v>912828KE9</v>
        <stp/>
        <stp>##V3_BDPV12</stp>
        <stp>912828KE Govt</stp>
        <stp>ID_CUSIP</stp>
        <stp>[TREASURY.xlsx]Sheet1!R582C19</stp>
        <tr r="S582" s="1"/>
      </tp>
      <tp t="s">
        <v>912828FK1</v>
        <stp/>
        <stp>##V3_BDPV12</stp>
        <stp>912828FK Govt</stp>
        <stp>ID_CUSIP</stp>
        <stp>[TREASURY.xlsx]Sheet1!R844C19</stp>
        <tr r="S844" s="1"/>
      </tp>
      <tp t="s">
        <v>912828FV7</v>
        <stp/>
        <stp>##V3_BDPV12</stp>
        <stp>912828FV Govt</stp>
        <stp>ID_CUSIP</stp>
        <stp>[TREASURY.xlsx]Sheet1!R845C19</stp>
        <tr r="S845" s="1"/>
      </tp>
      <tp t="s">
        <v>912828FS4</v>
        <stp/>
        <stp>##V3_BDPV12</stp>
        <stp>912828FS Govt</stp>
        <stp>ID_CUSIP</stp>
        <stp>[TREASURY.xlsx]Sheet1!R800C19</stp>
        <tr r="S800" s="1"/>
      </tp>
      <tp t="s">
        <v>912828HV5</v>
        <stp/>
        <stp>##V3_BDPV12</stp>
        <stp>912828HV Govt</stp>
        <stp>ID_CUSIP</stp>
        <stp>[TREASURY.xlsx]Sheet1!R651C19</stp>
        <tr r="S651" s="1"/>
      </tp>
      <tp t="s">
        <v>912828JT8</v>
        <stp/>
        <stp>##V3_BDPV12</stp>
        <stp>912828JT Govt</stp>
        <stp>ID_CUSIP</stp>
        <stp>[TREASURY.xlsx]Sheet1!R471C19</stp>
        <tr r="S471" s="1"/>
      </tp>
      <tp t="s">
        <v>912828FW5</v>
        <stp/>
        <stp>##V3_BDPV12</stp>
        <stp>912828FW Govt</stp>
        <stp>ID_CUSIP</stp>
        <stp>[TREASURY.xlsx]Sheet1!R846C19</stp>
        <tr r="S846" s="1"/>
      </tp>
      <tp t="s">
        <v>912828JZ4</v>
        <stp/>
        <stp>##V3_BDPV12</stp>
        <stp>912828JZ Govt</stp>
        <stp>ID_CUSIP</stp>
        <stp>[TREASURY.xlsx]Sheet1!R478C19</stp>
        <tr r="S478" s="1"/>
      </tp>
      <tp t="s">
        <v>912828MP2</v>
        <stp/>
        <stp>##V3_BDPV12</stp>
        <stp>912828MP Govt</stp>
        <stp>ID_CUSIP</stp>
        <stp>[TREASURY.xlsx]Sheet1!R386C19</stp>
        <tr r="S386" s="1"/>
      </tp>
      <tp t="s">
        <v>912828KQ2</v>
        <stp/>
        <stp>##V3_BDPV12</stp>
        <stp>912828KQ Govt</stp>
        <stp>ID_CUSIP</stp>
        <stp>[TREASURY.xlsx]Sheet1!R583C19</stp>
        <tr r="S583" s="1"/>
      </tp>
      <tp t="s">
        <v>912828W22</v>
        <stp/>
        <stp>##V3_BDPV12</stp>
        <stp>912828W2 Govt</stp>
        <stp>ID_CUSIP</stp>
        <stp>[TREASURY.xlsx]Sheet1!R679C19</stp>
        <tr r="S679" s="1"/>
      </tp>
      <tp t="s">
        <v>912828R77</v>
        <stp/>
        <stp>##V3_BDPV12</stp>
        <stp>912828R7 Govt</stp>
        <stp>ID_CUSIP</stp>
        <stp>[TREASURY.xlsx]Sheet1!R383C19</stp>
        <tr r="S383" s="1"/>
      </tp>
      <tp t="s">
        <v>912828U73</v>
        <stp/>
        <stp>##V3_BDPV12</stp>
        <stp>912828U7 Govt</stp>
        <stp>ID_CUSIP</stp>
        <stp>[TREASURY.xlsx]Sheet1!R484C19</stp>
        <tr r="S484" s="1"/>
      </tp>
      <tp t="s">
        <v>912828U32</v>
        <stp/>
        <stp>##V3_BDPV12</stp>
        <stp>912828U3 Govt</stp>
        <stp>ID_CUSIP</stp>
        <stp>[TREASURY.xlsx]Sheet1!R491C19</stp>
        <tr r="S491" s="1"/>
      </tp>
      <tp t="s">
        <v>912828W30</v>
        <stp/>
        <stp>##V3_BDPV12</stp>
        <stp>912828W3 Govt</stp>
        <stp>ID_CUSIP</stp>
        <stp>[TREASURY.xlsx]Sheet1!R681C19</stp>
        <tr r="S681" s="1"/>
      </tp>
      <tp t="s">
        <v>912828RC6</v>
        <stp/>
        <stp>##V3_BDPV12</stp>
        <stp>912828RC Govt</stp>
        <stp>ID_CUSIP</stp>
        <stp>[TREASURY.xlsx]Sheet1!R333C19</stp>
        <tr r="S333" s="1"/>
      </tp>
      <tp t="s">
        <v>912828TH3</v>
        <stp/>
        <stp>##V3_BDPV12</stp>
        <stp>912828TH Govt</stp>
        <stp>ID_CUSIP</stp>
        <stp>[TREASURY.xlsx]Sheet1!R585C19</stp>
        <tr r="S585" s="1"/>
      </tp>
      <tp t="s">
        <v>912828UE8</v>
        <stp/>
        <stp>##V3_BDPV12</stp>
        <stp>912828UE Govt</stp>
        <stp>ID_CUSIP</stp>
        <stp>[TREASURY.xlsx]Sheet1!R446C19</stp>
        <tr r="S446" s="1"/>
      </tp>
      <tp t="s">
        <v>912828TA8</v>
        <stp/>
        <stp>##V3_BDPV12</stp>
        <stp>912828TA Govt</stp>
        <stp>ID_CUSIP</stp>
        <stp>[TREASURY.xlsx]Sheet1!R520C19</stp>
        <tr r="S520" s="1"/>
      </tp>
      <tp t="s">
        <v>912828WD8</v>
        <stp/>
        <stp>##V3_BDPV12</stp>
        <stp>912828WD Govt</stp>
        <stp>ID_CUSIP</stp>
        <stp>[TREASURY.xlsx]Sheet1!R682C19</stp>
        <tr r="S682" s="1"/>
      </tp>
      <tp t="s">
        <v>912828TK6</v>
        <stp/>
        <stp>##V3_BDPV12</stp>
        <stp>912828TK Govt</stp>
        <stp>ID_CUSIP</stp>
        <stp>[TREASURY.xlsx]Sheet1!R565C19</stp>
        <tr r="S565" s="1"/>
      </tp>
      <tp t="s">
        <v>912828WF3</v>
        <stp/>
        <stp>##V3_BDPV12</stp>
        <stp>912828WF Govt</stp>
        <stp>ID_CUSIP</stp>
        <stp>[TREASURY.xlsx]Sheet1!R680C19</stp>
        <tr r="S680" s="1"/>
      </tp>
      <tp t="s">
        <v>912828UM0</v>
        <stp/>
        <stp>##V3_BDPV12</stp>
        <stp>912828UM Govt</stp>
        <stp>ID_CUSIP</stp>
        <stp>[TREASURY.xlsx]Sheet1!R472C19</stp>
        <tr r="S472" s="1"/>
      </tp>
      <tp t="s">
        <v>912828TU4</v>
        <stp/>
        <stp>##V3_BDPV12</stp>
        <stp>912828TU Govt</stp>
        <stp>ID_CUSIP</stp>
        <stp>[TREASURY.xlsx]Sheet1!R539C19</stp>
        <tr r="S539" s="1"/>
      </tp>
      <tp t="s">
        <v>912828UQ1</v>
        <stp/>
        <stp>##V3_BDPV12</stp>
        <stp>912828UQ Govt</stp>
        <stp>ID_CUSIP</stp>
        <stp>[TREASURY.xlsx]Sheet1!R421C19</stp>
        <tr r="S421" s="1"/>
      </tp>
      <tp t="s">
        <v>912828UZ1</v>
        <stp/>
        <stp>##V3_BDPV12</stp>
        <stp>912828UZ Govt</stp>
        <stp>ID_CUSIP</stp>
        <stp>[TREASURY.xlsx]Sheet1!R445C19</stp>
        <tr r="S445" s="1"/>
      </tp>
      <tp t="s">
        <v>912828RX0</v>
        <stp/>
        <stp>##V3_BDPV12</stp>
        <stp>912828RX Govt</stp>
        <stp>ID_CUSIP</stp>
        <stp>[TREASURY.xlsx]Sheet1!R374C19</stp>
        <tr r="S374" s="1"/>
      </tp>
      <tp t="s">
        <v>912828R28</v>
        <stp/>
        <stp>##V3_BDPV12</stp>
        <stp>912828R2 Govt</stp>
        <stp>ID_CUSIP</stp>
        <stp>[TREASURY.xlsx]Sheet1!R245C19</stp>
        <tr r="S245" s="1"/>
      </tp>
      <tp t="s">
        <v>912828R69</v>
        <stp/>
        <stp>##V3_BDPV12</stp>
        <stp>912828R6 Govt</stp>
        <stp>ID_CUSIP</stp>
        <stp>[TREASURY.xlsx]Sheet1!R266C19</stp>
        <tr r="S266" s="1"/>
      </tp>
      <tp t="s">
        <v>912828V56</v>
        <stp/>
        <stp>##V3_BDPV12</stp>
        <stp>912828V5 Govt</stp>
        <stp>ID_CUSIP</stp>
        <stp>[TREASURY.xlsx]Sheet1!R655C19</stp>
        <tr r="S655" s="1"/>
      </tp>
      <tp t="s">
        <v>912828X96</v>
        <stp/>
        <stp>##V3_BDPV12</stp>
        <stp>912828X9 Govt</stp>
        <stp>ID_CUSIP</stp>
        <stp>[TREASURY.xlsx]Sheet1!R882C19</stp>
        <tr r="S882" s="1"/>
      </tp>
      <tp t="s">
        <v>912828S76</v>
        <stp/>
        <stp>##V3_BDPV12</stp>
        <stp>912828S7 Govt</stp>
        <stp>ID_CUSIP</stp>
        <stp>[TREASURY.xlsx]Sheet1!R346C19</stp>
        <tr r="S346" s="1"/>
      </tp>
      <tp t="s">
        <v>912828S35</v>
        <stp/>
        <stp>##V3_BDPV12</stp>
        <stp>912828S3 Govt</stp>
        <stp>ID_CUSIP</stp>
        <stp>[TREASURY.xlsx]Sheet1!R305C19</stp>
        <tr r="S305" s="1"/>
      </tp>
      <tp t="s">
        <v>912828S92</v>
        <stp/>
        <stp>##V3_BDPV12</stp>
        <stp>912828S9 Govt</stp>
        <stp>ID_CUSIP</stp>
        <stp>[TREASURY.xlsx]Sheet1!R301C19</stp>
        <tr r="S301" s="1"/>
      </tp>
      <tp t="s">
        <v>912828Q29</v>
        <stp/>
        <stp>##V3_BDPV12</stp>
        <stp>912828Q2 Govt</stp>
        <stp>ID_CUSIP</stp>
        <stp>[TREASURY.xlsx]Sheet1!R187C19</stp>
        <tr r="S187" s="1"/>
      </tp>
      <tp t="s">
        <v>912828S27</v>
        <stp/>
        <stp>##V3_BDPV12</stp>
        <stp>912828S2 Govt</stp>
        <stp>ID_CUSIP</stp>
        <stp>[TREASURY.xlsx]Sheet1!R391C19</stp>
        <tr r="S391" s="1"/>
      </tp>
      <tp t="s">
        <v>912828UB4</v>
        <stp/>
        <stp>##V3_BDPV12</stp>
        <stp>912828UB Govt</stp>
        <stp>ID_CUSIP</stp>
        <stp>[TREASURY.xlsx]Sheet1!R540C19</stp>
        <tr r="S540" s="1"/>
      </tp>
      <tp t="s">
        <v>912828VE7</v>
        <stp/>
        <stp>##V3_BDPV12</stp>
        <stp>912828VE Govt</stp>
        <stp>ID_CUSIP</stp>
        <stp>[TREASURY.xlsx]Sheet1!R673C19</stp>
        <tr r="S673" s="1"/>
      </tp>
      <tp t="s">
        <v>912828VA5</v>
        <stp/>
        <stp>##V3_BDPV12</stp>
        <stp>912828VA Govt</stp>
        <stp>ID_CUSIP</stp>
        <stp>[TREASURY.xlsx]Sheet1!R638C19</stp>
        <tr r="S638" s="1"/>
      </tp>
      <tp t="s">
        <v>912828UD0</v>
        <stp/>
        <stp>##V3_BDPV12</stp>
        <stp>912828UD Govt</stp>
        <stp>ID_CUSIP</stp>
        <stp>[TREASURY.xlsx]Sheet1!R586C19</stp>
        <tr r="S586" s="1"/>
      </tp>
      <tp t="s">
        <v>912828TL4</v>
        <stp/>
        <stp>##V3_BDPV12</stp>
        <stp>912828TL Govt</stp>
        <stp>ID_CUSIP</stp>
        <stp>[TREASURY.xlsx]Sheet1!R409C19</stp>
        <tr r="S409" s="1"/>
      </tp>
      <tp t="s">
        <v>912828SH4</v>
        <stp/>
        <stp>##V3_BDPV12</stp>
        <stp>912828SH Govt</stp>
        <stp>ID_CUSIP</stp>
        <stp>[TREASURY.xlsx]Sheet1!R360C19</stp>
        <tr r="S360" s="1"/>
      </tp>
      <tp t="s">
        <v>912828VF4</v>
        <stp/>
        <stp>##V3_BDPV12</stp>
        <stp>912828VF Govt</stp>
        <stp>ID_CUSIP</stp>
        <stp>[TREASURY.xlsx]Sheet1!R694C19</stp>
        <tr r="S694" s="1"/>
      </tp>
      <tp t="s">
        <v>912828VH0</v>
        <stp/>
        <stp>##V3_BDPV12</stp>
        <stp>912828VH Govt</stp>
        <stp>ID_CUSIP</stp>
        <stp>[TREASURY.xlsx]Sheet1!R632C19</stp>
        <tr r="S632" s="1"/>
      </tp>
      <tp t="s">
        <v>912828UT5</v>
        <stp/>
        <stp>##V3_BDPV12</stp>
        <stp>912828UT Govt</stp>
        <stp>ID_CUSIP</stp>
        <stp>[TREASURY.xlsx]Sheet1!R552C19</stp>
        <tr r="S552" s="1"/>
      </tp>
      <tp t="s">
        <v>912828TR1</v>
        <stp/>
        <stp>##V3_BDPV12</stp>
        <stp>912828TR Govt</stp>
        <stp>ID_CUSIP</stp>
        <stp>[TREASURY.xlsx]Sheet1!R402C19</stp>
        <tr r="S402" s="1"/>
      </tp>
      <tp t="s">
        <v>912828VZ0</v>
        <stp/>
        <stp>##V3_BDPV12</stp>
        <stp>912828VZ Govt</stp>
        <stp>ID_CUSIP</stp>
        <stp>[TREASURY.xlsx]Sheet1!R695C19</stp>
        <tr r="S695" s="1"/>
      </tp>
      <tp t="s">
        <v>912828XV7</v>
        <stp/>
        <stp>##V3_BDPV12</stp>
        <stp>912828XV Govt</stp>
        <stp>ID_CUSIP</stp>
        <stp>[TREASURY.xlsx]Sheet1!R883C19</stp>
        <tr r="S883" s="1"/>
      </tp>
      <tp t="s">
        <v>912828TX8</v>
        <stp/>
        <stp>##V3_BDPV12</stp>
        <stp>912828TX Govt</stp>
        <stp>ID_CUSIP</stp>
        <stp>[TREASURY.xlsx]Sheet1!R467C19</stp>
        <tr r="S467" s="1"/>
      </tp>
      <tp t="s">
        <v>912828TV2</v>
        <stp/>
        <stp>##V3_BDPV12</stp>
        <stp>912828TV Govt</stp>
        <stp>ID_CUSIP</stp>
        <stp>[TREASURY.xlsx]Sheet1!R498C19</stp>
        <tr r="S498" s="1"/>
      </tp>
      <tp t="s">
        <v>912828TS9</v>
        <stp/>
        <stp>##V3_BDPV12</stp>
        <stp>912828TS Govt</stp>
        <stp>ID_CUSIP</stp>
        <stp>[TREASURY.xlsx]Sheet1!R490C19</stp>
        <tr r="S490" s="1"/>
      </tp>
      <tp t="s">
        <v>T</v>
        <stp/>
        <stp>##V3_BDPV12</stp>
        <stp>9128285L Govt</stp>
        <stp>TICKER</stp>
        <stp>[TREASURY.xlsx]Sheet1!R193C2</stp>
        <tr r="B193" s="1"/>
      </tp>
      <tp t="s">
        <v>912828P79</v>
        <stp/>
        <stp>##V3_BDPV12</stp>
        <stp>912828P7 Govt</stp>
        <stp>ID_CUSIP</stp>
        <stp>[TREASURY.xlsx]Sheet1!R309C19</stp>
        <tr r="S309" s="1"/>
      </tp>
      <tp t="s">
        <v>912828R36</v>
        <stp/>
        <stp>##V3_BDPV12</stp>
        <stp>912828R3 Govt</stp>
        <stp>ID_CUSIP</stp>
        <stp>[TREASURY.xlsx]Sheet1!R130C19</stp>
        <tr r="S130" s="1"/>
      </tp>
      <tp t="s">
        <v>912828P87</v>
        <stp/>
        <stp>##V3_BDPV12</stp>
        <stp>912828P8 Govt</stp>
        <stp>ID_CUSIP</stp>
        <stp>[TREASURY.xlsx]Sheet1!R389C19</stp>
        <tr r="S389" s="1"/>
      </tp>
      <tp t="s">
        <v>912828W63</v>
        <stp/>
        <stp>##V3_BDPV12</stp>
        <stp>912828W6 Govt</stp>
        <stp>ID_CUSIP</stp>
        <stp>[TREASURY.xlsx]Sheet1!R480C19</stp>
        <tr r="S480" s="1"/>
      </tp>
      <tp t="s">
        <v>912828U99</v>
        <stp/>
        <stp>##V3_BDPV12</stp>
        <stp>912828U9 Govt</stp>
        <stp>ID_CUSIP</stp>
        <stp>[TREASURY.xlsx]Sheet1!R678C19</stp>
        <tr r="S678" s="1"/>
      </tp>
      <tp t="s">
        <v>912828VC1</v>
        <stp/>
        <stp>##V3_BDPV12</stp>
        <stp>912828VC Govt</stp>
        <stp>ID_CUSIP</stp>
        <stp>[TREASURY.xlsx]Sheet1!R577C19</stp>
        <tr r="S577" s="1"/>
      </tp>
      <tp t="s">
        <v>912828PC8</v>
        <stp/>
        <stp>##V3_BDPV12</stp>
        <stp>912828PC Govt</stp>
        <stp>ID_CUSIP</stp>
        <stp>[TREASURY.xlsx]Sheet1!R365C19</stp>
        <tr r="S365" s="1"/>
      </tp>
      <tp t="s">
        <v>912828WB2</v>
        <stp/>
        <stp>##V3_BDPV12</stp>
        <stp>912828WB Govt</stp>
        <stp>ID_CUSIP</stp>
        <stp>[TREASURY.xlsx]Sheet1!R457C19</stp>
        <tr r="S457" s="1"/>
      </tp>
      <tp t="s">
        <v>912828UF5</v>
        <stp/>
        <stp>##V3_BDPV12</stp>
        <stp>912828UF Govt</stp>
        <stp>ID_CUSIP</stp>
        <stp>[TREASURY.xlsx]Sheet1!R671C19</stp>
        <tr r="S671" s="1"/>
      </tp>
      <tp t="s">
        <v>912828VG2</v>
        <stp/>
        <stp>##V3_BDPV12</stp>
        <stp>912828VG Govt</stp>
        <stp>ID_CUSIP</stp>
        <stp>[TREASURY.xlsx]Sheet1!R587C19</stp>
        <tr r="S587" s="1"/>
      </tp>
      <tp t="s">
        <v>912828VR8</v>
        <stp/>
        <stp>##V3_BDPV12</stp>
        <stp>912828VR Govt</stp>
        <stp>ID_CUSIP</stp>
        <stp>[TREASURY.xlsx]Sheet1!R566C19</stp>
        <tr r="S566" s="1"/>
      </tp>
      <tp t="s">
        <v>912828RR3</v>
        <stp/>
        <stp>##V3_BDPV12</stp>
        <stp>912828RR Govt</stp>
        <stp>ID_CUSIP</stp>
        <stp>[TREASURY.xlsx]Sheet1!R119C19</stp>
        <tr r="S119" s="1"/>
      </tp>
      <tp t="s">
        <v>912828PX2</v>
        <stp/>
        <stp>##V3_BDPV12</stp>
        <stp>912828PX Govt</stp>
        <stp>ID_CUSIP</stp>
        <stp>[TREASURY.xlsx]Sheet1!R355C19</stp>
        <tr r="S355" s="1"/>
      </tp>
      <tp t="s">
        <v>912828UV0</v>
        <stp/>
        <stp>##V3_BDPV12</stp>
        <stp>912828UV Govt</stp>
        <stp>ID_CUSIP</stp>
        <stp>[TREASURY.xlsx]Sheet1!R693C19</stp>
        <tr r="S693" s="1"/>
      </tp>
      <tp t="s">
        <v>912828WP1</v>
        <stp/>
        <stp>##V3_BDPV12</stp>
        <stp>912828WP Govt</stp>
        <stp>ID_CUSIP</stp>
        <stp>[TREASURY.xlsx]Sheet1!R488C19</stp>
        <tr r="S488" s="1"/>
      </tp>
      <tp t="s">
        <v>912828T59</v>
        <stp/>
        <stp>##V3_BDPV12</stp>
        <stp>912828T5 Govt</stp>
        <stp>ID_CUSIP</stp>
        <stp>[TREASURY.xlsx]Sheet1!R631C19</stp>
        <tr r="S631" s="1"/>
      </tp>
      <tp t="s">
        <v>912828Q78</v>
        <stp/>
        <stp>##V3_BDPV12</stp>
        <stp>912828Q7 Govt</stp>
        <stp>ID_CUSIP</stp>
        <stp>[TREASURY.xlsx]Sheet1!R378C19</stp>
        <tr r="S378" s="1"/>
      </tp>
      <tp t="s">
        <v>912828P38</v>
        <stp/>
        <stp>##V3_BDPV12</stp>
        <stp>912828P3 Govt</stp>
        <stp>ID_CUSIP</stp>
        <stp>[TREASURY.xlsx]Sheet1!R222C19</stp>
        <tr r="S222" s="1"/>
      </tp>
      <tp t="s">
        <v>912828SF8</v>
        <stp/>
        <stp>##V3_BDPV12</stp>
        <stp>912828SF Govt</stp>
        <stp>ID_CUSIP</stp>
        <stp>[TREASURY.xlsx]Sheet1!R138C19</stp>
        <tr r="S138" s="1"/>
      </tp>
      <tp t="s">
        <v>912828TB6</v>
        <stp/>
        <stp>##V3_BDPV12</stp>
        <stp>912828TB Govt</stp>
        <stp>ID_CUSIP</stp>
        <stp>[TREASURY.xlsx]Sheet1!R637C19</stp>
        <tr r="S637" s="1"/>
      </tp>
      <tp t="s">
        <v>912828TG5</v>
        <stp/>
        <stp>##V3_BDPV12</stp>
        <stp>912828TG Govt</stp>
        <stp>ID_CUSIP</stp>
        <stp>[TREASURY.xlsx]Sheet1!R654C19</stp>
        <tr r="S654" s="1"/>
      </tp>
      <tp t="s">
        <v>912828QN3</v>
        <stp/>
        <stp>##V3_BDPV12</stp>
        <stp>912828QN Govt</stp>
        <stp>ID_CUSIP</stp>
        <stp>[TREASURY.xlsx]Sheet1!R334C19</stp>
        <tr r="S334" s="1"/>
      </tp>
      <tp t="s">
        <v>912828VJ6</v>
        <stp/>
        <stp>##V3_BDPV12</stp>
        <stp>912828VJ Govt</stp>
        <stp>ID_CUSIP</stp>
        <stp>[TREASURY.xlsx]Sheet1!R447C19</stp>
        <tr r="S447" s="1"/>
      </tp>
      <tp t="s">
        <v>912828WM8</v>
        <stp/>
        <stp>##V3_BDPV12</stp>
        <stp>912828WM Govt</stp>
        <stp>ID_CUSIP</stp>
        <stp>[TREASURY.xlsx]Sheet1!R567C19</stp>
        <tr r="S567" s="1"/>
      </tp>
      <tp t="s">
        <v>912828WS5</v>
        <stp/>
        <stp>##V3_BDPV12</stp>
        <stp>912828WS Govt</stp>
        <stp>ID_CUSIP</stp>
        <stp>[TREASURY.xlsx]Sheet1!R543C19</stp>
        <tr r="S543" s="1"/>
      </tp>
      <tp t="s">
        <v>912828VP2</v>
        <stp/>
        <stp>##V3_BDPV12</stp>
        <stp>912828VP Govt</stp>
        <stp>ID_CUSIP</stp>
        <stp>[TREASURY.xlsx]Sheet1!R479C19</stp>
        <tr r="S479" s="1"/>
      </tp>
      <tp t="s">
        <v>912828SV3</v>
        <stp/>
        <stp>##V3_BDPV12</stp>
        <stp>912828SV Govt</stp>
        <stp>ID_CUSIP</stp>
        <stp>[TREASURY.xlsx]Sheet1!R164C19</stp>
        <tr r="S164" s="1"/>
      </tp>
      <tp t="s">
        <v>912828Q45</v>
        <stp/>
        <stp>##V3_BDPV12</stp>
        <stp>912828Q4 Govt</stp>
        <stp>ID_CUSIP</stp>
        <stp>[TREASURY.xlsx]Sheet1!R423C19</stp>
        <tr r="S423" s="1"/>
      </tp>
      <tp t="s">
        <v>912828T67</v>
        <stp/>
        <stp>##V3_BDPV12</stp>
        <stp>912828T6 Govt</stp>
        <stp>ID_CUSIP</stp>
        <stp>[TREASURY.xlsx]Sheet1!R105C19</stp>
        <tr r="S105" s="1"/>
      </tp>
      <tp t="s">
        <v>912828T34</v>
        <stp/>
        <stp>##V3_BDPV12</stp>
        <stp>912828T3 Govt</stp>
        <stp>ID_CUSIP</stp>
        <stp>[TREASURY.xlsx]Sheet1!R124C19</stp>
        <tr r="S124" s="1"/>
      </tp>
      <tp t="s">
        <v>912828Q37</v>
        <stp/>
        <stp>##V3_BDPV12</stp>
        <stp>912828Q3 Govt</stp>
        <stp>ID_CUSIP</stp>
        <stp>[TREASURY.xlsx]Sheet1!R413C19</stp>
        <tr r="S413" s="1"/>
      </tp>
      <tp t="s">
        <v>912828W55</v>
        <stp/>
        <stp>##V3_BDPV12</stp>
        <stp>912828W5 Govt</stp>
        <stp>ID_CUSIP</stp>
        <stp>[TREASURY.xlsx]Sheet1!R281C19</stp>
        <tr r="S281" s="1"/>
      </tp>
      <tp t="s">
        <v>912828W48</v>
        <stp/>
        <stp>##V3_BDPV12</stp>
        <stp>912828W4 Govt</stp>
        <stp>ID_CUSIP</stp>
        <stp>[TREASURY.xlsx]Sheet1!R296C19</stp>
        <tr r="S296" s="1"/>
      </tp>
      <tp t="s">
        <v>912828S68</v>
        <stp/>
        <stp>##V3_BDPV12</stp>
        <stp>912828S6 Govt</stp>
        <stp>ID_CUSIP</stp>
        <stp>[TREASURY.xlsx]Sheet1!R692C19</stp>
        <tr r="S692" s="1"/>
      </tp>
      <tp t="s">
        <v>912828V80</v>
        <stp/>
        <stp>##V3_BDPV12</stp>
        <stp>912828V8 Govt</stp>
        <stp>ID_CUSIP</stp>
        <stp>[TREASURY.xlsx]Sheet1!R307C19</stp>
        <tr r="S307" s="1"/>
      </tp>
      <tp t="s">
        <v>912828W89</v>
        <stp/>
        <stp>##V3_BDPV12</stp>
        <stp>912828W8 Govt</stp>
        <stp>ID_CUSIP</stp>
        <stp>[TREASURY.xlsx]Sheet1!R221C19</stp>
        <tr r="S221" s="1"/>
      </tp>
      <tp t="s">
        <v>912828T26</v>
        <stp/>
        <stp>##V3_BDPV12</stp>
        <stp>912828T2 Govt</stp>
        <stp>ID_CUSIP</stp>
        <stp>[TREASURY.xlsx]Sheet1!R192C19</stp>
        <tr r="S192" s="1"/>
      </tp>
      <tp t="s">
        <v>912828Q94</v>
        <stp/>
        <stp>##V3_BDPV12</stp>
        <stp>912828Q9 Govt</stp>
        <stp>ID_CUSIP</stp>
        <stp>[TREASURY.xlsx]Sheet1!R425C19</stp>
        <tr r="S425" s="1"/>
      </tp>
      <tp t="s">
        <v>912828PM6</v>
        <stp/>
        <stp>##V3_BDPV12</stp>
        <stp>912828PM Govt</stp>
        <stp>ID_CUSIP</stp>
        <stp>[TREASURY.xlsx]Sheet1!R593C19</stp>
        <tr r="S593" s="1"/>
      </tp>
      <tp t="s">
        <v>912828SE1</v>
        <stp/>
        <stp>##V3_BDPV12</stp>
        <stp>912828SE Govt</stp>
        <stp>ID_CUSIP</stp>
        <stp>[TREASURY.xlsx]Sheet1!R618C19</stp>
        <tr r="S618" s="1"/>
      </tp>
      <tp t="s">
        <v>912828SD3</v>
        <stp/>
        <stp>##V3_BDPV12</stp>
        <stp>912828SD Govt</stp>
        <stp>ID_CUSIP</stp>
        <stp>[TREASURY.xlsx]Sheet1!R623C19</stp>
        <tr r="S623" s="1"/>
      </tp>
      <tp t="s">
        <v>912828PE4</v>
        <stp/>
        <stp>##V3_BDPV12</stp>
        <stp>912828PE Govt</stp>
        <stp>ID_CUSIP</stp>
        <stp>[TREASURY.xlsx]Sheet1!R548C19</stp>
        <tr r="S548" s="1"/>
      </tp>
      <tp t="s">
        <v>912828TJ9</v>
        <stp/>
        <stp>##V3_BDPV12</stp>
        <stp>912828TJ Govt</stp>
        <stp>ID_CUSIP</stp>
        <stp>[TREASURY.xlsx]Sheet1!R194C19</stp>
        <tr r="S194" s="1"/>
      </tp>
      <tp t="s">
        <v>912828QL7</v>
        <stp/>
        <stp>##V3_BDPV12</stp>
        <stp>912828QL Govt</stp>
        <stp>ID_CUSIP</stp>
        <stp>[TREASURY.xlsx]Sheet1!R401C19</stp>
        <tr r="S401" s="1"/>
      </tp>
      <tp t="s">
        <v>912828SN1</v>
        <stp/>
        <stp>##V3_BDPV12</stp>
        <stp>912828SN Govt</stp>
        <stp>ID_CUSIP</stp>
        <stp>[TREASURY.xlsx]Sheet1!R670C19</stp>
        <tr r="S670" s="1"/>
      </tp>
      <tp t="s">
        <v>912828QJ2</v>
        <stp/>
        <stp>##V3_BDPV12</stp>
        <stp>912828QJ Govt</stp>
        <stp>ID_CUSIP</stp>
        <stp>[TREASURY.xlsx]Sheet1!R407C19</stp>
        <tr r="S407" s="1"/>
      </tp>
      <tp t="s">
        <v>912828PY0</v>
        <stp/>
        <stp>##V3_BDPV12</stp>
        <stp>912828PY Govt</stp>
        <stp>ID_CUSIP</stp>
        <stp>[TREASURY.xlsx]Sheet1!R594C19</stp>
        <tr r="S594" s="1"/>
      </tp>
      <tp t="s">
        <v>912828SW1</v>
        <stp/>
        <stp>##V3_BDPV12</stp>
        <stp>912828SW Govt</stp>
        <stp>ID_CUSIP</stp>
        <stp>[TREASURY.xlsx]Sheet1!R653C19</stp>
        <tr r="S653" s="1"/>
      </tp>
      <tp t="s">
        <v>912828PZ7</v>
        <stp/>
        <stp>##V3_BDPV12</stp>
        <stp>912828PZ Govt</stp>
        <stp>ID_CUSIP</stp>
        <stp>[TREASURY.xlsx]Sheet1!R575C19</stp>
        <tr r="S575" s="1"/>
      </tp>
      <tp t="s">
        <v>912828WZ9</v>
        <stp/>
        <stp>##V3_BDPV12</stp>
        <stp>912828WZ Govt</stp>
        <stp>ID_CUSIP</stp>
        <stp>[TREASURY.xlsx]Sheet1!R244C19</stp>
        <tr r="S244" s="1"/>
      </tp>
      <tp t="s">
        <v>912828QZ6</v>
        <stp/>
        <stp>##V3_BDPV12</stp>
        <stp>912828QZ Govt</stp>
        <stp>ID_CUSIP</stp>
        <stp>[TREASURY.xlsx]Sheet1!R449C19</stp>
        <tr r="S449" s="1"/>
      </tp>
      <tp t="s">
        <v>912828TY6</v>
        <stp/>
        <stp>##V3_BDPV12</stp>
        <stp>912828TY Govt</stp>
        <stp>ID_CUSIP</stp>
        <stp>[TREASURY.xlsx]Sheet1!R118C19</stp>
        <tr r="S118" s="1"/>
      </tp>
      <tp t="s">
        <v>912828V23</v>
        <stp/>
        <stp>##V3_BDPV12</stp>
        <stp>912828V2 Govt</stp>
        <stp>ID_CUSIP</stp>
        <stp>[TREASURY.xlsx]Sheet1!R250C19</stp>
        <tr r="S250" s="1"/>
      </tp>
      <tp t="s">
        <v>912828R85</v>
        <stp/>
        <stp>##V3_BDPV12</stp>
        <stp>912828R8 Govt</stp>
        <stp>ID_CUSIP</stp>
        <stp>[TREASURY.xlsx]Sheet1!R689C19</stp>
        <tr r="S689" s="1"/>
      </tp>
      <tp t="s">
        <v>912828V72</v>
        <stp/>
        <stp>##V3_BDPV12</stp>
        <stp>912828V7 Govt</stp>
        <stp>ID_CUSIP</stp>
        <stp>[TREASURY.xlsx]Sheet1!R262C19</stp>
        <tr r="S262" s="1"/>
      </tp>
      <tp t="s">
        <v>912828W97</v>
        <stp/>
        <stp>##V3_BDPV12</stp>
        <stp>912828W9 Govt</stp>
        <stp>ID_CUSIP</stp>
        <stp>[TREASURY.xlsx]Sheet1!R363C19</stp>
        <tr r="S363" s="1"/>
      </tp>
      <tp t="s">
        <v>912828P95</v>
        <stp/>
        <stp>##V3_BDPV12</stp>
        <stp>912828P9 Govt</stp>
        <stp>ID_CUSIP</stp>
        <stp>[TREASURY.xlsx]Sheet1!R431C19</stp>
        <tr r="S431" s="1"/>
      </tp>
      <tp t="s">
        <v>912828RA0</v>
        <stp/>
        <stp>##V3_BDPV12</stp>
        <stp>912828RA Govt</stp>
        <stp>ID_CUSIP</stp>
        <stp>[TREASURY.xlsx]Sheet1!R677C19</stp>
        <tr r="S677" s="1"/>
      </tp>
      <tp t="s">
        <v>912828WG1</v>
        <stp/>
        <stp>##V3_BDPV12</stp>
        <stp>912828WG Govt</stp>
        <stp>ID_CUSIP</stp>
        <stp>[TREASURY.xlsx]Sheet1!R370C19</stp>
        <tr r="S370" s="1"/>
      </tp>
      <tp t="s">
        <v>912828QF0</v>
        <stp/>
        <stp>##V3_BDPV12</stp>
        <stp>912828QF Govt</stp>
        <stp>ID_CUSIP</stp>
        <stp>[TREASURY.xlsx]Sheet1!R576C19</stp>
        <tr r="S576" s="1"/>
      </tp>
      <tp t="s">
        <v>912828QH6</v>
        <stp/>
        <stp>##V3_BDPV12</stp>
        <stp>912828QH Govt</stp>
        <stp>ID_CUSIP</stp>
        <stp>[TREASURY.xlsx]Sheet1!R595C19</stp>
        <tr r="S595" s="1"/>
      </tp>
      <tp t="s">
        <v>912828QA1</v>
        <stp/>
        <stp>##V3_BDPV12</stp>
        <stp>912828QA Govt</stp>
        <stp>ID_CUSIP</stp>
        <stp>[TREASURY.xlsx]Sheet1!R509C19</stp>
        <tr r="S509" s="1"/>
      </tp>
      <tp t="s">
        <v>912828WN6</v>
        <stp/>
        <stp>##V3_BDPV12</stp>
        <stp>912828WN Govt</stp>
        <stp>ID_CUSIP</stp>
        <stp>[TREASURY.xlsx]Sheet1!R338C19</stp>
        <tr r="S338" s="1"/>
      </tp>
      <tp t="s">
        <v>912828PH7</v>
        <stp/>
        <stp>##V3_BDPV12</stp>
        <stp>912828PH Govt</stp>
        <stp>ID_CUSIP</stp>
        <stp>[TREASURY.xlsx]Sheet1!R464C19</stp>
        <tr r="S464" s="1"/>
      </tp>
      <tp t="s">
        <v>912828UN8</v>
        <stp/>
        <stp>##V3_BDPV12</stp>
        <stp>912828UN Govt</stp>
        <stp>ID_CUSIP</stp>
        <stp>[TREASURY.xlsx]Sheet1!R147C19</stp>
        <tr r="S147" s="1"/>
      </tp>
      <tp t="s">
        <v>912828QP8</v>
        <stp/>
        <stp>##V3_BDPV12</stp>
        <stp>912828QP Govt</stp>
        <stp>ID_CUSIP</stp>
        <stp>[TREASURY.xlsx]Sheet1!R550C19</stp>
        <tr r="S550" s="1"/>
      </tp>
      <tp t="s">
        <v>912828WR7</v>
        <stp/>
        <stp>##V3_BDPV12</stp>
        <stp>912828WR Govt</stp>
        <stp>ID_CUSIP</stp>
        <stp>[TREASURY.xlsx]Sheet1!R341C19</stp>
        <tr r="S341" s="1"/>
      </tp>
      <tp t="s">
        <v>912828WW6</v>
        <stp/>
        <stp>##V3_BDPV12</stp>
        <stp>912828WW Govt</stp>
        <stp>ID_CUSIP</stp>
        <stp>[TREASURY.xlsx]Sheet1!R340C19</stp>
        <tr r="S340" s="1"/>
      </tp>
      <tp t="s">
        <v>912828WY2</v>
        <stp/>
        <stp>##V3_BDPV12</stp>
        <stp>912828WY Govt</stp>
        <stp>ID_CUSIP</stp>
        <stp>[TREASURY.xlsx]Sheet1!R359C19</stp>
        <tr r="S359" s="1"/>
      </tp>
      <tp t="s">
        <v>912828RV4</v>
        <stp/>
        <stp>##V3_BDPV12</stp>
        <stp>912828RV Govt</stp>
        <stp>ID_CUSIP</stp>
        <stp>[TREASURY.xlsx]Sheet1!R687C19</stp>
        <tr r="S687" s="1"/>
      </tp>
      <tp t="s">
        <v>912828QX1</v>
        <stp/>
        <stp>##V3_BDPV12</stp>
        <stp>912828QX Govt</stp>
        <stp>ID_CUSIP</stp>
        <stp>[TREASURY.xlsx]Sheet1!R519C19</stp>
        <tr r="S519" s="1"/>
      </tp>
      <tp t="s">
        <v>912828U65</v>
        <stp/>
        <stp>##V3_BDPV12</stp>
        <stp>912828U6 Govt</stp>
        <stp>ID_CUSIP</stp>
        <stp>[TREASURY.xlsx]Sheet1!R232C19</stp>
        <tr r="S232" s="1"/>
      </tp>
      <tp t="s">
        <v>912828U57</v>
        <stp/>
        <stp>##V3_BDPV12</stp>
        <stp>912828U5 Govt</stp>
        <stp>ID_CUSIP</stp>
        <stp>[TREASURY.xlsx]Sheet1!R246C19</stp>
        <tr r="S246" s="1"/>
      </tp>
      <tp t="s">
        <v>912828S43</v>
        <stp/>
        <stp>##V3_BDPV12</stp>
        <stp>912828S4 Govt</stp>
        <stp>ID_CUSIP</stp>
        <stp>[TREASURY.xlsx]Sheet1!R487C19</stp>
        <tr r="S487" s="1"/>
      </tp>
      <tp t="s">
        <v>912828U81</v>
        <stp/>
        <stp>##V3_BDPV12</stp>
        <stp>912828U8 Govt</stp>
        <stp>ID_CUSIP</stp>
        <stp>[TREASURY.xlsx]Sheet1!R213C19</stp>
        <tr r="S213" s="1"/>
      </tp>
      <tp t="s">
        <v>912828V98</v>
        <stp/>
        <stp>##V3_BDPV12</stp>
        <stp>912828V9 Govt</stp>
        <stp>ID_CUSIP</stp>
        <stp>[TREASURY.xlsx]Sheet1!R127C19</stp>
        <tr r="S127" s="1"/>
      </tp>
      <tp t="s">
        <v>912828VB3</v>
        <stp/>
        <stp>##V3_BDPV12</stp>
        <stp>912828VB Govt</stp>
        <stp>ID_CUSIP</stp>
        <stp>[TREASURY.xlsx]Sheet1!R168C19</stp>
        <tr r="S168" s="1"/>
      </tp>
      <tp t="s">
        <v>912828SJ0</v>
        <stp/>
        <stp>##V3_BDPV12</stp>
        <stp>912828SJ Govt</stp>
        <stp>ID_CUSIP</stp>
        <stp>[TREASURY.xlsx]Sheet1!R489C19</stp>
        <tr r="S489" s="1"/>
      </tp>
      <tp t="s">
        <v>912828SG6</v>
        <stp/>
        <stp>##V3_BDPV12</stp>
        <stp>912828SG Govt</stp>
        <stp>ID_CUSIP</stp>
        <stp>[TREASURY.xlsx]Sheet1!R496C19</stp>
        <tr r="S496" s="1"/>
      </tp>
      <tp t="s">
        <v>912828RM4</v>
        <stp/>
        <stp>##V3_BDPV12</stp>
        <stp>912828RM Govt</stp>
        <stp>ID_CUSIP</stp>
        <stp>[TREASURY.xlsx]Sheet1!R563C19</stp>
        <tr r="S563" s="1"/>
      </tp>
      <tp t="s">
        <v>912828TC4</v>
        <stp/>
        <stp>##V3_BDPV12</stp>
        <stp>912828TC Govt</stp>
        <stp>ID_CUSIP</stp>
        <stp>[TREASURY.xlsx]Sheet1!R385C19</stp>
        <tr r="S385" s="1"/>
      </tp>
      <tp t="s">
        <v>912828RP7</v>
        <stp/>
        <stp>##V3_BDPV12</stp>
        <stp>912828RP Govt</stp>
        <stp>ID_CUSIP</stp>
        <stp>[TREASURY.xlsx]Sheet1!R549C19</stp>
        <tr r="S549" s="1"/>
      </tp>
      <tp t="s">
        <v>912828SU5</v>
        <stp/>
        <stp>##V3_BDPV12</stp>
        <stp>912828SU Govt</stp>
        <stp>ID_CUSIP</stp>
        <stp>[TREASURY.xlsx]Sheet1!R404C19</stp>
        <tr r="S404" s="1"/>
      </tp>
      <tp t="s">
        <v>912828VS6</v>
        <stp/>
        <stp>##V3_BDPV12</stp>
        <stp>912828VS Govt</stp>
        <stp>ID_CUSIP</stp>
        <stp>[TREASURY.xlsx]Sheet1!R134C19</stp>
        <tr r="S134" s="1"/>
      </tp>
      <tp t="s">
        <v>912828TW0</v>
        <stp/>
        <stp>##V3_BDPV12</stp>
        <stp>912828TW Govt</stp>
        <stp>ID_CUSIP</stp>
        <stp>[TREASURY.xlsx]Sheet1!R361C19</stp>
        <tr r="S361" s="1"/>
      </tp>
      <tp t="s">
        <v>912828QW3</v>
        <stp/>
        <stp>##V3_BDPV12</stp>
        <stp>912828QW Govt</stp>
        <stp>ID_CUSIP</stp>
        <stp>[TREASURY.xlsx]Sheet1!R646C19</stp>
        <tr r="S646" s="1"/>
      </tp>
      <tp t="s">
        <v>912828ST8</v>
        <stp/>
        <stp>##V3_BDPV12</stp>
        <stp>912828ST Govt</stp>
        <stp>ID_CUSIP</stp>
        <stp>[TREASURY.xlsx]Sheet1!R497C19</stp>
        <tr r="S497" s="1"/>
      </tp>
      <tp t="s">
        <v>912828W71</v>
        <stp/>
        <stp>##V3_BDPV12</stp>
        <stp>912828W7 Govt</stp>
        <stp>ID_CUSIP</stp>
        <stp>[TREASURY.xlsx]Sheet1!R125C19</stp>
        <tr r="S125" s="1"/>
      </tp>
      <tp t="s">
        <v>912828T91</v>
        <stp/>
        <stp>##V3_BDPV12</stp>
        <stp>912828T9 Govt</stp>
        <stp>ID_CUSIP</stp>
        <stp>[TREASURY.xlsx]Sheet1!R215C19</stp>
        <tr r="S215" s="1"/>
      </tp>
      <tp t="s">
        <v>912828R93</v>
        <stp/>
        <stp>##V3_BDPV12</stp>
        <stp>912828R9 Govt</stp>
        <stp>ID_CUSIP</stp>
        <stp>[TREASURY.xlsx]Sheet1!R437C19</stp>
        <tr r="S437" s="1"/>
      </tp>
      <tp t="s">
        <v>912828SB7</v>
        <stp/>
        <stp>##V3_BDPV12</stp>
        <stp>912828SB Govt</stp>
        <stp>ID_CUSIP</stp>
        <stp>[TREASURY.xlsx]Sheet1!R564C19</stp>
        <tr r="S564" s="1"/>
      </tp>
      <tp t="s">
        <v>912828WE6</v>
        <stp/>
        <stp>##V3_BDPV12</stp>
        <stp>912828WE Govt</stp>
        <stp>ID_CUSIP</stp>
        <stp>[TREASURY.xlsx]Sheet1!R108C19</stp>
        <tr r="S108" s="1"/>
      </tp>
      <tp t="s">
        <v>912828RB8</v>
        <stp/>
        <stp>##V3_BDPV12</stp>
        <stp>912828RB Govt</stp>
        <stp>ID_CUSIP</stp>
        <stp>[TREASURY.xlsx]Sheet1!R459C19</stp>
        <tr r="S459" s="1"/>
      </tp>
      <tp t="s">
        <v>912828WJ5</v>
        <stp/>
        <stp>##V3_BDPV12</stp>
        <stp>912828WJ Govt</stp>
        <stp>ID_CUSIP</stp>
        <stp>[TREASURY.xlsx]Sheet1!R182C19</stp>
        <tr r="S182" s="1"/>
      </tp>
      <tp t="s">
        <v>912828SM3</v>
        <stp/>
        <stp>##V3_BDPV12</stp>
        <stp>912828SM Govt</stp>
        <stp>ID_CUSIP</stp>
        <stp>[TREASURY.xlsx]Sheet1!R516C19</stp>
        <tr r="S516" s="1"/>
      </tp>
      <tp t="s">
        <v>912828SL5</v>
        <stp/>
        <stp>##V3_BDPV12</stp>
        <stp>912828SL Govt</stp>
        <stp>ID_CUSIP</stp>
        <stp>[TREASURY.xlsx]Sheet1!R511C19</stp>
        <tr r="S511" s="1"/>
      </tp>
      <tp t="s">
        <v>912828RH5</v>
        <stp/>
        <stp>##V3_BDPV12</stp>
        <stp>912828RH Govt</stp>
        <stp>ID_CUSIP</stp>
        <stp>[TREASURY.xlsx]Sheet1!R456C19</stp>
        <tr r="S456" s="1"/>
      </tp>
      <tp t="s">
        <v>912828PJ3</v>
        <stp/>
        <stp>##V3_BDPV12</stp>
        <stp>912828PJ Govt</stp>
        <stp>ID_CUSIP</stp>
        <stp>[TREASURY.xlsx]Sheet1!R630C19</stp>
        <tr r="S630" s="1"/>
      </tp>
      <tp t="s">
        <v>912828UA6</v>
        <stp/>
        <stp>##V3_BDPV12</stp>
        <stp>912828UA Govt</stp>
        <stp>ID_CUSIP</stp>
        <stp>[TREASURY.xlsx]Sheet1!R387C19</stp>
        <tr r="S387" s="1"/>
      </tp>
      <tp t="s">
        <v>912828RT9</v>
        <stp/>
        <stp>##V3_BDPV12</stp>
        <stp>912828RT Govt</stp>
        <stp>ID_CUSIP</stp>
        <stp>[TREASURY.xlsx]Sheet1!R420C19</stp>
        <tr r="S420" s="1"/>
      </tp>
      <tp t="s">
        <v>912828RS1</v>
        <stp/>
        <stp>##V3_BDPV12</stp>
        <stp>912828RS Govt</stp>
        <stp>ID_CUSIP</stp>
        <stp>[TREASURY.xlsx]Sheet1!R444C19</stp>
        <tr r="S444" s="1"/>
      </tp>
      <tp t="s">
        <v>912828PV6</v>
        <stp/>
        <stp>##V3_BDPV12</stp>
        <stp>912828PV Govt</stp>
        <stp>ID_CUSIP</stp>
        <stp>[TREASURY.xlsx]Sheet1!R652C19</stp>
        <tr r="S652" s="1"/>
      </tp>
      <tp t="s">
        <v>912828SZ4</v>
        <stp/>
        <stp>##V3_BDPV12</stp>
        <stp>912828SZ Govt</stp>
        <stp>ID_CUSIP</stp>
        <stp>[TREASURY.xlsx]Sheet1!R551C19</stp>
        <tr r="S551" s="1"/>
      </tp>
      <tp t="s">
        <v>912828P20</v>
        <stp/>
        <stp>##V3_BDPV12</stp>
        <stp>912828P2 Govt</stp>
        <stp>ID_CUSIP</stp>
        <stp>[TREASURY.xlsx]Sheet1!R981C19</stp>
        <tr r="S981" s="1"/>
      </tp>
      <tp t="s">
        <v>912828PL8</v>
        <stp/>
        <stp>##V3_BDPV12</stp>
        <stp>912828PL Govt</stp>
        <stp>ID_CUSIP</stp>
        <stp>[TREASURY.xlsx]Sheet1!R983C19</stp>
        <tr r="S983" s="1"/>
      </tp>
      <tp t="s">
        <v>912828PN4</v>
        <stp/>
        <stp>##V3_BDPV12</stp>
        <stp>912828PN Govt</stp>
        <stp>ID_CUSIP</stp>
        <stp>[TREASURY.xlsx]Sheet1!R984C19</stp>
        <tr r="S984" s="1"/>
      </tp>
      <tp t="s">
        <v>912828XB1</v>
        <stp/>
        <stp>##V3_BDPV12</stp>
        <stp>912828XB Govt</stp>
        <stp>ID_CUSIP</stp>
        <stp>[TREASURY.xlsx]Sheet1!R122C19</stp>
        <tr r="S122" s="1"/>
      </tp>
      <tp t="s">
        <v>912828PK0</v>
        <stp/>
        <stp>##V3_BDPV12</stp>
        <stp>912828PK Govt</stp>
        <stp>ID_CUSIP</stp>
        <stp>[TREASURY.xlsx]Sheet1!R982C19</stp>
        <tr r="S982" s="1"/>
      </tp>
      <tp t="s">
        <v>912828XD7</v>
        <stp/>
        <stp>##V3_BDPV12</stp>
        <stp>912828XD Govt</stp>
        <stp>ID_CUSIP</stp>
        <stp>[TREASURY.xlsx]Sheet1!R189C19</stp>
        <tr r="S189" s="1"/>
      </tp>
      <tp t="s">
        <v>912828XG0</v>
        <stp/>
        <stp>##V3_BDPV12</stp>
        <stp>912828XG Govt</stp>
        <stp>ID_CUSIP</stp>
        <stp>[TREASURY.xlsx]Sheet1!R196C19</stp>
        <tr r="S196" s="1"/>
      </tp>
      <tp t="s">
        <v>912828QR4</v>
        <stp/>
        <stp>##V3_BDPV12</stp>
        <stp>912828QR Govt</stp>
        <stp>ID_CUSIP</stp>
        <stp>[TREASURY.xlsx]Sheet1!R866C19</stp>
        <tr r="S866" s="1"/>
      </tp>
      <tp t="s">
        <v>912828QU7</v>
        <stp/>
        <stp>##V3_BDPV12</stp>
        <stp>912828QU Govt</stp>
        <stp>ID_CUSIP</stp>
        <stp>[TREASURY.xlsx]Sheet1!R826C19</stp>
        <tr r="S826" s="1"/>
      </tp>
      <tp t="s">
        <v>912828XT2</v>
        <stp/>
        <stp>##V3_BDPV12</stp>
        <stp>912828XT Govt</stp>
        <stp>ID_CUSIP</stp>
        <stp>[TREASURY.xlsx]Sheet1!R155C19</stp>
        <tr r="S155" s="1"/>
      </tp>
      <tp t="s">
        <v>912828QT0</v>
        <stp/>
        <stp>##V3_BDPV12</stp>
        <stp>912828QT Govt</stp>
        <stp>ID_CUSIP</stp>
        <stp>[TREASURY.xlsx]Sheet1!R867C19</stp>
        <tr r="S867" s="1"/>
      </tp>
      <tp t="s">
        <v>912828PW4</v>
        <stp/>
        <stp>##V3_BDPV12</stp>
        <stp>912828PW Govt</stp>
        <stp>ID_CUSIP</stp>
        <stp>[TREASURY.xlsx]Sheet1!R987C19</stp>
        <tr r="S987" s="1"/>
      </tp>
      <tp t="s">
        <v>912828PQ7</v>
        <stp/>
        <stp>##V3_BDPV12</stp>
        <stp>912828PQ Govt</stp>
        <stp>ID_CUSIP</stp>
        <stp>[TREASURY.xlsx]Sheet1!R985C19</stp>
        <tr r="S985" s="1"/>
      </tp>
      <tp t="s">
        <v>912828PS3</v>
        <stp/>
        <stp>##V3_BDPV12</stp>
        <stp>912828PS Govt</stp>
        <stp>ID_CUSIP</stp>
        <stp>[TREASURY.xlsx]Sheet1!R986C19</stp>
        <tr r="S986" s="1"/>
      </tp>
      <tp t="s">
        <v>912828QY9</v>
        <stp/>
        <stp>##V3_BDPV12</stp>
        <stp>912828QY Govt</stp>
        <stp>ID_CUSIP</stp>
        <stp>[TREASURY.xlsx]Sheet1!R827C19</stp>
        <tr r="S827" s="1"/>
      </tp>
      <tp t="s">
        <v>912828Z60</v>
        <stp/>
        <stp>##V3_BDPV12</stp>
        <stp>912828Z6 Govt</stp>
        <stp>ID_CUSIP</stp>
        <stp>[TREASURY.xlsx]Sheet1!R234C19</stp>
        <tr r="S234" s="1"/>
      </tp>
      <tp t="s">
        <v>T</v>
        <stp/>
        <stp>##V3_BDPV12</stp>
        <stp>9128286G Govt</stp>
        <stp>TICKER</stp>
        <stp>[TREASURY.xlsx]Sheet1!R240C2</stp>
        <tr r="B240" s="1"/>
      </tp>
      <tp t="s">
        <v>912828Z29</v>
        <stp/>
        <stp>##V3_BDPV12</stp>
        <stp>912828Z2 Govt</stp>
        <stp>ID_CUSIP</stp>
        <stp>[TREASURY.xlsx]Sheet1!R210C19</stp>
        <tr r="S210" s="1"/>
      </tp>
      <tp t="s">
        <v>912828Y95</v>
        <stp/>
        <stp>##V3_BDPV12</stp>
        <stp>912828Y9 Govt</stp>
        <stp>ID_CUSIP</stp>
        <stp>[TREASURY.xlsx]Sheet1!R157C19</stp>
        <tr r="S157" s="1"/>
      </tp>
      <tp t="s">
        <v>912828Z86</v>
        <stp/>
        <stp>##V3_BDPV12</stp>
        <stp>912828Z8 Govt</stp>
        <stp>ID_CUSIP</stp>
        <stp>[TREASURY.xlsx]Sheet1!R236C19</stp>
        <tr r="S236" s="1"/>
      </tp>
      <tp t="s">
        <v>NORMAL</v>
        <stp/>
        <stp>##V3_BDPV12</stp>
        <stp>91282CBQ Govt</stp>
        <stp>MTY_TYP</stp>
        <stp>[TREASURY.xlsx]Sheet1!R30C6</stp>
        <tr r="F30" s="1"/>
      </tp>
      <tp t="s">
        <v>912828YE4</v>
        <stp/>
        <stp>##V3_BDPV12</stp>
        <stp>912828YE Govt</stp>
        <stp>ID_CUSIP</stp>
        <stp>[TREASURY.xlsx]Sheet1!R143C19</stp>
        <tr r="S143" s="1"/>
      </tp>
      <tp t="s">
        <v>912828YD6</v>
        <stp/>
        <stp>##V3_BDPV12</stp>
        <stp>912828YD Govt</stp>
        <stp>ID_CUSIP</stp>
        <stp>[TREASURY.xlsx]Sheet1!R178C19</stp>
        <tr r="S178" s="1"/>
      </tp>
      <tp t="s">
        <v>912828YM6</v>
        <stp/>
        <stp>##V3_BDPV12</stp>
        <stp>912828YM Govt</stp>
        <stp>ID_CUSIP</stp>
        <stp>[TREASURY.xlsx]Sheet1!R113C19</stp>
        <tr r="S113" s="1"/>
      </tp>
      <tp t="s">
        <v>912828QE3</v>
        <stp/>
        <stp>##V3_BDPV12</stp>
        <stp>912828QE Govt</stp>
        <stp>ID_CUSIP</stp>
        <stp>[TREASURY.xlsx]Sheet1!R989C19</stp>
        <tr r="S989" s="1"/>
      </tp>
      <tp t="s">
        <v>912828QG8</v>
        <stp/>
        <stp>##V3_BDPV12</stp>
        <stp>912828QG Govt</stp>
        <stp>ID_CUSIP</stp>
        <stp>[TREASURY.xlsx]Sheet1!R990C19</stp>
        <tr r="S990" s="1"/>
      </tp>
      <tp t="s">
        <v>912828YK0</v>
        <stp/>
        <stp>##V3_BDPV12</stp>
        <stp>912828YK Govt</stp>
        <stp>ID_CUSIP</stp>
        <stp>[TREASURY.xlsx]Sheet1!R131C19</stp>
        <tr r="S131" s="1"/>
      </tp>
      <tp t="s">
        <v>912828YA2</v>
        <stp/>
        <stp>##V3_BDPV12</stp>
        <stp>912828YA Govt</stp>
        <stp>ID_CUSIP</stp>
        <stp>[TREASURY.xlsx]Sheet1!R183C19</stp>
        <tr r="S183" s="1"/>
      </tp>
      <tp t="s">
        <v>912828QB9</v>
        <stp/>
        <stp>##V3_BDPV12</stp>
        <stp>912828QB Govt</stp>
        <stp>ID_CUSIP</stp>
        <stp>[TREASURY.xlsx]Sheet1!R988C19</stp>
        <tr r="S988" s="1"/>
      </tp>
      <tp t="s">
        <v>912828YH7</v>
        <stp/>
        <stp>##V3_BDPV12</stp>
        <stp>912828YH Govt</stp>
        <stp>ID_CUSIP</stp>
        <stp>[TREASURY.xlsx]Sheet1!R135C19</stp>
        <tr r="S135" s="1"/>
      </tp>
      <tp t="s">
        <v>912828YP9</v>
        <stp/>
        <stp>##V3_BDPV12</stp>
        <stp>912828YP Govt</stp>
        <stp>ID_CUSIP</stp>
        <stp>[TREASURY.xlsx]Sheet1!R149C19</stp>
        <tr r="S149" s="1"/>
      </tp>
      <tp t="s">
        <v>912828YV6</v>
        <stp/>
        <stp>##V3_BDPV12</stp>
        <stp>912828YV Govt</stp>
        <stp>ID_CUSIP</stp>
        <stp>[TREASURY.xlsx]Sheet1!R139C19</stp>
        <tr r="S139" s="1"/>
      </tp>
      <tp t="s">
        <v>912828YU8</v>
        <stp/>
        <stp>##V3_BDPV12</stp>
        <stp>912828YU Govt</stp>
        <stp>ID_CUSIP</stp>
        <stp>[TREASURY.xlsx]Sheet1!R174C19</stp>
        <tr r="S174" s="1"/>
      </tp>
      <tp t="s">
        <v>912828YW4</v>
        <stp/>
        <stp>##V3_BDPV12</stp>
        <stp>912828YW Govt</stp>
        <stp>ID_CUSIP</stp>
        <stp>[TREASURY.xlsx]Sheet1!R141C19</stp>
        <tr r="S141" s="1"/>
      </tp>
      <tp t="s">
        <v>912828YY0</v>
        <stp/>
        <stp>##V3_BDPV12</stp>
        <stp>912828YY Govt</stp>
        <stp>ID_CUSIP</stp>
        <stp>[TREASURY.xlsx]Sheet1!R158C19</stp>
        <tr r="S158" s="1"/>
      </tp>
      <tp t="s">
        <v>912828YZ7</v>
        <stp/>
        <stp>##V3_BDPV12</stp>
        <stp>912828YZ Govt</stp>
        <stp>ID_CUSIP</stp>
        <stp>[TREASURY.xlsx]Sheet1!R170C19</stp>
        <tr r="S170" s="1"/>
      </tp>
      <tp t="s">
        <v>912828YT1</v>
        <stp/>
        <stp>##V3_BDPV12</stp>
        <stp>912828YT Govt</stp>
        <stp>ID_CUSIP</stp>
        <stp>[TREASURY.xlsx]Sheet1!R198C19</stp>
        <tr r="S198" s="1"/>
      </tp>
      <tp t="s">
        <v>912828QQ6</v>
        <stp/>
        <stp>##V3_BDPV12</stp>
        <stp>912828QQ Govt</stp>
        <stp>ID_CUSIP</stp>
        <stp>[TREASURY.xlsx]Sheet1!R991C19</stp>
        <tr r="S991" s="1"/>
      </tp>
      <tp t="s">
        <v>912828YX2</v>
        <stp/>
        <stp>##V3_BDPV12</stp>
        <stp>912828YX Govt</stp>
        <stp>ID_CUSIP</stp>
        <stp>[TREASURY.xlsx]Sheet1!R104C19</stp>
        <tr r="S104" s="1"/>
      </tp>
      <tp t="s">
        <v>912828QS2</v>
        <stp/>
        <stp>##V3_BDPV12</stp>
        <stp>912828QS Govt</stp>
        <stp>ID_CUSIP</stp>
        <stp>[TREASURY.xlsx]Sheet1!R992C19</stp>
        <tr r="S992" s="1"/>
      </tp>
      <tp t="s">
        <v>T</v>
        <stp/>
        <stp>##V3_BDPV12</stp>
        <stp>9128284D Govt</stp>
        <stp>TICKER</stp>
        <stp>[TREASURY.xlsx]Sheet1!R202C2</stp>
        <tr r="B202" s="1"/>
      </tp>
      <tp t="s">
        <v>912828X70</v>
        <stp/>
        <stp>##V3_BDPV12</stp>
        <stp>912828X7 Govt</stp>
        <stp>ID_CUSIP</stp>
        <stp>[TREASURY.xlsx]Sheet1!R300C19</stp>
        <tr r="S300" s="1"/>
      </tp>
      <tp t="s">
        <v>912828Z78</v>
        <stp/>
        <stp>##V3_BDPV12</stp>
        <stp>912828Z7 Govt</stp>
        <stp>ID_CUSIP</stp>
        <stp>[TREASURY.xlsx]Sheet1!R169C19</stp>
        <tr r="S169" s="1"/>
      </tp>
      <tp t="s">
        <v>912828Y79</v>
        <stp/>
        <stp>##V3_BDPV12</stp>
        <stp>912828Y7 Govt</stp>
        <stp>ID_CUSIP</stp>
        <stp>[TREASURY.xlsx]Sheet1!R255C19</stp>
        <tr r="S255" s="1"/>
      </tp>
      <tp t="s">
        <v>912828Y61</v>
        <stp/>
        <stp>##V3_BDPV12</stp>
        <stp>912828Y6 Govt</stp>
        <stp>ID_CUSIP</stp>
        <stp>[TREASURY.xlsx]Sheet1!R297C19</stp>
        <tr r="S297" s="1"/>
      </tp>
      <tp t="s">
        <v>912828Y87</v>
        <stp/>
        <stp>##V3_BDPV12</stp>
        <stp>912828Y8 Govt</stp>
        <stp>ID_CUSIP</stp>
        <stp>[TREASURY.xlsx]Sheet1!R208C19</stp>
        <tr r="S208" s="1"/>
      </tp>
      <tp t="s">
        <v>912828ZE3</v>
        <stp/>
        <stp>##V3_BDPV12</stp>
        <stp>912828ZE Govt</stp>
        <stp>ID_CUSIP</stp>
        <stp>[TREASURY.xlsx]Sheet1!R112C19</stp>
        <tr r="S112" s="1"/>
      </tp>
      <tp t="s">
        <v>912828ZD5</v>
        <stp/>
        <stp>##V3_BDPV12</stp>
        <stp>912828ZD Govt</stp>
        <stp>ID_CUSIP</stp>
        <stp>[TREASURY.xlsx]Sheet1!R121C19</stp>
        <tr r="S121" s="1"/>
      </tp>
      <tp t="s">
        <v>912828XA3</v>
        <stp/>
        <stp>##V3_BDPV12</stp>
        <stp>912828XA Govt</stp>
        <stp>ID_CUSIP</stp>
        <stp>[TREASURY.xlsx]Sheet1!R377C19</stp>
        <tr r="S377" s="1"/>
      </tp>
      <tp t="s">
        <v>912828ZB9</v>
        <stp/>
        <stp>##V3_BDPV12</stp>
        <stp>912828ZB Govt</stp>
        <stp>ID_CUSIP</stp>
        <stp>[TREASURY.xlsx]Sheet1!R148C19</stp>
        <tr r="S148" s="1"/>
      </tp>
      <tp t="s">
        <v>912828RJ1</v>
        <stp/>
        <stp>##V3_BDPV12</stp>
        <stp>912828RJ Govt</stp>
        <stp>ID_CUSIP</stp>
        <stp>[TREASURY.xlsx]Sheet1!R993C19</stp>
        <tr r="S993" s="1"/>
      </tp>
      <tp t="s">
        <v>912828ZH6</v>
        <stp/>
        <stp>##V3_BDPV12</stp>
        <stp>912828ZH Govt</stp>
        <stp>ID_CUSIP</stp>
        <stp>[TREASURY.xlsx]Sheet1!R165C19</stp>
        <tr r="S165" s="1"/>
      </tp>
      <tp t="s">
        <v>912828ZN3</v>
        <stp/>
        <stp>##V3_BDPV12</stp>
        <stp>912828ZN Govt</stp>
        <stp>ID_CUSIP</stp>
        <stp>[TREASURY.xlsx]Sheet1!R117C19</stp>
        <tr r="S117" s="1"/>
      </tp>
      <tp t="s">
        <v>912828ZA1</v>
        <stp/>
        <stp>##V3_BDPV12</stp>
        <stp>912828ZA Govt</stp>
        <stp>ID_CUSIP</stp>
        <stp>[TREASURY.xlsx]Sheet1!R190C19</stp>
        <tr r="S190" s="1"/>
      </tp>
      <tp t="s">
        <v>912828ZM5</v>
        <stp/>
        <stp>##V3_BDPV12</stp>
        <stp>912828ZM Govt</stp>
        <stp>ID_CUSIP</stp>
        <stp>[TREASURY.xlsx]Sheet1!R175C19</stp>
        <tr r="S175" s="1"/>
      </tp>
      <tp t="s">
        <v>912828ZS2</v>
        <stp/>
        <stp>##V3_BDPV12</stp>
        <stp>912828ZS Govt</stp>
        <stp>ID_CUSIP</stp>
        <stp>[TREASURY.xlsx]Sheet1!R171C19</stp>
        <tr r="S171" s="1"/>
      </tp>
      <tp t="s">
        <v>912828ZP8</v>
        <stp/>
        <stp>##V3_BDPV12</stp>
        <stp>912828ZP Govt</stp>
        <stp>ID_CUSIP</stp>
        <stp>[TREASURY.xlsx]Sheet1!R153C19</stp>
        <tr r="S153" s="1"/>
      </tp>
      <tp t="s">
        <v>912828ZW3</v>
        <stp/>
        <stp>##V3_BDPV12</stp>
        <stp>912828ZW Govt</stp>
        <stp>ID_CUSIP</stp>
        <stp>[TREASURY.xlsx]Sheet1!R101C19</stp>
        <tr r="S101" s="1"/>
      </tp>
      <tp t="s">
        <v>912828ZR4</v>
        <stp/>
        <stp>##V3_BDPV12</stp>
        <stp>912828ZR Govt</stp>
        <stp>ID_CUSIP</stp>
        <stp>[TREASURY.xlsx]Sheet1!R136C19</stp>
        <tr r="S136" s="1"/>
      </tp>
      <tp t="s">
        <v>912828ZY9</v>
        <stp/>
        <stp>##V3_BDPV12</stp>
        <stp>912828ZY Govt</stp>
        <stp>ID_CUSIP</stp>
        <stp>[TREASURY.xlsx]Sheet1!R184C19</stp>
        <tr r="S184" s="1"/>
      </tp>
      <tp t="s">
        <v>912828ZU7</v>
        <stp/>
        <stp>##V3_BDPV12</stp>
        <stp>912828ZU Govt</stp>
        <stp>ID_CUSIP</stp>
        <stp>[TREASURY.xlsx]Sheet1!R162C19</stp>
        <tr r="S162" s="1"/>
      </tp>
      <tp t="s">
        <v>912828ZV5</v>
        <stp/>
        <stp>##V3_BDPV12</stp>
        <stp>912828ZV Govt</stp>
        <stp>ID_CUSIP</stp>
        <stp>[TREASURY.xlsx]Sheet1!R159C19</stp>
        <tr r="S159" s="1"/>
      </tp>
      <tp t="s">
        <v>912828SX9</v>
        <stp/>
        <stp>##V3_BDPV12</stp>
        <stp>912828SX Govt</stp>
        <stp>ID_CUSIP</stp>
        <stp>[TREASURY.xlsx]Sheet1!R870C19</stp>
        <tr r="S870" s="1"/>
      </tp>
      <tp t="s">
        <v>912828RQ5</v>
        <stp/>
        <stp>##V3_BDPV12</stp>
        <stp>912828RQ Govt</stp>
        <stp>ID_CUSIP</stp>
        <stp>[TREASURY.xlsx]Sheet1!R994C19</stp>
        <tr r="S994" s="1"/>
      </tp>
      <tp t="s">
        <v>912828ZX1</v>
        <stp/>
        <stp>##V3_BDPV12</stp>
        <stp>912828ZX Govt</stp>
        <stp>ID_CUSIP</stp>
        <stp>[TREASURY.xlsx]Sheet1!R111C19</stp>
        <tr r="S111" s="1"/>
      </tp>
      <tp t="s">
        <v>912828X47</v>
        <stp/>
        <stp>##V3_BDPV12</stp>
        <stp>912828X4 Govt</stp>
        <stp>ID_CUSIP</stp>
        <stp>[TREASURY.xlsx]Sheet1!R224C19</stp>
        <tr r="S224" s="1"/>
      </tp>
      <tp t="s">
        <v>T</v>
        <stp/>
        <stp>##V3_BDPV12</stp>
        <stp>9128275E Govt</stp>
        <stp>TICKER</stp>
        <stp>[TREASURY.xlsx]Sheet1!R553C2</stp>
        <tr r="B553" s="1"/>
      </tp>
      <tp t="s">
        <v>912828Y20</v>
        <stp/>
        <stp>##V3_BDPV12</stp>
        <stp>912828Y2 Govt</stp>
        <stp>ID_CUSIP</stp>
        <stp>[TREASURY.xlsx]Sheet1!R336C19</stp>
        <tr r="S336" s="1"/>
      </tp>
      <tp t="s">
        <v>912828RF9</v>
        <stp/>
        <stp>##V3_BDPV12</stp>
        <stp>912828RF Govt</stp>
        <stp>ID_CUSIP</stp>
        <stp>[TREASURY.xlsx]Sheet1!R828C19</stp>
        <tr r="S828" s="1"/>
      </tp>
      <tp t="s">
        <v>912828YC8</v>
        <stp/>
        <stp>##V3_BDPV12</stp>
        <stp>912828YC Govt</stp>
        <stp>ID_CUSIP</stp>
        <stp>[TREASURY.xlsx]Sheet1!R335C19</stp>
        <tr r="S335" s="1"/>
      </tp>
      <tp t="s">
        <v>912828RG7</v>
        <stp/>
        <stp>##V3_BDPV12</stp>
        <stp>912828RG Govt</stp>
        <stp>ID_CUSIP</stp>
        <stp>[TREASURY.xlsx]Sheet1!R869C19</stp>
        <tr r="S869" s="1"/>
      </tp>
      <tp t="s">
        <v>912828RE2</v>
        <stp/>
        <stp>##V3_BDPV12</stp>
        <stp>912828RE Govt</stp>
        <stp>ID_CUSIP</stp>
        <stp>[TREASURY.xlsx]Sheet1!R868C19</stp>
        <tr r="S868" s="1"/>
      </tp>
      <tp t="s">
        <v>912828XW5</v>
        <stp/>
        <stp>##V3_BDPV12</stp>
        <stp>912828XW Govt</stp>
        <stp>ID_CUSIP</stp>
        <stp>[TREASURY.xlsx]Sheet1!R217C19</stp>
        <tr r="S217" s="1"/>
      </tp>
      <tp t="s">
        <v>912828XQ8</v>
        <stp/>
        <stp>##V3_BDPV12</stp>
        <stp>912828XQ Govt</stp>
        <stp>ID_CUSIP</stp>
        <stp>[TREASURY.xlsx]Sheet1!R206C19</stp>
        <tr r="S206" s="1"/>
      </tp>
      <tp t="s">
        <v>912828XR6</v>
        <stp/>
        <stp>##V3_BDPV12</stp>
        <stp>912828XR Govt</stp>
        <stp>ID_CUSIP</stp>
        <stp>[TREASURY.xlsx]Sheet1!R203C19</stp>
        <tr r="S203" s="1"/>
      </tp>
      <tp t="s">
        <v>912828XX3</v>
        <stp/>
        <stp>##V3_BDPV12</stp>
        <stp>912828XX Govt</stp>
        <stp>ID_CUSIP</stp>
        <stp>[TREASURY.xlsx]Sheet1!R249C19</stp>
        <tr r="S249" s="1"/>
      </tp>
      <tp t="s">
        <v>912828XZ8</v>
        <stp/>
        <stp>##V3_BDPV12</stp>
        <stp>912828XZ Govt</stp>
        <stp>ID_CUSIP</stp>
        <stp>[TREASURY.xlsx]Sheet1!R279C19</stp>
        <tr r="S279" s="1"/>
      </tp>
      <tp t="s">
        <v>912828SP6</v>
        <stp/>
        <stp>##V3_BDPV12</stp>
        <stp>912828SP Govt</stp>
        <stp>ID_CUSIP</stp>
        <stp>[TREASURY.xlsx]Sheet1!R995C19</stp>
        <tr r="S995" s="1"/>
      </tp>
      <tp t="s">
        <v>912828SS0</v>
        <stp/>
        <stp>##V3_BDPV12</stp>
        <stp>912828SS Govt</stp>
        <stp>ID_CUSIP</stp>
        <stp>[TREASURY.xlsx]Sheet1!R996C19</stp>
        <tr r="S996" s="1"/>
      </tp>
      <tp t="s">
        <v>912828U40</v>
        <stp/>
        <stp>##V3_BDPV12</stp>
        <stp>912828U4 Govt</stp>
        <stp>ID_CUSIP</stp>
        <stp>[TREASURY.xlsx]Sheet1!R876C19</stp>
        <tr r="S876" s="1"/>
      </tp>
      <tp t="s">
        <v>912828XM7</v>
        <stp/>
        <stp>##V3_BDPV12</stp>
        <stp>912828XM Govt</stp>
        <stp>ID_CUSIP</stp>
        <stp>[TREASURY.xlsx]Sheet1!R536C19</stp>
        <tr r="S536" s="1"/>
      </tp>
      <tp t="s">
        <v>912828TF7</v>
        <stp/>
        <stp>##V3_BDPV12</stp>
        <stp>912828TF Govt</stp>
        <stp>ID_CUSIP</stp>
        <stp>[TREASURY.xlsx]Sheet1!R997C19</stp>
        <tr r="S997" s="1"/>
      </tp>
      <tp t="s">
        <v>912828XP0</v>
        <stp/>
        <stp>##V3_BDPV12</stp>
        <stp>912828XP Govt</stp>
        <stp>ID_CUSIP</stp>
        <stp>[TREASURY.xlsx]Sheet1!R588C19</stp>
        <tr r="S588" s="1"/>
      </tp>
      <tp t="s">
        <v>912828TP5</v>
        <stp/>
        <stp>##V3_BDPV12</stp>
        <stp>912828TP Govt</stp>
        <stp>ID_CUSIP</stp>
        <stp>[TREASURY.xlsx]Sheet1!R998C19</stp>
        <tr r="S998" s="1"/>
      </tp>
      <tp t="s">
        <v>912828T42</v>
        <stp/>
        <stp>##V3_BDPV12</stp>
        <stp>912828T4 Govt</stp>
        <stp>ID_CUSIP</stp>
        <stp>[TREASURY.xlsx]Sheet1!R871C19</stp>
        <tr r="S871" s="1"/>
      </tp>
      <tp t="s">
        <v>912828Y46</v>
        <stp/>
        <stp>##V3_BDPV12</stp>
        <stp>912828Y4 Govt</stp>
        <stp>ID_CUSIP</stp>
        <stp>[TREASURY.xlsx]Sheet1!R589C19</stp>
        <tr r="S589" s="1"/>
      </tp>
      <tp t="s">
        <v>912828XE5</v>
        <stp/>
        <stp>##V3_BDPV12</stp>
        <stp>912828XE Govt</stp>
        <stp>ID_CUSIP</stp>
        <stp>[TREASURY.xlsx]Sheet1!R448C19</stp>
        <tr r="S448" s="1"/>
      </tp>
      <tp t="s">
        <v>912828TD2</v>
        <stp/>
        <stp>##V3_BDPV12</stp>
        <stp>912828TD Govt</stp>
        <stp>ID_CUSIP</stp>
        <stp>[TREASURY.xlsx]Sheet1!R872C19</stp>
        <tr r="S872" s="1"/>
      </tp>
      <tp t="s">
        <v>912828UJ7</v>
        <stp/>
        <stp>##V3_BDPV12</stp>
        <stp>912828UJ Govt</stp>
        <stp>ID_CUSIP</stp>
        <stp>[TREASURY.xlsx]Sheet1!R999C19</stp>
        <tr r="S999" s="1"/>
      </tp>
      <tp t="s">
        <v>912828XH8</v>
        <stp/>
        <stp>##V3_BDPV12</stp>
        <stp>912828XH Govt</stp>
        <stp>ID_CUSIP</stp>
        <stp>[TREASURY.xlsx]Sheet1!R468C19</stp>
        <tr r="S468" s="1"/>
      </tp>
      <tp t="s">
        <v>912828TM2</v>
        <stp/>
        <stp>##V3_BDPV12</stp>
        <stp>912828TM Govt</stp>
        <stp>ID_CUSIP</stp>
        <stp>[TREASURY.xlsx]Sheet1!R873C19</stp>
        <tr r="S873" s="1"/>
      </tp>
      <tp t="s">
        <v>912828TQ3</v>
        <stp/>
        <stp>##V3_BDPV12</stp>
        <stp>912828TQ Govt</stp>
        <stp>ID_CUSIP</stp>
        <stp>[TREASURY.xlsx]Sheet1!R874C19</stp>
        <tr r="S874" s="1"/>
      </tp>
      <tp t="s">
        <v>912828TZ3</v>
        <stp/>
        <stp>##V3_BDPV12</stp>
        <stp>912828TZ Govt</stp>
        <stp>ID_CUSIP</stp>
        <stp>[TREASURY.xlsx]Sheet1!R875C19</stp>
        <tr r="S875" s="1"/>
      </tp>
      <tp t="s">
        <v>912828XY1</v>
        <stp/>
        <stp>##V3_BDPV12</stp>
        <stp>912828XY Govt</stp>
        <stp>ID_CUSIP</stp>
        <stp>[TREASURY.xlsx]Sheet1!R473C19</stp>
        <tr r="S473" s="1"/>
      </tp>
      <tp t="s">
        <v>912828WX4</v>
        <stp/>
        <stp>##V3_BDPV12</stp>
        <stp>912828WX Govt</stp>
        <stp>ID_CUSIP</stp>
        <stp>[TREASURY.xlsx]Sheet1!R881C19</stp>
        <tr r="S881" s="1"/>
      </tp>
      <tp t="s">
        <v>912828V31</v>
        <stp/>
        <stp>##V3_BDPV12</stp>
        <stp>912828V3 Govt</stp>
        <stp>ID_CUSIP</stp>
        <stp>[TREASURY.xlsx]Sheet1!R877C19</stp>
        <tr r="S877" s="1"/>
      </tp>
      <tp t="s">
        <v>T</v>
        <stp/>
        <stp>##V3_BDPV12</stp>
        <stp>9128285A Govt</stp>
        <stp>TICKER</stp>
        <stp>[TREASURY.xlsx]Sheet1!R283C2</stp>
        <tr r="B283" s="1"/>
      </tp>
      <tp t="s">
        <v>912828X21</v>
        <stp/>
        <stp>##V3_BDPV12</stp>
        <stp>912828X2 Govt</stp>
        <stp>ID_CUSIP</stp>
        <stp>[TREASURY.xlsx]Sheet1!R624C19</stp>
        <tr r="S624" s="1"/>
      </tp>
      <tp t="s">
        <v>912828XK1</v>
        <stp/>
        <stp>##V3_BDPV12</stp>
        <stp>912828XK Govt</stp>
        <stp>ID_CUSIP</stp>
        <stp>[TREASURY.xlsx]Sheet1!R625C19</stp>
        <tr r="S625" s="1"/>
      </tp>
      <tp t="s">
        <v>912828VN7</v>
        <stp/>
        <stp>##V3_BDPV12</stp>
        <stp>912828VN Govt</stp>
        <stp>ID_CUSIP</stp>
        <stp>[TREASURY.xlsx]Sheet1!R879C19</stp>
        <tr r="S879" s="1"/>
      </tp>
      <tp t="s">
        <v>912828VL1</v>
        <stp/>
        <stp>##V3_BDPV12</stp>
        <stp>912828VL Govt</stp>
        <stp>ID_CUSIP</stp>
        <stp>[TREASURY.xlsx]Sheet1!R878C19</stp>
        <tr r="S878" s="1"/>
      </tp>
      <tp t="s">
        <v>912828XU9</v>
        <stp/>
        <stp>##V3_BDPV12</stp>
        <stp>912828XU Govt</stp>
        <stp>ID_CUSIP</stp>
        <stp>[TREASURY.xlsx]Sheet1!R639C19</stp>
        <tr r="S639" s="1"/>
      </tp>
      <tp t="s">
        <v>912828VQ0</v>
        <stp/>
        <stp>##V3_BDPV12</stp>
        <stp>912828VQ Govt</stp>
        <stp>ID_CUSIP</stp>
        <stp>[TREASURY.xlsx]Sheet1!R880C19</stp>
        <tr r="S880" s="1"/>
      </tp>
      <tp t="s">
        <v>USD</v>
        <stp/>
        <stp>##V3_BDPV12</stp>
        <stp>9128275R Govt</stp>
        <stp>CRNCY</stp>
        <stp>[TREASURY.xlsx]Sheet1!R1018C7</stp>
        <tr r="G1018" s="1"/>
      </tp>
      <tp t="s">
        <v>T</v>
        <stp/>
        <stp>##V3_BDPV12</stp>
        <stp>912828G2 Govt</stp>
        <stp>TICKER</stp>
        <stp>[TREASURY.xlsx]Sheet1!R1280C2</stp>
        <tr r="B1280" s="1"/>
      </tp>
      <tp t="s">
        <v>T</v>
        <stp/>
        <stp>##V3_BDPV12</stp>
        <stp>912827F7 Govt</stp>
        <stp>TICKER</stp>
        <stp>[TREASURY.xlsx]Sheet1!R1315C2</stp>
        <tr r="B1315" s="1"/>
      </tp>
      <tp t="s">
        <v>T</v>
        <stp/>
        <stp>##V3_BDPV12</stp>
        <stp>912827P5 Govt</stp>
        <stp>TICKER</stp>
        <stp>[TREASURY.xlsx]Sheet1!R1337C2</stp>
        <tr r="B1337" s="1"/>
      </tp>
      <tp t="s">
        <v>T</v>
        <stp/>
        <stp>##V3_BDPV12</stp>
        <stp>912827U5 Govt</stp>
        <stp>TICKER</stp>
        <stp>[TREASURY.xlsx]Sheet1!R1197C2</stp>
        <tr r="B1197" s="1"/>
      </tp>
      <tp t="s">
        <v>T</v>
        <stp/>
        <stp>##V3_BDPV12</stp>
        <stp>912827V6 Govt</stp>
        <stp>TICKER</stp>
        <stp>[TREASURY.xlsx]Sheet1!R1084C2</stp>
        <tr r="B1084" s="1"/>
      </tp>
      <tp t="s">
        <v>T</v>
        <stp/>
        <stp>##V3_BDPV12</stp>
        <stp>912827X7 Govt</stp>
        <stp>TICKER</stp>
        <stp>[TREASURY.xlsx]Sheet1!R1095C2</stp>
        <tr r="B1095" s="1"/>
      </tp>
      <tp t="s">
        <v>T</v>
        <stp/>
        <stp>##V3_BDPV12</stp>
        <stp>912827Y3 Govt</stp>
        <stp>TICKER</stp>
        <stp>[TREASURY.xlsx]Sheet1!R1601C2</stp>
        <tr r="B1601" s="1"/>
      </tp>
      <tp t="s">
        <v>T</v>
        <stp/>
        <stp>##V3_BDPV12</stp>
        <stp>912827L7 Govt</stp>
        <stp>TICKER</stp>
        <stp>[TREASURY.xlsx]Sheet1!R1565C2</stp>
        <tr r="B1565" s="1"/>
      </tp>
      <tp t="s">
        <v>T</v>
        <stp/>
        <stp>##V3_BDPV12</stp>
        <stp>912827C6 Govt</stp>
        <stp>TICKER</stp>
        <stp>[TREASURY.xlsx]Sheet1!R1554C2</stp>
        <tr r="B1554" s="1"/>
      </tp>
      <tp t="s">
        <v>T</v>
        <stp/>
        <stp>##V3_BDPV12</stp>
        <stp>912827C7 Govt</stp>
        <stp>TICKER</stp>
        <stp>[TREASURY.xlsx]Sheet1!R1555C2</stp>
        <tr r="B1555" s="1"/>
      </tp>
      <tp t="s">
        <v>T</v>
        <stp/>
        <stp>##V3_BDPV12</stp>
        <stp>912827V3 Govt</stp>
        <stp>TICKER</stp>
        <stp>[TREASURY.xlsx]Sheet1!R1591C2</stp>
        <tr r="B1591" s="1"/>
      </tp>
      <tp t="s">
        <v>T</v>
        <stp/>
        <stp>##V3_BDPV12</stp>
        <stp>912827B4 Govt</stp>
        <stp>TICKER</stp>
        <stp>[TREASURY.xlsx]Sheet1!R1476C2</stp>
        <tr r="B1476" s="1"/>
      </tp>
      <tp t="s">
        <v>T</v>
        <stp/>
        <stp>##V3_BDPV12</stp>
        <stp>912827B5 Govt</stp>
        <stp>TICKER</stp>
        <stp>[TREASURY.xlsx]Sheet1!R1477C2</stp>
        <tr r="B1477" s="1"/>
      </tp>
      <tp t="s">
        <v>T</v>
        <stp/>
        <stp>##V3_BDPV12</stp>
        <stp>912827A6 Govt</stp>
        <stp>TICKER</stp>
        <stp>[TREASURY.xlsx]Sheet1!R1474C2</stp>
        <tr r="B1474" s="1"/>
      </tp>
      <tp t="s">
        <v>#N/A Field Not Applicable</v>
        <stp/>
        <stp>##V3_BDPV12</stp>
        <stp>912827G9 Govt</stp>
        <stp>IDX_RATIO</stp>
        <stp>[TREASURY.xlsx]Sheet1!R1486C20</stp>
        <tr r="T1486" s="1"/>
      </tp>
      <tp t="s">
        <v>#N/A Field Not Applicable</v>
        <stp/>
        <stp>##V3_BDPV12</stp>
        <stp>912827R9 Govt</stp>
        <stp>IDX_RATIO</stp>
        <stp>[TREASURY.xlsx]Sheet1!R1578C20</stp>
        <tr r="T1578" s="1"/>
      </tp>
      <tp t="s">
        <v>#N/A Field Not Applicable</v>
        <stp/>
        <stp>##V3_BDPV12</stp>
        <stp>912827Q9 Govt</stp>
        <stp>IDX_RATIO</stp>
        <stp>[TREASURY.xlsx]Sheet1!R1573C20</stp>
        <tr r="T1573" s="1"/>
      </tp>
      <tp t="s">
        <v>#N/A Field Not Applicable</v>
        <stp/>
        <stp>##V3_BDPV12</stp>
        <stp>912827C9 Govt</stp>
        <stp>IDX_RATIO</stp>
        <stp>[TREASURY.xlsx]Sheet1!R1556C20</stp>
        <tr r="T1556" s="1"/>
      </tp>
      <tp t="s">
        <v>#N/A Field Not Applicable</v>
        <stp/>
        <stp>##V3_BDPV12</stp>
        <stp>912827B9 Govt</stp>
        <stp>IDX_RATIO</stp>
        <stp>[TREASURY.xlsx]Sheet1!R1552C20</stp>
        <tr r="T1552" s="1"/>
      </tp>
      <tp t="s">
        <v>#N/A Field Not Applicable</v>
        <stp/>
        <stp>##V3_BDPV12</stp>
        <stp>912827A9 Govt</stp>
        <stp>IDX_RATIO</stp>
        <stp>[TREASURY.xlsx]Sheet1!R1548C20</stp>
        <tr r="T1548" s="1"/>
      </tp>
      <tp t="s">
        <v>#N/A Field Not Applicable</v>
        <stp/>
        <stp>##V3_BDPV12</stp>
        <stp>912827T9 Govt</stp>
        <stp>IDX_RATIO</stp>
        <stp>[TREASURY.xlsx]Sheet1!R1505C20</stp>
        <tr r="T1505" s="1"/>
      </tp>
      <tp t="s">
        <v>#N/A Field Not Applicable</v>
        <stp/>
        <stp>##V3_BDPV12</stp>
        <stp>912828H9 Govt</stp>
        <stp>IDX_RATIO</stp>
        <stp>[TREASURY.xlsx]Sheet1!R1243C20</stp>
        <tr r="T1243" s="1"/>
      </tp>
      <tp t="s">
        <v>#N/A Field Not Applicable</v>
        <stp/>
        <stp>##V3_BDPV12</stp>
        <stp>912827J9 Govt</stp>
        <stp>IDX_RATIO</stp>
        <stp>[TREASURY.xlsx]Sheet1!R1376C20</stp>
        <tr r="T1376" s="1"/>
      </tp>
      <tp t="s">
        <v>#N/A Field Not Applicable</v>
        <stp/>
        <stp>##V3_BDPV12</stp>
        <stp>912827H9 Govt</stp>
        <stp>IDX_RATIO</stp>
        <stp>[TREASURY.xlsx]Sheet1!R1375C20</stp>
        <tr r="T1375" s="1"/>
      </tp>
      <tp t="s">
        <v>#N/A Field Not Applicable</v>
        <stp/>
        <stp>##V3_BDPV12</stp>
        <stp>912827E9 Govt</stp>
        <stp>IDX_RATIO</stp>
        <stp>[TREASURY.xlsx]Sheet1!R1372C20</stp>
        <tr r="T1372" s="1"/>
      </tp>
      <tp t="s">
        <v>#N/A Field Not Applicable</v>
        <stp/>
        <stp>##V3_BDPV12</stp>
        <stp>912827N9 Govt</stp>
        <stp>IDX_RATIO</stp>
        <stp>[TREASURY.xlsx]Sheet1!R1330C20</stp>
        <tr r="T1330" s="1"/>
      </tp>
      <tp t="s">
        <v>#N/A Field Not Applicable</v>
        <stp/>
        <stp>##V3_BDPV12</stp>
        <stp>912827P9 Govt</stp>
        <stp>IDX_RATIO</stp>
        <stp>[TREASURY.xlsx]Sheet1!R1339C20</stp>
        <tr r="T1339" s="1"/>
      </tp>
      <tp t="s">
        <v>USD</v>
        <stp/>
        <stp>##V3_BDPV12</stp>
        <stp>9128274D Govt</stp>
        <stp>CRNCY</stp>
        <stp>[TREASURY.xlsx]Sheet1!R1459C7</stp>
        <tr r="G1459" s="1"/>
      </tp>
      <tp t="s">
        <v>#N/A Field Not Applicable</v>
        <stp/>
        <stp>##V3_BDPV12</stp>
        <stp>912827K9 Govt</stp>
        <stp>IDX_RATIO</stp>
        <stp>[TREASURY.xlsx]Sheet1!R1160C20</stp>
        <tr r="T1160" s="1"/>
      </tp>
      <tp t="s">
        <v>#N/A Field Not Applicable</v>
        <stp/>
        <stp>##V3_BDPV12</stp>
        <stp>912827M9 Govt</stp>
        <stp>IDX_RATIO</stp>
        <stp>[TREASURY.xlsx]Sheet1!R1166C20</stp>
        <tr r="T1166" s="1"/>
      </tp>
      <tp t="s">
        <v>#N/A Field Not Applicable</v>
        <stp/>
        <stp>##V3_BDPV12</stp>
        <stp>912827F9 Govt</stp>
        <stp>IDX_RATIO</stp>
        <stp>[TREASURY.xlsx]Sheet1!R1155C20</stp>
        <tr r="T1155" s="1"/>
      </tp>
      <tp t="s">
        <v>11/30/1997</v>
        <stp/>
        <stp>##V3_BDPV12</stp>
        <stp>9128272W Govt</stp>
        <stp>FIRST_CPN_DT</stp>
        <stp>[TREASURY.xlsx]Sheet1!R1523C9</stp>
        <tr r="I1523" s="1"/>
      </tp>
      <tp t="s">
        <v>10/31/1997</v>
        <stp/>
        <stp>##V3_BDPV12</stp>
        <stp>9128272R Govt</stp>
        <stp>FIRST_CPN_DT</stp>
        <stp>[TREASURY.xlsx]Sheet1!R1453C9</stp>
        <tr r="I1453" s="1"/>
      </tp>
      <tp t="s">
        <v>1/31/1998</v>
        <stp/>
        <stp>##V3_BDPV12</stp>
        <stp>9128273B Govt</stp>
        <stp>FIRST_CPN_DT</stp>
        <stp>[TREASURY.xlsx]Sheet1!R1353C9</stp>
        <tr r="I1353" s="1"/>
      </tp>
      <tp t="s">
        <v>2/28/2001</v>
        <stp/>
        <stp>##V3_BDPV12</stp>
        <stp>9128276K Govt</stp>
        <stp>FIRST_CPN_DT</stp>
        <stp>[TREASURY.xlsx]Sheet1!R1023C9</stp>
        <tr r="I1023" s="1"/>
      </tp>
      <tp t="s">
        <v>1/31/2002</v>
        <stp/>
        <stp>##V3_BDPV12</stp>
        <stp>9128277A Govt</stp>
        <stp>FIRST_CPN_DT</stp>
        <stp>[TREASURY.xlsx]Sheet1!R1543C9</stp>
        <tr r="I1543" s="1"/>
      </tp>
      <tp t="s">
        <v>5/15/1999</v>
        <stp/>
        <stp>##V3_BDPV12</stp>
        <stp>9128274V Govt</stp>
        <stp>FIRST_CPN_DT</stp>
        <stp>[TREASURY.xlsx]Sheet1!R1533C9</stp>
        <tr r="I1533" s="1"/>
      </tp>
      <tp t="s">
        <v>11/15/1998</v>
        <stp/>
        <stp>##V3_BDPV12</stp>
        <stp>9128274E Govt</stp>
        <stp>FIRST_CPN_DT</stp>
        <stp>[TREASURY.xlsx]Sheet1!R1363C9</stp>
        <tr r="I1363" s="1"/>
      </tp>
      <tp t="s">
        <v>9/30/1999</v>
        <stp/>
        <stp>##V3_BDPV12</stp>
        <stp>9128275D Govt</stp>
        <stp>FIRST_CPN_DT</stp>
        <stp>[TREASURY.xlsx]Sheet1!R1013C9</stp>
        <tr r="I1013" s="1"/>
      </tp>
      <tp t="s">
        <v>8/15/1999</v>
        <stp/>
        <stp>##V3_BDPV12</stp>
        <stp>9128275A Govt</stp>
        <stp>FIRST_CPN_DT</stp>
        <stp>[TREASURY.xlsx]Sheet1!R1463C9</stp>
        <tr r="I1463" s="1"/>
      </tp>
      <tp>
        <v>0.625</v>
        <stp/>
        <stp>##V3_BDPV12</stp>
        <stp>91282CBB Govt</stp>
        <stp>CPN</stp>
        <stp>[TREASURY.xlsx]Sheet1!R114C3</stp>
        <tr r="C114" s="1"/>
      </tp>
      <tp>
        <v>0.375</v>
        <stp/>
        <stp>##V3_BDPV12</stp>
        <stp>91282CAD Govt</stp>
        <stp>CPN</stp>
        <stp>[TREASURY.xlsx]Sheet1!R132C3</stp>
        <tr r="C132" s="1"/>
      </tp>
      <tp>
        <v>2.125</v>
        <stp/>
        <stp>##V3_BDPV12</stp>
        <stp>9128282N Govt</stp>
        <stp>CPN</stp>
        <stp>[TREASURY.xlsx]Sheet1!R258C3</stp>
        <tr r="C258" s="1"/>
      </tp>
      <tp>
        <v>3</v>
        <stp/>
        <stp>##V3_BDPV12</stp>
        <stp>9128285C Govt</stp>
        <stp>CPN</stp>
        <stp>[TREASURY.xlsx]Sheet1!R205C3</stp>
        <tr r="C205" s="1"/>
      </tp>
      <tp>
        <v>2.5</v>
        <stp/>
        <stp>##V3_BDPV12</stp>
        <stp>9128284D Govt</stp>
        <stp>CPN</stp>
        <stp>[TREASURY.xlsx]Sheet1!R202C3</stp>
        <tr r="C202" s="1"/>
      </tp>
      <tp>
        <v>2.625</v>
        <stp/>
        <stp>##V3_BDPV12</stp>
        <stp>912828CC Govt</stp>
        <stp>CPN</stp>
        <stp>[TREASURY.xlsx]Sheet1!R325C3</stp>
        <tr r="C325" s="1"/>
      </tp>
      <tp>
        <v>4</v>
        <stp/>
        <stp>##V3_BDPV12</stp>
        <stp>912828CA Govt</stp>
        <stp>CPN</stp>
        <stp>[TREASURY.xlsx]Sheet1!R337C3</stp>
        <tr r="C337" s="1"/>
      </tp>
      <tp>
        <v>2.625</v>
        <stp/>
        <stp>##V3_BDPV12</stp>
        <stp>912828PC Govt</stp>
        <stp>CPN</stp>
        <stp>[TREASURY.xlsx]Sheet1!R365C3</stp>
        <tr r="C365" s="1"/>
      </tp>
      <tp>
        <v>2</v>
        <stp/>
        <stp>##V3_BDPV12</stp>
        <stp>912828WN Govt</stp>
        <stp>CPN</stp>
        <stp>[TREASURY.xlsx]Sheet1!R338C3</stp>
        <tr r="C338" s="1"/>
      </tp>
      <tp>
        <v>1</v>
        <stp/>
        <stp>##V3_BDPV12</stp>
        <stp>912828XA Govt</stp>
        <stp>CPN</stp>
        <stp>[TREASURY.xlsx]Sheet1!R377C3</stp>
        <tr r="C377" s="1"/>
      </tp>
      <tp>
        <v>0.625</v>
        <stp/>
        <stp>##V3_BDPV12</stp>
        <stp>912828UA Govt</stp>
        <stp>CPN</stp>
        <stp>[TREASURY.xlsx]Sheet1!R387C3</stp>
        <tr r="C387" s="1"/>
      </tp>
      <tp>
        <v>1</v>
        <stp/>
        <stp>##V3_BDPV12</stp>
        <stp>912828TC Govt</stp>
        <stp>CPN</stp>
        <stp>[TREASURY.xlsx]Sheet1!R385C3</stp>
        <tr r="C385" s="1"/>
      </tp>
      <tp>
        <v>1.5</v>
        <stp/>
        <stp>##V3_BDPV12</stp>
        <stp>912828YC Govt</stp>
        <stp>CPN</stp>
        <stp>[TREASURY.xlsx]Sheet1!R335C3</stp>
        <tr r="C335" s="1"/>
      </tp>
      <tp>
        <v>1.25</v>
        <stp/>
        <stp>##V3_BDPV12</stp>
        <stp>912828YE Govt</stp>
        <stp>CPN</stp>
        <stp>[TREASURY.xlsx]Sheet1!R143C3</stp>
        <tr r="C143" s="1"/>
      </tp>
      <tp>
        <v>2.0686883595578971</v>
        <stp/>
        <stp>##V3_BDPV12</stp>
        <stp>912810SE Govt</stp>
        <stp>YLD_YTM_BID</stp>
        <stp>[TREASURY.xlsx]Sheet1!R152C4</stp>
        <tr r="D152" s="1"/>
      </tp>
      <tp>
        <v>2.0827657920308109</v>
        <stp/>
        <stp>##V3_BDPV12</stp>
        <stp>912810SA Govt</stp>
        <stp>YLD_YTM_BID</stp>
        <stp>[TREASURY.xlsx]Sheet1!R146C4</stp>
        <tr r="D146" s="1"/>
      </tp>
      <tp>
        <v>0.375</v>
        <stp/>
        <stp>##V3_BDPV12</stp>
        <stp>912828RA Govt</stp>
        <stp>CPN</stp>
        <stp>[TREASURY.xlsx]Sheet1!R677C3</stp>
        <tr r="C677" s="1"/>
      </tp>
      <tp>
        <v>1</v>
        <stp/>
        <stp>##V3_BDPV12</stp>
        <stp>912828VE Govt</stp>
        <stp>CPN</stp>
        <stp>[TREASURY.xlsx]Sheet1!R673C3</stp>
        <tr r="C673" s="1"/>
      </tp>
      <tp>
        <v>1.25</v>
        <stp/>
        <stp>##V3_BDPV12</stp>
        <stp>912828WD Govt</stp>
        <stp>CPN</stp>
        <stp>[TREASURY.xlsx]Sheet1!R682C3</stp>
        <tr r="C682" s="1"/>
      </tp>
      <tp>
        <v>0.625</v>
        <stp/>
        <stp>##V3_BDPV12</stp>
        <stp>912828WF Govt</stp>
        <stp>CPN</stp>
        <stp>[TREASURY.xlsx]Sheet1!R680C3</stp>
        <tr r="C680" s="1"/>
      </tp>
      <tp>
        <v>7.875</v>
        <stp/>
        <stp>##V3_BDPV12</stp>
        <stp>912827YE Govt</stp>
        <stp>CPN</stp>
        <stp>[TREASURY.xlsx]Sheet1!R943C3</stp>
        <tr r="C943" s="1"/>
      </tp>
      <tp>
        <v>11.75</v>
        <stp/>
        <stp>##V3_BDPV12</stp>
        <stp>912827LA Govt</stp>
        <stp>CPN</stp>
        <stp>[TREASURY.xlsx]Sheet1!R887C3</stp>
        <tr r="C887" s="1"/>
      </tp>
      <tp>
        <v>0.25303506857780456</v>
        <stp/>
        <stp>##V3_BDPV12</stp>
        <stp>912810EN Govt</stp>
        <stp>YLD_YTM_BID</stp>
        <stp>[TREASURY.xlsx]Sheet1!R319C4</stp>
        <tr r="D319" s="1"/>
      </tp>
      <tp>
        <v>3.25</v>
        <stp/>
        <stp>##V3_BDPV12</stp>
        <stp>912828AD Govt</stp>
        <stp>CPN</stp>
        <stp>[TREASURY.xlsx]Sheet1!R412C3</stp>
        <tr r="C412" s="1"/>
      </tp>
      <tp>
        <v>1.8748951988516578</v>
        <stp/>
        <stp>##V3_BDPV12</stp>
        <stp>912810QE Govt</stp>
        <stp>YLD_YTM_BID</stp>
        <stp>[TREASURY.xlsx]Sheet1!R302C4</stp>
        <tr r="D302" s="1"/>
      </tp>
      <tp>
        <v>0.25</v>
        <stp/>
        <stp>##V3_BDPV12</stp>
        <stp>912828SB Govt</stp>
        <stp>CPN</stp>
        <stp>[TREASURY.xlsx]Sheet1!R564C3</stp>
        <tr r="C564" s="1"/>
      </tp>
      <tp>
        <v>2.25</v>
        <stp/>
        <stp>##V3_BDPV12</stp>
        <stp>9128284C Govt</stp>
        <stp>CPN</stp>
        <stp>[TREASURY.xlsx]Sheet1!R505C3</stp>
        <tr r="C505" s="1"/>
      </tp>
      <tp>
        <v>5</v>
        <stp/>
        <stp>##V3_BDPV12</stp>
        <stp>9128275E Govt</stp>
        <stp>CPN</stp>
        <stp>[TREASURY.xlsx]Sheet1!R553C3</stp>
        <tr r="C553" s="1"/>
      </tp>
      <tp>
        <v>3</v>
        <stp/>
        <stp>##V3_BDPV12</stp>
        <stp>912828DF Govt</stp>
        <stp>CPN</stp>
        <stp>[TREASURY.xlsx]Sheet1!R840C3</stp>
        <tr r="C840" s="1"/>
      </tp>
      <tp>
        <v>12.375</v>
        <stp/>
        <stp>##V3_BDPV12</stp>
        <stp>912827RB Govt</stp>
        <stp>CPN</stp>
        <stp>[TREASURY.xlsx]Sheet1!R744C3</stp>
        <tr r="C744" s="1"/>
      </tp>
      <tp>
        <v>0.25</v>
        <stp/>
        <stp>##V3_BDPV12</stp>
        <stp>912828TD Govt</stp>
        <stp>CPN</stp>
        <stp>[TREASURY.xlsx]Sheet1!R872C3</stp>
        <tr r="C872" s="1"/>
      </tp>
      <tp>
        <v>8.375</v>
        <stp/>
        <stp>##V3_BDPV12</stp>
        <stp>912827VG Govt</stp>
        <stp>CPN</stp>
        <stp>[TREASURY.xlsx]Sheet1!R761C3</stp>
        <tr r="C761" s="1"/>
      </tp>
      <tp>
        <v>3.625</v>
        <stp/>
        <stp>##V3_BDPV12</stp>
        <stp>912828HF Govt</stp>
        <stp>CPN</stp>
        <stp>[TREASURY.xlsx]Sheet1!R970C3</stp>
        <tr r="C970" s="1"/>
      </tp>
      <tp>
        <v>5</v>
        <stp/>
        <stp>##V3_BDPV12</stp>
        <stp>9128277B Govt</stp>
        <stp>CPN</stp>
        <stp>[TREASURY.xlsx]Sheet1!R354C3</stp>
        <tr r="C354" s="1"/>
      </tp>
      <tp t="s">
        <v>#N/A N/A</v>
        <stp/>
        <stp>##V3_BDPV12</stp>
        <stp>912828QG Govt</stp>
        <stp>YLD_YTM_BID</stp>
        <stp>[TREASURY.xlsx]Sheet1!R990C4</stp>
        <tr r="D990" s="1"/>
      </tp>
      <tp t="s">
        <v>#N/A N/A</v>
        <stp/>
        <stp>##V3_BDPV12</stp>
        <stp>912828KA Govt</stp>
        <stp>YLD_YTM_BID</stp>
        <stp>[TREASURY.xlsx]Sheet1!R856C4</stp>
        <tr r="D856" s="1"/>
      </tp>
      <tp t="s">
        <v>#N/A N/A</v>
        <stp/>
        <stp>##V3_BDPV12</stp>
        <stp>912828MG Govt</stp>
        <stp>YLD_YTM_BID</stp>
        <stp>[TREASURY.xlsx]Sheet1!R860C4</stp>
        <tr r="D860" s="1"/>
      </tp>
      <tp t="s">
        <v>#N/A N/A</v>
        <stp/>
        <stp>##V3_BDPV12</stp>
        <stp>912827UC Govt</stp>
        <stp>YLD_YTM_BID</stp>
        <stp>[TREASURY.xlsx]Sheet1!R754C4</stp>
        <tr r="D754" s="1"/>
      </tp>
      <tp t="s">
        <v>#N/A N/A</v>
        <stp/>
        <stp>##V3_BDPV12</stp>
        <stp>912828VN Govt</stp>
        <stp>YLD_YTM_BID</stp>
        <stp>[TREASURY.xlsx]Sheet1!R879C4</stp>
        <tr r="D879" s="1"/>
      </tp>
      <tp t="s">
        <v>#N/A N/A</v>
        <stp/>
        <stp>##V3_BDPV12</stp>
        <stp>912827KN Govt</stp>
        <stp>YLD_YTM_BID</stp>
        <stp>[TREASURY.xlsx]Sheet1!R569C4</stp>
        <tr r="D569" s="1"/>
      </tp>
      <tp>
        <v>5.5</v>
        <stp/>
        <stp>##V3_BDPV12</stp>
        <stp>912810FE Govt</stp>
        <stp>CPN</stp>
        <stp>[TREASURY.xlsx]Sheet1!R253C3</stp>
        <tr r="C253" s="1"/>
      </tp>
      <tp t="s">
        <v>#N/A N/A</v>
        <stp/>
        <stp>##V3_BDPV12</stp>
        <stp>912828KE Govt</stp>
        <stp>YLD_YTM_BID</stp>
        <stp>[TREASURY.xlsx]Sheet1!R582C4</stp>
        <tr r="D582" s="1"/>
      </tp>
      <tp>
        <v>4.25</v>
        <stp/>
        <stp>##V3_BDPV12</stp>
        <stp>912810QB Govt</stp>
        <stp>CPN</stp>
        <stp>[TREASURY.xlsx]Sheet1!R274C3</stp>
        <tr r="C274" s="1"/>
      </tp>
      <tp t="s">
        <v>#N/A N/A</v>
        <stp/>
        <stp>##V3_BDPV12</stp>
        <stp>912828AA Govt</stp>
        <stp>YLD_YTM_BID</stp>
        <stp>[TREASURY.xlsx]Sheet1!R426C4</stp>
        <tr r="D426" s="1"/>
      </tp>
      <tp t="s">
        <v>#N/A N/A</v>
        <stp/>
        <stp>##V3_BDPV12</stp>
        <stp>912828EC Govt</stp>
        <stp>YLD_YTM_BID</stp>
        <stp>[TREASURY.xlsx]Sheet1!R794C4</stp>
        <tr r="D794" s="1"/>
      </tp>
      <tp t="s">
        <v>#N/A N/A</v>
        <stp/>
        <stp>##V3_BDPV12</stp>
        <stp>912827UA Govt</stp>
        <stp>YLD_YTM_BID</stp>
        <stp>[TREASURY.xlsx]Sheet1!R836C4</stp>
        <tr r="D836" s="1"/>
      </tp>
      <tp t="s">
        <v>#N/A N/A</v>
        <stp/>
        <stp>##V3_BDPV12</stp>
        <stp>912828EN Govt</stp>
        <stp>YLD_YTM_BID</stp>
        <stp>[TREASURY.xlsx]Sheet1!R649C4</stp>
        <tr r="D649" s="1"/>
      </tp>
      <tp t="s">
        <v>#N/A N/A</v>
        <stp/>
        <stp>##V3_BDPV12</stp>
        <stp>912828UF Govt</stp>
        <stp>YLD_YTM_BID</stp>
        <stp>[TREASURY.xlsx]Sheet1!R671C4</stp>
        <tr r="D671" s="1"/>
      </tp>
      <tp t="s">
        <v>#N/A N/A</v>
        <stp/>
        <stp>##V3_BDPV12</stp>
        <stp>912828SD Govt</stp>
        <stp>YLD_YTM_BID</stp>
        <stp>[TREASURY.xlsx]Sheet1!R623C4</stp>
        <tr r="D623" s="1"/>
      </tp>
      <tp>
        <v>1.0706365813898422</v>
        <stp/>
        <stp>##V3_BDPV12</stp>
        <stp>912828ZE Govt</stp>
        <stp>YLD_YTM_BID</stp>
        <stp>[TREASURY.xlsx]Sheet1!R112C4</stp>
        <tr r="D112" s="1"/>
      </tp>
      <tp t="s">
        <v>#N/A N/A</v>
        <stp/>
        <stp>##V3_BDPV12</stp>
        <stp>912828WG Govt</stp>
        <stp>YLD_YTM_BID</stp>
        <stp>[TREASURY.xlsx]Sheet1!R370C4</stp>
        <tr r="D370" s="1"/>
      </tp>
      <tp t="s">
        <v>#N/A N/A</v>
        <stp/>
        <stp>##V3_BDPV12</stp>
        <stp>9128284G Govt</stp>
        <stp>YLD_YTM_BID</stp>
        <stp>[TREASURY.xlsx]Sheet1!R390C4</stp>
        <tr r="D390" s="1"/>
      </tp>
      <tp t="s">
        <v>#N/A N/A</v>
        <stp/>
        <stp>##V3_BDPV12</stp>
        <stp>9128283G Govt</stp>
        <stp>YLD_YTM_BID</stp>
        <stp>[TREASURY.xlsx]Sheet1!R380C4</stp>
        <tr r="D380" s="1"/>
      </tp>
      <tp>
        <v>8.5</v>
        <stp/>
        <stp>##V3_BDPV12</stp>
        <stp>912810EE Govt</stp>
        <stp>CPN</stp>
        <stp>[TREASURY.xlsx]Sheet1!R503C3</stp>
        <tr r="C503" s="1"/>
      </tp>
      <tp>
        <v>0.3851466691008944</v>
        <stp/>
        <stp>##V3_BDPV12</stp>
        <stp>9128286G Govt</stp>
        <stp>YLD_YTM_BID</stp>
        <stp>[TREASURY.xlsx]Sheet1!R240C4</stp>
        <tr r="D240" s="1"/>
      </tp>
      <tp t="s">
        <v>11/15/1982</v>
        <stp/>
        <stp>##V3_BDPV12</stp>
        <stp>912827ND Govt</stp>
        <stp>FIRST_CPN_DT</stp>
        <stp>[TREASURY.xlsx]Sheet1!R731C9</stp>
        <tr r="I731" s="1"/>
      </tp>
      <tp t="s">
        <v>1/15/1982</v>
        <stp/>
        <stp>##V3_BDPV12</stp>
        <stp>912827MB Govt</stp>
        <stp>FIRST_CPN_DT</stp>
        <stp>[TREASURY.xlsx]Sheet1!R721C9</stp>
        <tr r="I721" s="1"/>
      </tp>
      <tp t="s">
        <v>12/31/1980</v>
        <stp/>
        <stp>##V3_BDPV12</stp>
        <stp>912827KV Govt</stp>
        <stp>FIRST_CPN_DT</stp>
        <stp>[TREASURY.xlsx]Sheet1!R711C9</stp>
        <tr r="I711" s="1"/>
      </tp>
      <tp t="s">
        <v>7/15/1992</v>
        <stp/>
        <stp>##V3_BDPV12</stp>
        <stp>912827D7 Govt</stp>
        <stp>FIRST_CPN_DT</stp>
        <stp>[TREASURY.xlsx]Sheet1!R701C9</stp>
        <tr r="I701" s="1"/>
      </tp>
      <tp t="s">
        <v>7/15/1981</v>
        <stp/>
        <stp>##V3_BDPV12</stp>
        <stp>912827LL Govt</stp>
        <stp>FIRST_CPN_DT</stp>
        <stp>[TREASURY.xlsx]Sheet1!R891C9</stp>
        <tr r="I891" s="1"/>
      </tp>
      <tp t="s">
        <v>1/15/1983</v>
        <stp/>
        <stp>##V3_BDPV12</stp>
        <stp>912827NK Govt</stp>
        <stp>FIRST_CPN_DT</stp>
        <stp>[TREASURY.xlsx]Sheet1!R901C9</stp>
        <tr r="I901" s="1"/>
      </tp>
      <tp t="s">
        <v>4/30/1985</v>
        <stp/>
        <stp>##V3_BDPV12</stp>
        <stp>912827RK Govt</stp>
        <stp>FIRST_CPN_DT</stp>
        <stp>[TREASURY.xlsx]Sheet1!R911C9</stp>
        <tr r="I911" s="1"/>
      </tp>
      <tp t="s">
        <v>7/31/1995</v>
        <stp/>
        <stp>##V3_BDPV12</stp>
        <stp>912827S5 Govt</stp>
        <stp>FIRST_CPN_DT</stp>
        <stp>[TREASURY.xlsx]Sheet1!R831C9</stp>
        <tr r="I831" s="1"/>
      </tp>
      <tp t="s">
        <v>12/31/1995</v>
        <stp/>
        <stp>##V3_BDPV12</stp>
        <stp>912827U3 Govt</stp>
        <stp>FIRST_CPN_DT</stp>
        <stp>[TREASURY.xlsx]Sheet1!R921C9</stp>
        <tr r="I921" s="1"/>
      </tp>
      <tp t="s">
        <v>3/31/1991</v>
        <stp/>
        <stp>##V3_BDPV12</stp>
        <stp>912827ZJ Govt</stp>
        <stp>FIRST_CPN_DT</stp>
        <stp>[TREASURY.xlsx]Sheet1!R781C9</stp>
        <tr r="I781" s="1"/>
      </tp>
      <tp t="s">
        <v>10/15/1988</v>
        <stp/>
        <stp>##V3_BDPV12</stp>
        <stp>912827WB Govt</stp>
        <stp>FIRST_CPN_DT</stp>
        <stp>[TREASURY.xlsx]Sheet1!R931C9</stp>
        <tr r="I931" s="1"/>
      </tp>
      <tp t="s">
        <v>7/31/1989</v>
        <stp/>
        <stp>##V3_BDPV12</stp>
        <stp>912827XC Govt</stp>
        <stp>FIRST_CPN_DT</stp>
        <stp>[TREASURY.xlsx]Sheet1!R771C9</stp>
        <tr r="I771" s="1"/>
      </tp>
      <tp t="s">
        <v>2/15/1997</v>
        <stp/>
        <stp>##V3_BDPV12</stp>
        <stp>912827Y8 Govt</stp>
        <stp>FIRST_CPN_DT</stp>
        <stp>[TREASURY.xlsx]Sheet1!R941C9</stp>
        <tr r="I941" s="1"/>
      </tp>
      <tp t="s">
        <v>5/15/1988</v>
        <stp/>
        <stp>##V3_BDPV12</stp>
        <stp>912827VG Govt</stp>
        <stp>FIRST_CPN_DT</stp>
        <stp>[TREASURY.xlsx]Sheet1!R761C9</stp>
        <tr r="I761" s="1"/>
      </tp>
      <tp t="s">
        <v>11/15/1988</v>
        <stp/>
        <stp>##V3_BDPV12</stp>
        <stp>912827WE Govt</stp>
        <stp>FIRST_CPN_DT</stp>
        <stp>[TREASURY.xlsx]Sheet1!R601C9</stp>
        <tr r="I601" s="1"/>
      </tp>
      <tp t="s">
        <v>1/31/1996</v>
        <stp/>
        <stp>##V3_BDPV12</stp>
        <stp>912827U6 Govt</stp>
        <stp>FIRST_CPN_DT</stp>
        <stp>[TREASURY.xlsx]Sheet1!R751C9</stp>
        <tr r="I751" s="1"/>
      </tp>
      <tp t="s">
        <v>2/28/1997</v>
        <stp/>
        <stp>##V3_BDPV12</stp>
        <stp>912827Z2 Govt</stp>
        <stp>FIRST_CPN_DT</stp>
        <stp>[TREASURY.xlsx]Sheet1!R951C9</stp>
        <tr r="I951" s="1"/>
      </tp>
      <tp t="s">
        <v>8/15/1984</v>
        <stp/>
        <stp>##V3_BDPV12</stp>
        <stp>912827QL Govt</stp>
        <stp>FIRST_CPN_DT</stp>
        <stp>[TREASURY.xlsx]Sheet1!R741C9</stp>
        <tr r="I741" s="1"/>
      </tp>
      <tp t="s">
        <v>5/31/2001</v>
        <stp/>
        <stp>##V3_BDPV12</stp>
        <stp>9128276P Govt</stp>
        <stp>FIRST_CPN_DT</stp>
        <stp>[TREASURY.xlsx]Sheet1!R441C9</stp>
        <tr r="I441" s="1"/>
      </tp>
      <tp t="s">
        <v>8/15/1986</v>
        <stp/>
        <stp>##V3_BDPV12</stp>
        <stp>912810DU Govt</stp>
        <stp>FIRST_CPN_DT</stp>
        <stp>[TREASURY.xlsx]Sheet1!R432C9</stp>
        <tr r="I432" s="1"/>
      </tp>
      <tp t="s">
        <v>8/15/1989</v>
        <stp/>
        <stp>##V3_BDPV12</stp>
        <stp>912810EC Govt</stp>
        <stp>FIRST_CPN_DT</stp>
        <stp>[TREASURY.xlsx]Sheet1!R612C9</stp>
        <tr r="I612" s="1"/>
      </tp>
      <tp t="s">
        <v>5/15/1999</v>
        <stp/>
        <stp>##V3_BDPV12</stp>
        <stp>912810FF Govt</stp>
        <stp>FIRST_CPN_DT</stp>
        <stp>[TREASURY.xlsx]Sheet1!R292C9</stp>
        <tr r="I292" s="1"/>
      </tp>
      <tp t="s">
        <v>11/15/1994</v>
        <stp/>
        <stp>##V3_BDPV12</stp>
        <stp>912810ES Govt</stp>
        <stp>FIRST_CPN_DT</stp>
        <stp>[TREASURY.xlsx]Sheet1!R312C9</stp>
        <tr r="I312" s="1"/>
      </tp>
      <tp t="s">
        <v>5/15/2019</v>
        <stp/>
        <stp>##V3_BDPV12</stp>
        <stp>912810SE Govt</stp>
        <stp>FIRST_CPN_DT</stp>
        <stp>[TREASURY.xlsx]Sheet1!R152C9</stp>
        <tr r="I152" s="1"/>
      </tp>
      <tp t="s">
        <v>8/15/2010</v>
        <stp/>
        <stp>##V3_BDPV12</stp>
        <stp>912810QE Govt</stp>
        <stp>FIRST_CPN_DT</stp>
        <stp>[TREASURY.xlsx]Sheet1!R302C9</stp>
        <tr r="I302" s="1"/>
      </tp>
      <tp t="s">
        <v>11/15/2008</v>
        <stp/>
        <stp>##V3_BDPV12</stp>
        <stp>912810PX Govt</stp>
        <stp>FIRST_CPN_DT</stp>
        <stp>[TREASURY.xlsx]Sheet1!R282C9</stp>
        <tr r="I282" s="1"/>
      </tp>
      <tp t="s">
        <v>8/15/2016</v>
        <stp/>
        <stp>##V3_BDPV12</stp>
        <stp>912810RQ Govt</stp>
        <stp>FIRST_CPN_DT</stp>
        <stp>[TREASURY.xlsx]Sheet1!R172C9</stp>
        <tr r="I172" s="1"/>
      </tp>
      <tp t="s">
        <v>7/15/2016</v>
        <stp/>
        <stp>##V3_BDPV12</stp>
        <stp>912828N6 Govt</stp>
        <stp>FIRST_CPN_DT</stp>
        <stp>[TREASURY.xlsx]Sheet1!R621C9</stp>
        <tr r="I621" s="1"/>
      </tp>
      <tp t="s">
        <v>7/31/2009</v>
        <stp/>
        <stp>##V3_BDPV12</stp>
        <stp>912828JY Govt</stp>
        <stp>FIRST_CPN_DT</stp>
        <stp>[TREASURY.xlsx]Sheet1!R691C9</stp>
        <tr r="I691" s="1"/>
      </tp>
      <tp t="s">
        <v>8/15/2006</v>
        <stp/>
        <stp>##V3_BDPV12</stp>
        <stp>912828EV Govt</stp>
        <stp>FIRST_CPN_DT</stp>
        <stp>[TREASURY.xlsx]Sheet1!R841C9</stp>
        <tr r="I841" s="1"/>
      </tp>
      <tp t="s">
        <v>2/15/2011</v>
        <stp/>
        <stp>##V3_BDPV12</stp>
        <stp>912828NT Govt</stp>
        <stp>FIRST_CPN_DT</stp>
        <stp>[TREASURY.xlsx]Sheet1!R351C9</stp>
        <tr r="I351" s="1"/>
      </tp>
      <tp t="s">
        <v>3/31/2016</v>
        <stp/>
        <stp>##V3_BDPV12</stp>
        <stp>912828L5 Govt</stp>
        <stp>FIRST_CPN_DT</stp>
        <stp>[TREASURY.xlsx]Sheet1!R161C9</stp>
        <tr r="I161" s="1"/>
      </tp>
      <tp t="s">
        <v>2/15/2015</v>
        <stp/>
        <stp>##V3_BDPV12</stp>
        <stp>912828D4 Govt</stp>
        <stp>FIRST_CPN_DT</stp>
        <stp>[TREASURY.xlsx]Sheet1!R961C9</stp>
        <tr r="I961" s="1"/>
      </tp>
      <tp t="s">
        <v>6/30/2015</v>
        <stp/>
        <stp>##V3_BDPV12</stp>
        <stp>912828H2 Govt</stp>
        <stp>FIRST_CPN_DT</stp>
        <stp>[TREASURY.xlsx]Sheet1!R581C9</stp>
        <tr r="I581" s="1"/>
      </tp>
      <tp t="s">
        <v>9/30/2009</v>
        <stp/>
        <stp>##V3_BDPV12</stp>
        <stp>912828KJ Govt</stp>
        <stp>FIRST_CPN_DT</stp>
        <stp>[TREASURY.xlsx]Sheet1!R561C9</stp>
        <tr r="I561" s="1"/>
      </tp>
      <tp t="s">
        <v>9/30/2008</v>
        <stp/>
        <stp>##V3_BDPV12</stp>
        <stp>912828HV Govt</stp>
        <stp>FIRST_CPN_DT</stp>
        <stp>[TREASURY.xlsx]Sheet1!R651C9</stp>
        <tr r="I651" s="1"/>
      </tp>
      <tp t="s">
        <v>5/31/2009</v>
        <stp/>
        <stp>##V3_BDPV12</stp>
        <stp>912828JT Govt</stp>
        <stp>FIRST_CPN_DT</stp>
        <stp>[TREASURY.xlsx]Sheet1!R471C9</stp>
        <tr r="I471" s="1"/>
      </tp>
      <tp t="s">
        <v>9/30/2015</v>
        <stp/>
        <stp>##V3_BDPV12</stp>
        <stp>912828J8 Govt</stp>
        <stp>FIRST_CPN_DT</stp>
        <stp>[TREASURY.xlsx]Sheet1!R451C9</stp>
        <tr r="I451" s="1"/>
      </tp>
      <tp t="s">
        <v>5/31/2007</v>
        <stp/>
        <stp>##V3_BDPV12</stp>
        <stp>912828GA Govt</stp>
        <stp>FIRST_CPN_DT</stp>
        <stp>[TREASURY.xlsx]Sheet1!R801C9</stp>
        <tr r="I801" s="1"/>
      </tp>
      <tp t="s">
        <v>8/31/2004</v>
        <stp/>
        <stp>##V3_BDPV12</stp>
        <stp>912828CB Govt</stp>
        <stp>FIRST_CPN_DT</stp>
        <stp>[TREASURY.xlsx]Sheet1!R331C9</stp>
        <tr r="I331" s="1"/>
      </tp>
      <tp t="s">
        <v>8/31/2008</v>
        <stp/>
        <stp>##V3_BDPV12</stp>
        <stp>912828HT Govt</stp>
        <stp>FIRST_CPN_DT</stp>
        <stp>[TREASURY.xlsx]Sheet1!R851C9</stp>
        <tr r="I851" s="1"/>
      </tp>
      <tp t="s">
        <v>5/15/2005</v>
        <stp/>
        <stp>##V3_BDPV12</stp>
        <stp>912828DB Govt</stp>
        <stp>FIRST_CPN_DT</stp>
        <stp>[TREASURY.xlsx]Sheet1!R591C9</stp>
        <tr r="I591" s="1"/>
      </tp>
      <tp t="s">
        <v>8/31/2014</v>
        <stp/>
        <stp>##V3_BDPV12</stp>
        <stp>912828B9 Govt</stp>
        <stp>FIRST_CPN_DT</stp>
        <stp>[TREASURY.xlsx]Sheet1!R371C9</stp>
        <tr r="I371" s="1"/>
      </tp>
      <tp t="s">
        <v>4/30/2009</v>
        <stp/>
        <stp>##V3_BDPV12</stp>
        <stp>912828JQ Govt</stp>
        <stp>FIRST_CPN_DT</stp>
        <stp>[TREASURY.xlsx]Sheet1!R811C9</stp>
        <tr r="I811" s="1"/>
      </tp>
      <tp t="s">
        <v>4/30/2015</v>
        <stp/>
        <stp>##V3_BDPV12</stp>
        <stp>912828F6 Govt</stp>
        <stp>FIRST_CPN_DT</stp>
        <stp>[TREASURY.xlsx]Sheet1!R411C9</stp>
        <tr r="I411" s="1"/>
      </tp>
      <tp t="s">
        <v>12/31/2008</v>
        <stp/>
        <stp>##V3_BDPV12</stp>
        <stp>912828JD Govt</stp>
        <stp>FIRST_CPN_DT</stp>
        <stp>[TREASURY.xlsx]Sheet1!R971C9</stp>
        <tr r="I971" s="1"/>
      </tp>
      <tp t="s">
        <v>5/31/2005</v>
        <stp/>
        <stp>##V3_BDPV12</stp>
        <stp>912828DD Govt</stp>
        <stp>FIRST_CPN_DT</stp>
        <stp>[TREASURY.xlsx]Sheet1!R791C9</stp>
        <tr r="I791" s="1"/>
      </tp>
      <tp t="s">
        <v>12/31/2003</v>
        <stp/>
        <stp>##V3_BDPV12</stp>
        <stp>912828BC Govt</stp>
        <stp>FIRST_CPN_DT</stp>
        <stp>[TREASURY.xlsx]Sheet1!R641C9</stp>
        <tr r="I641" s="1"/>
      </tp>
      <tp t="s">
        <v>2/15/2003</v>
        <stp/>
        <stp>##V3_BDPV12</stp>
        <stp>912828AJ Govt</stp>
        <stp>FIRST_CPN_DT</stp>
        <stp>[TREASURY.xlsx]Sheet1!R531C9</stp>
        <tr r="I531" s="1"/>
      </tp>
      <tp t="s">
        <v>5/31/2010</v>
        <stp/>
        <stp>##V3_BDPV12</stp>
        <stp>912828MM Govt</stp>
        <stp>FIRST_CPN_DT</stp>
        <stp>[TREASURY.xlsx]Sheet1!R821C9</stp>
        <tr r="I821" s="1"/>
      </tp>
      <tp t="s">
        <v>8/31/2010</v>
        <stp/>
        <stp>##V3_BDPV12</stp>
        <stp>912828MS Govt</stp>
        <stp>FIRST_CPN_DT</stp>
        <stp>[TREASURY.xlsx]Sheet1!R861C9</stp>
        <tr r="I861" s="1"/>
      </tp>
      <tp t="s">
        <v>6/30/2014</v>
        <stp/>
        <stp>##V3_BDPV12</stp>
        <stp>912828A7 Govt</stp>
        <stp>FIRST_CPN_DT</stp>
        <stp>[TREASURY.xlsx]Sheet1!R481C9</stp>
        <tr r="I481" s="1"/>
      </tp>
      <tp t="s">
        <v>5/15/2004</v>
        <stp/>
        <stp>##V3_BDPV12</stp>
        <stp>912828BR Govt</stp>
        <stp>FIRST_CPN_DT</stp>
        <stp>[TREASURY.xlsx]Sheet1!R541C9</stp>
        <tr r="I541" s="1"/>
      </tp>
      <tp t="s">
        <v>8/31/2014</v>
        <stp/>
        <stp>##V3_BDPV12</stp>
        <stp>912828B8 Govt</stp>
        <stp>FIRST_CPN_DT</stp>
        <stp>[TREASURY.xlsx]Sheet1!R571C9</stp>
        <tr r="I571" s="1"/>
      </tp>
      <tp t="s">
        <v>4/15/2020</v>
        <stp/>
        <stp>##V3_BDPV12</stp>
        <stp>912828YK Govt</stp>
        <stp>FIRST_CPN_DT</stp>
        <stp>[TREASURY.xlsx]Sheet1!R131C9</stp>
        <tr r="I131" s="1"/>
      </tp>
      <tp t="s">
        <v>6/15/2020</v>
        <stp/>
        <stp>##V3_BDPV12</stp>
        <stp>912828YW Govt</stp>
        <stp>FIRST_CPN_DT</stp>
        <stp>[TREASURY.xlsx]Sheet1!R141C9</stp>
        <tr r="I141" s="1"/>
      </tp>
      <tp t="s">
        <v>11/30/2011</v>
        <stp/>
        <stp>##V3_BDPV12</stp>
        <stp>912828QQ Govt</stp>
        <stp>FIRST_CPN_DT</stp>
        <stp>[TREASURY.xlsx]Sheet1!R991C9</stp>
        <tr r="I991" s="1"/>
      </tp>
      <tp t="s">
        <v>7/31/2016</v>
        <stp/>
        <stp>##V3_BDPV12</stp>
        <stp>912828P2 Govt</stp>
        <stp>FIRST_CPN_DT</stp>
        <stp>[TREASURY.xlsx]Sheet1!R981C9</stp>
        <tr r="I981" s="1"/>
      </tp>
      <tp t="s">
        <v>9/15/2020</v>
        <stp/>
        <stp>##V3_BDPV12</stp>
        <stp>912828ZD Govt</stp>
        <stp>FIRST_CPN_DT</stp>
        <stp>[TREASURY.xlsx]Sheet1!R121C9</stp>
        <tr r="I121" s="1"/>
      </tp>
      <tp t="s">
        <v>12/31/2020</v>
        <stp/>
        <stp>##V3_BDPV12</stp>
        <stp>912828ZW Govt</stp>
        <stp>FIRST_CPN_DT</stp>
        <stp>[TREASURY.xlsx]Sheet1!R101C9</stp>
        <tr r="I101" s="1"/>
      </tp>
      <tp t="s">
        <v>11/30/2020</v>
        <stp/>
        <stp>##V3_BDPV12</stp>
        <stp>912828ZS Govt</stp>
        <stp>FIRST_CPN_DT</stp>
        <stp>[TREASURY.xlsx]Sheet1!R171C9</stp>
        <tr r="I171" s="1"/>
      </tp>
      <tp t="s">
        <v>12/31/2020</v>
        <stp/>
        <stp>##V3_BDPV12</stp>
        <stp>912828ZX Govt</stp>
        <stp>FIRST_CPN_DT</stp>
        <stp>[TREASURY.xlsx]Sheet1!R111C9</stp>
        <tr r="I111" s="1"/>
      </tp>
      <tp t="s">
        <v>3/31/2017</v>
        <stp/>
        <stp>##V3_BDPV12</stp>
        <stp>912828T4 Govt</stp>
        <stp>FIRST_CPN_DT</stp>
        <stp>[TREASURY.xlsx]Sheet1!R871C9</stp>
        <tr r="I871" s="1"/>
      </tp>
      <tp t="s">
        <v>1/31/2015</v>
        <stp/>
        <stp>##V3_BDPV12</stp>
        <stp>912828WX Govt</stp>
        <stp>FIRST_CPN_DT</stp>
        <stp>[TREASURY.xlsx]Sheet1!R881C9</stp>
        <tr r="I881" s="1"/>
      </tp>
      <tp t="s">
        <v>12/31/2016</v>
        <stp/>
        <stp>##V3_BDPV12</stp>
        <stp>912828S2 Govt</stp>
        <stp>FIRST_CPN_DT</stp>
        <stp>[TREASURY.xlsx]Sheet1!R391C9</stp>
        <tr r="I391" s="1"/>
      </tp>
      <tp t="s">
        <v>1/31/2017</v>
        <stp/>
        <stp>##V3_BDPV12</stp>
        <stp>912828S9 Govt</stp>
        <stp>FIRST_CPN_DT</stp>
        <stp>[TREASURY.xlsx]Sheet1!R301C9</stp>
        <tr r="I301" s="1"/>
      </tp>
      <tp t="s">
        <v>8/31/2013</v>
        <stp/>
        <stp>##V3_BDPV12</stp>
        <stp>912828UQ Govt</stp>
        <stp>FIRST_CPN_DT</stp>
        <stp>[TREASURY.xlsx]Sheet1!R421C9</stp>
        <tr r="I421" s="1"/>
      </tp>
      <tp t="s">
        <v>8/31/2017</v>
        <stp/>
        <stp>##V3_BDPV12</stp>
        <stp>912828W3 Govt</stp>
        <stp>FIRST_CPN_DT</stp>
        <stp>[TREASURY.xlsx]Sheet1!R681C9</stp>
        <tr r="I681" s="1"/>
      </tp>
      <tp t="s">
        <v>5/15/2017</v>
        <stp/>
        <stp>##V3_BDPV12</stp>
        <stp>912828U3 Govt</stp>
        <stp>FIRST_CPN_DT</stp>
        <stp>[TREASURY.xlsx]Sheet1!R491C9</stp>
        <tr r="I491" s="1"/>
      </tp>
      <tp t="s">
        <v>4/15/2017</v>
        <stp/>
        <stp>##V3_BDPV12</stp>
        <stp>912828T5 Govt</stp>
        <stp>FIRST_CPN_DT</stp>
        <stp>[TREASURY.xlsx]Sheet1!R631C9</stp>
        <tr r="I631" s="1"/>
      </tp>
      <tp t="s">
        <v>6/30/2013</v>
        <stp/>
        <stp>##V3_BDPV12</stp>
        <stp>912828UF Govt</stp>
        <stp>FIRST_CPN_DT</stp>
        <stp>[TREASURY.xlsx]Sheet1!R671C9</stp>
        <tr r="I671" s="1"/>
      </tp>
      <tp t="s">
        <v>12/31/2014</v>
        <stp/>
        <stp>##V3_BDPV12</stp>
        <stp>912828WR Govt</stp>
        <stp>FIRST_CPN_DT</stp>
        <stp>[TREASURY.xlsx]Sheet1!R341C9</stp>
        <tr r="I341" s="1"/>
      </tp>
      <tp t="s">
        <v>9/15/2016</v>
        <stp/>
        <stp>##V3_BDPV12</stp>
        <stp>912828P9 Govt</stp>
        <stp>FIRST_CPN_DT</stp>
        <stp>[TREASURY.xlsx]Sheet1!R431C9</stp>
        <tr r="I431" s="1"/>
      </tp>
      <tp t="s">
        <v>9/30/2011</v>
        <stp/>
        <stp>##V3_BDPV12</stp>
        <stp>912828QL Govt</stp>
        <stp>FIRST_CPN_DT</stp>
        <stp>[TREASURY.xlsx]Sheet1!R401C9</stp>
        <tr r="I401" s="1"/>
      </tp>
      <tp t="s">
        <v>9/30/2017</v>
        <stp/>
        <stp>##V3_BDPV12</stp>
        <stp>912828W8 Govt</stp>
        <stp>FIRST_CPN_DT</stp>
        <stp>[TREASURY.xlsx]Sheet1!R221C9</stp>
        <tr r="I221" s="1"/>
      </tp>
      <tp t="s">
        <v>8/31/2017</v>
        <stp/>
        <stp>##V3_BDPV12</stp>
        <stp>912828W5 Govt</stp>
        <stp>FIRST_CPN_DT</stp>
        <stp>[TREASURY.xlsx]Sheet1!R281C9</stp>
        <tr r="I281" s="1"/>
      </tp>
      <tp t="s">
        <v>9/30/2012</v>
        <stp/>
        <stp>##V3_BDPV12</stp>
        <stp>912828SL Govt</stp>
        <stp>FIRST_CPN_DT</stp>
        <stp>[TREASURY.xlsx]Sheet1!R511C9</stp>
        <tr r="I511" s="1"/>
      </tp>
      <tp t="s">
        <v>12/15/2012</v>
        <stp/>
        <stp>##V3_BDPV12</stp>
        <stp>912828SZ Govt</stp>
        <stp>FIRST_CPN_DT</stp>
        <stp>[TREASURY.xlsx]Sheet1!R551C9</stp>
        <tr r="I551" s="1"/>
      </tp>
      <tp t="s">
        <v>4/30/2013</v>
        <stp/>
        <stp>##V3_BDPV12</stp>
        <stp>912828TW Govt</stp>
        <stp>FIRST_CPN_DT</stp>
        <stp>[TREASURY.xlsx]Sheet1!R361C9</stp>
        <tr r="I361" s="1"/>
      </tp>
      <tp t="s">
        <v>4/30/2018</v>
        <stp/>
        <stp>##V3_BDPV12</stp>
        <stp>9128283D Govt</stp>
        <stp>FIRST_CPN_DT</stp>
        <stp>[TREASURY.xlsx]Sheet1!R231C9</stp>
        <tr r="I231" s="1"/>
      </tp>
      <tp t="s">
        <v>8/31/2018</v>
        <stp/>
        <stp>##V3_BDPV12</stp>
        <stp>9128283Z Govt</stp>
        <stp>FIRST_CPN_DT</stp>
        <stp>[TREASURY.xlsx]Sheet1!R261C9</stp>
        <tr r="I261" s="1"/>
      </tp>
      <tp t="s">
        <v>1/15/2018</v>
        <stp/>
        <stp>##V3_BDPV12</stp>
        <stp>9128282J Govt</stp>
        <stp>FIRST_CPN_DT</stp>
        <stp>[TREASURY.xlsx]Sheet1!R611C9</stp>
        <tr r="I611" s="1"/>
      </tp>
      <tp t="s">
        <v>10/31/2019</v>
        <stp/>
        <stp>##V3_BDPV12</stp>
        <stp>9128286R Govt</stp>
        <stp>FIRST_CPN_DT</stp>
        <stp>[TREASURY.xlsx]Sheet1!R201C9</stp>
        <tr r="I201" s="1"/>
      </tp>
      <tp t="s">
        <v>12/15/2019</v>
        <stp/>
        <stp>##V3_BDPV12</stp>
        <stp>9128286Y Govt</stp>
        <stp>FIRST_CPN_DT</stp>
        <stp>[TREASURY.xlsx]Sheet1!R241C9</stp>
        <tr r="I241" s="1"/>
      </tp>
      <tp t="s">
        <v>2/28/2019</v>
        <stp/>
        <stp>##V3_BDPV12</stp>
        <stp>9128284Z Govt</stp>
        <stp>FIRST_CPN_DT</stp>
        <stp>[TREASURY.xlsx]Sheet1!R251C9</stp>
        <tr r="I251" s="1"/>
      </tp>
      <tp t="s">
        <v>10/31/2018</v>
        <stp/>
        <stp>##V3_BDPV12</stp>
        <stp>9128284J Govt</stp>
        <stp>FIRST_CPN_DT</stp>
        <stp>[TREASURY.xlsx]Sheet1!R381C9</stp>
        <tr r="I381" s="1"/>
      </tp>
      <tp t="s">
        <v>5/31/2019</v>
        <stp/>
        <stp>##V3_BDPV12</stp>
        <stp>9128285P Govt</stp>
        <stp>FIRST_CPN_DT</stp>
        <stp>[TREASURY.xlsx]Sheet1!R271C9</stp>
        <tr r="I271" s="1"/>
      </tp>
      <tp t="s">
        <v>UNITED STATES</v>
        <stp/>
        <stp>##V3_BDPV12</stp>
        <stp>912827ZF Govt</stp>
        <stp>COUNTRY_FULL_NAME</stp>
        <stp>[TREASURY.xlsx]Sheet1!R1229C8</stp>
        <tr r="H1229" s="1"/>
      </tp>
      <tp t="s">
        <v>UNITED STATES</v>
        <stp/>
        <stp>##V3_BDPV12</stp>
        <stp>912827PG Govt</stp>
        <stp>COUNTRY_FULL_NAME</stp>
        <stp>[TREASURY.xlsx]Sheet1!R1173C8</stp>
        <tr r="H1173" s="1"/>
      </tp>
      <tp t="s">
        <v>UNITED STATES</v>
        <stp/>
        <stp>##V3_BDPV12</stp>
        <stp>912827RG Govt</stp>
        <stp>COUNTRY_FULL_NAME</stp>
        <stp>[TREASURY.xlsx]Sheet1!R1501C8</stp>
        <tr r="H1501" s="1"/>
      </tp>
      <tp t="s">
        <v>UNITED STATES</v>
        <stp/>
        <stp>##V3_BDPV12</stp>
        <stp>912827VD Govt</stp>
        <stp>COUNTRY_FULL_NAME</stp>
        <stp>[TREASURY.xlsx]Sheet1!R1085C8</stp>
        <tr r="H1085" s="1"/>
      </tp>
      <tp t="s">
        <v>UNITED STATES</v>
        <stp/>
        <stp>##V3_BDPV12</stp>
        <stp>912827TE Govt</stp>
        <stp>COUNTRY_FULL_NAME</stp>
        <stp>[TREASURY.xlsx]Sheet1!R1507C8</stp>
        <tr r="H1507" s="1"/>
      </tp>
      <tp t="s">
        <v>UNITED STATES</v>
        <stp/>
        <stp>##V3_BDPV12</stp>
        <stp>912827RA Govt</stp>
        <stp>COUNTRY_FULL_NAME</stp>
        <stp>[TREASURY.xlsx]Sheet1!R1061C8</stp>
        <tr r="H1061" s="1"/>
      </tp>
      <tp t="s">
        <v>UNITED STATES</v>
        <stp/>
        <stp>##V3_BDPV12</stp>
        <stp>912827QA Govt</stp>
        <stp>COUNTRY_FULL_NAME</stp>
        <stp>[TREASURY.xlsx]Sheet1!R1392C8</stp>
        <tr r="H1392" s="1"/>
      </tp>
      <tp t="s">
        <v>T 9 1/8 05/15/18</v>
        <stp/>
        <stp>##V3_BDPV12</stp>
        <stp>912810EA Govt</stp>
        <stp>SECURITY_NAME</stp>
        <stp>[TREASURY.xlsx]Sheet1!R1445C16</stp>
        <tr r="P1445" s="1"/>
      </tp>
      <tp t="s">
        <v>UNITED STATES</v>
        <stp/>
        <stp>##V3_BDPV12</stp>
        <stp>912827UN Govt</stp>
        <stp>COUNTRY_FULL_NAME</stp>
        <stp>[TREASURY.xlsx]Sheet1!R1406C8</stp>
        <tr r="H1406" s="1"/>
      </tp>
      <tp t="s">
        <v>T 3 7/8 07/31/03</v>
        <stp/>
        <stp>##V3_BDPV12</stp>
        <stp>9128277A Govt</stp>
        <stp>SECURITY_NAME</stp>
        <stp>[TREASURY.xlsx]Sheet1!R1543C16</stp>
        <tr r="P1543" s="1"/>
      </tp>
      <tp t="s">
        <v>T 11 1/4 03/31/89</v>
        <stp/>
        <stp>##V3_BDPV12</stp>
        <stp>912827SA Govt</stp>
        <stp>SECURITY_NAME</stp>
        <stp>[TREASURY.xlsx]Sheet1!R1587C16</stp>
        <tr r="P1587" s="1"/>
      </tp>
      <tp t="s">
        <v>T 9 1/8 12/31/92</v>
        <stp/>
        <stp>##V3_BDPV12</stp>
        <stp>912827XA Govt</stp>
        <stp>SECURITY_NAME</stp>
        <stp>[TREASURY.xlsx]Sheet1!R1594C16</stp>
        <tr r="P1594" s="1"/>
      </tp>
      <tp t="s">
        <v>UNITED STATES</v>
        <stp/>
        <stp>##V3_BDPV12</stp>
        <stp>912828RL Govt</stp>
        <stp>COUNTRY_FULL_NAME</stp>
        <stp>[TREASURY.xlsx]Sheet1!R1131C8</stp>
        <tr r="H1131" s="1"/>
      </tp>
      <tp t="s">
        <v>T 4 3/4 02/15/04</v>
        <stp/>
        <stp>##V3_BDPV12</stp>
        <stp>9128275A Govt</stp>
        <stp>SECURITY_NAME</stp>
        <stp>[TREASURY.xlsx]Sheet1!R1463C16</stp>
        <tr r="P1463" s="1"/>
      </tp>
      <tp t="s">
        <v>T 5 1/2 03/31/00</v>
        <stp/>
        <stp>##V3_BDPV12</stp>
        <stp>9128274A Govt</stp>
        <stp>SECURITY_NAME</stp>
        <stp>[TREASURY.xlsx]Sheet1!R1457C16</stp>
        <tr r="P1457" s="1"/>
      </tp>
      <tp t="s">
        <v>T 4 3/4 03/31/11</v>
        <stp/>
        <stp>##V3_BDPV12</stp>
        <stp>912828FA Govt</stp>
        <stp>SECURITY_NAME</stp>
        <stp>[TREASURY.xlsx]Sheet1!R1432C16</stp>
        <tr r="P1432" s="1"/>
      </tp>
      <tp t="s">
        <v>T 4 3/4 08/15/17</v>
        <stp/>
        <stp>##V3_BDPV12</stp>
        <stp>912828HA Govt</stp>
        <stp>SECURITY_NAME</stp>
        <stp>[TREASURY.xlsx]Sheet1!R1437C16</stp>
        <tr r="P1437" s="1"/>
      </tp>
      <tp t="s">
        <v>T 14 03/31/86</v>
        <stp/>
        <stp>##V3_BDPV12</stp>
        <stp>912827NA Govt</stp>
        <stp>SECURITY_NAME</stp>
        <stp>[TREASURY.xlsx]Sheet1!R1331C16</stp>
        <tr r="P1331" s="1"/>
      </tp>
      <tp t="s">
        <v>T 11 1/2 10/15/90</v>
        <stp/>
        <stp>##V3_BDPV12</stp>
        <stp>912827QA Govt</stp>
        <stp>SECURITY_NAME</stp>
        <stp>[TREASURY.xlsx]Sheet1!R1392C16</stp>
        <tr r="P1392" s="1"/>
      </tp>
      <tp t="s">
        <v>T 8 1/2 06/30/94</v>
        <stp/>
        <stp>##V3_BDPV12</stp>
        <stp>912827ZA Govt</stp>
        <stp>SECURITY_NAME</stp>
        <stp>[TREASURY.xlsx]Sheet1!R1227C16</stp>
        <tr r="P1227" s="1"/>
      </tp>
      <tp t="s">
        <v>T 7 7/8 03/31/92</v>
        <stp/>
        <stp>##V3_BDPV12</stp>
        <stp>912827WA Govt</stp>
        <stp>SECURITY_NAME</stp>
        <stp>[TREASURY.xlsx]Sheet1!R1206C16</stp>
        <tr r="P1206" s="1"/>
      </tp>
      <tp t="s">
        <v>T 3 1/8 04/30/17</v>
        <stp/>
        <stp>##V3_BDPV12</stp>
        <stp>912828NA Govt</stp>
        <stp>SECURITY_NAME</stp>
        <stp>[TREASURY.xlsx]Sheet1!R1292C16</stp>
        <tr r="P1292" s="1"/>
      </tp>
      <tp t="s">
        <v>T 1 7/8 09/30/17</v>
        <stp/>
        <stp>##V3_BDPV12</stp>
        <stp>912828PA Govt</stp>
        <stp>SECURITY_NAME</stp>
        <stp>[TREASURY.xlsx]Sheet1!R1296C16</stp>
        <tr r="P1296" s="1"/>
      </tp>
      <tp t="s">
        <v>T 2 5/8 05/31/10</v>
        <stp/>
        <stp>##V3_BDPV12</stp>
        <stp>912828JA Govt</stp>
        <stp>SECURITY_NAME</stp>
        <stp>[TREASURY.xlsx]Sheet1!R1285C16</stp>
        <tr r="P1285" s="1"/>
      </tp>
      <tp t="s">
        <v>T 2 3/4 11/30/16</v>
        <stp/>
        <stp>##V3_BDPV12</stp>
        <stp>912828MA Govt</stp>
        <stp>SECURITY_NAME</stp>
        <stp>[TREASURY.xlsx]Sheet1!R1252C16</stp>
        <tr r="P1252" s="1"/>
      </tp>
      <tp t="s">
        <v>UNITED STATES</v>
        <stp/>
        <stp>##V3_BDPV12</stp>
        <stp>912828UK Govt</stp>
        <stp>COUNTRY_FULL_NAME</stp>
        <stp>[TREASURY.xlsx]Sheet1!R1136C8</stp>
        <tr r="H1136" s="1"/>
      </tp>
      <tp t="s">
        <v>T 10 1/2 01/15/90</v>
        <stp/>
        <stp>##V3_BDPV12</stp>
        <stp>912827PA Govt</stp>
        <stp>SECURITY_NAME</stp>
        <stp>[TREASURY.xlsx]Sheet1!R1172C16</stp>
        <tr r="P1172" s="1"/>
      </tp>
      <tp t="s">
        <v>T 6 1/2 02/28/02</v>
        <stp/>
        <stp>##V3_BDPV12</stp>
        <stp>9128276A Govt</stp>
        <stp>SECURITY_NAME</stp>
        <stp>[TREASURY.xlsx]Sheet1!R1020C16</stp>
        <tr r="P1020" s="1"/>
      </tp>
      <tp t="s">
        <v>T 12 5/8 07/31/86</v>
        <stp/>
        <stp>##V3_BDPV12</stp>
        <stp>912827RA Govt</stp>
        <stp>SECURITY_NAME</stp>
        <stp>[TREASURY.xlsx]Sheet1!R1061C16</stp>
        <tr r="P1061" s="1"/>
      </tp>
      <tp t="s">
        <v>T 0 5/8 10/15/16</v>
        <stp/>
        <stp>##V3_BDPV12</stp>
        <stp>912828WA Govt</stp>
        <stp>SECURITY_NAME</stp>
        <stp>[TREASURY.xlsx]Sheet1!R1005C16</stp>
        <tr r="P1005" s="1"/>
      </tp>
      <tp t="s">
        <v>UNITED STATES</v>
        <stp/>
        <stp>##V3_BDPV12</stp>
        <stp>912828VV Govt</stp>
        <stp>COUNTRY_FULL_NAME</stp>
        <stp>[TREASURY.xlsx]Sheet1!R1305C8</stp>
        <tr r="H1305" s="1"/>
      </tp>
      <tp t="s">
        <v>UNITED STATES</v>
        <stp/>
        <stp>##V3_BDPV12</stp>
        <stp>912827RT Govt</stp>
        <stp>COUNTRY_FULL_NAME</stp>
        <stp>[TREASURY.xlsx]Sheet1!R1581C8</stp>
        <tr r="H1581" s="1"/>
      </tp>
      <tp t="s">
        <v>UNITED STATES</v>
        <stp/>
        <stp>##V3_BDPV12</stp>
        <stp>912828UR Govt</stp>
        <stp>COUNTRY_FULL_NAME</stp>
        <stp>[TREASURY.xlsx]Sheet1!R1146C8</stp>
        <tr r="H1146" s="1"/>
      </tp>
      <tp t="s">
        <v>UNITED STATES</v>
        <stp/>
        <stp>##V3_BDPV12</stp>
        <stp>912827VS Govt</stp>
        <stp>COUNTRY_FULL_NAME</stp>
        <stp>[TREASURY.xlsx]Sheet1!R1205C8</stp>
        <tr r="H1205" s="1"/>
      </tp>
      <tp t="s">
        <v>UNITED STATES</v>
        <stp/>
        <stp>##V3_BDPV12</stp>
        <stp>912827SY Govt</stp>
        <stp>COUNTRY_FULL_NAME</stp>
        <stp>[TREASURY.xlsx]Sheet1!R1190C8</stp>
        <tr r="H1190" s="1"/>
      </tp>
      <tp t="s">
        <v>UNITED STATES</v>
        <stp/>
        <stp>##V3_BDPV12</stp>
        <stp>912827PY Govt</stp>
        <stp>COUNTRY_FULL_NAME</stp>
        <stp>[TREASURY.xlsx]Sheet1!R1493C8</stp>
        <tr r="H1493" s="1"/>
      </tp>
      <tp t="s">
        <v>UNITED STATES</v>
        <stp/>
        <stp>##V3_BDPV12</stp>
        <stp>912827T4 Govt</stp>
        <stp>COUNTRY_FULL_NAME</stp>
        <stp>[TREASURY.xlsx]Sheet1!R1397C8</stp>
        <tr r="H1397" s="1"/>
      </tp>
      <tp t="s">
        <v>UNITED STATES</v>
        <stp/>
        <stp>##V3_BDPV12</stp>
        <stp>912828Q5 Govt</stp>
        <stp>COUNTRY_FULL_NAME</stp>
        <stp>[TREASURY.xlsx]Sheet1!R1262C8</stp>
        <tr r="H1262" s="1"/>
      </tp>
      <tp t="s">
        <v>UNITED STATES</v>
        <stp/>
        <stp>##V3_BDPV12</stp>
        <stp>912827W5 Govt</stp>
        <stp>COUNTRY_FULL_NAME</stp>
        <stp>[TREASURY.xlsx]Sheet1!R1414C8</stp>
        <tr r="H1414" s="1"/>
      </tp>
      <tp t="s">
        <v>UNITED STATES</v>
        <stp/>
        <stp>##V3_BDPV12</stp>
        <stp>912827Z5 Govt</stp>
        <stp>COUNTRY_FULL_NAME</stp>
        <stp>[TREASURY.xlsx]Sheet1!R1609C8</stp>
        <tr r="H1609" s="1"/>
      </tp>
      <tp t="s">
        <v>UNITED STATES</v>
        <stp/>
        <stp>##V3_BDPV12</stp>
        <stp>912827Q8 Govt</stp>
        <stp>COUNTRY_FULL_NAME</stp>
        <stp>[TREASURY.xlsx]Sheet1!R1572C8</stp>
        <tr r="H1572" s="1"/>
      </tp>
      <tp t="s">
        <v>11/15/1985</v>
        <stp/>
        <stp>##V3_BDPV12</stp>
        <stp>912827RY Govt</stp>
        <stp>FIRST_CPN_DT</stp>
        <stp>[TREASURY.xlsx]Sheet1!R1583C9</stp>
        <tr r="I1583" s="1"/>
      </tp>
      <tp t="s">
        <v>5/15/1985</v>
        <stp/>
        <stp>##V3_BDPV12</stp>
        <stp>912827RL Govt</stp>
        <stp>FIRST_CPN_DT</stp>
        <stp>[TREASURY.xlsx]Sheet1!R1503C9</stp>
        <tr r="I1503" s="1"/>
      </tp>
      <tp t="s">
        <v>5/15/1985</v>
        <stp/>
        <stp>##V3_BDPV12</stp>
        <stp>912827RE Govt</stp>
        <stp>FIRST_CPN_DT</stp>
        <stp>[TREASURY.xlsx]Sheet1!R1063C9</stp>
        <tr r="I1063" s="1"/>
      </tp>
      <tp t="s">
        <v>10/15/1985</v>
        <stp/>
        <stp>##V3_BDPV12</stp>
        <stp>912827SB Govt</stp>
        <stp>FIRST_CPN_DT</stp>
        <stp>[TREASURY.xlsx]Sheet1!R1183C9</stp>
        <tr r="I1183" s="1"/>
      </tp>
      <tp t="s">
        <v>3/31/1984</v>
        <stp/>
        <stp>##V3_BDPV12</stp>
        <stp>912827PY Govt</stp>
        <stp>FIRST_CPN_DT</stp>
        <stp>[TREASURY.xlsx]Sheet1!R1493C9</stp>
        <tr r="I1493" s="1"/>
      </tp>
      <tp t="s">
        <v>9/30/1983</v>
        <stp/>
        <stp>##V3_BDPV12</stp>
        <stp>912827PG Govt</stp>
        <stp>FIRST_CPN_DT</stp>
        <stp>[TREASURY.xlsx]Sheet1!R1173C9</stp>
        <tr r="I1173" s="1"/>
      </tp>
      <tp t="s">
        <v>10/31/1984</v>
        <stp/>
        <stp>##V3_BDPV12</stp>
        <stp>912827QS Govt</stp>
        <stp>FIRST_CPN_DT</stp>
        <stp>[TREASURY.xlsx]Sheet1!R1393C9</stp>
        <tr r="I1393" s="1"/>
      </tp>
      <tp t="s">
        <v>2/28/1995</v>
        <stp/>
        <stp>##V3_BDPV12</stp>
        <stp>912827Q9 Govt</stp>
        <stp>FIRST_CPN_DT</stp>
        <stp>[TREASURY.xlsx]Sheet1!R1573C9</stp>
        <tr r="I1573" s="1"/>
      </tp>
      <tp t="s">
        <v>1/31/1995</v>
        <stp/>
        <stp>##V3_BDPV12</stp>
        <stp>912827Q6 Govt</stp>
        <stp>FIRST_CPN_DT</stp>
        <stp>[TREASURY.xlsx]Sheet1!R1343C9</stp>
        <tr r="I1343" s="1"/>
      </tp>
      <tp t="s">
        <v>4/15/2021</v>
        <stp/>
        <stp>##V3_BDPV12</stp>
        <stp>91282CAP Govt</stp>
        <stp>FIRST_CPN_DT</stp>
        <stp>[TREASURY.xlsx]Sheet1!R151C9</stp>
        <tr r="I151" s="1"/>
      </tp>
      <tp t="s">
        <v>8/15/1988</v>
        <stp/>
        <stp>##V3_BDPV12</stp>
        <stp>912827VW Govt</stp>
        <stp>FIRST_CPN_DT</stp>
        <stp>[TREASURY.xlsx]Sheet1!R1413C9</stp>
        <tr r="I1413" s="1"/>
      </tp>
      <tp t="s">
        <v>3/31/1988</v>
        <stp/>
        <stp>##V3_BDPV12</stp>
        <stp>912827VJ Govt</stp>
        <stp>FIRST_CPN_DT</stp>
        <stp>[TREASURY.xlsx]Sheet1!R1203C9</stp>
        <tr r="I1203" s="1"/>
      </tp>
      <tp t="s">
        <v>4/30/1996</v>
        <stp/>
        <stp>##V3_BDPV12</stp>
        <stp>912827V5 Govt</stp>
        <stp>FIRST_CPN_DT</stp>
        <stp>[TREASURY.xlsx]Sheet1!R1083C9</stp>
        <tr r="I1083" s="1"/>
      </tp>
      <tp t="s">
        <v>6/30/1989</v>
        <stp/>
        <stp>##V3_BDPV12</stp>
        <stp>912827WZ Govt</stp>
        <stp>FIRST_CPN_DT</stp>
        <stp>[TREASURY.xlsx]Sheet1!R1423C9</stp>
        <tr r="I1423" s="1"/>
      </tp>
      <tp t="s">
        <v>5/31/1989</v>
        <stp/>
        <stp>##V3_BDPV12</stp>
        <stp>912827WX Govt</stp>
        <stp>FIRST_CPN_DT</stp>
        <stp>[TREASURY.xlsx]Sheet1!R1593C9</stp>
        <tr r="I1593" s="1"/>
      </tp>
      <tp t="s">
        <v>5/15/1989</v>
        <stp/>
        <stp>##V3_BDPV12</stp>
        <stp>912827WQ Govt</stp>
        <stp>FIRST_CPN_DT</stp>
        <stp>[TREASURY.xlsx]Sheet1!R1093C9</stp>
        <tr r="I1093" s="1"/>
      </tp>
      <tp t="s">
        <v>11/15/1986</v>
        <stp/>
        <stp>##V3_BDPV12</stp>
        <stp>912827TP Govt</stp>
        <stp>FIRST_CPN_DT</stp>
        <stp>[TREASURY.xlsx]Sheet1!R1193C9</stp>
        <tr r="I1193" s="1"/>
      </tp>
      <tp t="s">
        <v>11/15/1986</v>
        <stp/>
        <stp>##V3_BDPV12</stp>
        <stp>912827TJ Govt</stp>
        <stp>FIRST_CPN_DT</stp>
        <stp>[TREASURY.xlsx]Sheet1!R1073C9</stp>
        <tr r="I1073" s="1"/>
      </tp>
      <tp t="s">
        <v>12/31/1995</v>
        <stp/>
        <stp>##V3_BDPV12</stp>
        <stp>912827U4 Govt</stp>
        <stp>FIRST_CPN_DT</stp>
        <stp>[TREASURY.xlsx]Sheet1!R1403C9</stp>
        <tr r="I1403" s="1"/>
      </tp>
      <tp t="s">
        <v>8/31/1991</v>
        <stp/>
        <stp>##V3_BDPV12</stp>
        <stp>912827ZY Govt</stp>
        <stp>FIRST_CPN_DT</stp>
        <stp>[TREASURY.xlsx]Sheet1!R1613C9</stp>
        <tr r="I1613" s="1"/>
      </tp>
      <tp t="s">
        <v>5/15/1991</v>
        <stp/>
        <stp>##V3_BDPV12</stp>
        <stp>912827ZG Govt</stp>
        <stp>FIRST_CPN_DT</stp>
        <stp>[TREASURY.xlsx]Sheet1!R1103C9</stp>
        <tr r="I1103" s="1"/>
      </tp>
      <tp t="s">
        <v>11/15/1996</v>
        <stp/>
        <stp>##V3_BDPV12</stp>
        <stp>912827X8 Govt</stp>
        <stp>FIRST_CPN_DT</stp>
        <stp>[TREASURY.xlsx]Sheet1!R1213C9</stp>
        <tr r="I1213" s="1"/>
      </tp>
      <tp t="s">
        <v>11/15/1990</v>
        <stp/>
        <stp>##V3_BDPV12</stp>
        <stp>912827YQ Govt</stp>
        <stp>FIRST_CPN_DT</stp>
        <stp>[TREASURY.xlsx]Sheet1!R1223C9</stp>
        <tr r="I1223" s="1"/>
      </tp>
      <tp t="s">
        <v>5/15/1990</v>
        <stp/>
        <stp>##V3_BDPV12</stp>
        <stp>912827YD Govt</stp>
        <stp>FIRST_CPN_DT</stp>
        <stp>[TREASURY.xlsx]Sheet1!R1603C9</stp>
        <tr r="I1603" s="1"/>
      </tp>
      <tp t="s">
        <v>5/15/1978</v>
        <stp/>
        <stp>##V3_BDPV12</stp>
        <stp>912810BZ Govt</stp>
        <stp>FIRST_CPN_DT</stp>
        <stp>[TREASURY.xlsx]Sheet1!R1514C9</stp>
        <tr r="I1514" s="1"/>
      </tp>
      <tp t="s">
        <v>5/15/1981</v>
        <stp/>
        <stp>##V3_BDPV12</stp>
        <stp>912810CR Govt</stp>
        <stp>FIRST_CPN_DT</stp>
        <stp>[TREASURY.xlsx]Sheet1!R1344C9</stp>
        <tr r="I1344" s="1"/>
      </tp>
      <tp t="s">
        <v>3/31/1992</v>
        <stp/>
        <stp>##V3_BDPV12</stp>
        <stp>912827C4 Govt</stp>
        <stp>FIRST_CPN_DT</stp>
        <stp>[TREASURY.xlsx]Sheet1!R1553C9</stp>
        <tr r="I1553" s="1"/>
      </tp>
      <tp t="s">
        <v>10/31/1991</v>
        <stp/>
        <stp>##V3_BDPV12</stp>
        <stp>912827A5 Govt</stp>
        <stp>FIRST_CPN_DT</stp>
        <stp>[TREASURY.xlsx]Sheet1!R1473C9</stp>
        <tr r="I1473" s="1"/>
      </tp>
      <tp t="s">
        <v>11/30/1992</v>
        <stp/>
        <stp>##V3_BDPV12</stp>
        <stp>912827F6 Govt</stp>
        <stp>FIRST_CPN_DT</stp>
        <stp>[TREASURY.xlsx]Sheet1!R1373C9</stp>
        <tr r="I1373" s="1"/>
      </tp>
      <tp t="s">
        <v>11/15/1983</v>
        <stp/>
        <stp>##V3_BDPV12</stp>
        <stp>912810DD Govt</stp>
        <stp>FIRST_CPN_DT</stp>
        <stp>[TREASURY.xlsx]Sheet1!R1444C9</stp>
        <tr r="I1444" s="1"/>
      </tp>
      <tp t="s">
        <v>5/15/1992</v>
        <stp/>
        <stp>##V3_BDPV12</stp>
        <stp>912827D2 Govt</stp>
        <stp>FIRST_CPN_DT</stp>
        <stp>[TREASURY.xlsx]Sheet1!R1033C9</stp>
        <tr r="I1033" s="1"/>
      </tp>
      <tp t="s">
        <v>5/31/1992</v>
        <stp/>
        <stp>##V3_BDPV12</stp>
        <stp>912827D3 Govt</stp>
        <stp>FIRST_CPN_DT</stp>
        <stp>[TREASURY.xlsx]Sheet1!R1483C9</stp>
        <tr r="I1483" s="1"/>
      </tp>
      <tp t="s">
        <v>5/15/1989</v>
        <stp/>
        <stp>##V3_BDPV12</stp>
        <stp>912810EB Govt</stp>
        <stp>FIRST_CPN_DT</stp>
        <stp>[TREASURY.xlsx]Sheet1!R1624C9</stp>
        <tr r="I1624" s="1"/>
      </tp>
      <tp t="s">
        <v>8/15/1992</v>
        <stp/>
        <stp>##V3_BDPV12</stp>
        <stp>912827E2 Govt</stp>
        <stp>FIRST_CPN_DT</stp>
        <stp>[TREASURY.xlsx]Sheet1!R1153C9</stp>
        <tr r="I1153" s="1"/>
      </tp>
      <tp t="s">
        <v>8/31/1992</v>
        <stp/>
        <stp>##V3_BDPV12</stp>
        <stp>912827E4 Govt</stp>
        <stp>FIRST_CPN_DT</stp>
        <stp>[TREASURY.xlsx]Sheet1!R1313C9</stp>
        <tr r="I1313" s="1"/>
      </tp>
      <tp t="s">
        <v>11/15/1993</v>
        <stp/>
        <stp>##V3_BDPV12</stp>
        <stp>912827K7 Govt</stp>
        <stp>FIRST_CPN_DT</stp>
        <stp>[TREASURY.xlsx]Sheet1!R1563C9</stp>
        <tr r="I1563" s="1"/>
      </tp>
      <tp t="s">
        <v>5/31/1983</v>
        <stp/>
        <stp>##V3_BDPV12</stp>
        <stp>912827NW Govt</stp>
        <stp>FIRST_CPN_DT</stp>
        <stp>[TREASURY.xlsx]Sheet1!R1053C9</stp>
        <tr r="I1053" s="1"/>
      </tp>
      <tp t="s">
        <v>12/31/1982</v>
        <stp/>
        <stp>##V3_BDPV12</stp>
        <stp>912827NH Govt</stp>
        <stp>FIRST_CPN_DT</stp>
        <stp>[TREASURY.xlsx]Sheet1!R1333C9</stp>
        <tr r="I1333" s="1"/>
      </tp>
      <tp t="s">
        <v>10/15/1982</v>
        <stp/>
        <stp>##V3_BDPV12</stp>
        <stp>912827NB Govt</stp>
        <stp>FIRST_CPN_DT</stp>
        <stp>[TREASURY.xlsx]Sheet1!R1383C9</stp>
        <tr r="I1383" s="1"/>
      </tp>
      <tp t="s">
        <v>9/30/1981</v>
        <stp/>
        <stp>##V3_BDPV12</stp>
        <stp>912827LS Govt</stp>
        <stp>FIRST_CPN_DT</stp>
        <stp>[TREASURY.xlsx]Sheet1!R1043C9</stp>
        <tr r="I1043" s="1"/>
      </tp>
      <tp t="s">
        <v>9/30/1981</v>
        <stp/>
        <stp>##V3_BDPV12</stp>
        <stp>912827LR Govt</stp>
        <stp>FIRST_CPN_DT</stp>
        <stp>[TREASURY.xlsx]Sheet1!R1323C9</stp>
        <tr r="I1323" s="1"/>
      </tp>
      <tp t="s">
        <v>11/30/1993</v>
        <stp/>
        <stp>##V3_BDPV12</stp>
        <stp>912827L2 Govt</stp>
        <stp>FIRST_CPN_DT</stp>
        <stp>[TREASURY.xlsx]Sheet1!R1163C9</stp>
        <tr r="I1163" s="1"/>
      </tp>
      <tp t="s">
        <v>11/30/1997</v>
        <stp/>
        <stp>##V3_BDPV12</stp>
        <stp>9128272V Govt</stp>
        <stp>FIRST_CPN_DT</stp>
        <stp>[TREASURY.xlsx]Sheet1!R1522C9</stp>
        <tr r="I1522" s="1"/>
      </tp>
      <tp t="s">
        <v>8/31/1997</v>
        <stp/>
        <stp>##V3_BDPV12</stp>
        <stp>9128272L Govt</stp>
        <stp>FIRST_CPN_DT</stp>
        <stp>[TREASURY.xlsx]Sheet1!R1452C9</stp>
        <tr r="I1452" s="1"/>
      </tp>
      <tp t="s">
        <v>9/30/1997</v>
        <stp/>
        <stp>##V3_BDPV12</stp>
        <stp>9128272N Govt</stp>
        <stp>FIRST_CPN_DT</stp>
        <stp>[TREASURY.xlsx]Sheet1!R1352C9</stp>
        <tr r="I1352" s="1"/>
      </tp>
      <tp t="s">
        <v>11/30/2001</v>
        <stp/>
        <stp>##V3_BDPV12</stp>
        <stp>9128276Y Govt</stp>
        <stp>FIRST_CPN_DT</stp>
        <stp>[TREASURY.xlsx]Sheet1!R1542C9</stp>
        <tr r="I1542" s="1"/>
      </tp>
      <tp t="s">
        <v>10/31/2000</v>
        <stp/>
        <stp>##V3_BDPV12</stp>
        <stp>9128276C Govt</stp>
        <stp>FIRST_CPN_DT</stp>
        <stp>[TREASURY.xlsx]Sheet1!R1022C9</stp>
        <tr r="I1022" s="1"/>
      </tp>
      <tp t="s">
        <v>8/31/2002</v>
        <stp/>
        <stp>##V3_BDPV12</stp>
        <stp>9128277M Govt</stp>
        <stp>FIRST_CPN_DT</stp>
        <stp>[TREASURY.xlsx]Sheet1!R1472C9</stp>
        <tr r="I1472" s="1"/>
      </tp>
      <tp t="s">
        <v>3/31/1999</v>
        <stp/>
        <stp>##V3_BDPV12</stp>
        <stp>9128274R Govt</stp>
        <stp>FIRST_CPN_DT</stp>
        <stp>[TREASURY.xlsx]Sheet1!R1532C9</stp>
        <tr r="I1532" s="1"/>
      </tp>
      <tp t="s">
        <v>5/15/1999</v>
        <stp/>
        <stp>##V3_BDPV12</stp>
        <stp>9128274U Govt</stp>
        <stp>FIRST_CPN_DT</stp>
        <stp>[TREASURY.xlsx]Sheet1!R1012C9</stp>
        <tr r="I1012" s="1"/>
      </tp>
      <tp t="s">
        <v>2/15/1999</v>
        <stp/>
        <stp>##V3_BDPV12</stp>
        <stp>9128274N Govt</stp>
        <stp>FIRST_CPN_DT</stp>
        <stp>[TREASURY.xlsx]Sheet1!R1462C9</stp>
        <tr r="I1462" s="1"/>
      </tp>
      <tp t="s">
        <v>9/30/1998</v>
        <stp/>
        <stp>##V3_BDPV12</stp>
        <stp>9128274B Govt</stp>
        <stp>FIRST_CPN_DT</stp>
        <stp>[TREASURY.xlsx]Sheet1!R1362C9</stp>
        <tr r="I1362" s="1"/>
      </tp>
      <tp t="s">
        <v>#N/A N/A</v>
        <stp/>
        <stp>##V3_BDPV12</stp>
        <stp>912810EE Govt</stp>
        <stp>YLD_YTM_BID</stp>
        <stp>[TREASURY.xlsx]Sheet1!R503C4</stp>
        <tr r="D503" s="1"/>
      </tp>
      <tp>
        <v>2.375</v>
        <stp/>
        <stp>##V3_BDPV12</stp>
        <stp>9128286G Govt</stp>
        <stp>CPN</stp>
        <stp>[TREASURY.xlsx]Sheet1!R240C3</stp>
        <tr r="C240" s="1"/>
      </tp>
      <tp>
        <v>2.25</v>
        <stp/>
        <stp>##V3_BDPV12</stp>
        <stp>912828WG Govt</stp>
        <stp>CPN</stp>
        <stp>[TREASURY.xlsx]Sheet1!R370C3</stp>
        <tr r="C370" s="1"/>
      </tp>
      <tp>
        <v>2.375</v>
        <stp/>
        <stp>##V3_BDPV12</stp>
        <stp>9128284G Govt</stp>
        <stp>CPN</stp>
        <stp>[TREASURY.xlsx]Sheet1!R390C3</stp>
        <tr r="C390" s="1"/>
      </tp>
      <tp>
        <v>1.75</v>
        <stp/>
        <stp>##V3_BDPV12</stp>
        <stp>9128283G Govt</stp>
        <stp>CPN</stp>
        <stp>[TREASURY.xlsx]Sheet1!R380C3</stp>
        <tr r="C380" s="1"/>
      </tp>
      <tp>
        <v>0.625</v>
        <stp/>
        <stp>##V3_BDPV12</stp>
        <stp>912828ZE Govt</stp>
        <stp>CPN</stp>
        <stp>[TREASURY.xlsx]Sheet1!R112C3</stp>
        <tr r="C112" s="1"/>
      </tp>
      <tp>
        <v>4.5</v>
        <stp/>
        <stp>##V3_BDPV12</stp>
        <stp>912828EN Govt</stp>
        <stp>CPN</stp>
        <stp>[TREASURY.xlsx]Sheet1!R649C3</stp>
        <tr r="C649" s="1"/>
      </tp>
      <tp>
        <v>1.125</v>
        <stp/>
        <stp>##V3_BDPV12</stp>
        <stp>912828UF Govt</stp>
        <stp>CPN</stp>
        <stp>[TREASURY.xlsx]Sheet1!R671C3</stp>
        <tr r="C671" s="1"/>
      </tp>
      <tp>
        <v>1.25</v>
        <stp/>
        <stp>##V3_BDPV12</stp>
        <stp>912828SD Govt</stp>
        <stp>CPN</stp>
        <stp>[TREASURY.xlsx]Sheet1!R623C3</stp>
        <tr r="C623" s="1"/>
      </tp>
      <tp>
        <v>4.125</v>
        <stp/>
        <stp>##V3_BDPV12</stp>
        <stp>912828EC Govt</stp>
        <stp>CPN</stp>
        <stp>[TREASURY.xlsx]Sheet1!R794C3</stp>
        <tr r="C794" s="1"/>
      </tp>
      <tp>
        <v>6.375</v>
        <stp/>
        <stp>##V3_BDPV12</stp>
        <stp>912827UA Govt</stp>
        <stp>CPN</stp>
        <stp>[TREASURY.xlsx]Sheet1!R836C3</stp>
        <tr r="C836" s="1"/>
      </tp>
      <tp>
        <v>3.625</v>
        <stp/>
        <stp>##V3_BDPV12</stp>
        <stp>912828AA Govt</stp>
        <stp>CPN</stp>
        <stp>[TREASURY.xlsx]Sheet1!R426C3</stp>
        <tr r="C426" s="1"/>
      </tp>
      <tp>
        <v>0.875</v>
        <stp/>
        <stp>##V3_BDPV12</stp>
        <stp>912828KE Govt</stp>
        <stp>CPN</stp>
        <stp>[TREASURY.xlsx]Sheet1!R582C3</stp>
        <tr r="C582" s="1"/>
      </tp>
      <tp>
        <v>1.2735633421158374</v>
        <stp/>
        <stp>##V3_BDPV12</stp>
        <stp>912810FE Govt</stp>
        <stp>YLD_YTM_BID</stp>
        <stp>[TREASURY.xlsx]Sheet1!R253C4</stp>
        <tr r="D253" s="1"/>
      </tp>
      <tp>
        <v>1.8502133834309384</v>
        <stp/>
        <stp>##V3_BDPV12</stp>
        <stp>912810QB Govt</stp>
        <stp>YLD_YTM_BID</stp>
        <stp>[TREASURY.xlsx]Sheet1!R274C4</stp>
        <tr r="D274" s="1"/>
      </tp>
      <tp>
        <v>15</v>
        <stp/>
        <stp>##V3_BDPV12</stp>
        <stp>912827KN Govt</stp>
        <stp>CPN</stp>
        <stp>[TREASURY.xlsx]Sheet1!R569C3</stp>
        <tr r="C569" s="1"/>
      </tp>
      <tp>
        <v>1.125</v>
        <stp/>
        <stp>##V3_BDPV12</stp>
        <stp>912828KA Govt</stp>
        <stp>CPN</stp>
        <stp>[TREASURY.xlsx]Sheet1!R856C3</stp>
        <tr r="C856" s="1"/>
      </tp>
      <tp>
        <v>1.375</v>
        <stp/>
        <stp>##V3_BDPV12</stp>
        <stp>912828MG Govt</stp>
        <stp>CPN</stp>
        <stp>[TREASURY.xlsx]Sheet1!R860C3</stp>
        <tr r="C860" s="1"/>
      </tp>
      <tp>
        <v>0.25</v>
        <stp/>
        <stp>##V3_BDPV12</stp>
        <stp>912828VN Govt</stp>
        <stp>CPN</stp>
        <stp>[TREASURY.xlsx]Sheet1!R879C3</stp>
        <tr r="C879" s="1"/>
      </tp>
      <tp>
        <v>6.375</v>
        <stp/>
        <stp>##V3_BDPV12</stp>
        <stp>912827UC Govt</stp>
        <stp>CPN</stp>
        <stp>[TREASURY.xlsx]Sheet1!R754C3</stp>
        <tr r="C754" s="1"/>
      </tp>
      <tp>
        <v>2.625</v>
        <stp/>
        <stp>##V3_BDPV12</stp>
        <stp>912828QG Govt</stp>
        <stp>CPN</stp>
        <stp>[TREASURY.xlsx]Sheet1!R990C3</stp>
        <tr r="C990" s="1"/>
      </tp>
      <tp>
        <v>1.1318582663838335</v>
        <stp/>
        <stp>##V3_BDPV12</stp>
        <stp>91282CAD Govt</stp>
        <stp>YLD_YTM_BID</stp>
        <stp>[TREASURY.xlsx]Sheet1!R132C4</stp>
        <tr r="D132" s="1"/>
      </tp>
      <tp>
        <v>1.209553983437091</v>
        <stp/>
        <stp>##V3_BDPV12</stp>
        <stp>91282CBB Govt</stp>
        <stp>YLD_YTM_BID</stp>
        <stp>[TREASURY.xlsx]Sheet1!R114C4</stp>
        <tr r="D114" s="1"/>
      </tp>
      <tp t="s">
        <v>#N/A N/A</v>
        <stp/>
        <stp>##V3_BDPV12</stp>
        <stp>9128277B Govt</stp>
        <stp>YLD_YTM_BID</stp>
        <stp>[TREASURY.xlsx]Sheet1!R354C4</stp>
        <tr r="D354" s="1"/>
      </tp>
      <tp t="s">
        <v>#N/A N/A</v>
        <stp/>
        <stp>##V3_BDPV12</stp>
        <stp>912828HF Govt</stp>
        <stp>YLD_YTM_BID</stp>
        <stp>[TREASURY.xlsx]Sheet1!R970C4</stp>
        <tr r="D970" s="1"/>
      </tp>
      <tp t="s">
        <v>#N/A N/A</v>
        <stp/>
        <stp>##V3_BDPV12</stp>
        <stp>912828DF Govt</stp>
        <stp>YLD_YTM_BID</stp>
        <stp>[TREASURY.xlsx]Sheet1!R840C4</stp>
        <tr r="D840" s="1"/>
      </tp>
      <tp t="s">
        <v>#N/A N/A</v>
        <stp/>
        <stp>##V3_BDPV12</stp>
        <stp>912827RB Govt</stp>
        <stp>YLD_YTM_BID</stp>
        <stp>[TREASURY.xlsx]Sheet1!R744C4</stp>
        <tr r="D744" s="1"/>
      </tp>
      <tp t="s">
        <v>#N/A N/A</v>
        <stp/>
        <stp>##V3_BDPV12</stp>
        <stp>912828TD Govt</stp>
        <stp>YLD_YTM_BID</stp>
        <stp>[TREASURY.xlsx]Sheet1!R872C4</stp>
        <tr r="D872" s="1"/>
      </tp>
      <tp t="s">
        <v>#N/A N/A</v>
        <stp/>
        <stp>##V3_BDPV12</stp>
        <stp>912827VG Govt</stp>
        <stp>YLD_YTM_BID</stp>
        <stp>[TREASURY.xlsx]Sheet1!R761C4</stp>
        <tr r="D761" s="1"/>
      </tp>
      <tp t="s">
        <v>#N/A N/A</v>
        <stp/>
        <stp>##V3_BDPV12</stp>
        <stp>9128275E Govt</stp>
        <stp>YLD_YTM_BID</stp>
        <stp>[TREASURY.xlsx]Sheet1!R553C4</stp>
        <tr r="D553" s="1"/>
      </tp>
      <tp t="s">
        <v>#N/A N/A</v>
        <stp/>
        <stp>##V3_BDPV12</stp>
        <stp>912828SB Govt</stp>
        <stp>YLD_YTM_BID</stp>
        <stp>[TREASURY.xlsx]Sheet1!R564C4</stp>
        <tr r="D564" s="1"/>
      </tp>
      <tp t="s">
        <v>#N/A N/A</v>
        <stp/>
        <stp>##V3_BDPV12</stp>
        <stp>9128284C Govt</stp>
        <stp>YLD_YTM_BID</stp>
        <stp>[TREASURY.xlsx]Sheet1!R505C4</stp>
        <tr r="D505" s="1"/>
      </tp>
      <tp>
        <v>7.625</v>
        <stp/>
        <stp>##V3_BDPV12</stp>
        <stp>912810EN Govt</stp>
        <stp>CPN</stp>
        <stp>[TREASURY.xlsx]Sheet1!R319C3</stp>
        <tr r="C319" s="1"/>
      </tp>
      <tp t="s">
        <v>#N/A N/A</v>
        <stp/>
        <stp>##V3_BDPV12</stp>
        <stp>912828AD Govt</stp>
        <stp>YLD_YTM_BID</stp>
        <stp>[TREASURY.xlsx]Sheet1!R412C4</stp>
        <tr r="D412" s="1"/>
      </tp>
      <tp>
        <v>4.625</v>
        <stp/>
        <stp>##V3_BDPV12</stp>
        <stp>912810QE Govt</stp>
        <stp>CPN</stp>
        <stp>[TREASURY.xlsx]Sheet1!R302C3</stp>
        <tr r="C302" s="1"/>
      </tp>
      <tp t="s">
        <v>#N/A N/A</v>
        <stp/>
        <stp>##V3_BDPV12</stp>
        <stp>912827LA Govt</stp>
        <stp>YLD_YTM_BID</stp>
        <stp>[TREASURY.xlsx]Sheet1!R887C4</stp>
        <tr r="D887" s="1"/>
      </tp>
      <tp>
        <v>3</v>
        <stp/>
        <stp>##V3_BDPV12</stp>
        <stp>912810SA Govt</stp>
        <stp>CPN</stp>
        <stp>[TREASURY.xlsx]Sheet1!R146C3</stp>
        <tr r="C146" s="1"/>
      </tp>
      <tp>
        <v>3.375</v>
        <stp/>
        <stp>##V3_BDPV12</stp>
        <stp>912810SE Govt</stp>
        <stp>CPN</stp>
        <stp>[TREASURY.xlsx]Sheet1!R152C3</stp>
        <tr r="C152" s="1"/>
      </tp>
      <tp t="s">
        <v>#N/A N/A</v>
        <stp/>
        <stp>##V3_BDPV12</stp>
        <stp>912828RA Govt</stp>
        <stp>YLD_YTM_BID</stp>
        <stp>[TREASURY.xlsx]Sheet1!R677C4</stp>
        <tr r="D677" s="1"/>
      </tp>
      <tp t="s">
        <v>#N/A N/A</v>
        <stp/>
        <stp>##V3_BDPV12</stp>
        <stp>912828VE Govt</stp>
        <stp>YLD_YTM_BID</stp>
        <stp>[TREASURY.xlsx]Sheet1!R673C4</stp>
        <tr r="D673" s="1"/>
      </tp>
      <tp t="s">
        <v>#N/A N/A</v>
        <stp/>
        <stp>##V3_BDPV12</stp>
        <stp>912828WD Govt</stp>
        <stp>YLD_YTM_BID</stp>
        <stp>[TREASURY.xlsx]Sheet1!R682C4</stp>
        <tr r="D682" s="1"/>
      </tp>
      <tp t="s">
        <v>#N/A N/A</v>
        <stp/>
        <stp>##V3_BDPV12</stp>
        <stp>912828WF Govt</stp>
        <stp>YLD_YTM_BID</stp>
        <stp>[TREASURY.xlsx]Sheet1!R680C4</stp>
        <tr r="D680" s="1"/>
      </tp>
      <tp t="s">
        <v>#N/A N/A</v>
        <stp/>
        <stp>##V3_BDPV12</stp>
        <stp>912827YE Govt</stp>
        <stp>YLD_YTM_BID</stp>
        <stp>[TREASURY.xlsx]Sheet1!R943C4</stp>
        <tr r="D943" s="1"/>
      </tp>
      <tp>
        <v>0.50559327144253297</v>
        <stp/>
        <stp>##V3_BDPV12</stp>
        <stp>912828YE Govt</stp>
        <stp>YLD_YTM_BID</stp>
        <stp>[TREASURY.xlsx]Sheet1!R143C4</stp>
        <tr r="D143" s="1"/>
      </tp>
      <tp t="s">
        <v>#N/A N/A</v>
        <stp/>
        <stp>##V3_BDPV12</stp>
        <stp>912828CA Govt</stp>
        <stp>YLD_YTM_BID</stp>
        <stp>[TREASURY.xlsx]Sheet1!R337C4</stp>
        <tr r="D337" s="1"/>
      </tp>
      <tp t="s">
        <v>#N/A N/A</v>
        <stp/>
        <stp>##V3_BDPV12</stp>
        <stp>912828CC Govt</stp>
        <stp>YLD_YTM_BID</stp>
        <stp>[TREASURY.xlsx]Sheet1!R325C4</stp>
        <tr r="D325" s="1"/>
      </tp>
      <tp t="s">
        <v>#N/A N/A</v>
        <stp/>
        <stp>##V3_BDPV12</stp>
        <stp>912828PC Govt</stp>
        <stp>YLD_YTM_BID</stp>
        <stp>[TREASURY.xlsx]Sheet1!R365C4</stp>
        <tr r="D365" s="1"/>
      </tp>
      <tp t="s">
        <v>#N/A N/A</v>
        <stp/>
        <stp>##V3_BDPV12</stp>
        <stp>912828WN Govt</stp>
        <stp>YLD_YTM_BID</stp>
        <stp>[TREASURY.xlsx]Sheet1!R338C4</stp>
        <tr r="D338" s="1"/>
      </tp>
      <tp t="s">
        <v>#N/A N/A</v>
        <stp/>
        <stp>##V3_BDPV12</stp>
        <stp>912828XA Govt</stp>
        <stp>YLD_YTM_BID</stp>
        <stp>[TREASURY.xlsx]Sheet1!R377C4</stp>
        <tr r="D377" s="1"/>
      </tp>
      <tp t="s">
        <v>#N/A N/A</v>
        <stp/>
        <stp>##V3_BDPV12</stp>
        <stp>912828TC Govt</stp>
        <stp>YLD_YTM_BID</stp>
        <stp>[TREASURY.xlsx]Sheet1!R385C4</stp>
        <tr r="D385" s="1"/>
      </tp>
      <tp t="s">
        <v>#N/A N/A</v>
        <stp/>
        <stp>##V3_BDPV12</stp>
        <stp>912828UA Govt</stp>
        <stp>YLD_YTM_BID</stp>
        <stp>[TREASURY.xlsx]Sheet1!R387C4</stp>
        <tr r="D387" s="1"/>
      </tp>
      <tp t="s">
        <v>#N/A N/A</v>
        <stp/>
        <stp>##V3_BDPV12</stp>
        <stp>912828YC Govt</stp>
        <stp>YLD_YTM_BID</stp>
        <stp>[TREASURY.xlsx]Sheet1!R335C4</stp>
        <tr r="D335" s="1"/>
      </tp>
      <tp>
        <v>0.48166061283519157</v>
        <stp/>
        <stp>##V3_BDPV12</stp>
        <stp>9128282N Govt</stp>
        <stp>YLD_YTM_BID</stp>
        <stp>[TREASURY.xlsx]Sheet1!R258C4</stp>
        <tr r="D258" s="1"/>
      </tp>
      <tp>
        <v>0.19422166572148453</v>
        <stp/>
        <stp>##V3_BDPV12</stp>
        <stp>9128284D Govt</stp>
        <stp>YLD_YTM_BID</stp>
        <stp>[TREASURY.xlsx]Sheet1!R202C4</stp>
        <tr r="D202" s="1"/>
      </tp>
      <tp>
        <v>0.77506516558970806</v>
        <stp/>
        <stp>##V3_BDPV12</stp>
        <stp>9128285C Govt</stp>
        <stp>YLD_YTM_BID</stp>
        <stp>[TREASURY.xlsx]Sheet1!R205C4</stp>
        <tr r="D205" s="1"/>
      </tp>
      <tp t="s">
        <v>10/31/1982</v>
        <stp/>
        <stp>##V3_BDPV12</stp>
        <stp>912827NC Govt</stp>
        <stp>FIRST_CPN_DT</stp>
        <stp>[TREASURY.xlsx]Sheet1!R730C9</stp>
        <tr r="I730" s="1"/>
      </tp>
      <tp t="s">
        <v>12/31/1981</v>
        <stp/>
        <stp>##V3_BDPV12</stp>
        <stp>912827MA Govt</stp>
        <stp>FIRST_CPN_DT</stp>
        <stp>[TREASURY.xlsx]Sheet1!R720C9</stp>
        <tr r="I720" s="1"/>
      </tp>
      <tp t="s">
        <v>10/31/1980</v>
        <stp/>
        <stp>##V3_BDPV12</stp>
        <stp>912827KQ Govt</stp>
        <stp>FIRST_CPN_DT</stp>
        <stp>[TREASURY.xlsx]Sheet1!R710C9</stp>
        <tr r="I710" s="1"/>
      </tp>
      <tp t="s">
        <v>9/30/1992</v>
        <stp/>
        <stp>##V3_BDPV12</stp>
        <stp>912827E7 Govt</stp>
        <stp>FIRST_CPN_DT</stp>
        <stp>[TREASURY.xlsx]Sheet1!R590C9</stp>
        <tr r="I590" s="1"/>
      </tp>
      <tp t="s">
        <v>6/30/1992</v>
        <stp/>
        <stp>##V3_BDPV12</stp>
        <stp>912827D6 Govt</stp>
        <stp>FIRST_CPN_DT</stp>
        <stp>[TREASURY.xlsx]Sheet1!R700C9</stp>
        <tr r="I700" s="1"/>
      </tp>
      <tp t="s">
        <v>6/30/1981</v>
        <stp/>
        <stp>##V3_BDPV12</stp>
        <stp>912827LJ Govt</stp>
        <stp>FIRST_CPN_DT</stp>
        <stp>[TREASURY.xlsx]Sheet1!R890C9</stp>
        <tr r="I890" s="1"/>
      </tp>
      <tp t="s">
        <v>8/15/1994</v>
        <stp/>
        <stp>##V3_BDPV12</stp>
        <stp>912827N7 Govt</stp>
        <stp>FIRST_CPN_DT</stp>
        <stp>[TREASURY.xlsx]Sheet1!R900C9</stp>
        <tr r="I900" s="1"/>
      </tp>
      <tp t="s">
        <v>8/15/1985</v>
        <stp/>
        <stp>##V3_BDPV12</stp>
        <stp>912827RW Govt</stp>
        <stp>FIRST_CPN_DT</stp>
        <stp>[TREASURY.xlsx]Sheet1!R830C9</stp>
        <tr r="I830" s="1"/>
      </tp>
      <tp t="s">
        <v>2/28/1985</v>
        <stp/>
        <stp>##V3_BDPV12</stp>
        <stp>912827RD Govt</stp>
        <stp>FIRST_CPN_DT</stp>
        <stp>[TREASURY.xlsx]Sheet1!R910C9</stp>
        <tr r="I910" s="1"/>
      </tp>
      <tp t="s">
        <v>8/15/1989</v>
        <stp/>
        <stp>##V3_BDPV12</stp>
        <stp>912827XE Govt</stp>
        <stp>FIRST_CPN_DT</stp>
        <stp>[TREASURY.xlsx]Sheet1!R570C9</stp>
        <tr r="I570" s="1"/>
      </tp>
      <tp t="s">
        <v>2/15/1991</v>
        <stp/>
        <stp>##V3_BDPV12</stp>
        <stp>912827ZE Govt</stp>
        <stp>FIRST_CPN_DT</stp>
        <stp>[TREASURY.xlsx]Sheet1!R780C9</stp>
        <tr r="I780" s="1"/>
      </tp>
      <tp t="s">
        <v>5/15/1987</v>
        <stp/>
        <stp>##V3_BDPV12</stp>
        <stp>912827TZ Govt</stp>
        <stp>FIRST_CPN_DT</stp>
        <stp>[TREASURY.xlsx]Sheet1!R920C9</stp>
        <tr r="I920" s="1"/>
      </tp>
      <tp t="s">
        <v>8/15/1996</v>
        <stp/>
        <stp>##V3_BDPV12</stp>
        <stp>912827W8 Govt</stp>
        <stp>FIRST_CPN_DT</stp>
        <stp>[TREASURY.xlsx]Sheet1!R930C9</stp>
        <tr r="I930" s="1"/>
      </tp>
      <tp t="s">
        <v>11/30/1996</v>
        <stp/>
        <stp>##V3_BDPV12</stp>
        <stp>912827X9 Govt</stp>
        <stp>FIRST_CPN_DT</stp>
        <stp>[TREASURY.xlsx]Sheet1!R770C9</stp>
        <tr r="I770" s="1"/>
      </tp>
      <tp t="s">
        <v>12/31/1990</v>
        <stp/>
        <stp>##V3_BDPV12</stp>
        <stp>912827YZ Govt</stp>
        <stp>FIRST_CPN_DT</stp>
        <stp>[TREASURY.xlsx]Sheet1!R950C9</stp>
        <tr r="I950" s="1"/>
      </tp>
      <tp t="s">
        <v>1/15/1997</v>
        <stp/>
        <stp>##V3_BDPV12</stp>
        <stp>912827Y5 Govt</stp>
        <stp>FIRST_CPN_DT</stp>
        <stp>[TREASURY.xlsx]Sheet1!R940C9</stp>
        <tr r="I940" s="1"/>
      </tp>
      <tp t="s">
        <v>1/31/1988</v>
        <stp/>
        <stp>##V3_BDPV12</stp>
        <stp>912827VC Govt</stp>
        <stp>FIRST_CPN_DT</stp>
        <stp>[TREASURY.xlsx]Sheet1!R760C9</stp>
        <tr r="I760" s="1"/>
      </tp>
      <tp t="s">
        <v>11/15/1987</v>
        <stp/>
        <stp>##V3_BDPV12</stp>
        <stp>912827UW Govt</stp>
        <stp>FIRST_CPN_DT</stp>
        <stp>[TREASURY.xlsx]Sheet1!R460C9</stp>
        <tr r="I460" s="1"/>
      </tp>
      <tp t="s">
        <v>2/15/1987</v>
        <stp/>
        <stp>##V3_BDPV12</stp>
        <stp>912827TS Govt</stp>
        <stp>FIRST_CPN_DT</stp>
        <stp>[TREASURY.xlsx]Sheet1!R750C9</stp>
        <tr r="I750" s="1"/>
      </tp>
      <tp t="s">
        <v>5/31/1984</v>
        <stp/>
        <stp>##V3_BDPV12</stp>
        <stp>912827QE Govt</stp>
        <stp>FIRST_CPN_DT</stp>
        <stp>[TREASURY.xlsx]Sheet1!R740C9</stp>
        <tr r="I740" s="1"/>
      </tp>
      <tp t="s">
        <v>4/30/1999</v>
        <stp/>
        <stp>##V3_BDPV12</stp>
        <stp>9128274T Govt</stp>
        <stp>FIRST_CPN_DT</stp>
        <stp>[TREASURY.xlsx]Sheet1!R610C9</stp>
        <tr r="I610" s="1"/>
      </tp>
      <tp t="s">
        <v>8/15/1998</v>
        <stp/>
        <stp>##V3_BDPV12</stp>
        <stp>9128273X Govt</stp>
        <stp>FIRST_CPN_DT</stp>
        <stp>[TREASURY.xlsx]Sheet1!R500C9</stp>
        <tr r="I500" s="1"/>
      </tp>
      <tp t="s">
        <v>8/15/1990</v>
        <stp/>
        <stp>##V3_BDPV12</stp>
        <stp>912810EE Govt</stp>
        <stp>FIRST_CPN_DT</stp>
        <stp>[TREASURY.xlsx]Sheet1!R503C9</stp>
        <tr r="I503" s="1"/>
      </tp>
      <tp t="s">
        <v>2/15/1999</v>
        <stp/>
        <stp>##V3_BDPV12</stp>
        <stp>912810FE Govt</stp>
        <stp>FIRST_CPN_DT</stp>
        <stp>[TREASURY.xlsx]Sheet1!R253C9</stp>
        <tr r="I253" s="1"/>
      </tp>
      <tp t="s">
        <v>8/15/1999</v>
        <stp/>
        <stp>##V3_BDPV12</stp>
        <stp>912810FG Govt</stp>
        <stp>FIRST_CPN_DT</stp>
        <stp>[TREASURY.xlsx]Sheet1!R223C9</stp>
        <tr r="I223" s="1"/>
      </tp>
      <tp t="s">
        <v>8/15/1995</v>
        <stp/>
        <stp>##V3_BDPV12</stp>
        <stp>912810ET Govt</stp>
        <stp>FIRST_CPN_DT</stp>
        <stp>[TREASURY.xlsx]Sheet1!R313C9</stp>
        <tr r="I313" s="1"/>
      </tp>
      <tp t="s">
        <v>8/15/1997</v>
        <stp/>
        <stp>##V3_BDPV12</stp>
        <stp>912810EZ Govt</stp>
        <stp>FIRST_CPN_DT</stp>
        <stp>[TREASURY.xlsx]Sheet1!R323C9</stp>
        <tr r="I323" s="1"/>
      </tp>
      <tp t="s">
        <v>2/15/2016</v>
        <stp/>
        <stp>##V3_BDPV12</stp>
        <stp>912810RN Govt</stp>
        <stp>FIRST_CPN_DT</stp>
        <stp>[TREASURY.xlsx]Sheet1!R293C9</stp>
        <tr r="I293" s="1"/>
      </tp>
      <tp t="s">
        <v>2/15/2014</v>
        <stp/>
        <stp>##V3_BDPV12</stp>
        <stp>912810RC Govt</stp>
        <stp>FIRST_CPN_DT</stp>
        <stp>[TREASURY.xlsx]Sheet1!R263C9</stp>
        <tr r="I263" s="1"/>
      </tp>
      <tp t="s">
        <v>5/15/2018</v>
        <stp/>
        <stp>##V3_BDPV12</stp>
        <stp>912810RZ Govt</stp>
        <stp>FIRST_CPN_DT</stp>
        <stp>[TREASURY.xlsx]Sheet1!R273C9</stp>
        <tr r="I273" s="1"/>
      </tp>
      <tp t="s">
        <v>11/15/2018</v>
        <stp/>
        <stp>##V3_BDPV12</stp>
        <stp>912810SC Govt</stp>
        <stp>FIRST_CPN_DT</stp>
        <stp>[TREASURY.xlsx]Sheet1!R243C9</stp>
        <tr r="I243" s="1"/>
      </tp>
      <tp t="s">
        <v>2/15/2012</v>
        <stp/>
        <stp>##V3_BDPV12</stp>
        <stp>912810QS Govt</stp>
        <stp>FIRST_CPN_DT</stp>
        <stp>[TREASURY.xlsx]Sheet1!R303C9</stp>
        <tr r="I303" s="1"/>
      </tp>
      <tp t="s">
        <v>8/15/2015</v>
        <stp/>
        <stp>##V3_BDPV12</stp>
        <stp>912810RK Govt</stp>
        <stp>FIRST_CPN_DT</stp>
        <stp>[TREASURY.xlsx]Sheet1!R103C9</stp>
        <tr r="I103" s="1"/>
      </tp>
      <tp t="s">
        <v>11/15/2016</v>
        <stp/>
        <stp>##V3_BDPV12</stp>
        <stp>912810RS Govt</stp>
        <stp>FIRST_CPN_DT</stp>
        <stp>[TREASURY.xlsx]Sheet1!R163C9</stp>
        <tr r="I163" s="1"/>
      </tp>
      <tp t="s">
        <v>3/31/2016</v>
        <stp/>
        <stp>##V3_BDPV12</stp>
        <stp>912828L6 Govt</stp>
        <stp>FIRST_CPN_DT</stp>
        <stp>[TREASURY.xlsx]Sheet1!R430C9</stp>
        <tr r="I430" s="1"/>
      </tp>
      <tp t="s">
        <v>6/30/2016</v>
        <stp/>
        <stp>##V3_BDPV12</stp>
        <stp>912828N5 Govt</stp>
        <stp>FIRST_CPN_DT</stp>
        <stp>[TREASURY.xlsx]Sheet1!R600C9</stp>
        <tr r="I600" s="1"/>
      </tp>
      <tp t="s">
        <v>6/15/2016</v>
        <stp/>
        <stp>##V3_BDPV12</stp>
        <stp>912828N2 Govt</stp>
        <stp>FIRST_CPN_DT</stp>
        <stp>[TREASURY.xlsx]Sheet1!R440C9</stp>
        <tr r="I440" s="1"/>
      </tp>
      <tp t="s">
        <v>4/30/2004</v>
        <stp/>
        <stp>##V3_BDPV12</stp>
        <stp>912828BN Govt</stp>
        <stp>FIRST_CPN_DT</stp>
        <stp>[TREASURY.xlsx]Sheet1!R960C9</stp>
        <tr r="I960" s="1"/>
      </tp>
      <tp t="s">
        <v>2/28/2009</v>
        <stp/>
        <stp>##V3_BDPV12</stp>
        <stp>912828JJ Govt</stp>
        <stp>FIRST_CPN_DT</stp>
        <stp>[TREASURY.xlsx]Sheet1!R690C9</stp>
        <tr r="I690" s="1"/>
      </tp>
      <tp t="s">
        <v>6/30/2005</v>
        <stp/>
        <stp>##V3_BDPV12</stp>
        <stp>912828DF Govt</stp>
        <stp>FIRST_CPN_DT</stp>
        <stp>[TREASURY.xlsx]Sheet1!R840C9</stp>
        <tr r="I840" s="1"/>
      </tp>
      <tp t="s">
        <v>5/15/2008</v>
        <stp/>
        <stp>##V3_BDPV12</stp>
        <stp>912828HH Govt</stp>
        <stp>FIRST_CPN_DT</stp>
        <stp>[TREASURY.xlsx]Sheet1!R470C9</stp>
        <tr r="I470" s="1"/>
      </tp>
      <tp t="s">
        <v>10/31/2008</v>
        <stp/>
        <stp>##V3_BDPV12</stp>
        <stp>912828HY Govt</stp>
        <stp>FIRST_CPN_DT</stp>
        <stp>[TREASURY.xlsx]Sheet1!R450C9</stp>
        <tr r="I450" s="1"/>
      </tp>
      <tp t="s">
        <v>5/31/2016</v>
        <stp/>
        <stp>##V3_BDPV12</stp>
        <stp>912828M8 Govt</stp>
        <stp>FIRST_CPN_DT</stp>
        <stp>[TREASURY.xlsx]Sheet1!R150C9</stp>
        <tr r="I150" s="1"/>
      </tp>
      <tp t="s">
        <v>2/28/2007</v>
        <stp/>
        <stp>##V3_BDPV12</stp>
        <stp>912828FS Govt</stp>
        <stp>FIRST_CPN_DT</stp>
        <stp>[TREASURY.xlsx]Sheet1!R800C9</stp>
        <tr r="I800" s="1"/>
      </tp>
      <tp t="s">
        <v>10/31/2006</v>
        <stp/>
        <stp>##V3_BDPV12</stp>
        <stp>912828FD Govt</stp>
        <stp>FIRST_CPN_DT</stp>
        <stp>[TREASURY.xlsx]Sheet1!R650C9</stp>
        <tr r="I650" s="1"/>
      </tp>
      <tp t="s">
        <v>3/31/2008</v>
        <stp/>
        <stp>##V3_BDPV12</stp>
        <stp>912828HE Govt</stp>
        <stp>FIRST_CPN_DT</stp>
        <stp>[TREASURY.xlsx]Sheet1!R850C9</stp>
        <tr r="I850" s="1"/>
      </tp>
      <tp t="s">
        <v>4/30/2008</v>
        <stp/>
        <stp>##V3_BDPV12</stp>
        <stp>912828HF Govt</stp>
        <stp>FIRST_CPN_DT</stp>
        <stp>[TREASURY.xlsx]Sheet1!R970C9</stp>
        <tr r="I970" s="1"/>
      </tp>
      <tp t="s">
        <v>3/31/2009</v>
        <stp/>
        <stp>##V3_BDPV12</stp>
        <stp>912828JM Govt</stp>
        <stp>FIRST_CPN_DT</stp>
        <stp>[TREASURY.xlsx]Sheet1!R810C9</stp>
        <tr r="I810" s="1"/>
      </tp>
      <tp t="s">
        <v>11/15/2005</v>
        <stp/>
        <stp>##V3_BDPV12</stp>
        <stp>912828DV Govt</stp>
        <stp>FIRST_CPN_DT</stp>
        <stp>[TREASURY.xlsx]Sheet1!R620C9</stp>
        <tr r="I620" s="1"/>
      </tp>
      <tp t="s">
        <v>6/15/2015</v>
        <stp/>
        <stp>##V3_BDPV12</stp>
        <stp>912828G7 Govt</stp>
        <stp>FIRST_CPN_DT</stp>
        <stp>[TREASURY.xlsx]Sheet1!R560C9</stp>
        <tr r="I560" s="1"/>
      </tp>
      <tp t="s">
        <v>8/15/2014</v>
        <stp/>
        <stp>##V3_BDPV12</stp>
        <stp>912828B6 Govt</stp>
        <stp>FIRST_CPN_DT</stp>
        <stp>[TREASURY.xlsx]Sheet1!R110C9</stp>
        <tr r="I110" s="1"/>
      </tp>
      <tp t="s">
        <v>11/30/2004</v>
        <stp/>
        <stp>##V3_BDPV12</stp>
        <stp>912828CK Govt</stp>
        <stp>FIRST_CPN_DT</stp>
        <stp>[TREASURY.xlsx]Sheet1!R790C9</stp>
        <tr r="I790" s="1"/>
      </tp>
      <tp t="s">
        <v>12/31/2002</v>
        <stp/>
        <stp>##V3_BDPV12</stp>
        <stp>912828AE Govt</stp>
        <stp>FIRST_CPN_DT</stp>
        <stp>[TREASURY.xlsx]Sheet1!R530C9</stp>
        <tr r="I530" s="1"/>
      </tp>
      <tp t="s">
        <v>6/30/2014</v>
        <stp/>
        <stp>##V3_BDPV12</stp>
        <stp>912828A6 Govt</stp>
        <stp>FIRST_CPN_DT</stp>
        <stp>[TREASURY.xlsx]Sheet1!R580C9</stp>
        <tr r="I580" s="1"/>
      </tp>
      <tp t="s">
        <v>7/15/2010</v>
        <stp/>
        <stp>##V3_BDPV12</stp>
        <stp>912828MG Govt</stp>
        <stp>FIRST_CPN_DT</stp>
        <stp>[TREASURY.xlsx]Sheet1!R860C9</stp>
        <tr r="I860" s="1"/>
      </tp>
      <tp t="s">
        <v>7/31/2010</v>
        <stp/>
        <stp>##V3_BDPV12</stp>
        <stp>912828MJ Govt</stp>
        <stp>FIRST_CPN_DT</stp>
        <stp>[TREASURY.xlsx]Sheet1!R820C9</stp>
        <tr r="I820" s="1"/>
      </tp>
      <tp t="s">
        <v>5/31/2015</v>
        <stp/>
        <stp>##V3_BDPV12</stp>
        <stp>912828G5 Govt</stp>
        <stp>FIRST_CPN_DT</stp>
        <stp>[TREASURY.xlsx]Sheet1!R230C9</stp>
        <tr r="I230" s="1"/>
      </tp>
      <tp t="s">
        <v>2/15/2005</v>
        <stp/>
        <stp>##V3_BDPV12</stp>
        <stp>912828CR Govt</stp>
        <stp>FIRST_CPN_DT</stp>
        <stp>[TREASURY.xlsx]Sheet1!R510C9</stp>
        <tr r="I510" s="1"/>
      </tp>
      <tp t="s">
        <v>3/31/2011</v>
        <stp/>
        <stp>##V3_BDPV12</stp>
        <stp>912828NX Govt</stp>
        <stp>FIRST_CPN_DT</stp>
        <stp>[TREASURY.xlsx]Sheet1!R980C9</stp>
        <tr r="I980" s="1"/>
      </tp>
      <tp t="s">
        <v>7/15/2014</v>
        <stp/>
        <stp>##V3_BDPV12</stp>
        <stp>912828A9 Govt</stp>
        <stp>FIRST_CPN_DT</stp>
        <stp>[TREASURY.xlsx]Sheet1!R640C9</stp>
        <tr r="I640" s="1"/>
      </tp>
      <tp t="s">
        <v>10/31/2011</v>
        <stp/>
        <stp>##V3_BDPV12</stp>
        <stp>912828QG Govt</stp>
        <stp>FIRST_CPN_DT</stp>
        <stp>[TREASURY.xlsx]Sheet1!R990C9</stp>
        <tr r="I990" s="1"/>
      </tp>
      <tp t="s">
        <v>6/30/2020</v>
        <stp/>
        <stp>##V3_BDPV12</stp>
        <stp>912828YZ Govt</stp>
        <stp>FIRST_CPN_DT</stp>
        <stp>[TREASURY.xlsx]Sheet1!R170C9</stp>
        <tr r="I170" s="1"/>
      </tp>
      <tp t="s">
        <v>7/15/2020</v>
        <stp/>
        <stp>##V3_BDPV12</stp>
        <stp>912828Z2 Govt</stp>
        <stp>FIRST_CPN_DT</stp>
        <stp>[TREASURY.xlsx]Sheet1!R210C9</stp>
        <tr r="I210" s="1"/>
      </tp>
      <tp t="s">
        <v>8/31/2020</v>
        <stp/>
        <stp>##V3_BDPV12</stp>
        <stp>912828ZA Govt</stp>
        <stp>FIRST_CPN_DT</stp>
        <stp>[TREASURY.xlsx]Sheet1!R190C9</stp>
        <tr r="I190" s="1"/>
      </tp>
      <tp t="s">
        <v>11/30/2012</v>
        <stp/>
        <stp>##V3_BDPV12</stp>
        <stp>912828SX Govt</stp>
        <stp>FIRST_CPN_DT</stp>
        <stp>[TREASURY.xlsx]Sheet1!R870C9</stp>
        <tr r="I870" s="1"/>
      </tp>
      <tp t="s">
        <v>10/31/2017</v>
        <stp/>
        <stp>##V3_BDPV12</stp>
        <stp>912828X7 Govt</stp>
        <stp>FIRST_CPN_DT</stp>
        <stp>[TREASURY.xlsx]Sheet1!R300C9</stp>
        <tr r="I300" s="1"/>
      </tp>
      <tp t="s">
        <v>1/31/2014</v>
        <stp/>
        <stp>##V3_BDPV12</stp>
        <stp>912828VQ Govt</stp>
        <stp>FIRST_CPN_DT</stp>
        <stp>[TREASURY.xlsx]Sheet1!R880C9</stp>
        <tr r="I880" s="1"/>
      </tp>
      <tp t="s">
        <v>5/31/2013</v>
        <stp/>
        <stp>##V3_BDPV12</stp>
        <stp>912828UB Govt</stp>
        <stp>FIRST_CPN_DT</stp>
        <stp>[TREASURY.xlsx]Sheet1!R540C9</stp>
        <tr r="I540" s="1"/>
      </tp>
      <tp t="s">
        <v>8/31/2012</v>
        <stp/>
        <stp>##V3_BDPV12</stp>
        <stp>912828SH Govt</stp>
        <stp>FIRST_CPN_DT</stp>
        <stp>[TREASURY.xlsx]Sheet1!R360C9</stp>
        <tr r="I360" s="1"/>
      </tp>
      <tp t="s">
        <v>3/31/2013</v>
        <stp/>
        <stp>##V3_BDPV12</stp>
        <stp>912828TS Govt</stp>
        <stp>FIRST_CPN_DT</stp>
        <stp>[TREASURY.xlsx]Sheet1!R490C9</stp>
        <tr r="I490" s="1"/>
      </tp>
      <tp t="s">
        <v>12/31/2012</v>
        <stp/>
        <stp>##V3_BDPV12</stp>
        <stp>912828TA Govt</stp>
        <stp>FIRST_CPN_DT</stp>
        <stp>[TREASURY.xlsx]Sheet1!R520C9</stp>
        <tr r="I520" s="1"/>
      </tp>
      <tp t="s">
        <v>5/15/2014</v>
        <stp/>
        <stp>##V3_BDPV12</stp>
        <stp>912828WF Govt</stp>
        <stp>FIRST_CPN_DT</stp>
        <stp>[TREASURY.xlsx]Sheet1!R680C9</stp>
        <tr r="I680" s="1"/>
      </tp>
      <tp t="s">
        <v>11/15/2016</v>
        <stp/>
        <stp>##V3_BDPV12</stp>
        <stp>912828R3 Govt</stp>
        <stp>FIRST_CPN_DT</stp>
        <stp>[TREASURY.xlsx]Sheet1!R130C9</stp>
        <tr r="I130" s="1"/>
      </tp>
      <tp t="s">
        <v>9/15/2017</v>
        <stp/>
        <stp>##V3_BDPV12</stp>
        <stp>912828W6 Govt</stp>
        <stp>FIRST_CPN_DT</stp>
        <stp>[TREASURY.xlsx]Sheet1!R480C9</stp>
        <tr r="I480" s="1"/>
      </tp>
      <tp t="s">
        <v>10/31/2014</v>
        <stp/>
        <stp>##V3_BDPV12</stp>
        <stp>912828WG Govt</stp>
        <stp>FIRST_CPN_DT</stp>
        <stp>[TREASURY.xlsx]Sheet1!R370C9</stp>
        <tr r="I370" s="1"/>
      </tp>
      <tp t="s">
        <v>1/31/2015</v>
        <stp/>
        <stp>##V3_BDPV12</stp>
        <stp>912828WW Govt</stp>
        <stp>FIRST_CPN_DT</stp>
        <stp>[TREASURY.xlsx]Sheet1!R340C9</stp>
        <tr r="I340" s="1"/>
      </tp>
      <tp t="s">
        <v>11/30/2011</v>
        <stp/>
        <stp>##V3_BDPV12</stp>
        <stp>912828QP Govt</stp>
        <stp>FIRST_CPN_DT</stp>
        <stp>[TREASURY.xlsx]Sheet1!R550C9</stp>
        <tr r="I550" s="1"/>
      </tp>
      <tp t="s">
        <v>6/30/2017</v>
        <stp/>
        <stp>##V3_BDPV12</stp>
        <stp>912828V2 Govt</stp>
        <stp>FIRST_CPN_DT</stp>
        <stp>[TREASURY.xlsx]Sheet1!R250C9</stp>
        <tr r="I250" s="1"/>
      </tp>
      <tp t="s">
        <v>9/30/2012</v>
        <stp/>
        <stp>##V3_BDPV12</stp>
        <stp>912828SN Govt</stp>
        <stp>FIRST_CPN_DT</stp>
        <stp>[TREASURY.xlsx]Sheet1!R670C9</stp>
        <tr r="I670" s="1"/>
      </tp>
      <tp t="s">
        <v>5/31/2011</v>
        <stp/>
        <stp>##V3_BDPV12</stp>
        <stp>912828PJ Govt</stp>
        <stp>FIRST_CPN_DT</stp>
        <stp>[TREASURY.xlsx]Sheet1!R630C9</stp>
        <tr r="I630" s="1"/>
      </tp>
      <tp t="s">
        <v>5/31/2012</v>
        <stp/>
        <stp>##V3_BDPV12</stp>
        <stp>912828RT Govt</stp>
        <stp>FIRST_CPN_DT</stp>
        <stp>[TREASURY.xlsx]Sheet1!R420C9</stp>
        <tr r="I420" s="1"/>
      </tp>
      <tp t="s">
        <v>2/28/2017</v>
        <stp/>
        <stp>##V3_BDPV12</stp>
        <stp>9128282D Govt</stp>
        <stp>FIRST_CPN_DT</stp>
        <stp>[TREASURY.xlsx]Sheet1!R260C9</stp>
        <tr r="I260" s="1"/>
      </tp>
      <tp t="s">
        <v>6/15/2018</v>
        <stp/>
        <stp>##V3_BDPV12</stp>
        <stp>9128283L Govt</stp>
        <stp>FIRST_CPN_DT</stp>
        <stp>[TREASURY.xlsx]Sheet1!R350C9</stp>
        <tr r="I350" s="1"/>
      </tp>
      <tp t="s">
        <v>5/15/2018</v>
        <stp/>
        <stp>##V3_BDPV12</stp>
        <stp>9128283G Govt</stp>
        <stp>FIRST_CPN_DT</stp>
        <stp>[TREASURY.xlsx]Sheet1!R380C9</stp>
        <tr r="I380" s="1"/>
      </tp>
      <tp t="s">
        <v>5/31/2019</v>
        <stp/>
        <stp>##V3_BDPV12</stp>
        <stp>9128285Q Govt</stp>
        <stp>FIRST_CPN_DT</stp>
        <stp>[TREASURY.xlsx]Sheet1!R410C9</stp>
        <tr r="I410" s="1"/>
      </tp>
      <tp t="s">
        <v>2/28/2018</v>
        <stp/>
        <stp>##V3_BDPV12</stp>
        <stp>9128282T Govt</stp>
        <stp>FIRST_CPN_DT</stp>
        <stp>[TREASURY.xlsx]Sheet1!R330C9</stp>
        <tr r="I330" s="1"/>
      </tp>
      <tp t="s">
        <v>8/31/2019</v>
        <stp/>
        <stp>##V3_BDPV12</stp>
        <stp>9128286G Govt</stp>
        <stp>FIRST_CPN_DT</stp>
        <stp>[TREASURY.xlsx]Sheet1!R240C9</stp>
        <tr r="I240" s="1"/>
      </tp>
      <tp t="s">
        <v>6/30/2019</v>
        <stp/>
        <stp>##V3_BDPV12</stp>
        <stp>9128285U Govt</stp>
        <stp>FIRST_CPN_DT</stp>
        <stp>[TREASURY.xlsx]Sheet1!R160C9</stp>
        <tr r="I160" s="1"/>
      </tp>
      <tp t="s">
        <v>6/15/2019</v>
        <stp/>
        <stp>##V3_BDPV12</stp>
        <stp>9128285R Govt</stp>
        <stp>FIRST_CPN_DT</stp>
        <stp>[TREASURY.xlsx]Sheet1!R140C9</stp>
        <tr r="I140" s="1"/>
      </tp>
      <tp t="s">
        <v>12/31/2019</v>
        <stp/>
        <stp>##V3_BDPV12</stp>
        <stp>9128286Z Govt</stp>
        <stp>FIRST_CPN_DT</stp>
        <stp>[TREASURY.xlsx]Sheet1!R200C9</stp>
        <tr r="I200" s="1"/>
      </tp>
      <tp t="s">
        <v>5/31/2019</v>
        <stp/>
        <stp>##V3_BDPV12</stp>
        <stp>9128285N Govt</stp>
        <stp>FIRST_CPN_DT</stp>
        <stp>[TREASURY.xlsx]Sheet1!R290C9</stp>
        <tr r="I290" s="1"/>
      </tp>
      <tp t="s">
        <v>10/15/2018</v>
        <stp/>
        <stp>##V3_BDPV12</stp>
        <stp>9128284G Govt</stp>
        <stp>FIRST_CPN_DT</stp>
        <stp>[TREASURY.xlsx]Sheet1!R390C9</stp>
        <tr r="I390" s="1"/>
      </tp>
      <tp t="s">
        <v>7/31/2019</v>
        <stp/>
        <stp>##V3_BDPV12</stp>
        <stp>9128285Z Govt</stp>
        <stp>FIRST_CPN_DT</stp>
        <stp>[TREASURY.xlsx]Sheet1!R220C9</stp>
        <tr r="I220" s="1"/>
      </tp>
      <tp t="s">
        <v>UNITED STATES</v>
        <stp/>
        <stp>##V3_BDPV12</stp>
        <stp>912827UE Govt</stp>
        <stp>COUNTRY_FULL_NAME</stp>
        <stp>[TREASURY.xlsx]Sheet1!R1077C8</stp>
        <tr r="H1077" s="1"/>
      </tp>
      <tp t="s">
        <v>UNITED STATES</v>
        <stp/>
        <stp>##V3_BDPV12</stp>
        <stp>912827ZB Govt</stp>
        <stp>COUNTRY_FULL_NAME</stp>
        <stp>[TREASURY.xlsx]Sheet1!R1228C8</stp>
        <tr r="H1228" s="1"/>
      </tp>
      <tp t="s">
        <v>UNITED STATES</v>
        <stp/>
        <stp>##V3_BDPV12</stp>
        <stp>912828SC Govt</stp>
        <stp>COUNTRY_FULL_NAME</stp>
        <stp>[TREASURY.xlsx]Sheet1!R1141C8</stp>
        <tr r="H1141" s="1"/>
      </tp>
      <tp t="s">
        <v>UNITED STATES</v>
        <stp/>
        <stp>##V3_BDPV12</stp>
        <stp>912827TC Govt</stp>
        <stp>COUNTRY_FULL_NAME</stp>
        <stp>[TREASURY.xlsx]Sheet1!R1506C8</stp>
        <tr r="H1506" s="1"/>
      </tp>
      <tp t="s">
        <v>UNITED STATES</v>
        <stp/>
        <stp>##V3_BDPV12</stp>
        <stp>912827PA Govt</stp>
        <stp>COUNTRY_FULL_NAME</stp>
        <stp>[TREASURY.xlsx]Sheet1!R1172C8</stp>
        <tr r="H1172" s="1"/>
      </tp>
      <tp t="s">
        <v>UNITED STATES</v>
        <stp/>
        <stp>##V3_BDPV12</stp>
        <stp>912828WA Govt</stp>
        <stp>COUNTRY_FULL_NAME</stp>
        <stp>[TREASURY.xlsx]Sheet1!R1005C8</stp>
        <tr r="H1005" s="1"/>
      </tp>
      <tp t="s">
        <v>UNITED STATES</v>
        <stp/>
        <stp>##V3_BDPV12</stp>
        <stp>912828RN Govt</stp>
        <stp>COUNTRY_FULL_NAME</stp>
        <stp>[TREASURY.xlsx]Sheet1!R1140C8</stp>
        <tr r="H1140" s="1"/>
      </tp>
      <tp t="s">
        <v>UNITED STATES</v>
        <stp/>
        <stp>##V3_BDPV12</stp>
        <stp>912827RM Govt</stp>
        <stp>COUNTRY_FULL_NAME</stp>
        <stp>[TREASURY.xlsx]Sheet1!R1580C8</stp>
        <tr r="H1580" s="1"/>
      </tp>
      <tp t="s">
        <v>UNITED STATES</v>
        <stp/>
        <stp>##V3_BDPV12</stp>
        <stp>912828QK Govt</stp>
        <stp>COUNTRY_FULL_NAME</stp>
        <stp>[TREASURY.xlsx]Sheet1!R1263C8</stp>
        <tr r="H1263" s="1"/>
      </tp>
      <tp t="s">
        <v>UNITED STATES</v>
        <stp/>
        <stp>##V3_BDPV12</stp>
        <stp>912827PT Govt</stp>
        <stp>COUNTRY_FULL_NAME</stp>
        <stp>[TREASURY.xlsx]Sheet1!R1342C8</stp>
        <tr r="H1342" s="1"/>
      </tp>
      <tp t="s">
        <v>UNITED STATES</v>
        <stp/>
        <stp>##V3_BDPV12</stp>
        <stp>912828US Govt</stp>
        <stp>COUNTRY_FULL_NAME</stp>
        <stp>[TREASURY.xlsx]Sheet1!R1137C8</stp>
        <tr r="H1137" s="1"/>
      </tp>
      <tp t="s">
        <v>UNITED STATES</v>
        <stp/>
        <stp>##V3_BDPV12</stp>
        <stp>912827QS Govt</stp>
        <stp>COUNTRY_FULL_NAME</stp>
        <stp>[TREASURY.xlsx]Sheet1!R1393C8</stp>
        <tr r="H1393" s="1"/>
      </tp>
      <tp t="s">
        <v>UNITED STATES</v>
        <stp/>
        <stp>##V3_BDPV12</stp>
        <stp>912827US Govt</stp>
        <stp>COUNTRY_FULL_NAME</stp>
        <stp>[TREASURY.xlsx]Sheet1!R1407C8</stp>
        <tr r="H1407" s="1"/>
      </tp>
      <tp t="s">
        <v>UNITED STATES</v>
        <stp/>
        <stp>##V3_BDPV12</stp>
        <stp>912827VP Govt</stp>
        <stp>COUNTRY_FULL_NAME</stp>
        <stp>[TREASURY.xlsx]Sheet1!R1204C8</stp>
        <tr r="H1204" s="1"/>
      </tp>
      <tp t="s">
        <v>UNITED STATES</v>
        <stp/>
        <stp>##V3_BDPV12</stp>
        <stp>912827TX Govt</stp>
        <stp>COUNTRY_FULL_NAME</stp>
        <stp>[TREASURY.xlsx]Sheet1!R1196C8</stp>
        <tr r="H1196" s="1"/>
      </tp>
      <tp t="s">
        <v>UNITED STATES</v>
        <stp/>
        <stp>##V3_BDPV12</stp>
        <stp>912828VY Govt</stp>
        <stp>COUNTRY_FULL_NAME</stp>
        <stp>[TREASURY.xlsx]Sheet1!R1004C8</stp>
        <tr r="H1004" s="1"/>
      </tp>
      <tp t="s">
        <v>UNITED STATES</v>
        <stp/>
        <stp>##V3_BDPV12</stp>
        <stp>912827TY Govt</stp>
        <stp>COUNTRY_FULL_NAME</stp>
        <stp>[TREASURY.xlsx]Sheet1!R1076C8</stp>
        <tr r="H1076" s="1"/>
      </tp>
      <tp t="s">
        <v>UNITED STATES</v>
        <stp/>
        <stp>##V3_BDPV12</stp>
        <stp>912827V6 Govt</stp>
        <stp>COUNTRY_FULL_NAME</stp>
        <stp>[TREASURY.xlsx]Sheet1!R1084C8</stp>
        <tr r="H1084" s="1"/>
      </tp>
      <tp t="s">
        <v>UNITED STATES</v>
        <stp/>
        <stp>##V3_BDPV12</stp>
        <stp>912827Q6 Govt</stp>
        <stp>COUNTRY_FULL_NAME</stp>
        <stp>[TREASURY.xlsx]Sheet1!R1343C8</stp>
        <tr r="H1343" s="1"/>
      </tp>
      <tp t="s">
        <v>UNITED STATES</v>
        <stp/>
        <stp>##V3_BDPV12</stp>
        <stp>912827R6 Govt</stp>
        <stp>COUNTRY_FULL_NAME</stp>
        <stp>[TREASURY.xlsx]Sheet1!R1500C8</stp>
        <tr r="H1500" s="1"/>
      </tp>
      <tp t="s">
        <v>UNITED STATES</v>
        <stp/>
        <stp>##V3_BDPV12</stp>
        <stp>912827W6 Govt</stp>
        <stp>COUNTRY_FULL_NAME</stp>
        <stp>[TREASURY.xlsx]Sheet1!R1415C8</stp>
        <tr r="H1415" s="1"/>
      </tp>
      <tp t="s">
        <v>UNITED STATES</v>
        <stp/>
        <stp>##V3_BDPV12</stp>
        <stp>912827U5 Govt</stp>
        <stp>COUNTRY_FULL_NAME</stp>
        <stp>[TREASURY.xlsx]Sheet1!R1197C8</stp>
        <tr r="H1197" s="1"/>
      </tp>
      <tp t="s">
        <v>UNITED STATES</v>
        <stp/>
        <stp>##V3_BDPV12</stp>
        <stp>912827S2 Govt</stp>
        <stp>COUNTRY_FULL_NAME</stp>
        <stp>[TREASURY.xlsx]Sheet1!R1181C8</stp>
        <tr r="H1181" s="1"/>
      </tp>
      <tp t="s">
        <v>UNITED STATES</v>
        <stp/>
        <stp>##V3_BDPV12</stp>
        <stp>912827R3 Govt</stp>
        <stp>COUNTRY_FULL_NAME</stp>
        <stp>[TREASURY.xlsx]Sheet1!R1060C8</stp>
        <tr r="H1060" s="1"/>
      </tp>
      <tp t="s">
        <v>UNITED STATES</v>
        <stp/>
        <stp>##V3_BDPV12</stp>
        <stp>912827Z3 Govt</stp>
        <stp>COUNTRY_FULL_NAME</stp>
        <stp>[TREASURY.xlsx]Sheet1!R1608C8</stp>
        <tr r="H1608" s="1"/>
      </tp>
      <tp t="s">
        <v>UNITED STATES</v>
        <stp/>
        <stp>##V3_BDPV12</stp>
        <stp>912827P8 Govt</stp>
        <stp>COUNTRY_FULL_NAME</stp>
        <stp>[TREASURY.xlsx]Sheet1!R1492C8</stp>
        <tr r="H1492" s="1"/>
      </tp>
      <tp t="s">
        <v>UNITED STATES</v>
        <stp/>
        <stp>##V3_BDPV12</stp>
        <stp>912827Q9 Govt</stp>
        <stp>COUNTRY_FULL_NAME</stp>
        <stp>[TREASURY.xlsx]Sheet1!R1573C8</stp>
        <tr r="H1573" s="1"/>
      </tp>
      <tp t="s">
        <v>8/15/1985</v>
        <stp/>
        <stp>##V3_BDPV12</stp>
        <stp>912827RV Govt</stp>
        <stp>FIRST_CPN_DT</stp>
        <stp>[TREASURY.xlsx]Sheet1!R1582C9</stp>
        <tr r="I1582" s="1"/>
      </tp>
      <tp t="s">
        <v>3/31/1985</v>
        <stp/>
        <stp>##V3_BDPV12</stp>
        <stp>912827RH Govt</stp>
        <stp>FIRST_CPN_DT</stp>
        <stp>[TREASURY.xlsx]Sheet1!R1502C9</stp>
        <tr r="I1502" s="1"/>
      </tp>
      <tp t="s">
        <v>2/15/1985</v>
        <stp/>
        <stp>##V3_BDPV12</stp>
        <stp>912827RC Govt</stp>
        <stp>FIRST_CPN_DT</stp>
        <stp>[TREASURY.xlsx]Sheet1!R1062C9</stp>
        <tr r="I1062" s="1"/>
      </tp>
      <tp t="s">
        <v>7/31/1995</v>
        <stp/>
        <stp>##V3_BDPV12</stp>
        <stp>912827S6 Govt</stp>
        <stp>FIRST_CPN_DT</stp>
        <stp>[TREASURY.xlsx]Sheet1!R1182C9</stp>
        <tr r="I1182" s="1"/>
      </tp>
      <tp t="s">
        <v>1/31/1984</v>
        <stp/>
        <stp>##V3_BDPV12</stp>
        <stp>912827PT Govt</stp>
        <stp>FIRST_CPN_DT</stp>
        <stp>[TREASURY.xlsx]Sheet1!R1342C9</stp>
        <tr r="I1342" s="1"/>
      </tp>
      <tp t="s">
        <v>7/15/1983</v>
        <stp/>
        <stp>##V3_BDPV12</stp>
        <stp>912827PA Govt</stp>
        <stp>FIRST_CPN_DT</stp>
        <stp>[TREASURY.xlsx]Sheet1!R1172C9</stp>
        <tr r="I1172" s="1"/>
      </tp>
      <tp t="s">
        <v>11/15/1994</v>
        <stp/>
        <stp>##V3_BDPV12</stp>
        <stp>912827P8 Govt</stp>
        <stp>FIRST_CPN_DT</stp>
        <stp>[TREASURY.xlsx]Sheet1!R1492C9</stp>
        <tr r="I1492" s="1"/>
      </tp>
      <tp t="s">
        <v>4/15/1984</v>
        <stp/>
        <stp>##V3_BDPV12</stp>
        <stp>912827QA Govt</stp>
        <stp>FIRST_CPN_DT</stp>
        <stp>[TREASURY.xlsx]Sheet1!R1392C9</stp>
        <tr r="I1392" s="1"/>
      </tp>
      <tp t="s">
        <v>2/15/1995</v>
        <stp/>
        <stp>##V3_BDPV12</stp>
        <stp>912827Q8 Govt</stp>
        <stp>FIRST_CPN_DT</stp>
        <stp>[TREASURY.xlsx]Sheet1!R1572C9</stp>
        <tr r="I1572" s="1"/>
      </tp>
      <tp t="s">
        <v>1/31/2021</v>
        <stp/>
        <stp>##V3_BDPV12</stp>
        <stp>91282CAC Govt</stp>
        <stp>FIRST_CPN_DT</stp>
        <stp>[TREASURY.xlsx]Sheet1!R120C9</stp>
        <tr r="I120" s="1"/>
      </tp>
      <tp t="s">
        <v>7/31/1988</v>
        <stp/>
        <stp>##V3_BDPV12</stp>
        <stp>912827VU Govt</stp>
        <stp>FIRST_CPN_DT</stp>
        <stp>[TREASURY.xlsx]Sheet1!R1412C9</stp>
        <tr r="I1412" s="1"/>
      </tp>
      <tp t="s">
        <v>2/29/1996</v>
        <stp/>
        <stp>##V3_BDPV12</stp>
        <stp>912827V2 Govt</stp>
        <stp>FIRST_CPN_DT</stp>
        <stp>[TREASURY.xlsx]Sheet1!R1082C9</stp>
        <tr r="I1082" s="1"/>
      </tp>
      <tp t="s">
        <v>5/15/1989</v>
        <stp/>
        <stp>##V3_BDPV12</stp>
        <stp>912827WW Govt</stp>
        <stp>FIRST_CPN_DT</stp>
        <stp>[TREASURY.xlsx]Sheet1!R1592C9</stp>
        <tr r="I1592" s="1"/>
      </tp>
      <tp t="s">
        <v>4/30/1989</v>
        <stp/>
        <stp>##V3_BDPV12</stp>
        <stp>912827WU Govt</stp>
        <stp>FIRST_CPN_DT</stp>
        <stp>[TREASURY.xlsx]Sheet1!R1422C9</stp>
        <tr r="I1422" s="1"/>
      </tp>
      <tp t="s">
        <v>2/15/1989</v>
        <stp/>
        <stp>##V3_BDPV12</stp>
        <stp>912827WN Govt</stp>
        <stp>FIRST_CPN_DT</stp>
        <stp>[TREASURY.xlsx]Sheet1!R1092C9</stp>
        <tr r="I1092" s="1"/>
      </tp>
      <tp t="s">
        <v>1/31/1987</v>
        <stp/>
        <stp>##V3_BDPV12</stp>
        <stp>912827TW Govt</stp>
        <stp>FIRST_CPN_DT</stp>
        <stp>[TREASURY.xlsx]Sheet1!R1402C9</stp>
        <tr r="I1402" s="1"/>
      </tp>
      <tp t="s">
        <v>8/31/1986</v>
        <stp/>
        <stp>##V3_BDPV12</stp>
        <stp>912827TH Govt</stp>
        <stp>FIRST_CPN_DT</stp>
        <stp>[TREASURY.xlsx]Sheet1!R1192C9</stp>
        <tr r="I1192" s="1"/>
      </tp>
      <tp t="s">
        <v>6/30/1986</v>
        <stp/>
        <stp>##V3_BDPV12</stp>
        <stp>912827TB Govt</stp>
        <stp>FIRST_CPN_DT</stp>
        <stp>[TREASURY.xlsx]Sheet1!R1072C9</stp>
        <tr r="I1072" s="1"/>
      </tp>
      <tp t="s">
        <v>8/31/1987</v>
        <stp/>
        <stp>##V3_BDPV12</stp>
        <stp>912827UP Govt</stp>
        <stp>FIRST_CPN_DT</stp>
        <stp>[TREASURY.xlsx]Sheet1!R1202C9</stp>
        <tr r="I1202" s="1"/>
      </tp>
      <tp t="s">
        <v>4/15/1987</v>
        <stp/>
        <stp>##V3_BDPV12</stp>
        <stp>912827UD Govt</stp>
        <stp>FIRST_CPN_DT</stp>
        <stp>[TREASURY.xlsx]Sheet1!R1512C9</stp>
        <tr r="I1512" s="1"/>
      </tp>
      <tp t="s">
        <v>7/15/1991</v>
        <stp/>
        <stp>##V3_BDPV12</stp>
        <stp>912827ZT Govt</stp>
        <stp>FIRST_CPN_DT</stp>
        <stp>[TREASURY.xlsx]Sheet1!R1612C9</stp>
        <tr r="I1612" s="1"/>
      </tp>
      <tp t="s">
        <v>4/30/1997</v>
        <stp/>
        <stp>##V3_BDPV12</stp>
        <stp>912827Z8 Govt</stp>
        <stp>FIRST_CPN_DT</stp>
        <stp>[TREASURY.xlsx]Sheet1!R1102C9</stp>
        <tr r="I1102" s="1"/>
      </tp>
      <tp t="s">
        <v>10/31/1996</v>
        <stp/>
        <stp>##V3_BDPV12</stp>
        <stp>912827X6 Govt</stp>
        <stp>FIRST_CPN_DT</stp>
        <stp>[TREASURY.xlsx]Sheet1!R1212C9</stp>
        <tr r="I1212" s="1"/>
      </tp>
      <tp t="s">
        <v>7/15/1990</v>
        <stp/>
        <stp>##V3_BDPV12</stp>
        <stp>912827YK Govt</stp>
        <stp>FIRST_CPN_DT</stp>
        <stp>[TREASURY.xlsx]Sheet1!R1222C9</stp>
        <tr r="I1222" s="1"/>
      </tp>
      <tp t="s">
        <v>12/31/1996</v>
        <stp/>
        <stp>##V3_BDPV12</stp>
        <stp>912827Y4 Govt</stp>
        <stp>FIRST_CPN_DT</stp>
        <stp>[TREASURY.xlsx]Sheet1!R1602C9</stp>
        <tr r="I1602" s="1"/>
      </tp>
      <tp t="s">
        <v>2/15/1992</v>
        <stp/>
        <stp>##V3_BDPV12</stp>
        <stp>912827B9 Govt</stp>
        <stp>FIRST_CPN_DT</stp>
        <stp>[TREASURY.xlsx]Sheet1!R1552C9</stp>
        <tr r="I1552" s="1"/>
      </tp>
      <tp t="s">
        <v>11/15/1981</v>
        <stp/>
        <stp>##V3_BDPV12</stp>
        <stp>912810CU Govt</stp>
        <stp>FIRST_CPN_DT</stp>
        <stp>[TREASURY.xlsx]Sheet1!R1345C9</stp>
        <tr r="I1345" s="1"/>
      </tp>
      <tp t="s">
        <v>8/15/1980</v>
        <stp/>
        <stp>##V3_BDPV12</stp>
        <stp>912810CM Govt</stp>
        <stp>FIRST_CPN_DT</stp>
        <stp>[TREASURY.xlsx]Sheet1!R1515C9</stp>
        <tr r="I1515" s="1"/>
      </tp>
      <tp t="s">
        <v>4/30/1992</v>
        <stp/>
        <stp>##V3_BDPV12</stp>
        <stp>912827C8 Govt</stp>
        <stp>FIRST_CPN_DT</stp>
        <stp>[TREASURY.xlsx]Sheet1!R1482C9</stp>
        <tr r="I1482" s="1"/>
      </tp>
      <tp t="s">
        <v>11/15/1991</v>
        <stp/>
        <stp>##V3_BDPV12</stp>
        <stp>912827A8 Govt</stp>
        <stp>FIRST_CPN_DT</stp>
        <stp>[TREASURY.xlsx]Sheet1!R1032C9</stp>
        <tr r="I1032" s="1"/>
      </tp>
      <tp t="s">
        <v>11/15/1988</v>
        <stp/>
        <stp>##V3_BDPV12</stp>
        <stp>912810EA Govt</stp>
        <stp>FIRST_CPN_DT</stp>
        <stp>[TREASURY.xlsx]Sheet1!R1445C9</stp>
        <tr r="I1445" s="1"/>
      </tp>
      <tp t="s">
        <v>10/31/1992</v>
        <stp/>
        <stp>##V3_BDPV12</stp>
        <stp>912827E9 Govt</stp>
        <stp>FIRST_CPN_DT</stp>
        <stp>[TREASURY.xlsx]Sheet1!R1372C9</stp>
        <tr r="I1372" s="1"/>
      </tp>
      <tp t="s">
        <v>8/15/1993</v>
        <stp/>
        <stp>##V3_BDPV12</stp>
        <stp>912827J7 Govt</stp>
        <stp>FIRST_CPN_DT</stp>
        <stp>[TREASURY.xlsx]Sheet1!R1562C9</stp>
        <tr r="I1562" s="1"/>
      </tp>
      <tp t="s">
        <v>5/15/1981</v>
        <stp/>
        <stp>##V3_BDPV12</stp>
        <stp>912827KX Govt</stp>
        <stp>FIRST_CPN_DT</stp>
        <stp>[TREASURY.xlsx]Sheet1!R1162C9</stp>
        <tr r="I1162" s="1"/>
      </tp>
      <tp t="s">
        <v>3/31/1983</v>
        <stp/>
        <stp>##V3_BDPV12</stp>
        <stp>912827NR Govt</stp>
        <stp>FIRST_CPN_DT</stp>
        <stp>[TREASURY.xlsx]Sheet1!R1052C9</stp>
        <tr r="I1052" s="1"/>
      </tp>
      <tp t="s">
        <v>11/15/1982</v>
        <stp/>
        <stp>##V3_BDPV12</stp>
        <stp>912827NE Govt</stp>
        <stp>FIRST_CPN_DT</stp>
        <stp>[TREASURY.xlsx]Sheet1!R1332C9</stp>
        <tr r="I1332" s="1"/>
      </tp>
      <tp t="s">
        <v>11/15/1981</v>
        <stp/>
        <stp>##V3_BDPV12</stp>
        <stp>912827LQ Govt</stp>
        <stp>FIRST_CPN_DT</stp>
        <stp>[TREASURY.xlsx]Sheet1!R1322C9</stp>
        <tr r="I1322" s="1"/>
      </tp>
      <tp t="s">
        <v>6/30/1981</v>
        <stp/>
        <stp>##V3_BDPV12</stp>
        <stp>912827LK Govt</stp>
        <stp>FIRST_CPN_DT</stp>
        <stp>[TREASURY.xlsx]Sheet1!R1042C9</stp>
        <tr r="I1042" s="1"/>
      </tp>
      <tp t="s">
        <v>8/31/1982</v>
        <stp/>
        <stp>##V3_BDPV12</stp>
        <stp>912827MX Govt</stp>
        <stp>FIRST_CPN_DT</stp>
        <stp>[TREASURY.xlsx]Sheet1!R1382C9</stp>
        <tr r="I1382" s="1"/>
      </tp>
      <tp t="s">
        <v>11/15/1997</v>
        <stp/>
        <stp>##V3_BDPV12</stp>
        <stp>9128272T Govt</stp>
        <stp>FIRST_CPN_DT</stp>
        <stp>[TREASURY.xlsx]Sheet1!R1521C9</stp>
        <tr r="I1521" s="1"/>
      </tp>
      <tp t="s">
        <v>8/15/1997</v>
        <stp/>
        <stp>##V3_BDPV12</stp>
        <stp>9128272J Govt</stp>
        <stp>FIRST_CPN_DT</stp>
        <stp>[TREASURY.xlsx]Sheet1!R1451C9</stp>
        <tr r="I1451" s="1"/>
      </tp>
      <tp t="s">
        <v>7/31/1997</v>
        <stp/>
        <stp>##V3_BDPV12</stp>
        <stp>9128272F Govt</stp>
        <stp>FIRST_CPN_DT</stp>
        <stp>[TREASURY.xlsx]Sheet1!R1351C9</stp>
        <tr r="I1351" s="1"/>
      </tp>
      <tp t="s">
        <v>8/31/1998</v>
        <stp/>
        <stp>##V3_BDPV12</stp>
        <stp>9128273Z Govt</stp>
        <stp>FIRST_CPN_DT</stp>
        <stp>[TREASURY.xlsx]Sheet1!R1361C9</stp>
        <tr r="I1361" s="1"/>
      </tp>
      <tp t="s">
        <v>6/30/1998</v>
        <stp/>
        <stp>##V3_BDPV12</stp>
        <stp>9128273S Govt</stp>
        <stp>FIRST_CPN_DT</stp>
        <stp>[TREASURY.xlsx]Sheet1!R1531C9</stp>
        <tr r="I1531" s="1"/>
      </tp>
      <tp t="s">
        <v>2/28/1998</v>
        <stp/>
        <stp>##V3_BDPV12</stp>
        <stp>9128273G Govt</stp>
        <stp>FIRST_CPN_DT</stp>
        <stp>[TREASURY.xlsx]Sheet1!R1011C9</stp>
        <tr r="I1011" s="1"/>
      </tp>
      <tp t="s">
        <v>10/31/2001</v>
        <stp/>
        <stp>##V3_BDPV12</stp>
        <stp>9128276W Govt</stp>
        <stp>FIRST_CPN_DT</stp>
        <stp>[TREASURY.xlsx]Sheet1!R1541C9</stp>
        <tr r="I1541" s="1"/>
      </tp>
      <tp t="s">
        <v>9/30/2000</v>
        <stp/>
        <stp>##V3_BDPV12</stp>
        <stp>9128276B Govt</stp>
        <stp>FIRST_CPN_DT</stp>
        <stp>[TREASURY.xlsx]Sheet1!R1021C9</stp>
        <tr r="I1021" s="1"/>
      </tp>
      <tp t="s">
        <v>5/31/2002</v>
        <stp/>
        <stp>##V3_BDPV12</stp>
        <stp>9128277G Govt</stp>
        <stp>FIRST_CPN_DT</stp>
        <stp>[TREASURY.xlsx]Sheet1!R1471C9</stp>
        <tr r="I1471" s="1"/>
      </tp>
      <tp t="s">
        <v>1/31/1999</v>
        <stp/>
        <stp>##V3_BDPV12</stp>
        <stp>9128274M Govt</stp>
        <stp>FIRST_CPN_DT</stp>
        <stp>[TREASURY.xlsx]Sheet1!R1461C9</stp>
        <tr r="I1461" s="1"/>
      </tp>
      <tp>
        <v>0.125</v>
        <stp/>
        <stp>##V3_BDPV12</stp>
        <stp>91282CAG Govt</stp>
        <stp>CPN</stp>
        <stp>[TREASURY.xlsx]Sheet1!R133C3</stp>
        <tr r="C133" s="1"/>
      </tp>
      <tp t="s">
        <v>#N/A N/A</v>
        <stp/>
        <stp>##V3_BDPV12</stp>
        <stp>912810CC Govt</stp>
        <stp>YLD_YTM_BID</stp>
        <stp>[TREASURY.xlsx]Sheet1!R526C4</stp>
        <tr r="D526" s="1"/>
      </tp>
      <tp>
        <v>1.375</v>
        <stp/>
        <stp>##V3_BDPV12</stp>
        <stp>9128282D Govt</stp>
        <stp>CPN</stp>
        <stp>[TREASURY.xlsx]Sheet1!R260C3</stp>
        <tr r="C260" s="1"/>
      </tp>
      <tp>
        <v>2.625</v>
        <stp/>
        <stp>##V3_BDPV12</stp>
        <stp>9128286A Govt</stp>
        <stp>CPN</stp>
        <stp>[TREASURY.xlsx]Sheet1!R265C3</stp>
        <tr r="C265" s="1"/>
      </tp>
      <tp>
        <v>4.5</v>
        <stp/>
        <stp>##V3_BDPV12</stp>
        <stp>912828GM Govt</stp>
        <stp>CPN</stp>
        <stp>[TREASURY.xlsx]Sheet1!R379C3</stp>
        <tr r="C379" s="1"/>
      </tp>
      <tp>
        <v>1.875</v>
        <stp/>
        <stp>##V3_BDPV12</stp>
        <stp>9128287B Govt</stp>
        <stp>CPN</stp>
        <stp>[TREASURY.xlsx]Sheet1!R306C3</stp>
        <tr r="C306" s="1"/>
      </tp>
      <tp>
        <v>4.875</v>
        <stp/>
        <stp>##V3_BDPV12</stp>
        <stp>912828FD Govt</stp>
        <stp>CPN</stp>
        <stp>[TREASURY.xlsx]Sheet1!R650C3</stp>
        <tr r="C650" s="1"/>
      </tp>
      <tp>
        <v>1.3904929655769096</v>
        <stp/>
        <stp>##V3_BDPV12</stp>
        <stp>912810FM Govt</stp>
        <stp>YLD_YTM_BID</stp>
        <stp>[TREASURY.xlsx]Sheet1!R188C4</stp>
        <tr r="D188" s="1"/>
      </tp>
      <tp>
        <v>12.375</v>
        <stp/>
        <stp>##V3_BDPV12</stp>
        <stp>912827RD Govt</stp>
        <stp>CPN</stp>
        <stp>[TREASURY.xlsx]Sheet1!R910C3</stp>
        <tr r="C910" s="1"/>
      </tp>
      <tp>
        <v>2.083330657951231</v>
        <stp/>
        <stp>##V3_BDPV12</stp>
        <stp>912810SD Govt</stp>
        <stp>YLD_YTM_BID</stp>
        <stp>[TREASURY.xlsx]Sheet1!R181C4</stp>
        <tr r="D181" s="1"/>
      </tp>
      <tp>
        <v>1.1007455018369352</v>
        <stp/>
        <stp>##V3_BDPV12</stp>
        <stp>912810FA Govt</stp>
        <stp>YLD_YTM_BID</stp>
        <stp>[TREASURY.xlsx]Sheet1!R314C4</stp>
        <tr r="D314" s="1"/>
      </tp>
      <tp>
        <v>1.8775364784114523</v>
        <stp/>
        <stp>##V3_BDPV12</stp>
        <stp>912810QD Govt</stp>
        <stp>YLD_YTM_BID</stp>
        <stp>[TREASURY.xlsx]Sheet1!R311C4</stp>
        <tr r="D311" s="1"/>
      </tp>
      <tp>
        <v>0.25</v>
        <stp/>
        <stp>##V3_BDPV12</stp>
        <stp>912828VC Govt</stp>
        <stp>CPN</stp>
        <stp>[TREASURY.xlsx]Sheet1!R577C3</stp>
        <tr r="C577" s="1"/>
      </tp>
      <tp>
        <v>16.25</v>
        <stp/>
        <stp>##V3_BDPV12</stp>
        <stp>912827MF Govt</stp>
        <stp>CPN</stp>
        <stp>[TREASURY.xlsx]Sheet1!R722C3</stp>
        <tr r="C722" s="1"/>
      </tp>
      <tp>
        <v>14.375</v>
        <stp/>
        <stp>##V3_BDPV12</stp>
        <stp>912827KM Govt</stp>
        <stp>CPN</stp>
        <stp>[TREASURY.xlsx]Sheet1!R709C3</stp>
        <tr r="C709" s="1"/>
      </tp>
      <tp>
        <v>1.875</v>
        <stp/>
        <stp>##V3_BDPV12</stp>
        <stp>912828KF Govt</stp>
        <stp>CPN</stp>
        <stp>[TREASURY.xlsx]Sheet1!R812C3</stp>
        <tr r="C812" s="1"/>
      </tp>
      <tp>
        <v>9.75</v>
        <stp/>
        <stp>##V3_BDPV12</stp>
        <stp>912827SC Govt</stp>
        <stp>CPN</stp>
        <stp>[TREASURY.xlsx]Sheet1!R747C3</stp>
        <tr r="C747" s="1"/>
      </tp>
      <tp>
        <v>9.375</v>
        <stp/>
        <stp>##V3_BDPV12</stp>
        <stp>912827PL Govt</stp>
        <stp>CPN</stp>
        <stp>[TREASURY.xlsx]Sheet1!R738C3</stp>
        <tr r="C738" s="1"/>
      </tp>
      <tp>
        <v>0.625</v>
        <stp/>
        <stp>##V3_BDPV12</stp>
        <stp>912828VL Govt</stp>
        <stp>CPN</stp>
        <stp>[TREASURY.xlsx]Sheet1!R878C3</stp>
        <tr r="C878" s="1"/>
      </tp>
      <tp>
        <v>9</v>
        <stp/>
        <stp>##V3_BDPV12</stp>
        <stp>912827WE Govt</stp>
        <stp>CPN</stp>
        <stp>[TREASURY.xlsx]Sheet1!R601C3</stp>
        <tr r="C601" s="1"/>
      </tp>
      <tp>
        <v>5.25</v>
        <stp/>
        <stp>##V3_BDPV12</stp>
        <stp>9128275F Govt</stp>
        <stp>CPN</stp>
        <stp>[TREASURY.xlsx]Sheet1!R662C3</stp>
        <tr r="C662" s="1"/>
      </tp>
      <tp t="s">
        <v>#N/A N/A</v>
        <stp/>
        <stp>##V3_BDPV12</stp>
        <stp>912828JD Govt</stp>
        <stp>YLD_YTM_BID</stp>
        <stp>[TREASURY.xlsx]Sheet1!R971C4</stp>
        <tr r="D971" s="1"/>
      </tp>
      <tp t="s">
        <v>#N/A N/A</v>
        <stp/>
        <stp>##V3_BDPV12</stp>
        <stp>912827ND Govt</stp>
        <stp>YLD_YTM_BID</stp>
        <stp>[TREASURY.xlsx]Sheet1!R731C4</stp>
        <tr r="D731" s="1"/>
      </tp>
      <tp t="s">
        <v>#N/A N/A</v>
        <stp/>
        <stp>##V3_BDPV12</stp>
        <stp>912828HE Govt</stp>
        <stp>YLD_YTM_BID</stp>
        <stp>[TREASURY.xlsx]Sheet1!R850C4</stp>
        <tr r="D850" s="1"/>
      </tp>
      <tp t="s">
        <v>#N/A N/A</v>
        <stp/>
        <stp>##V3_BDPV12</stp>
        <stp>912827SM Govt</stp>
        <stp>YLD_YTM_BID</stp>
        <stp>[TREASURY.xlsx]Sheet1!R748C4</stp>
        <tr r="D748" s="1"/>
      </tp>
      <tp t="s">
        <v>#N/A N/A</v>
        <stp/>
        <stp>##V3_BDPV12</stp>
        <stp>912827QE Govt</stp>
        <stp>YLD_YTM_BID</stp>
        <stp>[TREASURY.xlsx]Sheet1!R740C4</stp>
        <tr r="D740" s="1"/>
      </tp>
      <tp t="s">
        <v>#N/A N/A</v>
        <stp/>
        <stp>##V3_BDPV12</stp>
        <stp>912827ZE Govt</stp>
        <stp>YLD_YTM_BID</stp>
        <stp>[TREASURY.xlsx]Sheet1!R780C4</stp>
        <tr r="D780" s="1"/>
      </tp>
      <tp t="s">
        <v>#N/A N/A</v>
        <stp/>
        <stp>##V3_BDPV12</stp>
        <stp>912827PC Govt</stp>
        <stp>YLD_YTM_BID</stp>
        <stp>[TREASURY.xlsx]Sheet1!R736C4</stp>
        <tr r="D736" s="1"/>
      </tp>
      <tp t="s">
        <v>#N/A N/A</v>
        <stp/>
        <stp>##V3_BDPV12</stp>
        <stp>912827XE Govt</stp>
        <stp>YLD_YTM_BID</stp>
        <stp>[TREASURY.xlsx]Sheet1!R570C4</stp>
        <tr r="D570" s="1"/>
      </tp>
      <tp>
        <v>5.25</v>
        <stp/>
        <stp>##V3_BDPV12</stp>
        <stp>912810FG Govt</stp>
        <stp>CPN</stp>
        <stp>[TREASURY.xlsx]Sheet1!R223C3</stp>
        <tr r="C223" s="1"/>
      </tp>
      <tp t="s">
        <v>#N/A N/A</v>
        <stp/>
        <stp>##V3_BDPV12</stp>
        <stp>912828AE Govt</stp>
        <stp>YLD_YTM_BID</stp>
        <stp>[TREASURY.xlsx]Sheet1!R530C4</stp>
        <tr r="D530" s="1"/>
      </tp>
      <tp>
        <v>5.25</v>
        <stp/>
        <stp>##V3_BDPV12</stp>
        <stp>912810FF Govt</stp>
        <stp>CPN</stp>
        <stp>[TREASURY.xlsx]Sheet1!R292C3</stp>
        <tr r="C292" s="1"/>
      </tp>
      <tp t="s">
        <v>#N/A N/A</v>
        <stp/>
        <stp>##V3_BDPV12</stp>
        <stp>912828NG Govt</stp>
        <stp>YLD_YTM_BID</stp>
        <stp>[TREASURY.xlsx]Sheet1!R562C4</stp>
        <tr r="D562" s="1"/>
      </tp>
      <tp t="s">
        <v>#N/A N/A</v>
        <stp/>
        <stp>##V3_BDPV12</stp>
        <stp>912828TL Govt</stp>
        <stp>YLD_YTM_BID</stp>
        <stp>[TREASURY.xlsx]Sheet1!R409C4</stp>
        <tr r="D409" s="1"/>
      </tp>
      <tp t="s">
        <v>#N/A N/A</v>
        <stp/>
        <stp>##V3_BDPV12</stp>
        <stp>912828WB Govt</stp>
        <stp>YLD_YTM_BID</stp>
        <stp>[TREASURY.xlsx]Sheet1!R457C4</stp>
        <tr r="D457" s="1"/>
      </tp>
      <tp t="s">
        <v>#N/A N/A</v>
        <stp/>
        <stp>##V3_BDPV12</stp>
        <stp>912828DD Govt</stp>
        <stp>YLD_YTM_BID</stp>
        <stp>[TREASURY.xlsx]Sheet1!R791C4</stp>
        <tr r="D791" s="1"/>
      </tp>
      <tp t="s">
        <v>#N/A N/A</v>
        <stp/>
        <stp>##V3_BDPV12</stp>
        <stp>912827TA Govt</stp>
        <stp>YLD_YTM_BID</stp>
        <stp>[TREASURY.xlsx]Sheet1!R834C4</stp>
        <tr r="D834" s="1"/>
      </tp>
      <tp t="s">
        <v>#N/A N/A</v>
        <stp/>
        <stp>##V3_BDPV12</stp>
        <stp>912828TB Govt</stp>
        <stp>YLD_YTM_BID</stp>
        <stp>[TREASURY.xlsx]Sheet1!R637C4</stp>
        <tr r="D637" s="1"/>
      </tp>
      <tp>
        <v>0.18519042657472926</v>
        <stp/>
        <stp>##V3_BDPV12</stp>
        <stp>912828ZD Govt</stp>
        <stp>YLD_YTM_BID</stp>
        <stp>[TREASURY.xlsx]Sheet1!R121C4</stp>
        <tr r="D121" s="1"/>
      </tp>
      <tp>
        <v>0.10731697485013317</v>
        <stp/>
        <stp>##V3_BDPV12</stp>
        <stp>9128283C Govt</stp>
        <stp>YLD_YTM_BID</stp>
        <stp>[TREASURY.xlsx]Sheet1!R186C4</stp>
        <tr r="D186" s="1"/>
      </tp>
      <tp>
        <v>6.7466309465865903E-2</v>
        <stp/>
        <stp>##V3_BDPV12</stp>
        <stp>9128286M Govt</stp>
        <stp>YLD_YTM_BID</stp>
        <stp>[TREASURY.xlsx]Sheet1!R218C4</stp>
        <tr r="D218" s="1"/>
      </tp>
      <tp>
        <v>0.54016194333390433</v>
        <stp/>
        <stp>##V3_BDPV12</stp>
        <stp>9128283D Govt</stp>
        <stp>YLD_YTM_BID</stp>
        <stp>[TREASURY.xlsx]Sheet1!R231C4</stp>
        <tr r="D231" s="1"/>
      </tp>
      <tp>
        <v>0.21073566694468984</v>
        <stp/>
        <stp>##V3_BDPV12</stp>
        <stp>9128284L Govt</stp>
        <stp>YLD_YTM_BID</stp>
        <stp>[TREASURY.xlsx]Sheet1!R299C4</stp>
        <tr r="D299" s="1"/>
      </tp>
      <tp t="s">
        <v>5/15/1983</v>
        <stp/>
        <stp>##V3_BDPV12</stp>
        <stp>912827NP Govt</stp>
        <stp>FIRST_CPN_DT</stp>
        <stp>[TREASURY.xlsx]Sheet1!R733C9</stp>
        <tr r="I733" s="1"/>
      </tp>
      <tp t="s">
        <v>8/15/1982</v>
        <stp/>
        <stp>##V3_BDPV12</stp>
        <stp>912827MQ Govt</stp>
        <stp>FIRST_CPN_DT</stp>
        <stp>[TREASURY.xlsx]Sheet1!R723C9</stp>
        <tr r="I723" s="1"/>
      </tp>
      <tp t="s">
        <v>2/28/1981</v>
        <stp/>
        <stp>##V3_BDPV12</stp>
        <stp>912827KZ Govt</stp>
        <stp>FIRST_CPN_DT</stp>
        <stp>[TREASURY.xlsx]Sheet1!R713C9</stp>
        <tr r="I713" s="1"/>
      </tp>
      <tp t="s">
        <v>12/31/1980</v>
        <stp/>
        <stp>##V3_BDPV12</stp>
        <stp>912827KU Govt</stp>
        <stp>FIRST_CPN_DT</stp>
        <stp>[TREASURY.xlsx]Sheet1!R683C9</stp>
        <tr r="I683" s="1"/>
      </tp>
      <tp t="s">
        <v>1/31/1993</v>
        <stp/>
        <stp>##V3_BDPV12</stp>
        <stp>912827G3 Govt</stp>
        <stp>FIRST_CPN_DT</stp>
        <stp>[TREASURY.xlsx]Sheet1!R703C9</stp>
        <tr r="I703" s="1"/>
      </tp>
      <tp t="s">
        <v>10/31/1992</v>
        <stp/>
        <stp>##V3_BDPV12</stp>
        <stp>912827F2 Govt</stp>
        <stp>FIRST_CPN_DT</stp>
        <stp>[TREASURY.xlsx]Sheet1!R663C9</stp>
        <tr r="I663" s="1"/>
      </tp>
      <tp t="s">
        <v>11/30/1981</v>
        <stp/>
        <stp>##V3_BDPV12</stp>
        <stp>912827LX Govt</stp>
        <stp>FIRST_CPN_DT</stp>
        <stp>[TREASURY.xlsx]Sheet1!R893C9</stp>
        <tr r="I893" s="1"/>
      </tp>
      <tp t="s">
        <v>11/30/1983</v>
        <stp/>
        <stp>##V3_BDPV12</stp>
        <stp>912827PN Govt</stp>
        <stp>FIRST_CPN_DT</stp>
        <stp>[TREASURY.xlsx]Sheet1!R903C9</stp>
        <tr r="I903" s="1"/>
      </tp>
      <tp t="s">
        <v>6/30/1985</v>
        <stp/>
        <stp>##V3_BDPV12</stp>
        <stp>912827RS Govt</stp>
        <stp>FIRST_CPN_DT</stp>
        <stp>[TREASURY.xlsx]Sheet1!R913C9</stp>
        <tr r="I913" s="1"/>
      </tp>
      <tp t="s">
        <v>8/31/1995</v>
        <stp/>
        <stp>##V3_BDPV12</stp>
        <stp>912827T2 Govt</stp>
        <stp>FIRST_CPN_DT</stp>
        <stp>[TREASURY.xlsx]Sheet1!R833C9</stp>
        <tr r="I833" s="1"/>
      </tp>
      <tp t="s">
        <v>6/30/1991</v>
        <stp/>
        <stp>##V3_BDPV12</stp>
        <stp>912827ZR Govt</stp>
        <stp>FIRST_CPN_DT</stp>
        <stp>[TREASURY.xlsx]Sheet1!R783C9</stp>
        <tr r="I783" s="1"/>
      </tp>
      <tp t="s">
        <v>3/31/1989</v>
        <stp/>
        <stp>##V3_BDPV12</stp>
        <stp>912827WR Govt</stp>
        <stp>FIRST_CPN_DT</stp>
        <stp>[TREASURY.xlsx]Sheet1!R933C9</stp>
        <tr r="I933" s="1"/>
      </tp>
      <tp t="s">
        <v>10/15/1989</v>
        <stp/>
        <stp>##V3_BDPV12</stp>
        <stp>912827XK Govt</stp>
        <stp>FIRST_CPN_DT</stp>
        <stp>[TREASURY.xlsx]Sheet1!R773C9</stp>
        <tr r="I773" s="1"/>
      </tp>
      <tp t="s">
        <v>5/31/1996</v>
        <stp/>
        <stp>##V3_BDPV12</stp>
        <stp>912827V9 Govt</stp>
        <stp>FIRST_CPN_DT</stp>
        <stp>[TREASURY.xlsx]Sheet1!R923C9</stp>
        <tr r="I923" s="1"/>
      </tp>
      <tp t="s">
        <v>5/15/1990</v>
        <stp/>
        <stp>##V3_BDPV12</stp>
        <stp>912827YE Govt</stp>
        <stp>FIRST_CPN_DT</stp>
        <stp>[TREASURY.xlsx]Sheet1!R943C9</stp>
        <tr r="I943" s="1"/>
      </tp>
      <tp t="s">
        <v>8/15/1988</v>
        <stp/>
        <stp>##V3_BDPV12</stp>
        <stp>912827VQ Govt</stp>
        <stp>FIRST_CPN_DT</stp>
        <stp>[TREASURY.xlsx]Sheet1!R763C9</stp>
        <tr r="I763" s="1"/>
      </tp>
      <tp t="s">
        <v>3/31/1987</v>
        <stp/>
        <stp>##V3_BDPV12</stp>
        <stp>912827UB Govt</stp>
        <stp>FIRST_CPN_DT</stp>
        <stp>[TREASURY.xlsx]Sheet1!R753C9</stp>
        <tr r="I753" s="1"/>
      </tp>
      <tp t="s">
        <v>5/31/1991</v>
        <stp/>
        <stp>##V3_BDPV12</stp>
        <stp>912827ZP Govt</stp>
        <stp>FIRST_CPN_DT</stp>
        <stp>[TREASURY.xlsx]Sheet1!R953C9</stp>
        <tr r="I953" s="1"/>
      </tp>
      <tp t="s">
        <v>2/28/1995</v>
        <stp/>
        <stp>##V3_BDPV12</stp>
        <stp>912827R2 Govt</stp>
        <stp>FIRST_CPN_DT</stp>
        <stp>[TREASURY.xlsx]Sheet1!R743C9</stp>
        <tr r="I743" s="1"/>
      </tp>
      <tp t="s">
        <v>10/31/1999</v>
        <stp/>
        <stp>##V3_BDPV12</stp>
        <stp>9128275E Govt</stp>
        <stp>FIRST_CPN_DT</stp>
        <stp>[TREASURY.xlsx]Sheet1!R553C9</stp>
        <tr r="I553" s="1"/>
      </tp>
      <tp t="s">
        <v>7/31/2000</v>
        <stp/>
        <stp>##V3_BDPV12</stp>
        <stp>9128275X Govt</stp>
        <stp>FIRST_CPN_DT</stp>
        <stp>[TREASURY.xlsx]Sheet1!R633C9</stp>
        <tr r="I633" s="1"/>
      </tp>
      <tp t="s">
        <v>8/15/1991</v>
        <stp/>
        <stp>##V3_BDPV12</stp>
        <stp>912810EH Govt</stp>
        <stp>FIRST_CPN_DT</stp>
        <stp>[TREASURY.xlsx]Sheet1!R400C9</stp>
        <tr r="I400" s="1"/>
      </tp>
      <tp t="s">
        <v>5/15/1998</v>
        <stp/>
        <stp>##V3_BDPV12</stp>
        <stp>912810FB Govt</stp>
        <stp>FIRST_CPN_DT</stp>
        <stp>[TREASURY.xlsx]Sheet1!R320C9</stp>
        <tr r="I320" s="1"/>
      </tp>
      <tp t="s">
        <v>5/15/1981</v>
        <stp/>
        <stp>##V3_BDPV12</stp>
        <stp>912810CS Govt</stp>
        <stp>FIRST_CPN_DT</stp>
        <stp>[TREASURY.xlsx]Sheet1!R660C9</stp>
        <tr r="I660" s="1"/>
      </tp>
      <tp t="s">
        <v>11/15/2020</v>
        <stp/>
        <stp>##V3_BDPV12</stp>
        <stp>912810SR Govt</stp>
        <stp>FIRST_CPN_DT</stp>
        <stp>[TREASURY.xlsx]Sheet1!R100C9</stp>
        <tr r="I100" s="1"/>
      </tp>
      <tp t="s">
        <v>8/15/2013</v>
        <stp/>
        <stp>##V3_BDPV12</stp>
        <stp>912810QZ Govt</stp>
        <stp>FIRST_CPN_DT</stp>
        <stp>[TREASURY.xlsx]Sheet1!R310C9</stp>
        <tr r="I310" s="1"/>
      </tp>
      <tp t="s">
        <v>5/15/2015</v>
        <stp/>
        <stp>##V3_BDPV12</stp>
        <stp>912810RJ Govt</stp>
        <stp>FIRST_CPN_DT</stp>
        <stp>[TREASURY.xlsx]Sheet1!R180C9</stp>
        <tr r="I180" s="1"/>
      </tp>
      <tp t="s">
        <v>8/15/2009</v>
        <stp/>
        <stp>##V3_BDPV12</stp>
        <stp>912810QA Govt</stp>
        <stp>FIRST_CPN_DT</stp>
        <stp>[TREASURY.xlsx]Sheet1!R280C9</stp>
        <tr r="I280" s="1"/>
      </tp>
      <tp t="s">
        <v>5/15/2013</v>
        <stp/>
        <stp>##V3_BDPV12</stp>
        <stp>912810QY Govt</stp>
        <stp>FIRST_CPN_DT</stp>
        <stp>[TREASURY.xlsx]Sheet1!R270C9</stp>
        <tr r="I270" s="1"/>
      </tp>
      <tp t="s">
        <v>8/31/2010</v>
        <stp/>
        <stp>##V3_BDPV12</stp>
        <stp>912828MQ Govt</stp>
        <stp>FIRST_CPN_DT</stp>
        <stp>[TREASURY.xlsx]Sheet1!R483C9</stp>
        <tr r="I483" s="1"/>
      </tp>
      <tp t="s">
        <v>5/31/2016</v>
        <stp/>
        <stp>##V3_BDPV12</stp>
        <stp>912828M7 Govt</stp>
        <stp>FIRST_CPN_DT</stp>
        <stp>[TREASURY.xlsx]Sheet1!R443C9</stp>
        <tr r="I443" s="1"/>
      </tp>
      <tp t="s">
        <v>6/30/2016</v>
        <stp/>
        <stp>##V3_BDPV12</stp>
        <stp>912828N4 Govt</stp>
        <stp>FIRST_CPN_DT</stp>
        <stp>[TREASURY.xlsx]Sheet1!R463C9</stp>
        <tr r="I463" s="1"/>
      </tp>
      <tp t="s">
        <v>6/30/2009</v>
        <stp/>
        <stp>##V3_BDPV12</stp>
        <stp>912828JW Govt</stp>
        <stp>FIRST_CPN_DT</stp>
        <stp>[TREASURY.xlsx]Sheet1!R643C9</stp>
        <tr r="I643" s="1"/>
      </tp>
      <tp t="s">
        <v>6/30/2008</v>
        <stp/>
        <stp>##V3_BDPV12</stp>
        <stp>912828HM Govt</stp>
        <stp>FIRST_CPN_DT</stp>
        <stp>[TREASURY.xlsx]Sheet1!R573C9</stp>
        <tr r="I573" s="1"/>
      </tp>
      <tp t="s">
        <v>8/31/2005</v>
        <stp/>
        <stp>##V3_BDPV12</stp>
        <stp>912828DN Govt</stp>
        <stp>FIRST_CPN_DT</stp>
        <stp>[TREASURY.xlsx]Sheet1!R963C9</stp>
        <tr r="I963" s="1"/>
      </tp>
      <tp t="s">
        <v>2/29/2016</v>
        <stp/>
        <stp>##V3_BDPV12</stp>
        <stp>912828L2 Govt</stp>
        <stp>FIRST_CPN_DT</stp>
        <stp>[TREASURY.xlsx]Sheet1!R173C9</stp>
        <tr r="I173" s="1"/>
      </tp>
      <tp t="s">
        <v>7/31/2016</v>
        <stp/>
        <stp>##V3_BDPV12</stp>
        <stp>912828N8 Govt</stp>
        <stp>FIRST_CPN_DT</stp>
        <stp>[TREASURY.xlsx]Sheet1!R343C9</stp>
        <tr r="I343" s="1"/>
      </tp>
      <tp t="s">
        <v>11/30/2006</v>
        <stp/>
        <stp>##V3_BDPV12</stp>
        <stp>912828FH Govt</stp>
        <stp>FIRST_CPN_DT</stp>
        <stp>[TREASURY.xlsx]Sheet1!R843C9</stp>
        <tr r="I843" s="1"/>
      </tp>
      <tp t="s">
        <v>11/15/2009</v>
        <stp/>
        <stp>##V3_BDPV12</stp>
        <stp>912828KQ Govt</stp>
        <stp>FIRST_CPN_DT</stp>
        <stp>[TREASURY.xlsx]Sheet1!R583C9</stp>
        <tr r="I583" s="1"/>
      </tp>
      <tp t="s">
        <v>8/31/2015</v>
        <stp/>
        <stp>##V3_BDPV12</stp>
        <stp>912828J5 Govt</stp>
        <stp>FIRST_CPN_DT</stp>
        <stp>[TREASURY.xlsx]Sheet1!R403C9</stp>
        <tr r="I403" s="1"/>
      </tp>
      <tp t="s">
        <v>10/31/2007</v>
        <stp/>
        <stp>##V3_BDPV12</stp>
        <stp>912828GP Govt</stp>
        <stp>FIRST_CPN_DT</stp>
        <stp>[TREASURY.xlsx]Sheet1!R803C9</stp>
        <tr r="I803" s="1"/>
      </tp>
      <tp t="s">
        <v>5/15/2010</v>
        <stp/>
        <stp>##V3_BDPV12</stp>
        <stp>912828LY Govt</stp>
        <stp>FIRST_CPN_DT</stp>
        <stp>[TREASURY.xlsx]Sheet1!R353C9</stp>
        <tr r="I353" s="1"/>
      </tp>
      <tp t="s">
        <v>11/15/2004</v>
        <stp/>
        <stp>##V3_BDPV12</stp>
        <stp>912828CJ Govt</stp>
        <stp>FIRST_CPN_DT</stp>
        <stp>[TREASURY.xlsx]Sheet1!R393C9</stp>
        <tr r="I393" s="1"/>
      </tp>
      <tp t="s">
        <v>12/31/2008</v>
        <stp/>
        <stp>##V3_BDPV12</stp>
        <stp>912828JC Govt</stp>
        <stp>FIRST_CPN_DT</stp>
        <stp>[TREASURY.xlsx]Sheet1!R853C9</stp>
        <tr r="I853" s="1"/>
      </tp>
      <tp t="s">
        <v>9/30/2009</v>
        <stp/>
        <stp>##V3_BDPV12</stp>
        <stp>912828KT Govt</stp>
        <stp>FIRST_CPN_DT</stp>
        <stp>[TREASURY.xlsx]Sheet1!R973C9</stp>
        <tr r="I973" s="1"/>
      </tp>
      <tp t="s">
        <v>2/28/2015</v>
        <stp/>
        <stp>##V3_BDPV12</stp>
        <stp>912828D6 Govt</stp>
        <stp>FIRST_CPN_DT</stp>
        <stp>[TREASURY.xlsx]Sheet1!R613C9</stp>
        <tr r="I613" s="1"/>
      </tp>
      <tp t="s">
        <v>11/30/2009</v>
        <stp/>
        <stp>##V3_BDPV12</stp>
        <stp>912828KU Govt</stp>
        <stp>FIRST_CPN_DT</stp>
        <stp>[TREASURY.xlsx]Sheet1!R813C9</stp>
        <tr r="I813" s="1"/>
      </tp>
      <tp t="s">
        <v>11/30/2005</v>
        <stp/>
        <stp>##V3_BDPV12</stp>
        <stp>912828DW Govt</stp>
        <stp>FIRST_CPN_DT</stp>
        <stp>[TREASURY.xlsx]Sheet1!R793C9</stp>
        <tr r="I793" s="1"/>
      </tp>
      <tp t="s">
        <v>8/31/2010</v>
        <stp/>
        <stp>##V3_BDPV12</stp>
        <stp>912828MR Govt</stp>
        <stp>FIRST_CPN_DT</stp>
        <stp>[TREASURY.xlsx]Sheet1!R823C9</stp>
        <tr r="I823" s="1"/>
      </tp>
      <tp t="s">
        <v>3/31/2005</v>
        <stp/>
        <stp>##V3_BDPV12</stp>
        <stp>912828CW Govt</stp>
        <stp>FIRST_CPN_DT</stp>
        <stp>[TREASURY.xlsx]Sheet1!R603C9</stp>
        <tr r="I603" s="1"/>
      </tp>
      <tp t="s">
        <v>12/31/2010</v>
        <stp/>
        <stp>##V3_BDPV12</stp>
        <stp>912828NL Govt</stp>
        <stp>FIRST_CPN_DT</stp>
        <stp>[TREASURY.xlsx]Sheet1!R863C9</stp>
        <tr r="I863" s="1"/>
      </tp>
      <tp t="s">
        <v>4/15/2004</v>
        <stp/>
        <stp>##V3_BDPV12</stp>
        <stp>912828BM Govt</stp>
        <stp>FIRST_CPN_DT</stp>
        <stp>[TREASURY.xlsx]Sheet1!R453C9</stp>
        <tr r="I453" s="1"/>
      </tp>
      <tp t="s">
        <v>12/31/2004</v>
        <stp/>
        <stp>##V3_BDPV12</stp>
        <stp>912828CM Govt</stp>
        <stp>FIRST_CPN_DT</stp>
        <stp>[TREASURY.xlsx]Sheet1!R493C9</stp>
        <tr r="I493" s="1"/>
      </tp>
      <tp t="s">
        <v>3/31/2004</v>
        <stp/>
        <stp>##V3_BDPV12</stp>
        <stp>912828BL Govt</stp>
        <stp>FIRST_CPN_DT</stp>
        <stp>[TREASURY.xlsx]Sheet1!R513C9</stp>
        <tr r="I513" s="1"/>
      </tp>
      <tp t="s">
        <v>6/30/2004</v>
        <stp/>
        <stp>##V3_BDPV12</stp>
        <stp>912828BU Govt</stp>
        <stp>FIRST_CPN_DT</stp>
        <stp>[TREASURY.xlsx]Sheet1!R533C9</stp>
        <tr r="I533" s="1"/>
      </tp>
      <tp t="s">
        <v>2/29/2020</v>
        <stp/>
        <stp>##V3_BDPV12</stp>
        <stp>912828YE Govt</stp>
        <stp>FIRST_CPN_DT</stp>
        <stp>[TREASURY.xlsx]Sheet1!R143C9</stp>
        <tr r="I143" s="1"/>
      </tp>
      <tp t="s">
        <v>2/15/2020</v>
        <stp/>
        <stp>##V3_BDPV12</stp>
        <stp>912828YA Govt</stp>
        <stp>FIRST_CPN_DT</stp>
        <stp>[TREASURY.xlsx]Sheet1!R183C9</stp>
        <tr r="I183" s="1"/>
      </tp>
      <tp t="s">
        <v>4/30/2020</v>
        <stp/>
        <stp>##V3_BDPV12</stp>
        <stp>912828YM Govt</stp>
        <stp>FIRST_CPN_DT</stp>
        <stp>[TREASURY.xlsx]Sheet1!R113C9</stp>
        <tr r="I113" s="1"/>
      </tp>
      <tp t="s">
        <v>6/15/2011</v>
        <stp/>
        <stp>##V3_BDPV12</stp>
        <stp>912828PL Govt</stp>
        <stp>FIRST_CPN_DT</stp>
        <stp>[TREASURY.xlsx]Sheet1!R983C9</stp>
        <tr r="I983" s="1"/>
      </tp>
      <tp t="s">
        <v>11/30/2017</v>
        <stp/>
        <stp>##V3_BDPV12</stp>
        <stp>912828XR Govt</stp>
        <stp>FIRST_CPN_DT</stp>
        <stp>[TREASURY.xlsx]Sheet1!R203C9</stp>
        <tr r="I203" s="1"/>
      </tp>
      <tp t="s">
        <v>3/31/2012</v>
        <stp/>
        <stp>##V3_BDPV12</stp>
        <stp>912828RJ Govt</stp>
        <stp>FIRST_CPN_DT</stp>
        <stp>[TREASURY.xlsx]Sheet1!R993C9</stp>
        <tr r="I993" s="1"/>
      </tp>
      <tp t="s">
        <v>11/15/2020</v>
        <stp/>
        <stp>##V3_BDPV12</stp>
        <stp>912828ZP Govt</stp>
        <stp>FIRST_CPN_DT</stp>
        <stp>[TREASURY.xlsx]Sheet1!R153C9</stp>
        <tr r="I153" s="1"/>
      </tp>
      <tp t="s">
        <v>2/28/2013</v>
        <stp/>
        <stp>##V3_BDPV12</stp>
        <stp>912828TM Govt</stp>
        <stp>FIRST_CPN_DT</stp>
        <stp>[TREASURY.xlsx]Sheet1!R873C9</stp>
        <tr r="I873" s="1"/>
      </tp>
      <tp t="s">
        <v>12/31/2018</v>
        <stp/>
        <stp>##V3_BDPV12</stp>
        <stp>912828XY Govt</stp>
        <stp>FIRST_CPN_DT</stp>
        <stp>[TREASURY.xlsx]Sheet1!R473C9</stp>
        <tr r="I473" s="1"/>
      </tp>
      <tp t="s">
        <v>11/30/2013</v>
        <stp/>
        <stp>##V3_BDPV12</stp>
        <stp>912828VE Govt</stp>
        <stp>FIRST_CPN_DT</stp>
        <stp>[TREASURY.xlsx]Sheet1!R673C9</stp>
        <tr r="I673" s="1"/>
      </tp>
      <tp t="s">
        <v>12/31/2017</v>
        <stp/>
        <stp>##V3_BDPV12</stp>
        <stp>912828XV Govt</stp>
        <stp>FIRST_CPN_DT</stp>
        <stp>[TREASURY.xlsx]Sheet1!R883C9</stp>
        <tr r="I883" s="1"/>
      </tp>
      <tp t="s">
        <v>2/15/2012</v>
        <stp/>
        <stp>##V3_BDPV12</stp>
        <stp>912828RC Govt</stp>
        <stp>FIRST_CPN_DT</stp>
        <stp>[TREASURY.xlsx]Sheet1!R333C9</stp>
        <tr r="I333" s="1"/>
      </tp>
      <tp t="s">
        <v>11/30/2016</v>
        <stp/>
        <stp>##V3_BDPV12</stp>
        <stp>912828R7 Govt</stp>
        <stp>FIRST_CPN_DT</stp>
        <stp>[TREASURY.xlsx]Sheet1!R383C9</stp>
        <tr r="I383" s="1"/>
      </tp>
      <tp t="s">
        <v>12/31/2014</v>
        <stp/>
        <stp>##V3_BDPV12</stp>
        <stp>912828WS Govt</stp>
        <stp>FIRST_CPN_DT</stp>
        <stp>[TREASURY.xlsx]Sheet1!R543C9</stp>
        <tr r="I543" s="1"/>
      </tp>
      <tp t="s">
        <v>9/30/2013</v>
        <stp/>
        <stp>##V3_BDPV12</stp>
        <stp>912828UV Govt</stp>
        <stp>FIRST_CPN_DT</stp>
        <stp>[TREASURY.xlsx]Sheet1!R693C9</stp>
        <tr r="I693" s="1"/>
      </tp>
      <tp t="s">
        <v>9/30/2017</v>
        <stp/>
        <stp>##V3_BDPV12</stp>
        <stp>912828W9 Govt</stp>
        <stp>FIRST_CPN_DT</stp>
        <stp>[TREASURY.xlsx]Sheet1!R363C9</stp>
        <tr r="I363" s="1"/>
      </tp>
      <tp t="s">
        <v>7/31/2012</v>
        <stp/>
        <stp>##V3_BDPV12</stp>
        <stp>912828SD Govt</stp>
        <stp>FIRST_CPN_DT</stp>
        <stp>[TREASURY.xlsx]Sheet1!R623C9</stp>
        <tr r="I623" s="1"/>
      </tp>
      <tp t="s">
        <v>6/30/2011</v>
        <stp/>
        <stp>##V3_BDPV12</stp>
        <stp>912828PM Govt</stp>
        <stp>FIRST_CPN_DT</stp>
        <stp>[TREASURY.xlsx]Sheet1!R593C9</stp>
        <tr r="I593" s="1"/>
      </tp>
      <tp t="s">
        <v>11/30/2012</v>
        <stp/>
        <stp>##V3_BDPV12</stp>
        <stp>912828SW Govt</stp>
        <stp>FIRST_CPN_DT</stp>
        <stp>[TREASURY.xlsx]Sheet1!R653C9</stp>
        <tr r="I653" s="1"/>
      </tp>
      <tp t="s">
        <v>9/30/2016</v>
        <stp/>
        <stp>##V3_BDPV12</stp>
        <stp>912828Q3 Govt</stp>
        <stp>FIRST_CPN_DT</stp>
        <stp>[TREASURY.xlsx]Sheet1!R413C9</stp>
        <tr r="I413" s="1"/>
      </tp>
      <tp t="s">
        <v>9/30/2016</v>
        <stp/>
        <stp>##V3_BDPV12</stp>
        <stp>912828Q4 Govt</stp>
        <stp>FIRST_CPN_DT</stp>
        <stp>[TREASURY.xlsx]Sheet1!R423C9</stp>
        <tr r="I423" s="1"/>
      </tp>
      <tp t="s">
        <v>4/30/2012</v>
        <stp/>
        <stp>##V3_BDPV12</stp>
        <stp>912828RM Govt</stp>
        <stp>FIRST_CPN_DT</stp>
        <stp>[TREASURY.xlsx]Sheet1!R563C9</stp>
        <tr r="I563" s="1"/>
      </tp>
      <tp t="s">
        <v>6/30/2017</v>
        <stp/>
        <stp>##V3_BDPV12</stp>
        <stp>912828U8 Govt</stp>
        <stp>FIRST_CPN_DT</stp>
        <stp>[TREASURY.xlsx]Sheet1!R213C9</stp>
        <tr r="I213" s="1"/>
      </tp>
      <tp t="s">
        <v>2/15/2017</v>
        <stp/>
        <stp>##V3_BDPV12</stp>
        <stp>9128282B Govt</stp>
        <stp>FIRST_CPN_DT</stp>
        <stp>[TREASURY.xlsx]Sheet1!R373C9</stp>
        <tr r="I373" s="1"/>
      </tp>
      <tp t="s">
        <v>11/30/2019</v>
        <stp/>
        <stp>##V3_BDPV12</stp>
        <stp>9128286V Govt</stp>
        <stp>FIRST_CPN_DT</stp>
        <stp>[TREASURY.xlsx]Sheet1!R523C9</stp>
        <tr r="I523" s="1"/>
      </tp>
      <tp t="s">
        <v>5/15/2019</v>
        <stp/>
        <stp>##V3_BDPV12</stp>
        <stp>9128285L Govt</stp>
        <stp>FIRST_CPN_DT</stp>
        <stp>[TREASURY.xlsx]Sheet1!R193C9</stp>
        <tr r="I193" s="1"/>
      </tp>
      <tp t="s">
        <v>11/15/2019</v>
        <stp/>
        <stp>##V3_BDPV12</stp>
        <stp>9128286U Govt</stp>
        <stp>FIRST_CPN_DT</stp>
        <stp>[TREASURY.xlsx]Sheet1!R233C9</stp>
        <tr r="I233" s="1"/>
      </tp>
      <tp t="s">
        <v>3/15/2019</v>
        <stp/>
        <stp>##V3_BDPV12</stp>
        <stp>9128285A Govt</stp>
        <stp>FIRST_CPN_DT</stp>
        <stp>[TREASURY.xlsx]Sheet1!R283C9</stp>
        <tr r="I283" s="1"/>
      </tp>
      <tp t="s">
        <v>7/31/2018</v>
        <stp/>
        <stp>##V3_BDPV12</stp>
        <stp>9128283S Govt</stp>
        <stp>FIRST_CPN_DT</stp>
        <stp>[TREASURY.xlsx]Sheet1!R433C9</stp>
        <tr r="I433" s="1"/>
      </tp>
      <tp t="s">
        <v>UNITED STATES</v>
        <stp/>
        <stp>##V3_BDPV12</stp>
        <stp>912827UF Govt</stp>
        <stp>COUNTRY_FULL_NAME</stp>
        <stp>[TREASURY.xlsx]Sheet1!R1404C8</stp>
        <tr r="H1404" s="1"/>
      </tp>
      <tp t="s">
        <v>UNITED STATES</v>
        <stp/>
        <stp>##V3_BDPV12</stp>
        <stp>912828VD Govt</stp>
        <stp>COUNTRY_FULL_NAME</stp>
        <stp>[TREASURY.xlsx]Sheet1!R1147C8</stp>
        <tr r="H1147" s="1"/>
      </tp>
      <tp t="s">
        <v>UNITED STATES</v>
        <stp/>
        <stp>##V3_BDPV12</stp>
        <stp>912827RE Govt</stp>
        <stp>COUNTRY_FULL_NAME</stp>
        <stp>[TREASURY.xlsx]Sheet1!R1063C8</stp>
        <tr r="H1063" s="1"/>
      </tp>
      <tp t="s">
        <v>UNITED STATES</v>
        <stp/>
        <stp>##V3_BDPV12</stp>
        <stp>912828UC Govt</stp>
        <stp>COUNTRY_FULL_NAME</stp>
        <stp>[TREASURY.xlsx]Sheet1!R1144C8</stp>
        <tr r="H1144" s="1"/>
      </tp>
      <tp t="s">
        <v>UNITED STATES</v>
        <stp/>
        <stp>##V3_BDPV12</stp>
        <stp>912827WA Govt</stp>
        <stp>COUNTRY_FULL_NAME</stp>
        <stp>[TREASURY.xlsx]Sheet1!R1206C8</stp>
        <tr r="H1206" s="1"/>
      </tp>
      <tp t="s">
        <v>T 10 3/4 02/15/03</v>
        <stp/>
        <stp>##V3_BDPV12</stp>
        <stp>912810DC Govt</stp>
        <stp>SECURITY_NAME</stp>
        <stp>[TREASURY.xlsx]Sheet1!R1443C16</stp>
        <tr r="P1443" s="1"/>
      </tp>
      <tp t="s">
        <v>T 5 02/28/01</v>
        <stp/>
        <stp>##V3_BDPV12</stp>
        <stp>9128275C Govt</stp>
        <stp>SECURITY_NAME</stp>
        <stp>[TREASURY.xlsx]Sheet1!R1535C16</stp>
        <tr r="P1535" s="1"/>
      </tp>
      <tp t="s">
        <v>T 8 3/4 01/15/93</v>
        <stp/>
        <stp>##V3_BDPV12</stp>
        <stp>912827TC Govt</stp>
        <stp>SECURITY_NAME</stp>
        <stp>[TREASURY.xlsx]Sheet1!R1506C16</stp>
        <tr r="P1506" s="1"/>
      </tp>
      <tp t="s">
        <v>T 3 5/8 08/31/03</v>
        <stp/>
        <stp>##V3_BDPV12</stp>
        <stp>9128277C Govt</stp>
        <stp>SECURITY_NAME</stp>
        <stp>[TREASURY.xlsx]Sheet1!R1544C16</stp>
        <tr r="P1544" s="1"/>
      </tp>
      <tp t="s">
        <v>UNITED STATES</v>
        <stp/>
        <stp>##V3_BDPV12</stp>
        <stp>912827VL Govt</stp>
        <stp>COUNTRY_FULL_NAME</stp>
        <stp>[TREASURY.xlsx]Sheet1!R1087C8</stp>
        <tr r="H1087" s="1"/>
      </tp>
      <tp t="s">
        <v>UNITED STATES</v>
        <stp/>
        <stp>##V3_BDPV12</stp>
        <stp>912827RL Govt</stp>
        <stp>COUNTRY_FULL_NAME</stp>
        <stp>[TREASURY.xlsx]Sheet1!R1503C8</stp>
        <tr r="H1503" s="1"/>
      </tp>
      <tp t="s">
        <v>T 5 7/8 11/30/01</v>
        <stp/>
        <stp>##V3_BDPV12</stp>
        <stp>9128272C Govt</stp>
        <stp>SECURITY_NAME</stp>
        <stp>[TREASURY.xlsx]Sheet1!R1449C16</stp>
        <tr r="P1449" s="1"/>
      </tp>
      <tp t="s">
        <v>T 5 5/8 04/30/00</v>
        <stp/>
        <stp>##V3_BDPV12</stp>
        <stp>9128274C Govt</stp>
        <stp>SECURITY_NAME</stp>
        <stp>[TREASURY.xlsx]Sheet1!R1458C16</stp>
        <tr r="P1458" s="1"/>
      </tp>
      <tp t="s">
        <v>UNITED STATES</v>
        <stp/>
        <stp>##V3_BDPV12</stp>
        <stp>912828QM Govt</stp>
        <stp>COUNTRY_FULL_NAME</stp>
        <stp>[TREASURY.xlsx]Sheet1!R1130C8</stp>
        <tr r="H1130" s="1"/>
      </tp>
      <tp t="s">
        <v>T 15 7/8 07/31/83</v>
        <stp/>
        <stp>##V3_BDPV12</stp>
        <stp>912827MC Govt</stp>
        <stp>SECURITY_NAME</stp>
        <stp>[TREASURY.xlsx]Sheet1!R1324C16</stp>
        <tr r="P1324" s="1"/>
      </tp>
      <tp t="s">
        <v>T 1 1/4 04/15/14</v>
        <stp/>
        <stp>##V3_BDPV12</stp>
        <stp>912828QC Govt</stp>
        <stp>SECURITY_NAME</stp>
        <stp>[TREASURY.xlsx]Sheet1!R1301C16</stp>
        <tr r="P1301" s="1"/>
      </tp>
      <tp t="s">
        <v>T 7 5/8 10/31/91</v>
        <stp/>
        <stp>##V3_BDPV12</stp>
        <stp>912827YC Govt</stp>
        <stp>SECURITY_NAME</stp>
        <stp>[TREASURY.xlsx]Sheet1!R1220C16</stp>
        <tr r="P1220" s="1"/>
      </tp>
      <tp t="s">
        <v>T 4 5/8 12/31/11</v>
        <stp/>
        <stp>##V3_BDPV12</stp>
        <stp>912828GC Govt</stp>
        <stp>SECURITY_NAME</stp>
        <stp>[TREASURY.xlsx]Sheet1!R1282C16</stp>
        <tr r="P1282" s="1"/>
      </tp>
      <tp t="s">
        <v>T 2 5/8 07/31/14</v>
        <stp/>
        <stp>##V3_BDPV12</stp>
        <stp>912828LC Govt</stp>
        <stp>SECURITY_NAME</stp>
        <stp>[TREASURY.xlsx]Sheet1!R1289C16</stp>
        <tr r="P1289" s="1"/>
      </tp>
      <tp t="s">
        <v>T 4 1/8 08/31/12</v>
        <stp/>
        <stp>##V3_BDPV12</stp>
        <stp>912828HC Govt</stp>
        <stp>SECURITY_NAME</stp>
        <stp>[TREASURY.xlsx]Sheet1!R1283C16</stp>
        <tr r="P1283" s="1"/>
      </tp>
      <tp t="s">
        <v>T 1 3/8 02/15/12</v>
        <stp/>
        <stp>##V3_BDPV12</stp>
        <stp>912828KC Govt</stp>
        <stp>SECURITY_NAME</stp>
        <stp>[TREASURY.xlsx]Sheet1!R1249C16</stp>
        <tr r="P1249" s="1"/>
      </tp>
      <tp t="s">
        <v>T 4 3/8 05/15/07</v>
        <stp/>
        <stp>##V3_BDPV12</stp>
        <stp>912828AC Govt</stp>
        <stp>SECURITY_NAME</stp>
        <stp>[TREASURY.xlsx]Sheet1!R1234C16</stp>
        <tr r="P1234" s="1"/>
      </tp>
      <tp t="s">
        <v>UNITED STATES</v>
        <stp/>
        <stp>##V3_BDPV12</stp>
        <stp>912828SK Govt</stp>
        <stp>COUNTRY_FULL_NAME</stp>
        <stp>[TREASURY.xlsx]Sheet1!R1132C8</stp>
        <tr r="H1132" s="1"/>
      </tp>
      <tp t="s">
        <v>T 0 7/8 01/31/17</v>
        <stp/>
        <stp>##V3_BDPV12</stp>
        <stp>912828SC Govt</stp>
        <stp>SECURITY_NAME</stp>
        <stp>[TREASURY.xlsx]Sheet1!R1141C16</stp>
        <tr r="P1141" s="1"/>
      </tp>
      <tp t="s">
        <v>T 0 1/4 12/15/15</v>
        <stp/>
        <stp>##V3_BDPV12</stp>
        <stp>912828UC Govt</stp>
        <stp>SECURITY_NAME</stp>
        <stp>[TREASURY.xlsx]Sheet1!R1144C16</stp>
        <tr r="P1144" s="1"/>
      </tp>
      <tp t="s">
        <v>T 1 3/4 10/31/20</v>
        <stp/>
        <stp>##V3_BDPV12</stp>
        <stp>912828WC Govt</stp>
        <stp>SECURITY_NAME</stp>
        <stp>[TREASURY.xlsx]Sheet1!R1139C16</stp>
        <tr r="P1139" s="1"/>
      </tp>
      <tp t="s">
        <v>UNITED STATES</v>
        <stp/>
        <stp>##V3_BDPV12</stp>
        <stp>912828WH Govt</stp>
        <stp>COUNTRY_FULL_NAME</stp>
        <stp>[TREASURY.xlsx]Sheet1!R1306C8</stp>
        <tr r="H1306" s="1"/>
      </tp>
      <tp t="s">
        <v>T 6 3/8 04/30/02</v>
        <stp/>
        <stp>##V3_BDPV12</stp>
        <stp>9128276C Govt</stp>
        <stp>SECURITY_NAME</stp>
        <stp>[TREASURY.xlsx]Sheet1!R1022C16</stp>
        <tr r="P1022" s="1"/>
      </tp>
      <tp t="s">
        <v>T 6 07/31/02</v>
        <stp/>
        <stp>##V3_BDPV12</stp>
        <stp>9128273C Govt</stp>
        <stp>SECURITY_NAME</stp>
        <stp>[TREASURY.xlsx]Sheet1!R1010C16</stp>
        <tr r="P1010" s="1"/>
      </tp>
      <tp t="s">
        <v>T 12 5/8 08/15/94</v>
        <stp/>
        <stp>##V3_BDPV12</stp>
        <stp>912827RC Govt</stp>
        <stp>SECURITY_NAME</stp>
        <stp>[TREASURY.xlsx]Sheet1!R1062C16</stp>
        <tr r="P1062" s="1"/>
      </tp>
      <tp t="s">
        <v>T 11 11/15/86</v>
        <stp/>
        <stp>##V3_BDPV12</stp>
        <stp>912827QC Govt</stp>
        <stp>SECURITY_NAME</stp>
        <stp>[TREASURY.xlsx]Sheet1!R1055C16</stp>
        <tr r="P1055" s="1"/>
      </tp>
      <tp t="s">
        <v>UNITED STATES</v>
        <stp/>
        <stp>##V3_BDPV12</stp>
        <stp>912827PV Govt</stp>
        <stp>COUNTRY_FULL_NAME</stp>
        <stp>[TREASURY.xlsx]Sheet1!R1391C8</stp>
        <tr r="H1391" s="1"/>
      </tp>
      <tp t="s">
        <v>UNITED STATES</v>
        <stp/>
        <stp>##V3_BDPV12</stp>
        <stp>912827XV Govt</stp>
        <stp>COUNTRY_FULL_NAME</stp>
        <stp>[TREASURY.xlsx]Sheet1!R1599C8</stp>
        <tr r="H1599" s="1"/>
      </tp>
      <tp t="s">
        <v>UNITED STATES</v>
        <stp/>
        <stp>##V3_BDPV12</stp>
        <stp>912828RW Govt</stp>
        <stp>COUNTRY_FULL_NAME</stp>
        <stp>[TREASURY.xlsx]Sheet1!R1303C8</stp>
        <tr r="H1303" s="1"/>
      </tp>
      <tp t="s">
        <v>UNITED STATES</v>
        <stp/>
        <stp>##V3_BDPV12</stp>
        <stp>912827TT Govt</stp>
        <stp>COUNTRY_FULL_NAME</stp>
        <stp>[TREASURY.xlsx]Sheet1!R1195C8</stp>
        <tr r="H1195" s="1"/>
      </tp>
      <tp t="s">
        <v>UNITED STATES</v>
        <stp/>
        <stp>##V3_BDPV12</stp>
        <stp>912828PU Govt</stp>
        <stp>COUNTRY_FULL_NAME</stp>
        <stp>[TREASURY.xlsx]Sheet1!R1261C8</stp>
        <tr r="H1261" s="1"/>
      </tp>
      <tp t="s">
        <v>UNITED STATES</v>
        <stp/>
        <stp>##V3_BDPV12</stp>
        <stp>912828SR Govt</stp>
        <stp>COUNTRY_FULL_NAME</stp>
        <stp>[TREASURY.xlsx]Sheet1!R1142C8</stp>
        <tr r="H1142" s="1"/>
      </tp>
      <tp t="s">
        <v>UNITED STATES</v>
        <stp/>
        <stp>##V3_BDPV12</stp>
        <stp>912827PR Govt</stp>
        <stp>COUNTRY_FULL_NAME</stp>
        <stp>[TREASURY.xlsx]Sheet1!R1341C8</stp>
        <tr r="H1341" s="1"/>
      </tp>
      <tp t="s">
        <v>UNITED STATES</v>
        <stp/>
        <stp>##V3_BDPV12</stp>
        <stp>912827QQ Govt</stp>
        <stp>COUNTRY_FULL_NAME</stp>
        <stp>[TREASURY.xlsx]Sheet1!R1180C8</stp>
        <tr r="H1180" s="1"/>
      </tp>
      <tp t="s">
        <v>UNITED STATES</v>
        <stp/>
        <stp>##V3_BDPV12</stp>
        <stp>912828WQ Govt</stp>
        <stp>COUNTRY_FULL_NAME</stp>
        <stp>[TREASURY.xlsx]Sheet1!R1006C8</stp>
        <tr r="H1006" s="1"/>
      </tp>
      <tp t="s">
        <v>UNITED STATES</v>
        <stp/>
        <stp>##V3_BDPV12</stp>
        <stp>912827TQ Govt</stp>
        <stp>COUNTRY_FULL_NAME</stp>
        <stp>[TREASURY.xlsx]Sheet1!R1075C8</stp>
        <tr r="H1075" s="1"/>
      </tp>
      <tp t="s">
        <v>UNITED STATES</v>
        <stp/>
        <stp>##V3_BDPV12</stp>
        <stp>912827PZ Govt</stp>
        <stp>COUNTRY_FULL_NAME</stp>
        <stp>[TREASURY.xlsx]Sheet1!R1571C8</stp>
        <tr r="H1571" s="1"/>
      </tp>
      <tp t="s">
        <v>UNITED STATES</v>
        <stp/>
        <stp>##V3_BDPV12</stp>
        <stp>912827RY Govt</stp>
        <stp>COUNTRY_FULL_NAME</stp>
        <stp>[TREASURY.xlsx]Sheet1!R1583C8</stp>
        <tr r="H1583" s="1"/>
      </tp>
      <tp t="s">
        <v>UNITED STATES</v>
        <stp/>
        <stp>##V3_BDPV12</stp>
        <stp>912827S6 Govt</stp>
        <stp>COUNTRY_FULL_NAME</stp>
        <stp>[TREASURY.xlsx]Sheet1!R1182C8</stp>
        <tr r="H1182" s="1"/>
      </tp>
      <tp t="s">
        <v>UNITED STATES</v>
        <stp/>
        <stp>##V3_BDPV12</stp>
        <stp>912827W7 Govt</stp>
        <stp>COUNTRY_FULL_NAME</stp>
        <stp>[TREASURY.xlsx]Sheet1!R1416C8</stp>
        <tr r="H1416" s="1"/>
      </tp>
      <tp t="s">
        <v>UNITED STATES</v>
        <stp/>
        <stp>##V3_BDPV12</stp>
        <stp>912827P4 Govt</stp>
        <stp>COUNTRY_FULL_NAME</stp>
        <stp>[TREASURY.xlsx]Sheet1!R1171C8</stp>
        <tr r="H1171" s="1"/>
      </tp>
      <tp t="s">
        <v>UNITED STATES</v>
        <stp/>
        <stp>##V3_BDPV12</stp>
        <stp>912827Y2 Govt</stp>
        <stp>COUNTRY_FULL_NAME</stp>
        <stp>[TREASURY.xlsx]Sheet1!R1098C8</stp>
        <tr r="H1098" s="1"/>
      </tp>
      <tp t="s">
        <v>UNITED STATES</v>
        <stp/>
        <stp>##V3_BDPV12</stp>
        <stp>912827T9 Govt</stp>
        <stp>COUNTRY_FULL_NAME</stp>
        <stp>[TREASURY.xlsx]Sheet1!R1505C8</stp>
        <tr r="H1505" s="1"/>
      </tp>
      <tp t="s">
        <v>7/15/1985</v>
        <stp/>
        <stp>##V3_BDPV12</stp>
        <stp>912827RT Govt</stp>
        <stp>FIRST_CPN_DT</stp>
        <stp>[TREASURY.xlsx]Sheet1!R1581C9</stp>
        <tr r="I1581" s="1"/>
      </tp>
      <tp t="s">
        <v>4/15/1985</v>
        <stp/>
        <stp>##V3_BDPV12</stp>
        <stp>912827RG Govt</stp>
        <stp>FIRST_CPN_DT</stp>
        <stp>[TREASURY.xlsx]Sheet1!R1501C9</stp>
        <tr r="I1501" s="1"/>
      </tp>
      <tp t="s">
        <v>1/31/1985</v>
        <stp/>
        <stp>##V3_BDPV12</stp>
        <stp>912827RA Govt</stp>
        <stp>FIRST_CPN_DT</stp>
        <stp>[TREASURY.xlsx]Sheet1!R1061C9</stp>
        <tr r="I1061" s="1"/>
      </tp>
      <tp t="s">
        <v>5/31/1995</v>
        <stp/>
        <stp>##V3_BDPV12</stp>
        <stp>912827S2 Govt</stp>
        <stp>FIRST_CPN_DT</stp>
        <stp>[TREASURY.xlsx]Sheet1!R1181C9</stp>
        <tr r="I1181" s="1"/>
      </tp>
      <tp t="s">
        <v>3/31/1984</v>
        <stp/>
        <stp>##V3_BDPV12</stp>
        <stp>912827PZ Govt</stp>
        <stp>FIRST_CPN_DT</stp>
        <stp>[TREASURY.xlsx]Sheet1!R1571C9</stp>
        <tr r="I1571" s="1"/>
      </tp>
      <tp t="s">
        <v>12/31/1983</v>
        <stp/>
        <stp>##V3_BDPV12</stp>
        <stp>912827PR Govt</stp>
        <stp>FIRST_CPN_DT</stp>
        <stp>[TREASURY.xlsx]Sheet1!R1341C9</stp>
        <tr r="I1341" s="1"/>
      </tp>
      <tp t="s">
        <v>2/15/1984</v>
        <stp/>
        <stp>##V3_BDPV12</stp>
        <stp>912827PV Govt</stp>
        <stp>FIRST_CPN_DT</stp>
        <stp>[TREASURY.xlsx]Sheet1!R1391C9</stp>
        <tr r="I1391" s="1"/>
      </tp>
      <tp t="s">
        <v>9/30/1994</v>
        <stp/>
        <stp>##V3_BDPV12</stp>
        <stp>912827P4 Govt</stp>
        <stp>FIRST_CPN_DT</stp>
        <stp>[TREASURY.xlsx]Sheet1!R1171C9</stp>
        <tr r="I1171" s="1"/>
      </tp>
      <tp t="s">
        <v>2/28/2021</v>
        <stp/>
        <stp>##V3_BDPV12</stp>
        <stp>91282CAG Govt</stp>
        <stp>FIRST_CPN_DT</stp>
        <stp>[TREASURY.xlsx]Sheet1!R133C9</stp>
        <tr r="I133" s="1"/>
      </tp>
      <tp t="s">
        <v>7/31/2021</v>
        <stp/>
        <stp>##V3_BDPV12</stp>
        <stp>91282CBJ Govt</stp>
        <stp>FIRST_CPN_DT</stp>
        <stp>[TREASURY.xlsx]Sheet1!R123C9</stp>
        <tr r="I123" s="1"/>
      </tp>
      <tp t="s">
        <v>1/15/1988</v>
        <stp/>
        <stp>##V3_BDPV12</stp>
        <stp>912827VB Govt</stp>
        <stp>FIRST_CPN_DT</stp>
        <stp>[TREASURY.xlsx]Sheet1!R1411C9</stp>
        <tr r="I1411" s="1"/>
      </tp>
      <tp t="s">
        <v>3/31/1996</v>
        <stp/>
        <stp>##V3_BDPV12</stp>
        <stp>912827V3 Govt</stp>
        <stp>FIRST_CPN_DT</stp>
        <stp>[TREASURY.xlsx]Sheet1!R1591C9</stp>
        <tr r="I1591" s="1"/>
      </tp>
      <tp t="s">
        <v>4/15/1989</v>
        <stp/>
        <stp>##V3_BDPV12</stp>
        <stp>912827WT Govt</stp>
        <stp>FIRST_CPN_DT</stp>
        <stp>[TREASURY.xlsx]Sheet1!R1421C9</stp>
        <tr r="I1421" s="1"/>
      </tp>
      <tp t="s">
        <v>2/15/1989</v>
        <stp/>
        <stp>##V3_BDPV12</stp>
        <stp>912827WG Govt</stp>
        <stp>FIRST_CPN_DT</stp>
        <stp>[TREASURY.xlsx]Sheet1!R1091C9</stp>
        <tr r="I1091" s="1"/>
      </tp>
      <tp t="s">
        <v>12/31/1986</v>
        <stp/>
        <stp>##V3_BDPV12</stp>
        <stp>912827TU Govt</stp>
        <stp>FIRST_CPN_DT</stp>
        <stp>[TREASURY.xlsx]Sheet1!R1401C9</stp>
        <tr r="I1401" s="1"/>
      </tp>
      <tp t="s">
        <v>11/15/1995</v>
        <stp/>
        <stp>##V3_BDPV12</stp>
        <stp>912827T8 Govt</stp>
        <stp>FIRST_CPN_DT</stp>
        <stp>[TREASURY.xlsx]Sheet1!R1071C9</stp>
        <tr r="I1071" s="1"/>
      </tp>
      <tp t="s">
        <v>10/31/1995</v>
        <stp/>
        <stp>##V3_BDPV12</stp>
        <stp>912827T6 Govt</stp>
        <stp>FIRST_CPN_DT</stp>
        <stp>[TREASURY.xlsx]Sheet1!R1191C9</stp>
        <tr r="I1191" s="1"/>
      </tp>
      <tp t="s">
        <v>11/30/1987</v>
        <stp/>
        <stp>##V3_BDPV12</stp>
        <stp>912827UX Govt</stp>
        <stp>FIRST_CPN_DT</stp>
        <stp>[TREASURY.xlsx]Sheet1!R1081C9</stp>
        <tr r="I1081" s="1"/>
      </tp>
      <tp t="s">
        <v>7/15/1987</v>
        <stp/>
        <stp>##V3_BDPV12</stp>
        <stp>912827UL Govt</stp>
        <stp>FIRST_CPN_DT</stp>
        <stp>[TREASURY.xlsx]Sheet1!R1201C9</stp>
        <tr r="I1201" s="1"/>
      </tp>
      <tp t="s">
        <v>2/15/1996</v>
        <stp/>
        <stp>##V3_BDPV12</stp>
        <stp>912827U7 Govt</stp>
        <stp>FIRST_CPN_DT</stp>
        <stp>[TREASURY.xlsx]Sheet1!R1511C9</stp>
        <tr r="I1511" s="1"/>
      </tp>
      <tp t="s">
        <v>8/15/1991</v>
        <stp/>
        <stp>##V3_BDPV12</stp>
        <stp>912827ZQ Govt</stp>
        <stp>FIRST_CPN_DT</stp>
        <stp>[TREASURY.xlsx]Sheet1!R1611C9</stp>
        <tr r="I1611" s="1"/>
      </tp>
      <tp t="s">
        <v>7/31/1991</v>
        <stp/>
        <stp>##V3_BDPV12</stp>
        <stp>912827ZV Govt</stp>
        <stp>FIRST_CPN_DT</stp>
        <stp>[TREASURY.xlsx]Sheet1!R1231C9</stp>
        <tr r="I1231" s="1"/>
      </tp>
      <tp t="s">
        <v>8/31/1996</v>
        <stp/>
        <stp>##V3_BDPV12</stp>
        <stp>912827X2 Govt</stp>
        <stp>FIRST_CPN_DT</stp>
        <stp>[TREASURY.xlsx]Sheet1!R1211C9</stp>
        <tr r="I1211" s="1"/>
      </tp>
      <tp t="s">
        <v>10/15/1990</v>
        <stp/>
        <stp>##V3_BDPV12</stp>
        <stp>912827YT Govt</stp>
        <stp>FIRST_CPN_DT</stp>
        <stp>[TREASURY.xlsx]Sheet1!R1101C9</stp>
        <tr r="I1101" s="1"/>
      </tp>
      <tp t="s">
        <v>6/30/1990</v>
        <stp/>
        <stp>##V3_BDPV12</stp>
        <stp>912827YH Govt</stp>
        <stp>FIRST_CPN_DT</stp>
        <stp>[TREASURY.xlsx]Sheet1!R1221C9</stp>
        <tr r="I1221" s="1"/>
      </tp>
      <tp t="s">
        <v>12/31/1996</v>
        <stp/>
        <stp>##V3_BDPV12</stp>
        <stp>912827Y3 Govt</stp>
        <stp>FIRST_CPN_DT</stp>
        <stp>[TREASURY.xlsx]Sheet1!R1601C9</stp>
        <tr r="I1601" s="1"/>
      </tp>
      <tp t="s">
        <v>1/31/1992</v>
        <stp/>
        <stp>##V3_BDPV12</stp>
        <stp>912827B7 Govt</stp>
        <stp>FIRST_CPN_DT</stp>
        <stp>[TREASURY.xlsx]Sheet1!R1551C9</stp>
        <tr r="I1551" s="1"/>
      </tp>
      <tp t="s">
        <v>8/15/1982</v>
        <stp/>
        <stp>##V3_BDPV12</stp>
        <stp>912810CZ Govt</stp>
        <stp>FIRST_CPN_DT</stp>
        <stp>[TREASURY.xlsx]Sheet1!R1446C9</stp>
        <tr r="I1446" s="1"/>
      </tp>
      <tp t="s">
        <v>3/31/1992</v>
        <stp/>
        <stp>##V3_BDPV12</stp>
        <stp>912827C5 Govt</stp>
        <stp>FIRST_CPN_DT</stp>
        <stp>[TREASURY.xlsx]Sheet1!R1481C9</stp>
        <tr r="I1481" s="1"/>
      </tp>
      <tp t="s">
        <v>11/15/1991</v>
        <stp/>
        <stp>##V3_BDPV12</stp>
        <stp>912827A7 Govt</stp>
        <stp>FIRST_CPN_DT</stp>
        <stp>[TREASURY.xlsx]Sheet1!R1031C9</stp>
        <tr r="I1031" s="1"/>
      </tp>
      <tp t="s">
        <v>5/15/1984</v>
        <stp/>
        <stp>##V3_BDPV12</stp>
        <stp>912810DG Govt</stp>
        <stp>FIRST_CPN_DT</stp>
        <stp>[TREASURY.xlsx]Sheet1!R1516C9</stp>
        <tr r="I1516" s="1"/>
      </tp>
      <tp t="s">
        <v>5/15/1983</v>
        <stp/>
        <stp>##V3_BDPV12</stp>
        <stp>912810DB Govt</stp>
        <stp>FIRST_CPN_DT</stp>
        <stp>[TREASURY.xlsx]Sheet1!R1346C9</stp>
        <tr r="I1346" s="1"/>
      </tp>
      <tp t="s">
        <v>9/30/1992</v>
        <stp/>
        <stp>##V3_BDPV12</stp>
        <stp>912827E6 Govt</stp>
        <stp>FIRST_CPN_DT</stp>
        <stp>[TREASURY.xlsx]Sheet1!R1371C9</stp>
        <tr r="I1371" s="1"/>
      </tp>
      <tp t="s">
        <v>7/31/1993</v>
        <stp/>
        <stp>##V3_BDPV12</stp>
        <stp>912827J4 Govt</stp>
        <stp>FIRST_CPN_DT</stp>
        <stp>[TREASURY.xlsx]Sheet1!R1561C9</stp>
        <tr r="I1561" s="1"/>
      </tp>
      <tp t="s">
        <v>2/15/1981</v>
        <stp/>
        <stp>##V3_BDPV12</stp>
        <stp>912827KR Govt</stp>
        <stp>FIRST_CPN_DT</stp>
        <stp>[TREASURY.xlsx]Sheet1!R1161C9</stp>
        <tr r="I1161" s="1"/>
      </tp>
      <tp t="s">
        <v>2/28/1983</v>
        <stp/>
        <stp>##V3_BDPV12</stp>
        <stp>912827NN Govt</stp>
        <stp>FIRST_CPN_DT</stp>
        <stp>[TREASURY.xlsx]Sheet1!R1051C9</stp>
        <tr r="I1051" s="1"/>
      </tp>
      <tp t="s">
        <v>9/30/1982</v>
        <stp/>
        <stp>##V3_BDPV12</stp>
        <stp>912827NA Govt</stp>
        <stp>FIRST_CPN_DT</stp>
        <stp>[TREASURY.xlsx]Sheet1!R1331C9</stp>
        <tr r="I1331" s="1"/>
      </tp>
      <tp t="s">
        <v>8/31/1981</v>
        <stp/>
        <stp>##V3_BDPV12</stp>
        <stp>912827LP Govt</stp>
        <stp>FIRST_CPN_DT</stp>
        <stp>[TREASURY.xlsx]Sheet1!R1491C9</stp>
        <tr r="I1491" s="1"/>
      </tp>
      <tp t="s">
        <v>5/31/1981</v>
        <stp/>
        <stp>##V3_BDPV12</stp>
        <stp>912827LG Govt</stp>
        <stp>FIRST_CPN_DT</stp>
        <stp>[TREASURY.xlsx]Sheet1!R1321C9</stp>
        <tr r="I1321" s="1"/>
      </tp>
      <tp t="s">
        <v>1/31/1994</v>
        <stp/>
        <stp>##V3_BDPV12</stp>
        <stp>912827L6 Govt</stp>
        <stp>FIRST_CPN_DT</stp>
        <stp>[TREASURY.xlsx]Sheet1!R1041C9</stp>
        <tr r="I1041" s="1"/>
      </tp>
      <tp t="s">
        <v>8/15/1982</v>
        <stp/>
        <stp>##V3_BDPV12</stp>
        <stp>912827MV Govt</stp>
        <stp>FIRST_CPN_DT</stp>
        <stp>[TREASURY.xlsx]Sheet1!R1381C9</stp>
        <tr r="I1381" s="1"/>
      </tp>
      <tp t="s">
        <v>10/31/1997</v>
        <stp/>
        <stp>##V3_BDPV12</stp>
        <stp>9128272S Govt</stp>
        <stp>FIRST_CPN_DT</stp>
        <stp>[TREASURY.xlsx]Sheet1!R1520C9</stp>
        <tr r="I1520" s="1"/>
      </tp>
      <tp t="s">
        <v>8/15/1997</v>
        <stp/>
        <stp>##V3_BDPV12</stp>
        <stp>9128272H Govt</stp>
        <stp>FIRST_CPN_DT</stp>
        <stp>[TREASURY.xlsx]Sheet1!R1450C9</stp>
        <tr r="I1450" s="1"/>
      </tp>
      <tp t="s">
        <v>6/30/1997</v>
        <stp/>
        <stp>##V3_BDPV12</stp>
        <stp>9128272D Govt</stp>
        <stp>FIRST_CPN_DT</stp>
        <stp>[TREASURY.xlsx]Sheet1!R1350C9</stp>
        <tr r="I1350" s="1"/>
      </tp>
      <tp t="s">
        <v>5/31/1998</v>
        <stp/>
        <stp>##V3_BDPV12</stp>
        <stp>9128273P Govt</stp>
        <stp>FIRST_CPN_DT</stp>
        <stp>[TREASURY.xlsx]Sheet1!R1530C9</stp>
        <tr r="I1530" s="1"/>
      </tp>
      <tp t="s">
        <v>7/31/1998</v>
        <stp/>
        <stp>##V3_BDPV12</stp>
        <stp>9128273V Govt</stp>
        <stp>FIRST_CPN_DT</stp>
        <stp>[TREASURY.xlsx]Sheet1!R1360C9</stp>
        <tr r="I1360" s="1"/>
      </tp>
      <tp t="s">
        <v>1/31/1998</v>
        <stp/>
        <stp>##V3_BDPV12</stp>
        <stp>9128273C Govt</stp>
        <stp>FIRST_CPN_DT</stp>
        <stp>[TREASURY.xlsx]Sheet1!R1010C9</stp>
        <tr r="I1010" s="1"/>
      </tp>
      <tp t="s">
        <v>7/31/2001</v>
        <stp/>
        <stp>##V3_BDPV12</stp>
        <stp>9128276S Govt</stp>
        <stp>FIRST_CPN_DT</stp>
        <stp>[TREASURY.xlsx]Sheet1!R1540C9</stp>
        <tr r="I1540" s="1"/>
      </tp>
      <tp t="s">
        <v>8/31/2000</v>
        <stp/>
        <stp>##V3_BDPV12</stp>
        <stp>9128276A Govt</stp>
        <stp>FIRST_CPN_DT</stp>
        <stp>[TREASURY.xlsx]Sheet1!R1020C9</stp>
        <tr r="I1020" s="1"/>
      </tp>
      <tp t="s">
        <v>3/31/2002</v>
        <stp/>
        <stp>##V3_BDPV12</stp>
        <stp>9128277D Govt</stp>
        <stp>FIRST_CPN_DT</stp>
        <stp>[TREASURY.xlsx]Sheet1!R1470C9</stp>
        <tr r="I1470" s="1"/>
      </tp>
      <tp t="s">
        <v>11/30/1998</v>
        <stp/>
        <stp>##V3_BDPV12</stp>
        <stp>9128274H Govt</stp>
        <stp>FIRST_CPN_DT</stp>
        <stp>[TREASURY.xlsx]Sheet1!R1460C9</stp>
        <tr r="I1460" s="1"/>
      </tp>
      <tp t="s">
        <v>11/30/1999</v>
        <stp/>
        <stp>##V3_BDPV12</stp>
        <stp>9128275H Govt</stp>
        <stp>FIRST_CPN_DT</stp>
        <stp>[TREASURY.xlsx]Sheet1!R1370C9</stp>
        <tr r="I1370" s="1"/>
      </tp>
      <tp>
        <v>2.25</v>
        <stp/>
        <stp>##V3_BDPV12</stp>
        <stp>9128286M Govt</stp>
        <stp>CPN</stp>
        <stp>[TREASURY.xlsx]Sheet1!R218C3</stp>
        <tr r="C218" s="1"/>
      </tp>
      <tp>
        <v>2.25</v>
        <stp/>
        <stp>##V3_BDPV12</stp>
        <stp>9128283D Govt</stp>
        <stp>CPN</stp>
        <stp>[TREASURY.xlsx]Sheet1!R231C3</stp>
        <tr r="C231" s="1"/>
      </tp>
      <tp>
        <v>2.75</v>
        <stp/>
        <stp>##V3_BDPV12</stp>
        <stp>9128284L Govt</stp>
        <stp>CPN</stp>
        <stp>[TREASURY.xlsx]Sheet1!R299C3</stp>
        <tr r="C299" s="1"/>
      </tp>
      <tp>
        <v>0.5</v>
        <stp/>
        <stp>##V3_BDPV12</stp>
        <stp>912828ZD Govt</stp>
        <stp>CPN</stp>
        <stp>[TREASURY.xlsx]Sheet1!R121C3</stp>
        <tr r="C121" s="1"/>
      </tp>
      <tp>
        <v>2</v>
        <stp/>
        <stp>##V3_BDPV12</stp>
        <stp>9128283C Govt</stp>
        <stp>CPN</stp>
        <stp>[TREASURY.xlsx]Sheet1!R186C3</stp>
        <tr r="C186" s="1"/>
      </tp>
      <tp>
        <v>0.75</v>
        <stp/>
        <stp>##V3_BDPV12</stp>
        <stp>912828TB Govt</stp>
        <stp>CPN</stp>
        <stp>[TREASURY.xlsx]Sheet1!R637C3</stp>
        <tr r="C637" s="1"/>
      </tp>
      <tp>
        <v>2.875</v>
        <stp/>
        <stp>##V3_BDPV12</stp>
        <stp>912828DD Govt</stp>
        <stp>CPN</stp>
        <stp>[TREASURY.xlsx]Sheet1!R791C3</stp>
        <tr r="C791" s="1"/>
      </tp>
      <tp>
        <v>7.875</v>
        <stp/>
        <stp>##V3_BDPV12</stp>
        <stp>912827TA Govt</stp>
        <stp>CPN</stp>
        <stp>[TREASURY.xlsx]Sheet1!R834C3</stp>
        <tr r="C834" s="1"/>
      </tp>
      <tp>
        <v>0.25</v>
        <stp/>
        <stp>##V3_BDPV12</stp>
        <stp>912828TL Govt</stp>
        <stp>CPN</stp>
        <stp>[TREASURY.xlsx]Sheet1!R409C3</stp>
        <tr r="C409" s="1"/>
      </tp>
      <tp>
        <v>0.25</v>
        <stp/>
        <stp>##V3_BDPV12</stp>
        <stp>912828WB Govt</stp>
        <stp>CPN</stp>
        <stp>[TREASURY.xlsx]Sheet1!R457C3</stp>
        <tr r="C457" s="1"/>
      </tp>
      <tp>
        <v>1.3184040349548729</v>
        <stp/>
        <stp>##V3_BDPV12</stp>
        <stp>912810FG Govt</stp>
        <stp>YLD_YTM_BID</stp>
        <stp>[TREASURY.xlsx]Sheet1!R223C4</stp>
        <tr r="D223" s="1"/>
      </tp>
      <tp>
        <v>2.875</v>
        <stp/>
        <stp>##V3_BDPV12</stp>
        <stp>912828AE Govt</stp>
        <stp>CPN</stp>
        <stp>[TREASURY.xlsx]Sheet1!R530C3</stp>
        <tr r="C530" s="1"/>
      </tp>
      <tp>
        <v>1.2761718104018573</v>
        <stp/>
        <stp>##V3_BDPV12</stp>
        <stp>912810FF Govt</stp>
        <stp>YLD_YTM_BID</stp>
        <stp>[TREASURY.xlsx]Sheet1!R292C4</stp>
        <tr r="D292" s="1"/>
      </tp>
      <tp>
        <v>2.75</v>
        <stp/>
        <stp>##V3_BDPV12</stp>
        <stp>912828NG Govt</stp>
        <stp>CPN</stp>
        <stp>[TREASURY.xlsx]Sheet1!R562C3</stp>
        <tr r="C562" s="1"/>
      </tp>
      <tp>
        <v>8.875</v>
        <stp/>
        <stp>##V3_BDPV12</stp>
        <stp>912827XE Govt</stp>
        <stp>CPN</stp>
        <stp>[TREASURY.xlsx]Sheet1!R570C3</stp>
        <tr r="C570" s="1"/>
      </tp>
      <tp>
        <v>14.125</v>
        <stp/>
        <stp>##V3_BDPV12</stp>
        <stp>912827ND Govt</stp>
        <stp>CPN</stp>
        <stp>[TREASURY.xlsx]Sheet1!R731C3</stp>
        <tr r="C731" s="1"/>
      </tp>
      <tp>
        <v>4.25</v>
        <stp/>
        <stp>##V3_BDPV12</stp>
        <stp>912828HE Govt</stp>
        <stp>CPN</stp>
        <stp>[TREASURY.xlsx]Sheet1!R850C3</stp>
        <tr r="C850" s="1"/>
      </tp>
      <tp>
        <v>8.875</v>
        <stp/>
        <stp>##V3_BDPV12</stp>
        <stp>912827SM Govt</stp>
        <stp>CPN</stp>
        <stp>[TREASURY.xlsx]Sheet1!R748C3</stp>
        <tr r="C748" s="1"/>
      </tp>
      <tp>
        <v>10.5</v>
        <stp/>
        <stp>##V3_BDPV12</stp>
        <stp>912827QE Govt</stp>
        <stp>CPN</stp>
        <stp>[TREASURY.xlsx]Sheet1!R740C3</stp>
        <tr r="C740" s="1"/>
      </tp>
      <tp>
        <v>9.875</v>
        <stp/>
        <stp>##V3_BDPV12</stp>
        <stp>912827PC Govt</stp>
        <stp>CPN</stp>
        <stp>[TREASURY.xlsx]Sheet1!R736C3</stp>
        <tr r="C736" s="1"/>
      </tp>
      <tp>
        <v>8.75</v>
        <stp/>
        <stp>##V3_BDPV12</stp>
        <stp>912827ZE Govt</stp>
        <stp>CPN</stp>
        <stp>[TREASURY.xlsx]Sheet1!R780C3</stp>
        <tr r="C780" s="1"/>
      </tp>
      <tp>
        <v>3.375</v>
        <stp/>
        <stp>##V3_BDPV12</stp>
        <stp>912828JD Govt</stp>
        <stp>CPN</stp>
        <stp>[TREASURY.xlsx]Sheet1!R971C3</stp>
        <tr r="C971" s="1"/>
      </tp>
      <tp>
        <v>9.4613959391690469E-2</v>
        <stp/>
        <stp>##V3_BDPV12</stp>
        <stp>91282CAG Govt</stp>
        <stp>YLD_YTM_BID</stp>
        <stp>[TREASURY.xlsx]Sheet1!R133C4</stp>
        <tr r="D133" s="1"/>
      </tp>
      <tp t="s">
        <v>#N/A N/A</v>
        <stp/>
        <stp>##V3_BDPV12</stp>
        <stp>912827WE Govt</stp>
        <stp>YLD_YTM_BID</stp>
        <stp>[TREASURY.xlsx]Sheet1!R601C4</stp>
        <tr r="D601" s="1"/>
      </tp>
      <tp t="s">
        <v>#N/A N/A</v>
        <stp/>
        <stp>##V3_BDPV12</stp>
        <stp>9128275F Govt</stp>
        <stp>YLD_YTM_BID</stp>
        <stp>[TREASURY.xlsx]Sheet1!R662C4</stp>
        <tr r="D662" s="1"/>
      </tp>
      <tp t="s">
        <v>#N/A N/A</v>
        <stp/>
        <stp>##V3_BDPV12</stp>
        <stp>912827MF Govt</stp>
        <stp>YLD_YTM_BID</stp>
        <stp>[TREASURY.xlsx]Sheet1!R722C4</stp>
        <tr r="D722" s="1"/>
      </tp>
      <tp t="s">
        <v>#N/A N/A</v>
        <stp/>
        <stp>##V3_BDPV12</stp>
        <stp>912828KF Govt</stp>
        <stp>YLD_YTM_BID</stp>
        <stp>[TREASURY.xlsx]Sheet1!R812C4</stp>
        <tr r="D812" s="1"/>
      </tp>
      <tp t="s">
        <v>#N/A N/A</v>
        <stp/>
        <stp>##V3_BDPV12</stp>
        <stp>912827KM Govt</stp>
        <stp>YLD_YTM_BID</stp>
        <stp>[TREASURY.xlsx]Sheet1!R709C4</stp>
        <tr r="D709" s="1"/>
      </tp>
      <tp t="s">
        <v>#N/A N/A</v>
        <stp/>
        <stp>##V3_BDPV12</stp>
        <stp>912827SC Govt</stp>
        <stp>YLD_YTM_BID</stp>
        <stp>[TREASURY.xlsx]Sheet1!R747C4</stp>
        <tr r="D747" s="1"/>
      </tp>
      <tp t="s">
        <v>#N/A N/A</v>
        <stp/>
        <stp>##V3_BDPV12</stp>
        <stp>912827PL Govt</stp>
        <stp>YLD_YTM_BID</stp>
        <stp>[TREASURY.xlsx]Sheet1!R738C4</stp>
        <tr r="D738" s="1"/>
      </tp>
      <tp t="s">
        <v>#N/A N/A</v>
        <stp/>
        <stp>##V3_BDPV12</stp>
        <stp>912828VL Govt</stp>
        <stp>YLD_YTM_BID</stp>
        <stp>[TREASURY.xlsx]Sheet1!R878C4</stp>
        <tr r="D878" s="1"/>
      </tp>
      <tp t="s">
        <v>#N/A N/A</v>
        <stp/>
        <stp>##V3_BDPV12</stp>
        <stp>912828VC Govt</stp>
        <stp>YLD_YTM_BID</stp>
        <stp>[TREASURY.xlsx]Sheet1!R577C4</stp>
        <tr r="D577" s="1"/>
      </tp>
      <tp>
        <v>6.375</v>
        <stp/>
        <stp>##V3_BDPV12</stp>
        <stp>912810FA Govt</stp>
        <stp>CPN</stp>
        <stp>[TREASURY.xlsx]Sheet1!R314C3</stp>
        <tr r="C314" s="1"/>
      </tp>
      <tp>
        <v>4.375</v>
        <stp/>
        <stp>##V3_BDPV12</stp>
        <stp>912810QD Govt</stp>
        <stp>CPN</stp>
        <stp>[TREASURY.xlsx]Sheet1!R311C3</stp>
        <tr r="C311" s="1"/>
      </tp>
      <tp t="s">
        <v>#N/A N/A</v>
        <stp/>
        <stp>##V3_BDPV12</stp>
        <stp>912828FD Govt</stp>
        <stp>YLD_YTM_BID</stp>
        <stp>[TREASURY.xlsx]Sheet1!R650C4</stp>
        <tr r="D650" s="1"/>
      </tp>
      <tp>
        <v>6.25</v>
        <stp/>
        <stp>##V3_BDPV12</stp>
        <stp>912810FM Govt</stp>
        <stp>CPN</stp>
        <stp>[TREASURY.xlsx]Sheet1!R188C3</stp>
        <tr r="C188" s="1"/>
      </tp>
      <tp t="s">
        <v>#N/A N/A</v>
        <stp/>
        <stp>##V3_BDPV12</stp>
        <stp>912827RD Govt</stp>
        <stp>YLD_YTM_BID</stp>
        <stp>[TREASURY.xlsx]Sheet1!R910C4</stp>
        <tr r="D910" s="1"/>
      </tp>
      <tp>
        <v>3</v>
        <stp/>
        <stp>##V3_BDPV12</stp>
        <stp>912810SD Govt</stp>
        <stp>CPN</stp>
        <stp>[TREASURY.xlsx]Sheet1!R181C3</stp>
        <tr r="C181" s="1"/>
      </tp>
      <tp t="s">
        <v>#N/A N/A</v>
        <stp/>
        <stp>##V3_BDPV12</stp>
        <stp>912828GM Govt</stp>
        <stp>YLD_YTM_BID</stp>
        <stp>[TREASURY.xlsx]Sheet1!R379C4</stp>
        <tr r="D379" s="1"/>
      </tp>
      <tp>
        <v>0.93136610753616522</v>
        <stp/>
        <stp>##V3_BDPV12</stp>
        <stp>9128287B Govt</stp>
        <stp>YLD_YTM_BID</stp>
        <stp>[TREASURY.xlsx]Sheet1!R306C4</stp>
        <tr r="D306" s="1"/>
      </tp>
      <tp>
        <v>8.375</v>
        <stp/>
        <stp>##V3_BDPV12</stp>
        <stp>912810CC Govt</stp>
        <stp>CPN</stp>
        <stp>[TREASURY.xlsx]Sheet1!R526C3</stp>
        <tr r="C526" s="1"/>
      </tp>
      <tp>
        <v>0.27177352457305881</v>
        <stp/>
        <stp>##V3_BDPV12</stp>
        <stp>9128282D Govt</stp>
        <stp>YLD_YTM_BID</stp>
        <stp>[TREASURY.xlsx]Sheet1!R260C4</stp>
        <tr r="D260" s="1"/>
      </tp>
      <tp>
        <v>0.85206075456159458</v>
        <stp/>
        <stp>##V3_BDPV12</stp>
        <stp>9128286A Govt</stp>
        <stp>YLD_YTM_BID</stp>
        <stp>[TREASURY.xlsx]Sheet1!R265C4</stp>
        <tr r="D265" s="1"/>
      </tp>
      <tp t="s">
        <v>1/31/1981</v>
        <stp/>
        <stp>##V3_BDPV12</stp>
        <stp>912827KW Govt</stp>
        <stp>FIRST_CPN_DT</stp>
        <stp>[TREASURY.xlsx]Sheet1!R392C9</stp>
        <tr r="I392" s="1"/>
      </tp>
      <tp t="s">
        <v>2/15/1983</v>
        <stp/>
        <stp>##V3_BDPV12</stp>
        <stp>912827NM Govt</stp>
        <stp>FIRST_CPN_DT</stp>
        <stp>[TREASURY.xlsx]Sheet1!R732C9</stp>
        <tr r="I732" s="1"/>
      </tp>
      <tp t="s">
        <v>2/28/1982</v>
        <stp/>
        <stp>##V3_BDPV12</stp>
        <stp>912827MF Govt</stp>
        <stp>FIRST_CPN_DT</stp>
        <stp>[TREASURY.xlsx]Sheet1!R722C9</stp>
        <tr r="I722" s="1"/>
      </tp>
      <tp t="s">
        <v>2/15/1981</v>
        <stp/>
        <stp>##V3_BDPV12</stp>
        <stp>912827KY Govt</stp>
        <stp>FIRST_CPN_DT</stp>
        <stp>[TREASURY.xlsx]Sheet1!R712C9</stp>
        <tr r="I712" s="1"/>
      </tp>
      <tp t="s">
        <v>7/31/1992</v>
        <stp/>
        <stp>##V3_BDPV12</stp>
        <stp>912827D9 Govt</stp>
        <stp>FIRST_CPN_DT</stp>
        <stp>[TREASURY.xlsx]Sheet1!R702C9</stp>
        <tr r="I702" s="1"/>
      </tp>
      <tp t="s">
        <v>10/31/1981</v>
        <stp/>
        <stp>##V3_BDPV12</stp>
        <stp>912827LU Govt</stp>
        <stp>FIRST_CPN_DT</stp>
        <stp>[TREASURY.xlsx]Sheet1!R892C9</stp>
        <tr r="I892" s="1"/>
      </tp>
      <tp t="s">
        <v>1/31/1983</v>
        <stp/>
        <stp>##V3_BDPV12</stp>
        <stp>912827NL Govt</stp>
        <stp>FIRST_CPN_DT</stp>
        <stp>[TREASURY.xlsx]Sheet1!R902C9</stp>
        <tr r="I902" s="1"/>
      </tp>
      <tp t="s">
        <v>8/15/1985</v>
        <stp/>
        <stp>##V3_BDPV12</stp>
        <stp>912827RP Govt</stp>
        <stp>FIRST_CPN_DT</stp>
        <stp>[TREASURY.xlsx]Sheet1!R912C9</stp>
        <tr r="I912" s="1"/>
      </tp>
      <tp t="s">
        <v>3/31/1986</v>
        <stp/>
        <stp>##V3_BDPV12</stp>
        <stp>912827SU Govt</stp>
        <stp>FIRST_CPN_DT</stp>
        <stp>[TREASURY.xlsx]Sheet1!R832C9</stp>
        <tr r="I832" s="1"/>
      </tp>
      <tp t="s">
        <v>11/15/1987</v>
        <stp/>
        <stp>##V3_BDPV12</stp>
        <stp>912827UV Govt</stp>
        <stp>FIRST_CPN_DT</stp>
        <stp>[TREASURY.xlsx]Sheet1!R922C9</stp>
        <tr r="I922" s="1"/>
      </tp>
      <tp t="s">
        <v>4/30/1991</v>
        <stp/>
        <stp>##V3_BDPV12</stp>
        <stp>912827ZL Govt</stp>
        <stp>FIRST_CPN_DT</stp>
        <stp>[TREASURY.xlsx]Sheet1!R782C9</stp>
        <tr r="I782" s="1"/>
      </tp>
      <tp t="s">
        <v>1/15/1989</v>
        <stp/>
        <stp>##V3_BDPV12</stp>
        <stp>912827WK Govt</stp>
        <stp>FIRST_CPN_DT</stp>
        <stp>[TREASURY.xlsx]Sheet1!R932C9</stp>
        <tr r="I932" s="1"/>
      </tp>
      <tp t="s">
        <v>9/30/1989</v>
        <stp/>
        <stp>##V3_BDPV12</stp>
        <stp>912827XH Govt</stp>
        <stp>FIRST_CPN_DT</stp>
        <stp>[TREASURY.xlsx]Sheet1!R772C9</stp>
        <tr r="I772" s="1"/>
      </tp>
      <tp t="s">
        <v>3/31/1990</v>
        <stp/>
        <stp>##V3_BDPV12</stp>
        <stp>912827YA Govt</stp>
        <stp>FIRST_CPN_DT</stp>
        <stp>[TREASURY.xlsx]Sheet1!R942C9</stp>
        <tr r="I942" s="1"/>
      </tp>
      <tp t="s">
        <v>4/15/1988</v>
        <stp/>
        <stp>##V3_BDPV12</stp>
        <stp>912827VK Govt</stp>
        <stp>FIRST_CPN_DT</stp>
        <stp>[TREASURY.xlsx]Sheet1!R762C9</stp>
        <tr r="I762" s="1"/>
      </tp>
      <tp t="s">
        <v>2/29/1996</v>
        <stp/>
        <stp>##V3_BDPV12</stp>
        <stp>912827U9 Govt</stp>
        <stp>FIRST_CPN_DT</stp>
        <stp>[TREASURY.xlsx]Sheet1!R752C9</stp>
        <tr r="I752" s="1"/>
      </tp>
      <tp t="s">
        <v>4/15/1991</v>
        <stp/>
        <stp>##V3_BDPV12</stp>
        <stp>912827ZK Govt</stp>
        <stp>FIRST_CPN_DT</stp>
        <stp>[TREASURY.xlsx]Sheet1!R952C9</stp>
        <tr r="I952" s="1"/>
      </tp>
      <tp t="s">
        <v>9/30/1984</v>
        <stp/>
        <stp>##V3_BDPV12</stp>
        <stp>912827QP Govt</stp>
        <stp>FIRST_CPN_DT</stp>
        <stp>[TREASURY.xlsx]Sheet1!R742C9</stp>
        <tr r="I742" s="1"/>
      </tp>
      <tp t="s">
        <v>5/31/1999</v>
        <stp/>
        <stp>##V3_BDPV12</stp>
        <stp>9128274W Govt</stp>
        <stp>FIRST_CPN_DT</stp>
        <stp>[TREASURY.xlsx]Sheet1!R522C9</stp>
        <tr r="I522" s="1"/>
      </tp>
      <tp t="s">
        <v>11/15/1999</v>
        <stp/>
        <stp>##V3_BDPV12</stp>
        <stp>9128275F Govt</stp>
        <stp>FIRST_CPN_DT</stp>
        <stp>[TREASURY.xlsx]Sheet1!R662C9</stp>
        <tr r="I662" s="1"/>
      </tp>
      <tp t="s">
        <v>11/15/1991</v>
        <stp/>
        <stp>##V3_BDPV12</stp>
        <stp>912810EJ Govt</stp>
        <stp>FIRST_CPN_DT</stp>
        <stp>[TREASURY.xlsx]Sheet1!R521C9</stp>
        <tr r="I521" s="1"/>
      </tp>
      <tp t="s">
        <v>5/15/1987</v>
        <stp/>
        <stp>##V3_BDPV12</stp>
        <stp>912810DX Govt</stp>
        <stp>FIRST_CPN_DT</stp>
        <stp>[TREASURY.xlsx]Sheet1!R461C9</stp>
        <tr r="I461" s="1"/>
      </tp>
      <tp t="s">
        <v>5/15/1982</v>
        <stp/>
        <stp>##V3_BDPV12</stp>
        <stp>912810CX Govt</stp>
        <stp>FIRST_CPN_DT</stp>
        <stp>[TREASURY.xlsx]Sheet1!R661C9</stp>
        <tr r="I661" s="1"/>
      </tp>
      <tp t="s">
        <v>8/15/1981</v>
        <stp/>
        <stp>##V3_BDPV12</stp>
        <stp>912810CT Govt</stp>
        <stp>FIRST_CPN_DT</stp>
        <stp>[TREASURY.xlsx]Sheet1!R501C9</stp>
        <tr r="I501" s="1"/>
      </tp>
      <tp t="s">
        <v>5/15/1992</v>
        <stp/>
        <stp>##V3_BDPV12</stp>
        <stp>912810EL Govt</stp>
        <stp>FIRST_CPN_DT</stp>
        <stp>[TREASURY.xlsx]Sheet1!R211C9</stp>
        <tr r="I211" s="1"/>
      </tp>
      <tp t="s">
        <v>5/15/2010</v>
        <stp/>
        <stp>##V3_BDPV12</stp>
        <stp>912810QD Govt</stp>
        <stp>FIRST_CPN_DT</stp>
        <stp>[TREASURY.xlsx]Sheet1!R311C9</stp>
        <tr r="I311" s="1"/>
      </tp>
      <tp t="s">
        <v>5/15/2011</v>
        <stp/>
        <stp>##V3_BDPV12</stp>
        <stp>912810QL Govt</stp>
        <stp>FIRST_CPN_DT</stp>
        <stp>[TREASURY.xlsx]Sheet1!R321C9</stp>
        <tr r="I321" s="1"/>
      </tp>
      <tp t="s">
        <v>2/15/2019</v>
        <stp/>
        <stp>##V3_BDPV12</stp>
        <stp>912810SD Govt</stp>
        <stp>FIRST_CPN_DT</stp>
        <stp>[TREASURY.xlsx]Sheet1!R181C9</stp>
        <tr r="I181" s="1"/>
      </tp>
      <tp t="s">
        <v>8/15/2011</v>
        <stp/>
        <stp>##V3_BDPV12</stp>
        <stp>912810QN Govt</stp>
        <stp>FIRST_CPN_DT</stp>
        <stp>[TREASURY.xlsx]Sheet1!R291C9</stp>
        <tr r="I291" s="1"/>
      </tp>
      <tp t="s">
        <v>2/15/2018</v>
        <stp/>
        <stp>##V3_BDPV12</stp>
        <stp>912810RY Govt</stp>
        <stp>FIRST_CPN_DT</stp>
        <stp>[TREASURY.xlsx]Sheet1!R191C9</stp>
        <tr r="I191" s="1"/>
      </tp>
      <tp t="s">
        <v>US9128272K70</v>
        <stp/>
        <stp>##V3_BDPV12</stp>
        <stp>9128272K Govt</stp>
        <stp>ID_ISIN</stp>
        <stp>[TREASURY.xlsx]Sheet1!R1518C12</stp>
        <tr r="L1518" s="1"/>
      </tp>
      <tp t="s">
        <v>US9128277H96</v>
        <stp/>
        <stp>##V3_BDPV12</stp>
        <stp>9128277H Govt</stp>
        <stp>ID_ISIN</stp>
        <stp>[TREASURY.xlsx]Sheet1!R1028C12</stp>
        <tr r="L1028" s="1"/>
      </tp>
      <tp t="s">
        <v>US9128274K52</v>
        <stp/>
        <stp>##V3_BDPV12</stp>
        <stp>9128274K Govt</stp>
        <stp>ID_ISIN</stp>
        <stp>[TREASURY.xlsx]Sheet1!R1366C12</stp>
        <tr r="L1366" s="1"/>
      </tp>
      <tp t="s">
        <v>US9128274J89</v>
        <stp/>
        <stp>##V3_BDPV12</stp>
        <stp>9128274J Govt</stp>
        <stp>ID_ISIN</stp>
        <stp>[TREASURY.xlsx]Sheet1!R1365C12</stp>
        <tr r="L1365" s="1"/>
      </tp>
      <tp t="s">
        <v>US9128274G41</v>
        <stp/>
        <stp>##V3_BDPV12</stp>
        <stp>9128274G Govt</stp>
        <stp>ID_ISIN</stp>
        <stp>[TREASURY.xlsx]Sheet1!R1364C12</stp>
        <tr r="L1364" s="1"/>
      </tp>
      <tp t="s">
        <v>US9128274E92</v>
        <stp/>
        <stp>##V3_BDPV12</stp>
        <stp>9128274E Govt</stp>
        <stp>ID_ISIN</stp>
        <stp>[TREASURY.xlsx]Sheet1!R1363C12</stp>
        <tr r="L1363" s="1"/>
      </tp>
      <tp t="s">
        <v>US9128277F31</v>
        <stp/>
        <stp>##V3_BDPV12</stp>
        <stp>9128277F Govt</stp>
        <stp>ID_ISIN</stp>
        <stp>[TREASURY.xlsx]Sheet1!R1027C12</stp>
        <tr r="L1027" s="1"/>
      </tp>
      <tp t="s">
        <v>US9128274B53</v>
        <stp/>
        <stp>##V3_BDPV12</stp>
        <stp>9128274B Govt</stp>
        <stp>ID_ISIN</stp>
        <stp>[TREASURY.xlsx]Sheet1!R1362C12</stp>
        <tr r="L1362" s="1"/>
      </tp>
      <tp t="s">
        <v>US9128272G68</v>
        <stp/>
        <stp>##V3_BDPV12</stp>
        <stp>9128272G Govt</stp>
        <stp>ID_ISIN</stp>
        <stp>[TREASURY.xlsx]Sheet1!R1517C12</stp>
        <tr r="L1517" s="1"/>
      </tp>
      <tp t="s">
        <v>US9128272Y74</v>
        <stp/>
        <stp>##V3_BDPV12</stp>
        <stp>9128272Y Govt</stp>
        <stp>ID_ISIN</stp>
        <stp>[TREASURY.xlsx]Sheet1!R1525C12</stp>
        <tr r="L1525" s="1"/>
      </tp>
      <tp t="s">
        <v>US9128272X91</v>
        <stp/>
        <stp>##V3_BDPV12</stp>
        <stp>9128272X Govt</stp>
        <stp>ID_ISIN</stp>
        <stp>[TREASURY.xlsx]Sheet1!R1524C12</stp>
        <tr r="L1524" s="1"/>
      </tp>
      <tp t="s">
        <v>US9128274X73</v>
        <stp/>
        <stp>##V3_BDPV12</stp>
        <stp>9128274X Govt</stp>
        <stp>ID_ISIN</stp>
        <stp>[TREASURY.xlsx]Sheet1!R1368C12</stp>
        <tr r="L1368" s="1"/>
      </tp>
      <tp t="s">
        <v>US9128272S07</v>
        <stp/>
        <stp>##V3_BDPV12</stp>
        <stp>9128272S Govt</stp>
        <stp>ID_ISIN</stp>
        <stp>[TREASURY.xlsx]Sheet1!R1520C12</stp>
        <tr r="L1520" s="1"/>
      </tp>
      <tp t="s">
        <v>US9128272P67</v>
        <stp/>
        <stp>##V3_BDPV12</stp>
        <stp>9128272P Govt</stp>
        <stp>ID_ISIN</stp>
        <stp>[TREASURY.xlsx]Sheet1!R1519C12</stp>
        <tr r="L1519" s="1"/>
      </tp>
      <tp t="s">
        <v>US9128273U44</v>
        <stp/>
        <stp>##V3_BDPV12</stp>
        <stp>9128273U Govt</stp>
        <stp>ID_ISIN</stp>
        <stp>[TREASURY.xlsx]Sheet1!R1455C12</stp>
        <tr r="L1455" s="1"/>
      </tp>
      <tp t="s">
        <v>US9128273W00</v>
        <stp/>
        <stp>##V3_BDPV12</stp>
        <stp>9128273W Govt</stp>
        <stp>ID_ISIN</stp>
        <stp>[TREASURY.xlsx]Sheet1!R1456C12</stp>
        <tr r="L1456" s="1"/>
      </tp>
      <tp t="s">
        <v>US9128272W19</v>
        <stp/>
        <stp>##V3_BDPV12</stp>
        <stp>9128272W Govt</stp>
        <stp>ID_ISIN</stp>
        <stp>[TREASURY.xlsx]Sheet1!R1523C12</stp>
        <tr r="L1523" s="1"/>
      </tp>
      <tp t="s">
        <v>US9128272V36</v>
        <stp/>
        <stp>##V3_BDPV12</stp>
        <stp>9128272V Govt</stp>
        <stp>ID_ISIN</stp>
        <stp>[TREASURY.xlsx]Sheet1!R1522C12</stp>
        <tr r="L1522" s="1"/>
      </tp>
      <tp t="s">
        <v>US9128274Q23</v>
        <stp/>
        <stp>##V3_BDPV12</stp>
        <stp>9128274Q Govt</stp>
        <stp>ID_ISIN</stp>
        <stp>[TREASURY.xlsx]Sheet1!R1367C12</stp>
        <tr r="L1367" s="1"/>
      </tp>
      <tp t="s">
        <v>US9128272T89</v>
        <stp/>
        <stp>##V3_BDPV12</stp>
        <stp>9128272T Govt</stp>
        <stp>ID_ISIN</stp>
        <stp>[TREASURY.xlsx]Sheet1!R1521C12</stp>
        <tr r="L1521" s="1"/>
      </tp>
      <tp t="s">
        <v>US9128276K35</v>
        <stp/>
        <stp>##V3_BDPV12</stp>
        <stp>9128276K Govt</stp>
        <stp>ID_ISIN</stp>
        <stp>[TREASURY.xlsx]Sheet1!R1023C12</stp>
        <tr r="L1023" s="1"/>
      </tp>
      <tp t="s">
        <v>US9128272L53</v>
        <stp/>
        <stp>##V3_BDPV12</stp>
        <stp>9128272L Govt</stp>
        <stp>ID_ISIN</stp>
        <stp>[TREASURY.xlsx]Sheet1!R1452C12</stp>
        <tr r="L1452" s="1"/>
      </tp>
      <tp t="s">
        <v>US9128273J98</v>
        <stp/>
        <stp>##V3_BDPV12</stp>
        <stp>9128273J Govt</stp>
        <stp>ID_ISIN</stp>
        <stp>[TREASURY.xlsx]Sheet1!R1528C12</stp>
        <tr r="L1528" s="1"/>
      </tp>
      <tp t="s">
        <v>US9128273H33</v>
        <stp/>
        <stp>##V3_BDPV12</stp>
        <stp>9128273H Govt</stp>
        <stp>ID_ISIN</stp>
        <stp>[TREASURY.xlsx]Sheet1!R1527C12</stp>
        <tr r="L1527" s="1"/>
      </tp>
      <tp t="s">
        <v>US9128272H42</v>
        <stp/>
        <stp>##V3_BDPV12</stp>
        <stp>9128272H Govt</stp>
        <stp>ID_ISIN</stp>
        <stp>[TREASURY.xlsx]Sheet1!R1450C12</stp>
        <tr r="L1450" s="1"/>
      </tp>
      <tp t="s">
        <v>US9128276N73</v>
        <stp/>
        <stp>##V3_BDPV12</stp>
        <stp>9128276N Govt</stp>
        <stp>ID_ISIN</stp>
        <stp>[TREASURY.xlsx]Sheet1!R1024C12</stp>
        <tr r="L1024" s="1"/>
      </tp>
      <tp t="s">
        <v>US9128272J08</v>
        <stp/>
        <stp>##V3_BDPV12</stp>
        <stp>9128272J Govt</stp>
        <stp>ID_ISIN</stp>
        <stp>[TREASURY.xlsx]Sheet1!R1451C12</stp>
        <tr r="L1451" s="1"/>
      </tp>
      <tp t="s">
        <v>US9128275H15</v>
        <stp/>
        <stp>##V3_BDPV12</stp>
        <stp>9128275H Govt</stp>
        <stp>ID_ISIN</stp>
        <stp>[TREASURY.xlsx]Sheet1!R1370C12</stp>
        <tr r="L1370" s="1"/>
      </tp>
      <tp t="s">
        <v>US9128273L45</v>
        <stp/>
        <stp>##V3_BDPV12</stp>
        <stp>9128273L Govt</stp>
        <stp>ID_ISIN</stp>
        <stp>[TREASURY.xlsx]Sheet1!R1529C12</stp>
        <tr r="L1529" s="1"/>
      </tp>
      <tp t="s">
        <v>US9128276C19</v>
        <stp/>
        <stp>##V3_BDPV12</stp>
        <stp>9128276C Govt</stp>
        <stp>ID_ISIN</stp>
        <stp>[TREASURY.xlsx]Sheet1!R1022C12</stp>
        <tr r="L1022" s="1"/>
      </tp>
      <tp t="s">
        <v>US9128275G32</v>
        <stp/>
        <stp>##V3_BDPV12</stp>
        <stp>9128275G Govt</stp>
        <stp>ID_ISIN</stp>
        <stp>[TREASURY.xlsx]Sheet1!R1369C12</stp>
        <tr r="L1369" s="1"/>
      </tp>
      <tp t="s">
        <v>US9128276B36</v>
        <stp/>
        <stp>##V3_BDPV12</stp>
        <stp>9128276B Govt</stp>
        <stp>ID_ISIN</stp>
        <stp>[TREASURY.xlsx]Sheet1!R1021C12</stp>
        <tr r="L1021" s="1"/>
      </tp>
      <tp t="s">
        <v>US9128276A52</v>
        <stp/>
        <stp>##V3_BDPV12</stp>
        <stp>9128276A Govt</stp>
        <stp>ID_ISIN</stp>
        <stp>[TREASURY.xlsx]Sheet1!R1020C12</stp>
        <tr r="L1020" s="1"/>
      </tp>
      <tp t="s">
        <v>US9128273E02</v>
        <stp/>
        <stp>##V3_BDPV12</stp>
        <stp>9128273E Govt</stp>
        <stp>ID_ISIN</stp>
        <stp>[TREASURY.xlsx]Sheet1!R1526C12</stp>
        <tr r="L1526" s="1"/>
      </tp>
      <tp t="s">
        <v>US9128272C54</v>
        <stp/>
        <stp>##V3_BDPV12</stp>
        <stp>9128272C Govt</stp>
        <stp>ID_ISIN</stp>
        <stp>[TREASURY.xlsx]Sheet1!R1449C12</stp>
        <tr r="L1449" s="1"/>
      </tp>
      <tp t="s">
        <v>US9128276Z04</v>
        <stp/>
        <stp>##V3_BDPV12</stp>
        <stp>9128276Z Govt</stp>
        <stp>ID_ISIN</stp>
        <stp>[TREASURY.xlsx]Sheet1!R1026C12</stp>
        <tr r="L1026" s="1"/>
      </tp>
      <tp t="s">
        <v>US9128272U52</v>
        <stp/>
        <stp>##V3_BDPV12</stp>
        <stp>9128272U Govt</stp>
        <stp>ID_ISIN</stp>
        <stp>[TREASURY.xlsx]Sheet1!R1454C12</stp>
        <tr r="L1454" s="1"/>
      </tp>
      <tp t="s">
        <v>US9128273S97</v>
        <stp/>
        <stp>##V3_BDPV12</stp>
        <stp>9128273S Govt</stp>
        <stp>ID_ISIN</stp>
        <stp>[TREASURY.xlsx]Sheet1!R1531C12</stp>
        <tr r="L1531" s="1"/>
      </tp>
      <tp t="s">
        <v>US9128273P58</v>
        <stp/>
        <stp>##V3_BDPV12</stp>
        <stp>9128273P Govt</stp>
        <stp>ID_ISIN</stp>
        <stp>[TREASURY.xlsx]Sheet1!R1530C12</stp>
        <tr r="L1530" s="1"/>
      </tp>
      <tp t="s">
        <v>US9128272R24</v>
        <stp/>
        <stp>##V3_BDPV12</stp>
        <stp>9128272R Govt</stp>
        <stp>ID_ISIN</stp>
        <stp>[TREASURY.xlsx]Sheet1!R1453C12</stp>
        <tr r="L1453" s="1"/>
      </tp>
      <tp t="s">
        <v>US9128276T44</v>
        <stp/>
        <stp>##V3_BDPV12</stp>
        <stp>9128276T Govt</stp>
        <stp>ID_ISIN</stp>
        <stp>[TREASURY.xlsx]Sheet1!R1025C12</stp>
        <tr r="L1025" s="1"/>
      </tp>
      <tp t="s">
        <v>US9128275J70</v>
        <stp/>
        <stp>##V3_BDPV12</stp>
        <stp>9128275J Govt</stp>
        <stp>ID_ISIN</stp>
        <stp>[TREASURY.xlsx]Sheet1!R1014C12</stp>
        <tr r="L1014" s="1"/>
      </tp>
      <tp t="s">
        <v>US9128275M00</v>
        <stp/>
        <stp>##V3_BDPV12</stp>
        <stp>9128275M Govt</stp>
        <stp>ID_ISIN</stp>
        <stp>[TREASURY.xlsx]Sheet1!R1015C12</stp>
        <tr r="L1015" s="1"/>
      </tp>
      <tp t="s">
        <v>US9128275D01</v>
        <stp/>
        <stp>##V3_BDPV12</stp>
        <stp>9128275D Govt</stp>
        <stp>ID_ISIN</stp>
        <stp>[TREASURY.xlsx]Sheet1!R1013C12</stp>
        <tr r="L1013" s="1"/>
      </tp>
      <tp t="s">
        <v>US9128275P31</v>
        <stp/>
        <stp>##V3_BDPV12</stp>
        <stp>9128275P Govt</stp>
        <stp>ID_ISIN</stp>
        <stp>[TREASURY.xlsx]Sheet1!R1016C12</stp>
        <tr r="L1016" s="1"/>
      </tp>
      <tp t="s">
        <v>US9128275Q14</v>
        <stp/>
        <stp>##V3_BDPV12</stp>
        <stp>9128275Q Govt</stp>
        <stp>ID_ISIN</stp>
        <stp>[TREASURY.xlsx]Sheet1!R1017C12</stp>
        <tr r="L1017" s="1"/>
      </tp>
      <tp t="s">
        <v>US9128275R96</v>
        <stp/>
        <stp>##V3_BDPV12</stp>
        <stp>9128275R Govt</stp>
        <stp>ID_ISIN</stp>
        <stp>[TREASURY.xlsx]Sheet1!R1018C12</stp>
        <tr r="L1018" s="1"/>
      </tp>
      <tp t="s">
        <v>US9128275S79</v>
        <stp/>
        <stp>##V3_BDPV12</stp>
        <stp>9128275S Govt</stp>
        <stp>ID_ISIN</stp>
        <stp>[TREASURY.xlsx]Sheet1!R1019C12</stp>
        <tr r="L1019" s="1"/>
      </tp>
      <tp t="s">
        <v>US9128274U35</v>
        <stp/>
        <stp>##V3_BDPV12</stp>
        <stp>9128274U Govt</stp>
        <stp>ID_ISIN</stp>
        <stp>[TREASURY.xlsx]Sheet1!R1012C12</stp>
        <tr r="L1012" s="1"/>
      </tp>
      <tp t="s">
        <v>US9128276H06</v>
        <stp/>
        <stp>##V3_BDPV12</stp>
        <stp>9128276H Govt</stp>
        <stp>ID_ISIN</stp>
        <stp>[TREASURY.xlsx]Sheet1!R1537C12</stp>
        <tr r="L1537" s="1"/>
      </tp>
      <tp t="s">
        <v>US9128277M81</v>
        <stp/>
        <stp>##V3_BDPV12</stp>
        <stp>9128277M Govt</stp>
        <stp>ID_ISIN</stp>
        <stp>[TREASURY.xlsx]Sheet1!R1472C12</stp>
        <tr r="L1472" s="1"/>
      </tp>
      <tp t="s">
        <v>US9128276L18</v>
        <stp/>
        <stp>##V3_BDPV12</stp>
        <stp>9128276L Govt</stp>
        <stp>ID_ISIN</stp>
        <stp>[TREASURY.xlsx]Sheet1!R1538C12</stp>
        <tr r="L1538" s="1"/>
      </tp>
      <tp t="s">
        <v>US9128277G14</v>
        <stp/>
        <stp>##V3_BDPV12</stp>
        <stp>9128277G Govt</stp>
        <stp>ID_ISIN</stp>
        <stp>[TREASURY.xlsx]Sheet1!R1471C12</stp>
        <tr r="L1471" s="1"/>
      </tp>
      <tp t="s">
        <v>US9128277D82</v>
        <stp/>
        <stp>##V3_BDPV12</stp>
        <stp>9128277D Govt</stp>
        <stp>ID_ISIN</stp>
        <stp>[TREASURY.xlsx]Sheet1!R1470C12</stp>
        <tr r="L1470" s="1"/>
      </tp>
      <tp t="s">
        <v>US9128273C46</v>
        <stp/>
        <stp>##V3_BDPV12</stp>
        <stp>9128273C Govt</stp>
        <stp>ID_ISIN</stp>
        <stp>[TREASURY.xlsx]Sheet1!R1010C12</stp>
        <tr r="L1010" s="1"/>
      </tp>
      <tp t="s">
        <v>US9128276E74</v>
        <stp/>
        <stp>##V3_BDPV12</stp>
        <stp>9128276E Govt</stp>
        <stp>ID_ISIN</stp>
        <stp>[TREASURY.xlsx]Sheet1!R1536C12</stp>
        <tr r="L1536" s="1"/>
      </tp>
      <tp t="s">
        <v>US9128273G59</v>
        <stp/>
        <stp>##V3_BDPV12</stp>
        <stp>9128273G Govt</stp>
        <stp>ID_ISIN</stp>
        <stp>[TREASURY.xlsx]Sheet1!R1011C12</stp>
        <tr r="L1011" s="1"/>
      </tp>
      <tp t="s">
        <v>US9128276Y39</v>
        <stp/>
        <stp>##V3_BDPV12</stp>
        <stp>9128276Y Govt</stp>
        <stp>ID_ISIN</stp>
        <stp>[TREASURY.xlsx]Sheet1!R1542C12</stp>
        <tr r="L1542" s="1"/>
      </tp>
      <tp t="s">
        <v>US9128276W72</v>
        <stp/>
        <stp>##V3_BDPV12</stp>
        <stp>9128276W Govt</stp>
        <stp>ID_ISIN</stp>
        <stp>[TREASURY.xlsx]Sheet1!R1541C12</stp>
        <tr r="L1541" s="1"/>
      </tp>
      <tp t="s">
        <v>US9128276Q05</v>
        <stp/>
        <stp>##V3_BDPV12</stp>
        <stp>9128276Q Govt</stp>
        <stp>ID_ISIN</stp>
        <stp>[TREASURY.xlsx]Sheet1!R1539C12</stp>
        <tr r="L1539" s="1"/>
      </tp>
      <tp t="s">
        <v>US9128276S60</v>
        <stp/>
        <stp>##V3_BDPV12</stp>
        <stp>9128276S Govt</stp>
        <stp>ID_ISIN</stp>
        <stp>[TREASURY.xlsx]Sheet1!R1540C12</stp>
        <tr r="L1540" s="1"/>
      </tp>
      <tp t="s">
        <v>US9128277L09</v>
        <stp/>
        <stp>##V3_BDPV12</stp>
        <stp>9128277L Govt</stp>
        <stp>ID_ISIN</stp>
        <stp>[TREASURY.xlsx]Sheet1!R1546C12</stp>
        <tr r="L1546" s="1"/>
      </tp>
      <tp t="s">
        <v>US9128277E65</v>
        <stp/>
        <stp>##V3_BDPV12</stp>
        <stp>9128277E Govt</stp>
        <stp>ID_ISIN</stp>
        <stp>[TREASURY.xlsx]Sheet1!R1545C12</stp>
        <tr r="L1545" s="1"/>
      </tp>
      <tp t="s">
        <v>US9128276F40</v>
        <stp/>
        <stp>##V3_BDPV12</stp>
        <stp>9128276F Govt</stp>
        <stp>ID_ISIN</stp>
        <stp>[TREASURY.xlsx]Sheet1!R1466C12</stp>
        <tr r="L1466" s="1"/>
      </tp>
      <tp t="s">
        <v>US9128276D91</v>
        <stp/>
        <stp>##V3_BDPV12</stp>
        <stp>9128276D Govt</stp>
        <stp>ID_ISIN</stp>
        <stp>[TREASURY.xlsx]Sheet1!R1465C12</stp>
        <tr r="L1465" s="1"/>
      </tp>
      <tp t="s">
        <v>US9128272B71</v>
        <stp/>
        <stp>##V3_BDPV12</stp>
        <stp>9128272B Govt</stp>
        <stp>ID_ISIN</stp>
        <stp>[TREASURY.xlsx]Sheet1!R1008C12</stp>
        <tr r="L1008" s="1"/>
      </tp>
      <tp t="s">
        <v>US9128277A44</v>
        <stp/>
        <stp>##V3_BDPV12</stp>
        <stp>9128277A Govt</stp>
        <stp>ID_ISIN</stp>
        <stp>[TREASURY.xlsx]Sheet1!R1543C12</stp>
        <tr r="L1543" s="1"/>
      </tp>
      <tp t="s">
        <v>US9128272E11</v>
        <stp/>
        <stp>##V3_BDPV12</stp>
        <stp>9128272E Govt</stp>
        <stp>ID_ISIN</stp>
        <stp>[TREASURY.xlsx]Sheet1!R1009C12</stp>
        <tr r="L1009" s="1"/>
      </tp>
      <tp t="s">
        <v>US9128277C00</v>
        <stp/>
        <stp>##V3_BDPV12</stp>
        <stp>9128277C Govt</stp>
        <stp>ID_ISIN</stp>
        <stp>[TREASURY.xlsx]Sheet1!R1544C12</stp>
        <tr r="L1544" s="1"/>
      </tp>
      <tp t="s">
        <v>US9128276X55</v>
        <stp/>
        <stp>##V3_BDPV12</stp>
        <stp>9128276X Govt</stp>
        <stp>ID_ISIN</stp>
        <stp>[TREASURY.xlsx]Sheet1!R1469C12</stp>
        <tr r="L1469" s="1"/>
      </tp>
      <tp t="s">
        <v>US9128276V99</v>
        <stp/>
        <stp>##V3_BDPV12</stp>
        <stp>9128276V Govt</stp>
        <stp>ID_ISIN</stp>
        <stp>[TREASURY.xlsx]Sheet1!R1468C12</stp>
        <tr r="L1468" s="1"/>
      </tp>
      <tp t="s">
        <v>US9128276U17</v>
        <stp/>
        <stp>##V3_BDPV12</stp>
        <stp>9128276U Govt</stp>
        <stp>ID_ISIN</stp>
        <stp>[TREASURY.xlsx]Sheet1!R1467C12</stp>
        <tr r="L1467" s="1"/>
      </tp>
      <tp t="s">
        <v>US9128272N10</v>
        <stp/>
        <stp>##V3_BDPV12</stp>
        <stp>9128272N Govt</stp>
        <stp>ID_ISIN</stp>
        <stp>[TREASURY.xlsx]Sheet1!R1352C12</stp>
        <tr r="L1352" s="1"/>
      </tp>
      <tp t="s">
        <v>US9128275L27</v>
        <stp/>
        <stp>##V3_BDPV12</stp>
        <stp>9128275L Govt</stp>
        <stp>ID_ISIN</stp>
        <stp>[TREASURY.xlsx]Sheet1!R1464C12</stp>
        <tr r="L1464" s="1"/>
      </tp>
      <tp t="s">
        <v>US9128272D38</v>
        <stp/>
        <stp>##V3_BDPV12</stp>
        <stp>9128272D Govt</stp>
        <stp>ID_ISIN</stp>
        <stp>[TREASURY.xlsx]Sheet1!R1350C12</stp>
        <tr r="L1350" s="1"/>
      </tp>
      <tp t="s">
        <v>US9128272F85</v>
        <stp/>
        <stp>##V3_BDPV12</stp>
        <stp>9128272F Govt</stp>
        <stp>ID_ISIN</stp>
        <stp>[TREASURY.xlsx]Sheet1!R1351C12</stp>
        <tr r="L1351" s="1"/>
      </tp>
      <tp t="s">
        <v>US9128275A61</v>
        <stp/>
        <stp>##V3_BDPV12</stp>
        <stp>9128275A Govt</stp>
        <stp>ID_ISIN</stp>
        <stp>[TREASURY.xlsx]Sheet1!R1463C12</stp>
        <tr r="L1463" s="1"/>
      </tp>
      <tp t="s">
        <v>US9128274Z22</v>
        <stp/>
        <stp>##V3_BDPV12</stp>
        <stp>9128274Z Govt</stp>
        <stp>ID_ISIN</stp>
        <stp>[TREASURY.xlsx]Sheet1!R1534C12</stp>
        <tr r="L1534" s="1"/>
      </tp>
      <tp t="s">
        <v>US9128274R06</v>
        <stp/>
        <stp>##V3_BDPV12</stp>
        <stp>9128274R Govt</stp>
        <stp>ID_ISIN</stp>
        <stp>[TREASURY.xlsx]Sheet1!R1532C12</stp>
        <tr r="L1532" s="1"/>
      </tp>
      <tp t="s">
        <v>US9128274V18</v>
        <stp/>
        <stp>##V3_BDPV12</stp>
        <stp>9128274V Govt</stp>
        <stp>ID_ISIN</stp>
        <stp>[TREASURY.xlsx]Sheet1!R1533C12</stp>
        <tr r="L1533" s="1"/>
      </tp>
      <tp t="s">
        <v>12/15/2010</v>
        <stp/>
        <stp>##V3_BDPV12</stp>
        <stp>912828NH Govt</stp>
        <stp>FIRST_CPN_DT</stp>
        <stp>[TREASURY.xlsx]Sheet1!R622C9</stp>
        <tr r="I622" s="1"/>
      </tp>
      <tp t="s">
        <v>5/31/2016</v>
        <stp/>
        <stp>##V3_BDPV12</stp>
        <stp>912828M9 Govt</stp>
        <stp>FIRST_CPN_DT</stp>
        <stp>[TREASURY.xlsx]Sheet1!R592C9</stp>
        <tr r="I592" s="1"/>
      </tp>
      <tp t="s">
        <v>US9128273M28</v>
        <stp/>
        <stp>##V3_BDPV12</stp>
        <stp>9128273M Govt</stp>
        <stp>ID_ISIN</stp>
        <stp>[TREASURY.xlsx]Sheet1!R1357C12</stp>
        <tr r="L1357" s="1"/>
      </tp>
      <tp t="s">
        <v>US9128274N91</v>
        <stp/>
        <stp>##V3_BDPV12</stp>
        <stp>9128274N Govt</stp>
        <stp>ID_ISIN</stp>
        <stp>[TREASURY.xlsx]Sheet1!R1462C12</stp>
        <tr r="L1462" s="1"/>
      </tp>
      <tp t="s">
        <v>US9128274M19</v>
        <stp/>
        <stp>##V3_BDPV12</stp>
        <stp>9128274M Govt</stp>
        <stp>ID_ISIN</stp>
        <stp>[TREASURY.xlsx]Sheet1!R1461C12</stp>
        <tr r="L1461" s="1"/>
      </tp>
      <tp t="s">
        <v>11/30/2010</v>
        <stp/>
        <stp>##V3_BDPV12</stp>
        <stp>912828NG Govt</stp>
        <stp>FIRST_CPN_DT</stp>
        <stp>[TREASURY.xlsx]Sheet1!R562C9</stp>
        <tr r="I562" s="1"/>
      </tp>
      <tp t="s">
        <v>8/15/2005</v>
        <stp/>
        <stp>##V3_BDPV12</stp>
        <stp>912828DL Govt</stp>
        <stp>FIRST_CPN_DT</stp>
        <stp>[TREASURY.xlsx]Sheet1!R962C9</stp>
        <tr r="I962" s="1"/>
      </tp>
      <tp t="s">
        <v>8/15/2006</v>
        <stp/>
        <stp>##V3_BDPV12</stp>
        <stp>912828EW Govt</stp>
        <stp>FIRST_CPN_DT</stp>
        <stp>[TREASURY.xlsx]Sheet1!R842C9</stp>
        <tr r="I842" s="1"/>
      </tp>
      <tp t="s">
        <v>2/28/2011</v>
        <stp/>
        <stp>##V3_BDPV12</stp>
        <stp>912828NV Govt</stp>
        <stp>FIRST_CPN_DT</stp>
        <stp>[TREASURY.xlsx]Sheet1!R382C9</stp>
        <tr r="I382" s="1"/>
      </tp>
      <tp t="s">
        <v>8/31/2009</v>
        <stp/>
        <stp>##V3_BDPV12</stp>
        <stp>912828KE Govt</stp>
        <stp>FIRST_CPN_DT</stp>
        <stp>[TREASURY.xlsx]Sheet1!R582C9</stp>
        <tr r="I582" s="1"/>
      </tp>
      <tp t="s">
        <v>8/31/2007</v>
        <stp/>
        <stp>##V3_BDPV12</stp>
        <stp>912828GJ Govt</stp>
        <stp>FIRST_CPN_DT</stp>
        <stp>[TREASURY.xlsx]Sheet1!R802C9</stp>
        <tr r="I802" s="1"/>
      </tp>
      <tp t="s">
        <v>2/15/2009</v>
        <stp/>
        <stp>##V3_BDPV12</stp>
        <stp>912828JH Govt</stp>
        <stp>FIRST_CPN_DT</stp>
        <stp>[TREASURY.xlsx]Sheet1!R542C9</stp>
        <tr r="I542" s="1"/>
      </tp>
      <tp t="s">
        <v>US9128273K61</v>
        <stp/>
        <stp>##V3_BDPV12</stp>
        <stp>9128273K Govt</stp>
        <stp>ID_ISIN</stp>
        <stp>[TREASURY.xlsx]Sheet1!R1356C12</stp>
        <tr r="L1356" s="1"/>
      </tp>
      <tp t="s">
        <v>US9128274H24</v>
        <stp/>
        <stp>##V3_BDPV12</stp>
        <stp>9128274H Govt</stp>
        <stp>ID_ISIN</stp>
        <stp>[TREASURY.xlsx]Sheet1!R1460C12</stp>
        <tr r="L1460" s="1"/>
      </tp>
      <tp t="s">
        <v>9/30/2006</v>
        <stp/>
        <stp>##V3_BDPV12</stp>
        <stp>912828EZ Govt</stp>
        <stp>FIRST_CPN_DT</stp>
        <stp>[TREASURY.xlsx]Sheet1!R572C9</stp>
        <tr r="I572" s="1"/>
      </tp>
      <tp t="s">
        <v>US9128273D29</v>
        <stp/>
        <stp>##V3_BDPV12</stp>
        <stp>9128273D Govt</stp>
        <stp>ID_ISIN</stp>
        <stp>[TREASURY.xlsx]Sheet1!R1354C12</stp>
        <tr r="L1354" s="1"/>
      </tp>
      <tp t="s">
        <v>US9128274D10</v>
        <stp/>
        <stp>##V3_BDPV12</stp>
        <stp>9128274D Govt</stp>
        <stp>ID_ISIN</stp>
        <stp>[TREASURY.xlsx]Sheet1!R1459C12</stp>
        <tr r="L1459" s="1"/>
      </tp>
      <tp t="s">
        <v>9/30/2014</v>
        <stp/>
        <stp>##V3_BDPV12</stp>
        <stp>912828C5 Govt</stp>
        <stp>FIRST_CPN_DT</stp>
        <stp>[TREASURY.xlsx]Sheet1!R342C9</stp>
        <tr r="I342" s="1"/>
      </tp>
      <tp t="s">
        <v>10/31/2007</v>
        <stp/>
        <stp>##V3_BDPV12</stp>
        <stp>912828GQ Govt</stp>
        <stp>FIRST_CPN_DT</stp>
        <stp>[TREASURY.xlsx]Sheet1!R672C9</stp>
        <tr r="I672" s="1"/>
      </tp>
      <tp t="s">
        <v>US9128275C28</v>
        <stp/>
        <stp>##V3_BDPV12</stp>
        <stp>9128275C Govt</stp>
        <stp>ID_ISIN</stp>
        <stp>[TREASURY.xlsx]Sheet1!R1535C12</stp>
        <tr r="L1535" s="1"/>
      </tp>
      <tp t="s">
        <v>US9128273F76</v>
        <stp/>
        <stp>##V3_BDPV12</stp>
        <stp>9128273F Govt</stp>
        <stp>ID_ISIN</stp>
        <stp>[TREASURY.xlsx]Sheet1!R1355C12</stp>
        <tr r="L1355" s="1"/>
      </tp>
      <tp t="s">
        <v>9/30/2015</v>
        <stp/>
        <stp>##V3_BDPV12</stp>
        <stp>912828J9 Govt</stp>
        <stp>FIRST_CPN_DT</stp>
        <stp>[TREASURY.xlsx]Sheet1!R852C9</stp>
        <tr r="I852" s="1"/>
      </tp>
      <tp t="s">
        <v>8/31/2009</v>
        <stp/>
        <stp>##V3_BDPV12</stp>
        <stp>912828KF Govt</stp>
        <stp>FIRST_CPN_DT</stp>
        <stp>[TREASURY.xlsx]Sheet1!R812C9</stp>
        <tr r="I812" s="1"/>
      </tp>
      <tp t="s">
        <v>1/31/2007</v>
        <stp/>
        <stp>##V3_BDPV12</stp>
        <stp>912828FM Govt</stp>
        <stp>FIRST_CPN_DT</stp>
        <stp>[TREASURY.xlsx]Sheet1!R532C9</stp>
        <tr r="I532" s="1"/>
      </tp>
      <tp t="s">
        <v>6/30/2009</v>
        <stp/>
        <stp>##V3_BDPV12</stp>
        <stp>912828JV Govt</stp>
        <stp>FIRST_CPN_DT</stp>
        <stp>[TREASURY.xlsx]Sheet1!R972C9</stp>
        <tr r="I972" s="1"/>
      </tp>
      <tp t="s">
        <v>10/15/2005</v>
        <stp/>
        <stp>##V3_BDPV12</stp>
        <stp>912828DR Govt</stp>
        <stp>FIRST_CPN_DT</stp>
        <stp>[TREASURY.xlsx]Sheet1!R792C9</stp>
        <tr r="I792" s="1"/>
      </tp>
      <tp t="s">
        <v>6/30/2015</v>
        <stp/>
        <stp>##V3_BDPV12</stp>
        <stp>912828G9 Govt</stp>
        <stp>FIRST_CPN_DT</stp>
        <stp>[TREASURY.xlsx]Sheet1!R422C9</stp>
        <tr r="I422" s="1"/>
      </tp>
      <tp t="s">
        <v>2/29/2004</v>
        <stp/>
        <stp>##V3_BDPV12</stp>
        <stp>912828BJ Govt</stp>
        <stp>FIRST_CPN_DT</stp>
        <stp>[TREASURY.xlsx]Sheet1!R642C9</stp>
        <tr r="I642" s="1"/>
      </tp>
      <tp t="s">
        <v>5/31/2003</v>
        <stp/>
        <stp>##V3_BDPV12</stp>
        <stp>912828AQ Govt</stp>
        <stp>FIRST_CPN_DT</stp>
        <stp>[TREASURY.xlsx]Sheet1!R512C9</stp>
        <tr r="I512" s="1"/>
      </tp>
      <tp t="s">
        <v>10/31/2003</v>
        <stp/>
        <stp>##V3_BDPV12</stp>
        <stp>912828AX Govt</stp>
        <stp>FIRST_CPN_DT</stp>
        <stp>[TREASURY.xlsx]Sheet1!R502C9</stp>
        <tr r="I502" s="1"/>
      </tp>
      <tp t="s">
        <v>11/30/2002</v>
        <stp/>
        <stp>##V3_BDPV12</stp>
        <stp>912828AD Govt</stp>
        <stp>FIRST_CPN_DT</stp>
        <stp>[TREASURY.xlsx]Sheet1!R412C9</stp>
        <tr r="I412" s="1"/>
      </tp>
      <tp t="s">
        <v>8/15/2010</v>
        <stp/>
        <stp>##V3_BDPV12</stp>
        <stp>912828MN Govt</stp>
        <stp>FIRST_CPN_DT</stp>
        <stp>[TREASURY.xlsx]Sheet1!R822C9</stp>
        <tr r="I822" s="1"/>
      </tp>
      <tp t="s">
        <v>US9128274A70</v>
        <stp/>
        <stp>##V3_BDPV12</stp>
        <stp>9128274A Govt</stp>
        <stp>ID_ISIN</stp>
        <stp>[TREASURY.xlsx]Sheet1!R1457C12</stp>
        <tr r="L1457" s="1"/>
      </tp>
      <tp t="s">
        <v>11/15/2010</v>
        <stp/>
        <stp>##V3_BDPV12</stp>
        <stp>912828NC Govt</stp>
        <stp>FIRST_CPN_DT</stp>
        <stp>[TREASURY.xlsx]Sheet1!R862C9</stp>
        <tr r="I862" s="1"/>
      </tp>
      <tp t="s">
        <v>11/30/2003</v>
        <stp/>
        <stp>##V3_BDPV12</stp>
        <stp>912828BB Govt</stp>
        <stp>FIRST_CPN_DT</stp>
        <stp>[TREASURY.xlsx]Sheet1!R482C9</stp>
        <tr r="I482" s="1"/>
      </tp>
      <tp t="s">
        <v>2/15/2004</v>
        <stp/>
        <stp>##V3_BDPV12</stp>
        <stp>912828BH Govt</stp>
        <stp>FIRST_CPN_DT</stp>
        <stp>[TREASURY.xlsx]Sheet1!R452C9</stp>
        <tr r="I452" s="1"/>
      </tp>
      <tp t="s">
        <v>US9128273B62</v>
        <stp/>
        <stp>##V3_BDPV12</stp>
        <stp>9128273B Govt</stp>
        <stp>ID_ISIN</stp>
        <stp>[TREASURY.xlsx]Sheet1!R1353C12</stp>
        <tr r="L1353" s="1"/>
      </tp>
      <tp t="s">
        <v>5/15/2005</v>
        <stp/>
        <stp>##V3_BDPV12</stp>
        <stp>912828DC Govt</stp>
        <stp>FIRST_CPN_DT</stp>
        <stp>[TREASURY.xlsx]Sheet1!R352C9</stp>
        <tr r="I352" s="1"/>
      </tp>
      <tp t="s">
        <v>8/31/2003</v>
        <stp/>
        <stp>##V3_BDPV12</stp>
        <stp>912828AV Govt</stp>
        <stp>FIRST_CPN_DT</stp>
        <stp>[TREASURY.xlsx]Sheet1!R602C9</stp>
        <tr r="I602" s="1"/>
      </tp>
      <tp t="s">
        <v>2/15/2005</v>
        <stp/>
        <stp>##V3_BDPV12</stp>
        <stp>912828CS Govt</stp>
        <stp>FIRST_CPN_DT</stp>
        <stp>[TREASURY.xlsx]Sheet1!R462C9</stp>
        <tr r="I462" s="1"/>
      </tp>
      <tp t="s">
        <v>US9128274C37</v>
        <stp/>
        <stp>##V3_BDPV12</stp>
        <stp>9128274C Govt</stp>
        <stp>ID_ISIN</stp>
        <stp>[TREASURY.xlsx]Sheet1!R1458C12</stp>
        <tr r="L1458" s="1"/>
      </tp>
      <tp t="s">
        <v>2/28/2015</v>
        <stp/>
        <stp>##V3_BDPV12</stp>
        <stp>912828D7 Govt</stp>
        <stp>FIRST_CPN_DT</stp>
        <stp>[TREASURY.xlsx]Sheet1!R332C9</stp>
        <tr r="I332" s="1"/>
      </tp>
      <tp t="s">
        <v>9/30/2014</v>
        <stp/>
        <stp>##V3_BDPV12</stp>
        <stp>912828C4 Govt</stp>
        <stp>FIRST_CPN_DT</stp>
        <stp>[TREASURY.xlsx]Sheet1!R492C9</stp>
        <tr r="I492" s="1"/>
      </tp>
      <tp t="s">
        <v>12/15/2011</v>
        <stp/>
        <stp>##V3_BDPV12</stp>
        <stp>912828QS Govt</stp>
        <stp>FIRST_CPN_DT</stp>
        <stp>[TREASURY.xlsx]Sheet1!R992C9</stp>
        <tr r="I992" s="1"/>
      </tp>
      <tp t="s">
        <v>5/31/2011</v>
        <stp/>
        <stp>##V3_BDPV12</stp>
        <stp>912828PK Govt</stp>
        <stp>FIRST_CPN_DT</stp>
        <stp>[TREASURY.xlsx]Sheet1!R982C9</stp>
        <tr r="I982" s="1"/>
      </tp>
      <tp t="s">
        <v>11/15/2015</v>
        <stp/>
        <stp>##V3_BDPV12</stp>
        <stp>912828XB Govt</stp>
        <stp>FIRST_CPN_DT</stp>
        <stp>[TREASURY.xlsx]Sheet1!R122C9</stp>
        <tr r="I122" s="1"/>
      </tp>
      <tp t="s">
        <v>9/30/2020</v>
        <stp/>
        <stp>##V3_BDPV12</stp>
        <stp>912828ZE Govt</stp>
        <stp>FIRST_CPN_DT</stp>
        <stp>[TREASURY.xlsx]Sheet1!R112C9</stp>
        <tr r="I112" s="1"/>
      </tp>
      <tp t="s">
        <v>12/15/2020</v>
        <stp/>
        <stp>##V3_BDPV12</stp>
        <stp>912828ZU Govt</stp>
        <stp>FIRST_CPN_DT</stp>
        <stp>[TREASURY.xlsx]Sheet1!R162C9</stp>
        <tr r="I162" s="1"/>
      </tp>
      <tp t="s">
        <v>1/15/2013</v>
        <stp/>
        <stp>##V3_BDPV12</stp>
        <stp>912828TD Govt</stp>
        <stp>FIRST_CPN_DT</stp>
        <stp>[TREASURY.xlsx]Sheet1!R872C9</stp>
        <tr r="I872" s="1"/>
      </tp>
      <tp t="s">
        <v>US9128273Z31</v>
        <stp/>
        <stp>##V3_BDPV12</stp>
        <stp>9128273Z Govt</stp>
        <stp>ID_ISIN</stp>
        <stp>[TREASURY.xlsx]Sheet1!R1361C12</stp>
        <tr r="L1361" s="1"/>
      </tp>
      <tp t="s">
        <v>12/31/2013</v>
        <stp/>
        <stp>##V3_BDPV12</stp>
        <stp>912828VH Govt</stp>
        <stp>FIRST_CPN_DT</stp>
        <stp>[TREASURY.xlsx]Sheet1!R632C9</stp>
        <tr r="I632" s="1"/>
      </tp>
      <tp t="s">
        <v>3/31/2013</v>
        <stp/>
        <stp>##V3_BDPV12</stp>
        <stp>912828TR Govt</stp>
        <stp>FIRST_CPN_DT</stp>
        <stp>[TREASURY.xlsx]Sheet1!R402C9</stp>
        <tr r="I402" s="1"/>
      </tp>
      <tp t="s">
        <v>9/30/2013</v>
        <stp/>
        <stp>##V3_BDPV12</stp>
        <stp>912828UT Govt</stp>
        <stp>FIRST_CPN_DT</stp>
        <stp>[TREASURY.xlsx]Sheet1!R552C9</stp>
        <tr r="I552" s="1"/>
      </tp>
      <tp t="s">
        <v>11/15/2017</v>
        <stp/>
        <stp>##V3_BDPV12</stp>
        <stp>912828X9 Govt</stp>
        <stp>FIRST_CPN_DT</stp>
        <stp>[TREASURY.xlsx]Sheet1!R882C9</stp>
        <tr r="I882" s="1"/>
      </tp>
      <tp t="s">
        <v>8/15/2013</v>
        <stp/>
        <stp>##V3_BDPV12</stp>
        <stp>912828UM Govt</stp>
        <stp>FIRST_CPN_DT</stp>
        <stp>[TREASURY.xlsx]Sheet1!R472C9</stp>
        <tr r="I472" s="1"/>
      </tp>
      <tp t="s">
        <v>4/30/2014</v>
        <stp/>
        <stp>##V3_BDPV12</stp>
        <stp>912828WD Govt</stp>
        <stp>FIRST_CPN_DT</stp>
        <stp>[TREASURY.xlsx]Sheet1!R682C9</stp>
        <tr r="I682" s="1"/>
      </tp>
      <tp t="s">
        <v>US9128273V27</v>
        <stp/>
        <stp>##V3_BDPV12</stp>
        <stp>9128273V Govt</stp>
        <stp>ID_ISIN</stp>
        <stp>[TREASURY.xlsx]Sheet1!R1360C12</stp>
        <tr r="L1360" s="1"/>
      </tp>
      <tp t="s">
        <v>7/31/2016</v>
        <stp/>
        <stp>##V3_BDPV12</stp>
        <stp>912828P3 Govt</stp>
        <stp>FIRST_CPN_DT</stp>
        <stp>[TREASURY.xlsx]Sheet1!R222C9</stp>
        <tr r="I222" s="1"/>
      </tp>
      <tp t="s">
        <v>7/31/2017</v>
        <stp/>
        <stp>##V3_BDPV12</stp>
        <stp>912828V7 Govt</stp>
        <stp>FIRST_CPN_DT</stp>
        <stp>[TREASURY.xlsx]Sheet1!R262C9</stp>
        <tr r="I262" s="1"/>
      </tp>
      <tp t="s">
        <v>US9128273Q32</v>
        <stp/>
        <stp>##V3_BDPV12</stp>
        <stp>9128273Q Govt</stp>
        <stp>ID_ISIN</stp>
        <stp>[TREASURY.xlsx]Sheet1!R1358C12</stp>
        <tr r="L1358" s="1"/>
      </tp>
      <tp t="s">
        <v>3/31/2017</v>
        <stp/>
        <stp>##V3_BDPV12</stp>
        <stp>912828T2 Govt</stp>
        <stp>FIRST_CPN_DT</stp>
        <stp>[TREASURY.xlsx]Sheet1!R192C9</stp>
        <tr r="I192" s="1"/>
      </tp>
      <tp t="s">
        <v>1/31/2017</v>
        <stp/>
        <stp>##V3_BDPV12</stp>
        <stp>912828S6 Govt</stp>
        <stp>FIRST_CPN_DT</stp>
        <stp>[TREASURY.xlsx]Sheet1!R692C9</stp>
        <tr r="I692" s="1"/>
      </tp>
      <tp t="s">
        <v>11/15/2014</v>
        <stp/>
        <stp>##V3_BDPV12</stp>
        <stp>912828WJ Govt</stp>
        <stp>FIRST_CPN_DT</stp>
        <stp>[TREASURY.xlsx]Sheet1!R182C9</stp>
        <tr r="I182" s="1"/>
      </tp>
      <tp t="s">
        <v>5/31/2011</v>
        <stp/>
        <stp>##V3_BDPV12</stp>
        <stp>912828PV Govt</stp>
        <stp>FIRST_CPN_DT</stp>
        <stp>[TREASURY.xlsx]Sheet1!R652C9</stp>
        <tr r="I652" s="1"/>
      </tp>
      <tp t="s">
        <v>US9128273R15</v>
        <stp/>
        <stp>##V3_BDPV12</stp>
        <stp>9128273R Govt</stp>
        <stp>ID_ISIN</stp>
        <stp>[TREASURY.xlsx]Sheet1!R1359C12</stp>
        <tr r="L1359" s="1"/>
      </tp>
      <tp t="s">
        <v>5/31/2017</v>
        <stp/>
        <stp>##V3_BDPV12</stp>
        <stp>912828U6 Govt</stp>
        <stp>FIRST_CPN_DT</stp>
        <stp>[TREASURY.xlsx]Sheet1!R232C9</stp>
        <tr r="I232" s="1"/>
      </tp>
      <tp t="s">
        <v>2/28/2018</v>
        <stp/>
        <stp>##V3_BDPV12</stp>
        <stp>9128282S Govt</stp>
        <stp>FIRST_CPN_DT</stp>
        <stp>[TREASURY.xlsx]Sheet1!R212C9</stp>
        <tr r="I212" s="1"/>
      </tp>
      <tp t="s">
        <v>2/28/2018</v>
        <stp/>
        <stp>##V3_BDPV12</stp>
        <stp>9128282U Govt</stp>
        <stp>FIRST_CPN_DT</stp>
        <stp>[TREASURY.xlsx]Sheet1!R252C9</stp>
        <tr r="I252" s="1"/>
      </tp>
      <tp t="s">
        <v>3/31/2019</v>
        <stp/>
        <stp>##V3_BDPV12</stp>
        <stp>9128285B Govt</stp>
        <stp>FIRST_CPN_DT</stp>
        <stp>[TREASURY.xlsx]Sheet1!R442C9</stp>
        <tr r="I442" s="1"/>
      </tp>
      <tp t="s">
        <v>7/31/2018</v>
        <stp/>
        <stp>##V3_BDPV12</stp>
        <stp>9128283V Govt</stp>
        <stp>FIRST_CPN_DT</stp>
        <stp>[TREASURY.xlsx]Sheet1!R242C9</stp>
        <tr r="I242" s="1"/>
      </tp>
      <tp t="s">
        <v>3/15/2018</v>
        <stp/>
        <stp>##V3_BDPV12</stp>
        <stp>9128282V Govt</stp>
        <stp>FIRST_CPN_DT</stp>
        <stp>[TREASURY.xlsx]Sheet1!R362C9</stp>
        <tr r="I362" s="1"/>
      </tp>
      <tp t="s">
        <v>8/15/2019</v>
        <stp/>
        <stp>##V3_BDPV12</stp>
        <stp>9128286C Govt</stp>
        <stp>FIRST_CPN_DT</stp>
        <stp>[TREASURY.xlsx]Sheet1!R272C9</stp>
        <tr r="I272" s="1"/>
      </tp>
      <tp t="s">
        <v>10/31/2019</v>
        <stp/>
        <stp>##V3_BDPV12</stp>
        <stp>9128286S Govt</stp>
        <stp>FIRST_CPN_DT</stp>
        <stp>[TREASURY.xlsx]Sheet1!R322C9</stp>
        <tr r="I322" s="1"/>
      </tp>
      <tp t="s">
        <v>9/30/2018</v>
        <stp/>
        <stp>##V3_BDPV12</stp>
        <stp>9128284D Govt</stp>
        <stp>FIRST_CPN_DT</stp>
        <stp>[TREASURY.xlsx]Sheet1!R202C9</stp>
        <tr r="I202" s="1"/>
      </tp>
      <tp t="s">
        <v>7/31/2019</v>
        <stp/>
        <stp>##V3_BDPV12</stp>
        <stp>9128285X Govt</stp>
        <stp>FIRST_CPN_DT</stp>
        <stp>[TREASURY.xlsx]Sheet1!R372C9</stp>
        <tr r="I372" s="1"/>
      </tp>
      <tp t="s">
        <v>UNITED STATES</v>
        <stp/>
        <stp>##V3_BDPV12</stp>
        <stp>912827VF Govt</stp>
        <stp>COUNTRY_FULL_NAME</stp>
        <stp>[TREASURY.xlsx]Sheet1!R1086C8</stp>
        <tr r="H1086" s="1"/>
      </tp>
      <tp t="s">
        <v>UNITED STATES</v>
        <stp/>
        <stp>##V3_BDPV12</stp>
        <stp>912828UG Govt</stp>
        <stp>COUNTRY_FULL_NAME</stp>
        <stp>[TREASURY.xlsx]Sheet1!R1135C8</stp>
        <tr r="H1135" s="1"/>
      </tp>
      <tp t="s">
        <v>UNITED STATES</v>
        <stp/>
        <stp>##V3_BDPV12</stp>
        <stp>912827SB Govt</stp>
        <stp>COUNTRY_FULL_NAME</stp>
        <stp>[TREASURY.xlsx]Sheet1!R1183C8</stp>
        <tr r="H1183" s="1"/>
      </tp>
      <tp t="s">
        <v>UNITED STATES</v>
        <stp/>
        <stp>##V3_BDPV12</stp>
        <stp>912827RC Govt</stp>
        <stp>COUNTRY_FULL_NAME</stp>
        <stp>[TREASURY.xlsx]Sheet1!R1062C8</stp>
        <tr r="H1062" s="1"/>
      </tp>
      <tp t="s">
        <v>UNITED STATES</v>
        <stp/>
        <stp>##V3_BDPV12</stp>
        <stp>912828QC Govt</stp>
        <stp>COUNTRY_FULL_NAME</stp>
        <stp>[TREASURY.xlsx]Sheet1!R1301C8</stp>
        <tr r="H1301" s="1"/>
      </tp>
      <tp t="s">
        <v>UNITED STATES</v>
        <stp/>
        <stp>##V3_BDPV12</stp>
        <stp>912827TN Govt</stp>
        <stp>COUNTRY_FULL_NAME</stp>
        <stp>[TREASURY.xlsx]Sheet1!R1074C8</stp>
        <tr r="H1074" s="1"/>
      </tp>
      <tp t="s">
        <v>UNITED STATES</v>
        <stp/>
        <stp>##V3_BDPV12</stp>
        <stp>912827XN Govt</stp>
        <stp>COUNTRY_FULL_NAME</stp>
        <stp>[TREASURY.xlsx]Sheet1!R1598C8</stp>
        <tr r="H1598" s="1"/>
      </tp>
      <tp t="s">
        <v>T 10 1/2 10/31/85</v>
        <stp/>
        <stp>##V3_BDPV12</stp>
        <stp>912827QB Govt</stp>
        <stp>SECURITY_NAME</stp>
        <stp>[TREASURY.xlsx]Sheet1!R1574C16</stp>
        <tr r="P1574" s="1"/>
      </tp>
      <tp t="s">
        <v>T 9 11/15/18</v>
        <stp/>
        <stp>##V3_BDPV12</stp>
        <stp>912810EB Govt</stp>
        <stp>SECURITY_NAME</stp>
        <stp>[TREASURY.xlsx]Sheet1!R1624C16</stp>
        <tr r="P1624" s="1"/>
      </tp>
      <tp t="s">
        <v>T 9 1/4 01/15/96</v>
        <stp/>
        <stp>##V3_BDPV12</stp>
        <stp>912827XB Govt</stp>
        <stp>SECURITY_NAME</stp>
        <stp>[TREASURY.xlsx]Sheet1!R1595C16</stp>
        <tr r="P1595" s="1"/>
      </tp>
      <tp t="s">
        <v>T 8 07/15/94</v>
        <stp/>
        <stp>##V3_BDPV12</stp>
        <stp>912827VB Govt</stp>
        <stp>SECURITY_NAME</stp>
        <stp>[TREASURY.xlsx]Sheet1!R1411C16</stp>
        <tr r="P1411" s="1"/>
      </tp>
      <tp t="s">
        <v>T 4 3/4 12/31/08</v>
        <stp/>
        <stp>##V3_BDPV12</stp>
        <stp>912828GB Govt</stp>
        <stp>SECURITY_NAME</stp>
        <stp>[TREASURY.xlsx]Sheet1!R1433C16</stp>
        <tr r="P1433" s="1"/>
      </tp>
      <tp t="s">
        <v>UNITED STATES</v>
        <stp/>
        <stp>##V3_BDPV12</stp>
        <stp>912827UM Govt</stp>
        <stp>COUNTRY_FULL_NAME</stp>
        <stp>[TREASURY.xlsx]Sheet1!R1405C8</stp>
        <tr r="H1405" s="1"/>
      </tp>
      <tp t="s">
        <v>T 11 7/8 09/30/82</v>
        <stp/>
        <stp>##V3_BDPV12</stp>
        <stp>912827LB Govt</stp>
        <stp>SECURITY_NAME</stp>
        <stp>[TREASURY.xlsx]Sheet1!R1320C16</stp>
        <tr r="P1320" s="1"/>
      </tp>
      <tp t="s">
        <v>T 5 1/2 03/31/03</v>
        <stp/>
        <stp>##V3_BDPV12</stp>
        <stp>9128274B Govt</stp>
        <stp>SECURITY_NAME</stp>
        <stp>[TREASURY.xlsx]Sheet1!R1362C16</stp>
        <tr r="P1362" s="1"/>
      </tp>
      <tp t="s">
        <v>T 5 7/8 07/31/99</v>
        <stp/>
        <stp>##V3_BDPV12</stp>
        <stp>9128273B Govt</stp>
        <stp>SECURITY_NAME</stp>
        <stp>[TREASURY.xlsx]Sheet1!R1353C16</stp>
        <tr r="P1353" s="1"/>
      </tp>
      <tp t="s">
        <v>T 14 3/8 04/15/89</v>
        <stp/>
        <stp>##V3_BDPV12</stp>
        <stp>912827NB Govt</stp>
        <stp>SECURITY_NAME</stp>
        <stp>[TREASURY.xlsx]Sheet1!R1383C16</stp>
        <tr r="P1383" s="1"/>
      </tp>
      <tp t="s">
        <v>T 9 1/4 01/31/85</v>
        <stp/>
        <stp>##V3_BDPV12</stp>
        <stp>912827PB Govt</stp>
        <stp>SECURITY_NAME</stp>
        <stp>[TREASURY.xlsx]Sheet1!R1388C16</stp>
        <tr r="P1388" s="1"/>
      </tp>
      <tp t="s">
        <v>UNITED STATES</v>
        <stp/>
        <stp>##V3_BDPV12</stp>
        <stp>912827WJ Govt</stp>
        <stp>COUNTRY_FULL_NAME</stp>
        <stp>[TREASURY.xlsx]Sheet1!R1207C8</stp>
        <tr r="H1207" s="1"/>
      </tp>
      <tp t="s">
        <v>T 8 1/2 07/15/97</v>
        <stp/>
        <stp>##V3_BDPV12</stp>
        <stp>912827ZB Govt</stp>
        <stp>SECURITY_NAME</stp>
        <stp>[TREASURY.xlsx]Sheet1!R1228C16</stp>
        <tr r="P1228" s="1"/>
      </tp>
      <tp t="s">
        <v>T 0 1/2 10/15/13</v>
        <stp/>
        <stp>##V3_BDPV12</stp>
        <stp>912828PB Govt</stp>
        <stp>SECURITY_NAME</stp>
        <stp>[TREASURY.xlsx]Sheet1!R1297C16</stp>
        <tr r="P1297" s="1"/>
      </tp>
      <tp t="s">
        <v>UNITED STATES</v>
        <stp/>
        <stp>##V3_BDPV12</stp>
        <stp>912827PK Govt</stp>
        <stp>COUNTRY_FULL_NAME</stp>
        <stp>[TREASURY.xlsx]Sheet1!R1340C8</stp>
        <tr r="H1340" s="1"/>
      </tp>
      <tp t="s">
        <v>T 8 10/15/96</v>
        <stp/>
        <stp>##V3_BDPV12</stp>
        <stp>912827YB Govt</stp>
        <stp>SECURITY_NAME</stp>
        <stp>[TREASURY.xlsx]Sheet1!R1100C16</stp>
        <tr r="P1100" s="1"/>
      </tp>
      <tp t="s">
        <v>T 11 3/4 04/15/92</v>
        <stp/>
        <stp>##V3_BDPV12</stp>
        <stp>912827SB Govt</stp>
        <stp>SECURITY_NAME</stp>
        <stp>[TREASURY.xlsx]Sheet1!R1183C16</stp>
        <tr r="P1183" s="1"/>
      </tp>
      <tp t="s">
        <v>T 3 7/8 07/31/07</v>
        <stp/>
        <stp>##V3_BDPV12</stp>
        <stp>912828EB Govt</stp>
        <stp>SECURITY_NAME</stp>
        <stp>[TREASURY.xlsx]Sheet1!R1113C16</stp>
        <tr r="P1113" s="1"/>
      </tp>
      <tp t="s">
        <v>T 2 3/8 03/15/21</v>
        <stp/>
        <stp>##V3_BDPV12</stp>
        <stp>9128284B Govt</stp>
        <stp>SECURITY_NAME</stp>
        <stp>[TREASURY.xlsx]Sheet1!R1106C16</stp>
        <tr r="P1106" s="1"/>
      </tp>
      <tp t="s">
        <v>UNITED STATES</v>
        <stp/>
        <stp>##V3_BDPV12</stp>
        <stp>912827RH Govt</stp>
        <stp>COUNTRY_FULL_NAME</stp>
        <stp>[TREASURY.xlsx]Sheet1!R1502C8</stp>
        <tr r="H1502" s="1"/>
      </tp>
      <tp t="s">
        <v>UNITED STATES</v>
        <stp/>
        <stp>##V3_BDPV12</stp>
        <stp>912827WH Govt</stp>
        <stp>COUNTRY_FULL_NAME</stp>
        <stp>[TREASURY.xlsx]Sheet1!R1417C8</stp>
        <tr r="H1417" s="1"/>
      </tp>
      <tp t="s">
        <v>T 6 1/2 03/31/02</v>
        <stp/>
        <stp>##V3_BDPV12</stp>
        <stp>9128276B Govt</stp>
        <stp>SECURITY_NAME</stp>
        <stp>[TREASURY.xlsx]Sheet1!R1021C16</stp>
        <tr r="P1021" s="1"/>
      </tp>
      <tp t="s">
        <v>T 10 3/8 11/15/12</v>
        <stp/>
        <stp>##V3_BDPV12</stp>
        <stp>912810DB Govt</stp>
        <stp>SECURITY_NAME</stp>
        <stp>[TREASURY.xlsx]Sheet1!R1346C16</stp>
        <tr r="P1346" s="1"/>
      </tp>
      <tp t="s">
        <v>T 5 5/8 11/30/98</v>
        <stp/>
        <stp>##V3_BDPV12</stp>
        <stp>9128272B Govt</stp>
        <stp>SECURITY_NAME</stp>
        <stp>[TREASURY.xlsx]Sheet1!R1008C16</stp>
        <tr r="P1008" s="1"/>
      </tp>
      <tp t="s">
        <v>T 8 3/8 12/31/89</v>
        <stp/>
        <stp>##V3_BDPV12</stp>
        <stp>912827TB Govt</stp>
        <stp>SECURITY_NAME</stp>
        <stp>[TREASURY.xlsx]Sheet1!R1072C16</stp>
        <tr r="P1072" s="1"/>
      </tp>
      <tp t="s">
        <v>UNITED STATES</v>
        <stp/>
        <stp>##V3_BDPV12</stp>
        <stp>912827RV Govt</stp>
        <stp>COUNTRY_FULL_NAME</stp>
        <stp>[TREASURY.xlsx]Sheet1!R1582C8</stp>
        <tr r="H1582" s="1"/>
      </tp>
      <tp t="s">
        <v>UNITED STATES</v>
        <stp/>
        <stp>##V3_BDPV12</stp>
        <stp>912827XW Govt</stp>
        <stp>COUNTRY_FULL_NAME</stp>
        <stp>[TREASURY.xlsx]Sheet1!R1218C8</stp>
        <tr r="H1218" s="1"/>
      </tp>
      <tp t="s">
        <v>UNITED STATES</v>
        <stp/>
        <stp>##V3_BDPV12</stp>
        <stp>912828TT Govt</stp>
        <stp>COUNTRY_FULL_NAME</stp>
        <stp>[TREASURY.xlsx]Sheet1!R1134C8</stp>
        <tr r="H1134" s="1"/>
      </tp>
      <tp t="s">
        <v>UNITED STATES</v>
        <stp/>
        <stp>##V3_BDPV12</stp>
        <stp>912828WT Govt</stp>
        <stp>COUNTRY_FULL_NAME</stp>
        <stp>[TREASURY.xlsx]Sheet1!R1007C8</stp>
        <tr r="H1007" s="1"/>
      </tp>
      <tp t="s">
        <v>UNITED STATES</v>
        <stp/>
        <stp>##V3_BDPV12</stp>
        <stp>912828PT Govt</stp>
        <stp>COUNTRY_FULL_NAME</stp>
        <stp>[TREASURY.xlsx]Sheet1!R1300C8</stp>
        <tr r="H1300" s="1"/>
      </tp>
      <tp t="s">
        <v>UNITED STATES</v>
        <stp/>
        <stp>##V3_BDPV12</stp>
        <stp>912828RU Govt</stp>
        <stp>COUNTRY_FULL_NAME</stp>
        <stp>[TREASURY.xlsx]Sheet1!R1302C8</stp>
        <tr r="H1302" s="1"/>
      </tp>
      <tp t="s">
        <v>UNITED STATES</v>
        <stp/>
        <stp>##V3_BDPV12</stp>
        <stp>912827TR Govt</stp>
        <stp>COUNTRY_FULL_NAME</stp>
        <stp>[TREASURY.xlsx]Sheet1!R1194C8</stp>
        <tr r="H1194" s="1"/>
      </tp>
      <tp t="s">
        <v>UNITED STATES</v>
        <stp/>
        <stp>##V3_BDPV12</stp>
        <stp>912828PR Govt</stp>
        <stp>COUNTRY_FULL_NAME</stp>
        <stp>[TREASURY.xlsx]Sheet1!R1260C8</stp>
        <tr r="H1260" s="1"/>
      </tp>
      <tp t="s">
        <v>UNITED STATES</v>
        <stp/>
        <stp>##V3_BDPV12</stp>
        <stp>912827PS Govt</stp>
        <stp>COUNTRY_FULL_NAME</stp>
        <stp>[TREASURY.xlsx]Sheet1!R1390C8</stp>
        <tr r="H1390" s="1"/>
      </tp>
      <tp t="s">
        <v>UNITED STATES</v>
        <stp/>
        <stp>##V3_BDPV12</stp>
        <stp>912828UP Govt</stp>
        <stp>COUNTRY_FULL_NAME</stp>
        <stp>[TREASURY.xlsx]Sheet1!R1145C8</stp>
        <tr r="H1145" s="1"/>
      </tp>
      <tp t="s">
        <v>UNITED STATES</v>
        <stp/>
        <stp>##V3_BDPV12</stp>
        <stp>912827PX Govt</stp>
        <stp>COUNTRY_FULL_NAME</stp>
        <stp>[TREASURY.xlsx]Sheet1!R1570C8</stp>
        <tr r="H1570" s="1"/>
      </tp>
      <tp t="s">
        <v>UNITED STATES</v>
        <stp/>
        <stp>##V3_BDPV12</stp>
        <stp>912828SY Govt</stp>
        <stp>COUNTRY_FULL_NAME</stp>
        <stp>[TREASURY.xlsx]Sheet1!R1133C8</stp>
        <tr r="H1133" s="1"/>
      </tp>
      <tp t="s">
        <v>UNITED STATES</v>
        <stp/>
        <stp>##V3_BDPV12</stp>
        <stp>912827Y6 Govt</stp>
        <stp>COUNTRY_FULL_NAME</stp>
        <stp>[TREASURY.xlsx]Sheet1!R1099C8</stp>
        <tr r="H1099" s="1"/>
      </tp>
      <tp t="s">
        <v>UNITED STATES</v>
        <stp/>
        <stp>##V3_BDPV12</stp>
        <stp>912827Y7 Govt</stp>
        <stp>COUNTRY_FULL_NAME</stp>
        <stp>[TREASURY.xlsx]Sheet1!R1219C8</stp>
        <tr r="H1219" s="1"/>
      </tp>
      <tp t="s">
        <v>UNITED STATES</v>
        <stp/>
        <stp>##V3_BDPV12</stp>
        <stp>912828T8 Govt</stp>
        <stp>COUNTRY_FULL_NAME</stp>
        <stp>[TREASURY.xlsx]Sheet1!R1304C8</stp>
        <tr r="H1304" s="1"/>
      </tp>
      <tp t="s">
        <v>US912827NG38</v>
        <stp/>
        <stp>##V3_BDPV12</stp>
        <stp>912827NG Govt</stp>
        <stp>ID_ISIN</stp>
        <stp>[TREASURY.xlsx]Sheet1!R1169C12</stp>
        <tr r="L1169" s="1"/>
      </tp>
      <tp t="s">
        <v>US912827LB68</v>
        <stp/>
        <stp>##V3_BDPV12</stp>
        <stp>912827LB Govt</stp>
        <stp>ID_ISIN</stp>
        <stp>[TREASURY.xlsx]Sheet1!R1320C12</stp>
        <tr r="L1320" s="1"/>
      </tp>
      <tp t="s">
        <v>US912827LD25</v>
        <stp/>
        <stp>##V3_BDPV12</stp>
        <stp>912827LD Govt</stp>
        <stp>ID_ISIN</stp>
        <stp>[TREASURY.xlsx]Sheet1!R1378C12</stp>
        <tr r="L1378" s="1"/>
      </tp>
      <tp t="s">
        <v>US912827LG55</v>
        <stp/>
        <stp>##V3_BDPV12</stp>
        <stp>912827LG Govt</stp>
        <stp>ID_ISIN</stp>
        <stp>[TREASURY.xlsx]Sheet1!R1321C12</stp>
        <tr r="L1321" s="1"/>
      </tp>
      <tp t="s">
        <v>US912827LW06</v>
        <stp/>
        <stp>##V3_BDPV12</stp>
        <stp>912827LW Govt</stp>
        <stp>ID_ISIN</stp>
        <stp>[TREASURY.xlsx]Sheet1!R1380C12</stp>
        <tr r="L1380" s="1"/>
      </tp>
      <tp t="s">
        <v>US912827NY44</v>
        <stp/>
        <stp>##V3_BDPV12</stp>
        <stp>912827NY Govt</stp>
        <stp>ID_ISIN</stp>
        <stp>[TREASURY.xlsx]Sheet1!R1170C12</stp>
        <tr r="L1170" s="1"/>
      </tp>
      <tp t="s">
        <v>US912827LR11</v>
        <stp/>
        <stp>##V3_BDPV12</stp>
        <stp>912827LR Govt</stp>
        <stp>ID_ISIN</stp>
        <stp>[TREASURY.xlsx]Sheet1!R1323C12</stp>
        <tr r="L1323" s="1"/>
      </tp>
      <tp t="s">
        <v>US912827LQ38</v>
        <stp/>
        <stp>##V3_BDPV12</stp>
        <stp>912827LQ Govt</stp>
        <stp>ID_ISIN</stp>
        <stp>[TREASURY.xlsx]Sheet1!R1322C12</stp>
        <tr r="L1322" s="1"/>
      </tp>
      <tp t="s">
        <v>US912827LT76</v>
        <stp/>
        <stp>##V3_BDPV12</stp>
        <stp>912827LT Govt</stp>
        <stp>ID_ISIN</stp>
        <stp>[TREASURY.xlsx]Sheet1!R1379C12</stp>
        <tr r="L1379" s="1"/>
      </tp>
      <tp t="s">
        <v>5/15/1985</v>
        <stp/>
        <stp>##V3_BDPV12</stp>
        <stp>912827RM Govt</stp>
        <stp>FIRST_CPN_DT</stp>
        <stp>[TREASURY.xlsx]Sheet1!R1580C9</stp>
        <tr r="I1580" s="1"/>
      </tp>
      <tp t="s">
        <v>4/30/1995</v>
        <stp/>
        <stp>##V3_BDPV12</stp>
        <stp>912827R6 Govt</stp>
        <stp>FIRST_CPN_DT</stp>
        <stp>[TREASURY.xlsx]Sheet1!R1500C9</stp>
        <tr r="I1500" s="1"/>
      </tp>
      <tp t="s">
        <v>3/31/1995</v>
        <stp/>
        <stp>##V3_BDPV12</stp>
        <stp>912827R3 Govt</stp>
        <stp>FIRST_CPN_DT</stp>
        <stp>[TREASURY.xlsx]Sheet1!R1060C9</stp>
        <tr r="I1060" s="1"/>
      </tp>
      <tp t="s">
        <v>US912827L833</v>
        <stp/>
        <stp>##V3_BDPV12</stp>
        <stp>912827L8 Govt</stp>
        <stp>ID_ISIN</stp>
        <stp>[TREASURY.xlsx]Sheet1!R1319C12</stp>
        <tr r="L1319" s="1"/>
      </tp>
      <tp t="s">
        <v>US912827K272</v>
        <stp/>
        <stp>##V3_BDPV12</stp>
        <stp>912827K2 Govt</stp>
        <stp>ID_ISIN</stp>
        <stp>[TREASURY.xlsx]Sheet1!R1489C12</stp>
        <tr r="L1489" s="1"/>
      </tp>
      <tp t="s">
        <v>US912827K686</v>
        <stp/>
        <stp>##V3_BDPV12</stp>
        <stp>912827K6 Govt</stp>
        <stp>ID_ISIN</stp>
        <stp>[TREASURY.xlsx]Sheet1!R1490C12</stp>
        <tr r="L1490" s="1"/>
      </tp>
      <tp t="s">
        <v>US912827J787</v>
        <stp/>
        <stp>##V3_BDPV12</stp>
        <stp>912827J7 Govt</stp>
        <stp>ID_ISIN</stp>
        <stp>[TREASURY.xlsx]Sheet1!R1562C12</stp>
        <tr r="L1562" s="1"/>
      </tp>
      <tp t="s">
        <v>US912827J456</v>
        <stp/>
        <stp>##V3_BDPV12</stp>
        <stp>912827J4 Govt</stp>
        <stp>ID_ISIN</stp>
        <stp>[TREASURY.xlsx]Sheet1!R1561C12</stp>
        <tr r="L1561" s="1"/>
      </tp>
      <tp t="s">
        <v>US912827NN88</v>
        <stp/>
        <stp>##V3_BDPV12</stp>
        <stp>912827NN Govt</stp>
        <stp>ID_ISIN</stp>
        <stp>[TREASURY.xlsx]Sheet1!R1051C12</stp>
        <tr r="L1051" s="1"/>
      </tp>
      <tp t="s">
        <v>US912827MN97</v>
        <stp/>
        <stp>##V3_BDPV12</stp>
        <stp>912827MN Govt</stp>
        <stp>ID_ISIN</stp>
        <stp>[TREASURY.xlsx]Sheet1!R1326C12</stp>
        <tr r="L1326" s="1"/>
      </tp>
      <tp t="s">
        <v>US912827NJ76</v>
        <stp/>
        <stp>##V3_BDPV12</stp>
        <stp>912827NJ Govt</stp>
        <stp>ID_ISIN</stp>
        <stp>[TREASURY.xlsx]Sheet1!R1050C12</stp>
        <tr r="L1050" s="1"/>
      </tp>
      <tp t="s">
        <v>US912827ML32</v>
        <stp/>
        <stp>##V3_BDPV12</stp>
        <stp>912827ML Govt</stp>
        <stp>ID_ISIN</stp>
        <stp>[TREASURY.xlsx]Sheet1!R1325C12</stp>
        <tr r="L1325" s="1"/>
      </tp>
      <tp t="s">
        <v>US912827MC33</v>
        <stp/>
        <stp>##V3_BDPV12</stp>
        <stp>912827MC Govt</stp>
        <stp>ID_ISIN</stp>
        <stp>[TREASURY.xlsx]Sheet1!R1324C12</stp>
        <tr r="L1324" s="1"/>
      </tp>
      <tp t="s">
        <v>US912827NF54</v>
        <stp/>
        <stp>##V3_BDPV12</stp>
        <stp>912827NF Govt</stp>
        <stp>ID_ISIN</stp>
        <stp>[TREASURY.xlsx]Sheet1!R1049C12</stp>
        <tr r="L1049" s="1"/>
      </tp>
      <tp t="s">
        <v>US912827MV14</v>
        <stp/>
        <stp>##V3_BDPV12</stp>
        <stp>912827MV Govt</stp>
        <stp>ID_ISIN</stp>
        <stp>[TREASURY.xlsx]Sheet1!R1381C12</stp>
        <tr r="L1381" s="1"/>
      </tp>
      <tp t="s">
        <v>US912827MR02</v>
        <stp/>
        <stp>##V3_BDPV12</stp>
        <stp>912827MR Govt</stp>
        <stp>ID_ISIN</stp>
        <stp>[TREASURY.xlsx]Sheet1!R1327C12</stp>
        <tr r="L1327" s="1"/>
      </tp>
      <tp t="s">
        <v>US912827MX79</v>
        <stp/>
        <stp>##V3_BDPV12</stp>
        <stp>912827MX Govt</stp>
        <stp>ID_ISIN</stp>
        <stp>[TREASURY.xlsx]Sheet1!R1382C12</stp>
        <tr r="L1382" s="1"/>
      </tp>
      <tp t="s">
        <v>US912827NW87</v>
        <stp/>
        <stp>##V3_BDPV12</stp>
        <stp>912827NW Govt</stp>
        <stp>ID_ISIN</stp>
        <stp>[TREASURY.xlsx]Sheet1!R1053C12</stp>
        <tr r="L1053" s="1"/>
      </tp>
      <tp t="s">
        <v>US912827NR92</v>
        <stp/>
        <stp>##V3_BDPV12</stp>
        <stp>912827NR Govt</stp>
        <stp>ID_ISIN</stp>
        <stp>[TREASURY.xlsx]Sheet1!R1052C12</stp>
        <tr r="L1052" s="1"/>
      </tp>
      <tp t="s">
        <v>US912827MU31</v>
        <stp/>
        <stp>##V3_BDPV12</stp>
        <stp>912827MU Govt</stp>
        <stp>ID_ISIN</stp>
        <stp>[TREASURY.xlsx]Sheet1!R1328C12</stp>
        <tr r="L1328" s="1"/>
      </tp>
      <tp t="s">
        <v>5/15/1986</v>
        <stp/>
        <stp>##V3_BDPV12</stp>
        <stp>912827SY Govt</stp>
        <stp>FIRST_CPN_DT</stp>
        <stp>[TREASURY.xlsx]Sheet1!R1190C9</stp>
        <tr r="I1190" s="1"/>
      </tp>
      <tp t="s">
        <v>US912827J522</v>
        <stp/>
        <stp>##V3_BDPV12</stp>
        <stp>912827J5 Govt</stp>
        <stp>ID_ISIN</stp>
        <stp>[TREASURY.xlsx]Sheet1!R1488C12</stp>
        <tr r="L1488" s="1"/>
      </tp>
      <tp t="s">
        <v>US912827K769</v>
        <stp/>
        <stp>##V3_BDPV12</stp>
        <stp>912827K7 Govt</stp>
        <stp>ID_ISIN</stp>
        <stp>[TREASURY.xlsx]Sheet1!R1563C12</stp>
        <tr r="L1563" s="1"/>
      </tp>
      <tp t="s">
        <v>US912827N409</v>
        <stp/>
        <stp>##V3_BDPV12</stp>
        <stp>912827N4 Govt</stp>
        <stp>ID_ISIN</stp>
        <stp>[TREASURY.xlsx]Sheet1!R1048C12</stp>
        <tr r="L1048" s="1"/>
      </tp>
      <tp t="s">
        <v>US912827MM15</v>
        <stp/>
        <stp>##V3_BDPV12</stp>
        <stp>912827MM Govt</stp>
        <stp>ID_ISIN</stp>
        <stp>[TREASURY.xlsx]Sheet1!R1045C12</stp>
        <tr r="L1045" s="1"/>
      </tp>
      <tp t="s">
        <v>US912827NH11</v>
        <stp/>
        <stp>##V3_BDPV12</stp>
        <stp>912827NH Govt</stp>
        <stp>ID_ISIN</stp>
        <stp>[TREASURY.xlsx]Sheet1!R1333C12</stp>
        <tr r="L1333" s="1"/>
      </tp>
      <tp t="s">
        <v>US912827NB41</v>
        <stp/>
        <stp>##V3_BDPV12</stp>
        <stp>912827NB Govt</stp>
        <stp>ID_ISIN</stp>
        <stp>[TREASURY.xlsx]Sheet1!R1383C12</stp>
        <tr r="L1383" s="1"/>
      </tp>
      <tp t="s">
        <v>US912827NA67</v>
        <stp/>
        <stp>##V3_BDPV12</stp>
        <stp>912827NA Govt</stp>
        <stp>ID_ISIN</stp>
        <stp>[TREASURY.xlsx]Sheet1!R1331C12</stp>
        <tr r="L1331" s="1"/>
      </tp>
      <tp t="s">
        <v>US912827NE89</v>
        <stp/>
        <stp>##V3_BDPV12</stp>
        <stp>912827NE Govt</stp>
        <stp>ID_ISIN</stp>
        <stp>[TREASURY.xlsx]Sheet1!R1332C12</stp>
        <tr r="L1332" s="1"/>
      </tp>
      <tp t="s">
        <v>US912827NZ19</v>
        <stp/>
        <stp>##V3_BDPV12</stp>
        <stp>912827NZ Govt</stp>
        <stp>ID_ISIN</stp>
        <stp>[TREASURY.xlsx]Sheet1!R1336C12</stp>
        <tr r="L1336" s="1"/>
      </tp>
      <tp t="s">
        <v>US912827NT58</v>
        <stp/>
        <stp>##V3_BDPV12</stp>
        <stp>912827NT Govt</stp>
        <stp>ID_ISIN</stp>
        <stp>[TREASURY.xlsx]Sheet1!R1384C12</stp>
        <tr r="L1384" s="1"/>
      </tp>
      <tp t="s">
        <v>US912827NX60</v>
        <stp/>
        <stp>##V3_BDPV12</stp>
        <stp>912827NX Govt</stp>
        <stp>ID_ISIN</stp>
        <stp>[TREASURY.xlsx]Sheet1!R1385C12</stp>
        <tr r="L1385" s="1"/>
      </tp>
      <tp t="s">
        <v>US912827NS75</v>
        <stp/>
        <stp>##V3_BDPV12</stp>
        <stp>912827NS Govt</stp>
        <stp>ID_ISIN</stp>
        <stp>[TREASURY.xlsx]Sheet1!R1334C12</stp>
        <tr r="L1334" s="1"/>
      </tp>
      <tp t="s">
        <v>US912827MW96</v>
        <stp/>
        <stp>##V3_BDPV12</stp>
        <stp>912827MW Govt</stp>
        <stp>ID_ISIN</stp>
        <stp>[TREASURY.xlsx]Sheet1!R1047C12</stp>
        <tr r="L1047" s="1"/>
      </tp>
      <tp t="s">
        <v>US912827MS84</v>
        <stp/>
        <stp>##V3_BDPV12</stp>
        <stp>912827MS Govt</stp>
        <stp>ID_ISIN</stp>
        <stp>[TREASURY.xlsx]Sheet1!R1046C12</stp>
        <tr r="L1046" s="1"/>
      </tp>
      <tp t="s">
        <v>US912827NU22</v>
        <stp/>
        <stp>##V3_BDPV12</stp>
        <stp>912827NU Govt</stp>
        <stp>ID_ISIN</stp>
        <stp>[TREASURY.xlsx]Sheet1!R1335C12</stp>
        <tr r="L1335" s="1"/>
      </tp>
      <tp t="s">
        <v>5/15/1984</v>
        <stp/>
        <stp>##V3_BDPV12</stp>
        <stp>912827PX Govt</stp>
        <stp>FIRST_CPN_DT</stp>
        <stp>[TREASURY.xlsx]Sheet1!R1570C9</stp>
        <tr r="I1570" s="1"/>
      </tp>
      <tp t="s">
        <v>1/15/1984</v>
        <stp/>
        <stp>##V3_BDPV12</stp>
        <stp>912827PS Govt</stp>
        <stp>FIRST_CPN_DT</stp>
        <stp>[TREASURY.xlsx]Sheet1!R1390C9</stp>
        <tr r="I1390" s="1"/>
      </tp>
      <tp t="s">
        <v>10/31/1983</v>
        <stp/>
        <stp>##V3_BDPV12</stp>
        <stp>912827PK Govt</stp>
        <stp>FIRST_CPN_DT</stp>
        <stp>[TREASURY.xlsx]Sheet1!R1340C9</stp>
        <tr r="I1340" s="1"/>
      </tp>
      <tp t="s">
        <v>US912827N995</v>
        <stp/>
        <stp>##V3_BDPV12</stp>
        <stp>912827N9 Govt</stp>
        <stp>ID_ISIN</stp>
        <stp>[TREASURY.xlsx]Sheet1!R1330C12</stp>
        <tr r="L1330" s="1"/>
      </tp>
      <tp t="s">
        <v>US912827N243</v>
        <stp/>
        <stp>##V3_BDPV12</stp>
        <stp>912827N2 Govt</stp>
        <stp>ID_ISIN</stp>
        <stp>[TREASURY.xlsx]Sheet1!R1329C12</stp>
        <tr r="L1329" s="1"/>
      </tp>
      <tp t="s">
        <v>US912827M740</v>
        <stp/>
        <stp>##V3_BDPV12</stp>
        <stp>912827M7 Govt</stp>
        <stp>ID_ISIN</stp>
        <stp>[TREASURY.xlsx]Sheet1!R1044C12</stp>
        <tr r="L1044" s="1"/>
      </tp>
      <tp t="s">
        <v>US912827L262</v>
        <stp/>
        <stp>##V3_BDPV12</stp>
        <stp>912827L2 Govt</stp>
        <stp>ID_ISIN</stp>
        <stp>[TREASURY.xlsx]Sheet1!R1163C12</stp>
        <tr r="L1163" s="1"/>
      </tp>
      <tp t="s">
        <v>US912827LK67</v>
        <stp/>
        <stp>##V3_BDPV12</stp>
        <stp>912827LK Govt</stp>
        <stp>ID_ISIN</stp>
        <stp>[TREASURY.xlsx]Sheet1!R1042C12</stp>
        <tr r="L1042" s="1"/>
      </tp>
      <tp t="s">
        <v>US912827MD16</v>
        <stp/>
        <stp>##V3_BDPV12</stp>
        <stp>912827MD Govt</stp>
        <stp>ID_ISIN</stp>
        <stp>[TREASURY.xlsx]Sheet1!R1167C12</stp>
        <tr r="L1167" s="1"/>
      </tp>
      <tp t="s">
        <v>US912827MZ28</v>
        <stp/>
        <stp>##V3_BDPV12</stp>
        <stp>912827MZ Govt</stp>
        <stp>ID_ISIN</stp>
        <stp>[TREASURY.xlsx]Sheet1!R1168C12</stp>
        <tr r="L1168" s="1"/>
      </tp>
      <tp t="s">
        <v>US912827LS93</v>
        <stp/>
        <stp>##V3_BDPV12</stp>
        <stp>912827LS Govt</stp>
        <stp>ID_ISIN</stp>
        <stp>[TREASURY.xlsx]Sheet1!R1043C12</stp>
        <tr r="L1043" s="1"/>
      </tp>
      <tp t="s">
        <v>9/30/1984</v>
        <stp/>
        <stp>##V3_BDPV12</stp>
        <stp>912827QQ Govt</stp>
        <stp>FIRST_CPN_DT</stp>
        <stp>[TREASURY.xlsx]Sheet1!R1180C9</stp>
        <tr r="I1180" s="1"/>
      </tp>
      <tp t="s">
        <v>US912827M906</v>
        <stp/>
        <stp>##V3_BDPV12</stp>
        <stp>912827M9 Govt</stp>
        <stp>ID_ISIN</stp>
        <stp>[TREASURY.xlsx]Sheet1!R1166C12</stp>
        <tr r="L1166" s="1"/>
      </tp>
      <tp t="s">
        <v>US912827H880</v>
        <stp/>
        <stp>##V3_BDPV12</stp>
        <stp>912827H8 Govt</stp>
        <stp>ID_ISIN</stp>
        <stp>[TREASURY.xlsx]Sheet1!R1487C12</stp>
        <tr r="L1487" s="1"/>
      </tp>
      <tp t="s">
        <v>US912827L429</v>
        <stp/>
        <stp>##V3_BDPV12</stp>
        <stp>912827L4 Govt</stp>
        <stp>ID_ISIN</stp>
        <stp>[TREASURY.xlsx]Sheet1!R1040C12</stp>
        <tr r="L1040" s="1"/>
      </tp>
      <tp t="s">
        <v>US912827M419</v>
        <stp/>
        <stp>##V3_BDPV12</stp>
        <stp>912827M4 Govt</stp>
        <stp>ID_ISIN</stp>
        <stp>[TREASURY.xlsx]Sheet1!R1165C12</stp>
        <tr r="L1165" s="1"/>
      </tp>
      <tp t="s">
        <v>US912827L676</v>
        <stp/>
        <stp>##V3_BDPV12</stp>
        <stp>912827L6 Govt</stp>
        <stp>ID_ISIN</stp>
        <stp>[TREASURY.xlsx]Sheet1!R1041C12</stp>
        <tr r="L1041" s="1"/>
      </tp>
      <tp t="s">
        <v>US912827M252</v>
        <stp/>
        <stp>##V3_BDPV12</stp>
        <stp>912827M2 Govt</stp>
        <stp>ID_ISIN</stp>
        <stp>[TREASURY.xlsx]Sheet1!R1164C12</stp>
        <tr r="L1164" s="1"/>
      </tp>
      <tp t="s">
        <v>1/31/2021</v>
        <stp/>
        <stp>##V3_BDPV12</stp>
        <stp>91282CAD Govt</stp>
        <stp>FIRST_CPN_DT</stp>
        <stp>[TREASURY.xlsx]Sheet1!R132C9</stp>
        <tr r="I132" s="1"/>
      </tp>
      <tp t="s">
        <v>3/31/2021</v>
        <stp/>
        <stp>##V3_BDPV12</stp>
        <stp>91282CAL Govt</stp>
        <stp>FIRST_CPN_DT</stp>
        <stp>[TREASURY.xlsx]Sheet1!R142C9</stp>
        <tr r="I142" s="1"/>
      </tp>
      <tp t="s">
        <v>4/30/2021</v>
        <stp/>
        <stp>##V3_BDPV12</stp>
        <stp>91282CAU Govt</stp>
        <stp>FIRST_CPN_DT</stp>
        <stp>[TREASURY.xlsx]Sheet1!R102C9</stp>
        <tr r="I102" s="1"/>
      </tp>
      <tp t="s">
        <v>5/15/1996</v>
        <stp/>
        <stp>##V3_BDPV12</stp>
        <stp>912827V7 Govt</stp>
        <stp>FIRST_CPN_DT</stp>
        <stp>[TREASURY.xlsx]Sheet1!R1410C9</stp>
        <tr r="I1410" s="1"/>
      </tp>
      <tp t="s">
        <v>US912827H963</v>
        <stp/>
        <stp>##V3_BDPV12</stp>
        <stp>912827H9 Govt</stp>
        <stp>ID_ISIN</stp>
        <stp>[TREASURY.xlsx]Sheet1!R1375C12</stp>
        <tr r="L1375" s="1"/>
      </tp>
      <tp t="s">
        <v>US912827K355</v>
        <stp/>
        <stp>##V3_BDPV12</stp>
        <stp>912827K3 Govt</stp>
        <stp>ID_ISIN</stp>
        <stp>[TREASURY.xlsx]Sheet1!R1039C12</stp>
        <tr r="L1039" s="1"/>
      </tp>
      <tp t="s">
        <v>US912827H393</v>
        <stp/>
        <stp>##V3_BDPV12</stp>
        <stp>912827H3 Govt</stp>
        <stp>ID_ISIN</stp>
        <stp>[TREASURY.xlsx]Sheet1!R1316C12</stp>
        <tr r="L1316" s="1"/>
      </tp>
      <tp t="s">
        <v>US912827KX97</v>
        <stp/>
        <stp>##V3_BDPV12</stp>
        <stp>912827KX Govt</stp>
        <stp>ID_ISIN</stp>
        <stp>[TREASURY.xlsx]Sheet1!R1162C12</stp>
        <tr r="L1162" s="1"/>
      </tp>
      <tp t="s">
        <v>US912827KR20</v>
        <stp/>
        <stp>##V3_BDPV12</stp>
        <stp>912827KR Govt</stp>
        <stp>ID_ISIN</stp>
        <stp>[TREASURY.xlsx]Sheet1!R1161C12</stp>
        <tr r="L1161" s="1"/>
      </tp>
      <tp t="s">
        <v>8/15/1989</v>
        <stp/>
        <stp>##V3_BDPV12</stp>
        <stp>912827WY Govt</stp>
        <stp>FIRST_CPN_DT</stp>
        <stp>[TREASURY.xlsx]Sheet1!R1210C9</stp>
        <tr r="I1210" s="1"/>
      </tp>
      <tp t="s">
        <v>3/31/1989</v>
        <stp/>
        <stp>##V3_BDPV12</stp>
        <stp>912827WS Govt</stp>
        <stp>FIRST_CPN_DT</stp>
        <stp>[TREASURY.xlsx]Sheet1!R1420C9</stp>
        <tr r="I1420" s="1"/>
      </tp>
      <tp t="s">
        <v>11/30/1988</v>
        <stp/>
        <stp>##V3_BDPV12</stp>
        <stp>912827WF Govt</stp>
        <stp>FIRST_CPN_DT</stp>
        <stp>[TREASURY.xlsx]Sheet1!R1090C9</stp>
        <tr r="I1090" s="1"/>
      </tp>
      <tp t="s">
        <v>US912827J860</v>
        <stp/>
        <stp>##V3_BDPV12</stp>
        <stp>912827J8 Govt</stp>
        <stp>ID_ISIN</stp>
        <stp>[TREASURY.xlsx]Sheet1!R1038C12</stp>
        <tr r="L1038" s="1"/>
      </tp>
      <tp t="s">
        <v>US912827K926</v>
        <stp/>
        <stp>##V3_BDPV12</stp>
        <stp>912827K9 Govt</stp>
        <stp>ID_ISIN</stp>
        <stp>[TREASURY.xlsx]Sheet1!R1160C12</stp>
        <tr r="L1160" s="1"/>
      </tp>
      <tp t="s">
        <v>US912827K504</v>
        <stp/>
        <stp>##V3_BDPV12</stp>
        <stp>912827K5 Govt</stp>
        <stp>ID_ISIN</stp>
        <stp>[TREASURY.xlsx]Sheet1!R1159C12</stp>
        <tr r="L1159" s="1"/>
      </tp>
      <tp t="s">
        <v>US912827LH39</v>
        <stp/>
        <stp>##V3_BDPV12</stp>
        <stp>912827LH Govt</stp>
        <stp>ID_ISIN</stp>
        <stp>[TREASURY.xlsx]Sheet1!R1566C12</stp>
        <tr r="L1566" s="1"/>
      </tp>
      <tp t="s">
        <v>US912827LZ37</v>
        <stp/>
        <stp>##V3_BDPV12</stp>
        <stp>912827LZ Govt</stp>
        <stp>ID_ISIN</stp>
        <stp>[TREASURY.xlsx]Sheet1!R1567C12</stp>
        <tr r="L1567" s="1"/>
      </tp>
      <tp t="s">
        <v>1/15/1987</v>
        <stp/>
        <stp>##V3_BDPV12</stp>
        <stp>912827TV Govt</stp>
        <stp>FIRST_CPN_DT</stp>
        <stp>[TREASURY.xlsx]Sheet1!R1510C9</stp>
        <tr r="I1510" s="1"/>
      </tp>
      <tp t="s">
        <v>10/15/1986</v>
        <stp/>
        <stp>##V3_BDPV12</stp>
        <stp>912827TM Govt</stp>
        <stp>FIRST_CPN_DT</stp>
        <stp>[TREASURY.xlsx]Sheet1!R1400C9</stp>
        <tr r="I1400" s="1"/>
      </tp>
      <tp t="s">
        <v>11/15/1995</v>
        <stp/>
        <stp>##V3_BDPV12</stp>
        <stp>912827T7 Govt</stp>
        <stp>FIRST_CPN_DT</stp>
        <stp>[TREASURY.xlsx]Sheet1!R1070C9</stp>
        <tr r="I1070" s="1"/>
      </tp>
      <tp t="s">
        <v>US912827J944</v>
        <stp/>
        <stp>##V3_BDPV12</stp>
        <stp>912827J9 Govt</stp>
        <stp>ID_ISIN</stp>
        <stp>[TREASURY.xlsx]Sheet1!R1376C12</stp>
        <tr r="L1376" s="1"/>
      </tp>
      <tp t="s">
        <v>US912827L759</v>
        <stp/>
        <stp>##V3_BDPV12</stp>
        <stp>912827L7 Govt</stp>
        <stp>ID_ISIN</stp>
        <stp>[TREASURY.xlsx]Sheet1!R1565C12</stp>
        <tr r="L1565" s="1"/>
      </tp>
      <tp t="s">
        <v>US912827H476</v>
        <stp/>
        <stp>##V3_BDPV12</stp>
        <stp>912827H4 Govt</stp>
        <stp>ID_ISIN</stp>
        <stp>[TREASURY.xlsx]Sheet1!R1157C12</stp>
        <tr r="L1157" s="1"/>
      </tp>
      <tp t="s">
        <v>US912827H708</v>
        <stp/>
        <stp>##V3_BDPV12</stp>
        <stp>912827H7 Govt</stp>
        <stp>ID_ISIN</stp>
        <stp>[TREASURY.xlsx]Sheet1!R1158C12</stp>
        <tr r="L1158" s="1"/>
      </tp>
      <tp t="s">
        <v>US912827L346</v>
        <stp/>
        <stp>##V3_BDPV12</stp>
        <stp>912827L3 Govt</stp>
        <stp>ID_ISIN</stp>
        <stp>[TREASURY.xlsx]Sheet1!R1564C12</stp>
        <tr r="L1564" s="1"/>
      </tp>
      <tp t="s">
        <v>US912827J605</v>
        <stp/>
        <stp>##V3_BDPV12</stp>
        <stp>912827J6 Govt</stp>
        <stp>ID_ISIN</stp>
        <stp>[TREASURY.xlsx]Sheet1!R1317C12</stp>
        <tr r="L1317" s="1"/>
      </tp>
      <tp t="s">
        <v>US912827KL59</v>
        <stp/>
        <stp>##V3_BDPV12</stp>
        <stp>912827KL Govt</stp>
        <stp>ID_ISIN</stp>
        <stp>[TREASURY.xlsx]Sheet1!R1377C12</stp>
        <tr r="L1377" s="1"/>
      </tp>
      <tp t="s">
        <v>US912827LP54</v>
        <stp/>
        <stp>##V3_BDPV12</stp>
        <stp>912827LP Govt</stp>
        <stp>ID_ISIN</stp>
        <stp>[TREASURY.xlsx]Sheet1!R1491C12</stp>
        <tr r="L1491" s="1"/>
      </tp>
      <tp t="s">
        <v>US912827KT85</v>
        <stp/>
        <stp>##V3_BDPV12</stp>
        <stp>912827KT Govt</stp>
        <stp>ID_ISIN</stp>
        <stp>[TREASURY.xlsx]Sheet1!R1318C12</stp>
        <tr r="L1318" s="1"/>
      </tp>
      <tp t="s">
        <v>2/15/1988</v>
        <stp/>
        <stp>##V3_BDPV12</stp>
        <stp>912827UY Govt</stp>
        <stp>FIRST_CPN_DT</stp>
        <stp>[TREASURY.xlsx]Sheet1!R1590C9</stp>
        <tr r="I1590" s="1"/>
      </tp>
      <tp t="s">
        <v>9/30/1987</v>
        <stp/>
        <stp>##V3_BDPV12</stp>
        <stp>912827UR Govt</stp>
        <stp>FIRST_CPN_DT</stp>
        <stp>[TREASURY.xlsx]Sheet1!R1080C9</stp>
        <tr r="I1080" s="1"/>
      </tp>
      <tp t="s">
        <v>6/30/1987</v>
        <stp/>
        <stp>##V3_BDPV12</stp>
        <stp>912827UK Govt</stp>
        <stp>FIRST_CPN_DT</stp>
        <stp>[TREASURY.xlsx]Sheet1!R1200C9</stp>
        <tr r="I1200" s="1"/>
      </tp>
      <tp t="s">
        <v>US912827M336</v>
        <stp/>
        <stp>##V3_BDPV12</stp>
        <stp>912827M3 Govt</stp>
        <stp>ID_ISIN</stp>
        <stp>[TREASURY.xlsx]Sheet1!R1568C12</stp>
        <tr r="L1568" s="1"/>
      </tp>
      <tp t="s">
        <v>5/15/1991</v>
        <stp/>
        <stp>##V3_BDPV12</stp>
        <stp>912827ZM Govt</stp>
        <stp>FIRST_CPN_DT</stp>
        <stp>[TREASURY.xlsx]Sheet1!R1230C9</stp>
        <tr r="I1230" s="1"/>
      </tp>
      <tp t="s">
        <v>2/15/1991</v>
        <stp/>
        <stp>##V3_BDPV12</stp>
        <stp>912827ZD Govt</stp>
        <stp>FIRST_CPN_DT</stp>
        <stp>[TREASURY.xlsx]Sheet1!R1610C9</stp>
        <tr r="I1610" s="1"/>
      </tp>
      <tp t="s">
        <v>US912827C345</v>
        <stp/>
        <stp>##V3_BDPV12</stp>
        <stp>912827C3 Govt</stp>
        <stp>ID_ISIN</stp>
        <stp>[TREASURY.xlsx]Sheet1!R1480C12</stp>
        <tr r="L1480" s="1"/>
      </tp>
      <tp t="s">
        <v>US912827F801</v>
        <stp/>
        <stp>##V3_BDPV12</stp>
        <stp>912827F8 Govt</stp>
        <stp>ID_ISIN</stp>
        <stp>[TREASURY.xlsx]Sheet1!R1154C12</stp>
        <tr r="L1154" s="1"/>
      </tp>
      <tp t="s">
        <v>US912827C592</v>
        <stp/>
        <stp>##V3_BDPV12</stp>
        <stp>912827C5 Govt</stp>
        <stp>ID_ISIN</stp>
        <stp>[TREASURY.xlsx]Sheet1!R1481C12</stp>
        <tr r="L1481" s="1"/>
      </tp>
      <tp t="s">
        <v>US912827F983</v>
        <stp/>
        <stp>##V3_BDPV12</stp>
        <stp>912827F9 Govt</stp>
        <stp>ID_ISIN</stp>
        <stp>[TREASURY.xlsx]Sheet1!R1155C12</stp>
        <tr r="L1155" s="1"/>
      </tp>
      <tp t="s">
        <v>US912827B925</v>
        <stp/>
        <stp>##V3_BDPV12</stp>
        <stp>912827B9 Govt</stp>
        <stp>ID_ISIN</stp>
        <stp>[TREASURY.xlsx]Sheet1!R1552C12</stp>
        <tr r="L1552" s="1"/>
      </tp>
      <tp t="s">
        <v>US912827G221</v>
        <stp/>
        <stp>##V3_BDPV12</stp>
        <stp>912827G2 Govt</stp>
        <stp>ID_ISIN</stp>
        <stp>[TREASURY.xlsx]Sheet1!R1034C12</stp>
        <tr r="L1034" s="1"/>
      </tp>
      <tp t="s">
        <v>US912827C832</v>
        <stp/>
        <stp>##V3_BDPV12</stp>
        <stp>912827C8 Govt</stp>
        <stp>ID_ISIN</stp>
        <stp>[TREASURY.xlsx]Sheet1!R1482C12</stp>
        <tr r="L1482" s="1"/>
      </tp>
      <tp t="s">
        <v>US912827B685</v>
        <stp/>
        <stp>##V3_BDPV12</stp>
        <stp>912827B6 Govt</stp>
        <stp>ID_ISIN</stp>
        <stp>[TREASURY.xlsx]Sheet1!R1550C12</stp>
        <tr r="L1550" s="1"/>
      </tp>
      <tp t="s">
        <v>US912827B768</v>
        <stp/>
        <stp>##V3_BDPV12</stp>
        <stp>912827B7 Govt</stp>
        <stp>ID_ISIN</stp>
        <stp>[TREASURY.xlsx]Sheet1!R1551C12</stp>
        <tr r="L1551" s="1"/>
      </tp>
      <tp t="s">
        <v>US912827G635</v>
        <stp/>
        <stp>##V3_BDPV12</stp>
        <stp>912827G6 Govt</stp>
        <stp>ID_ISIN</stp>
        <stp>[TREASURY.xlsx]Sheet1!R1036C12</stp>
        <tr r="L1036" s="1"/>
      </tp>
      <tp t="s">
        <v>US912827C261</v>
        <stp/>
        <stp>##V3_BDPV12</stp>
        <stp>912827C2 Govt</stp>
        <stp>ID_ISIN</stp>
        <stp>[TREASURY.xlsx]Sheet1!R1479C12</stp>
        <tr r="L1479" s="1"/>
      </tp>
      <tp t="s">
        <v>US912827G718</v>
        <stp/>
        <stp>##V3_BDPV12</stp>
        <stp>912827G7 Govt</stp>
        <stp>ID_ISIN</stp>
        <stp>[TREASURY.xlsx]Sheet1!R1037C12</stp>
        <tr r="L1037" s="1"/>
      </tp>
      <tp t="s">
        <v>US912827G486</v>
        <stp/>
        <stp>##V3_BDPV12</stp>
        <stp>912827G4 Govt</stp>
        <stp>ID_ISIN</stp>
        <stp>[TREASURY.xlsx]Sheet1!R1035C12</stp>
        <tr r="L1035" s="1"/>
      </tp>
      <tp t="s">
        <v>US912827B354</v>
        <stp/>
        <stp>##V3_BDPV12</stp>
        <stp>912827B3 Govt</stp>
        <stp>ID_ISIN</stp>
        <stp>[TREASURY.xlsx]Sheet1!R1549C12</stp>
        <tr r="L1549" s="1"/>
      </tp>
      <tp t="s">
        <v>US912827C915</v>
        <stp/>
        <stp>##V3_BDPV12</stp>
        <stp>912827C9 Govt</stp>
        <stp>ID_ISIN</stp>
        <stp>[TREASURY.xlsx]Sheet1!R1556C12</stp>
        <tr r="L1556" s="1"/>
      </tp>
      <tp t="s">
        <v>US912827B842</v>
        <stp/>
        <stp>##V3_BDPV12</stp>
        <stp>912827B8 Govt</stp>
        <stp>ID_ISIN</stp>
        <stp>[TREASURY.xlsx]Sheet1!R1478C12</stp>
        <tr r="L1478" s="1"/>
      </tp>
      <tp t="s">
        <v>US912827E994</v>
        <stp/>
        <stp>##V3_BDPV12</stp>
        <stp>912827E9 Govt</stp>
        <stp>ID_ISIN</stp>
        <stp>[TREASURY.xlsx]Sheet1!R1372C12</stp>
        <tr r="L1372" s="1"/>
      </tp>
      <tp t="s">
        <v>US912827E655</v>
        <stp/>
        <stp>##V3_BDPV12</stp>
        <stp>912827E6 Govt</stp>
        <stp>ID_ISIN</stp>
        <stp>[TREASURY.xlsx]Sheet1!R1371C12</stp>
        <tr r="L1371" s="1"/>
      </tp>
      <tp t="s">
        <v>US912827C428</v>
        <stp/>
        <stp>##V3_BDPV12</stp>
        <stp>912827C4 Govt</stp>
        <stp>ID_ISIN</stp>
        <stp>[TREASURY.xlsx]Sheet1!R1553C12</stp>
        <tr r="L1553" s="1"/>
      </tp>
      <tp t="s">
        <v>US912827G551</v>
        <stp/>
        <stp>##V3_BDPV12</stp>
        <stp>912827G5 Govt</stp>
        <stp>ID_ISIN</stp>
        <stp>[TREASURY.xlsx]Sheet1!R1156C12</stp>
        <tr r="L1156" s="1"/>
      </tp>
      <tp t="s">
        <v>US912827C675</v>
        <stp/>
        <stp>##V3_BDPV12</stp>
        <stp>912827C6 Govt</stp>
        <stp>ID_ISIN</stp>
        <stp>[TREASURY.xlsx]Sheet1!R1554C12</stp>
        <tr r="L1554" s="1"/>
      </tp>
      <tp t="s">
        <v>US912827B438</v>
        <stp/>
        <stp>##V3_BDPV12</stp>
        <stp>912827B4 Govt</stp>
        <stp>ID_ISIN</stp>
        <stp>[TREASURY.xlsx]Sheet1!R1476C12</stp>
        <tr r="L1476" s="1"/>
      </tp>
      <tp t="s">
        <v>US912827C758</v>
        <stp/>
        <stp>##V3_BDPV12</stp>
        <stp>912827C7 Govt</stp>
        <stp>ID_ISIN</stp>
        <stp>[TREASURY.xlsx]Sheet1!R1555C12</stp>
        <tr r="L1555" s="1"/>
      </tp>
      <tp t="s">
        <v>US912827B503</v>
        <stp/>
        <stp>##V3_BDPV12</stp>
        <stp>912827B5 Govt</stp>
        <stp>ID_ISIN</stp>
        <stp>[TREASURY.xlsx]Sheet1!R1477C12</stp>
        <tr r="L1477" s="1"/>
      </tp>
      <tp t="s">
        <v>US912827B271</v>
        <stp/>
        <stp>##V3_BDPV12</stp>
        <stp>912827B2 Govt</stp>
        <stp>ID_ISIN</stp>
        <stp>[TREASURY.xlsx]Sheet1!R1475C12</stp>
        <tr r="L1475" s="1"/>
      </tp>
      <tp t="s">
        <v>US912827E408</v>
        <stp/>
        <stp>##V3_BDPV12</stp>
        <stp>912827E4 Govt</stp>
        <stp>ID_ISIN</stp>
        <stp>[TREASURY.xlsx]Sheet1!R1313C12</stp>
        <tr r="L1313" s="1"/>
      </tp>
      <tp t="s">
        <v>5/15/1990</v>
        <stp/>
        <stp>##V3_BDPV12</stp>
        <stp>912827XY Govt</stp>
        <stp>FIRST_CPN_DT</stp>
        <stp>[TREASURY.xlsx]Sheet1!R1600C9</stp>
        <tr r="I1600" s="1"/>
      </tp>
      <tp t="s">
        <v>US912827A695</v>
        <stp/>
        <stp>##V3_BDPV12</stp>
        <stp>912827A6 Govt</stp>
        <stp>ID_ISIN</stp>
        <stp>[TREASURY.xlsx]Sheet1!R1474C12</stp>
        <tr r="L1474" s="1"/>
      </tp>
      <tp t="s">
        <v>US912827F645</v>
        <stp/>
        <stp>##V3_BDPV12</stp>
        <stp>912827F6 Govt</stp>
        <stp>ID_ISIN</stp>
        <stp>[TREASURY.xlsx]Sheet1!R1373C12</stp>
        <tr r="L1373" s="1"/>
      </tp>
      <tp t="s">
        <v>US912827F314</v>
        <stp/>
        <stp>##V3_BDPV12</stp>
        <stp>912827F3 Govt</stp>
        <stp>ID_ISIN</stp>
        <stp>[TREASURY.xlsx]Sheet1!R1314C12</stp>
        <tr r="L1314" s="1"/>
      </tp>
      <tp t="s">
        <v>US912827A513</v>
        <stp/>
        <stp>##V3_BDPV12</stp>
        <stp>912827A5 Govt</stp>
        <stp>ID_ISIN</stp>
        <stp>[TREASURY.xlsx]Sheet1!R1473C12</stp>
        <tr r="L1473" s="1"/>
      </tp>
      <tp t="s">
        <v>US912827F728</v>
        <stp/>
        <stp>##V3_BDPV12</stp>
        <stp>912827F7 Govt</stp>
        <stp>ID_ISIN</stp>
        <stp>[TREASURY.xlsx]Sheet1!R1315C12</stp>
        <tr r="L1315" s="1"/>
      </tp>
      <tp t="s">
        <v>4/15/1990</v>
        <stp/>
        <stp>##V3_BDPV12</stp>
        <stp>912827YB Govt</stp>
        <stp>FIRST_CPN_DT</stp>
        <stp>[TREASURY.xlsx]Sheet1!R1100C9</stp>
        <tr r="I1100" s="1"/>
      </tp>
      <tp t="s">
        <v>4/30/1990</v>
        <stp/>
        <stp>##V3_BDPV12</stp>
        <stp>912827YC Govt</stp>
        <stp>FIRST_CPN_DT</stp>
        <stp>[TREASURY.xlsx]Sheet1!R1220C9</stp>
        <tr r="I1220" s="1"/>
      </tp>
      <tp t="s">
        <v>US912827A935</v>
        <stp/>
        <stp>##V3_BDPV12</stp>
        <stp>912827A9 Govt</stp>
        <stp>ID_ISIN</stp>
        <stp>[TREASURY.xlsx]Sheet1!R1548C12</stp>
        <tr r="L1548" s="1"/>
      </tp>
      <tp t="s">
        <v>US912827G890</v>
        <stp/>
        <stp>##V3_BDPV12</stp>
        <stp>912827G8 Govt</stp>
        <stp>ID_ISIN</stp>
        <stp>[TREASURY.xlsx]Sheet1!R1374C12</stp>
        <tr r="L1374" s="1"/>
      </tp>
      <tp t="s">
        <v>US912827D251</v>
        <stp/>
        <stp>##V3_BDPV12</stp>
        <stp>912827D2 Govt</stp>
        <stp>ID_ISIN</stp>
        <stp>[TREASURY.xlsx]Sheet1!R1033C12</stp>
        <tr r="L1033" s="1"/>
      </tp>
      <tp t="s">
        <v>US912827A448</v>
        <stp/>
        <stp>##V3_BDPV12</stp>
        <stp>912827A4 Govt</stp>
        <stp>ID_ISIN</stp>
        <stp>[TREASURY.xlsx]Sheet1!R1547C12</stp>
        <tr r="L1547" s="1"/>
      </tp>
      <tp t="s">
        <v>US912827E242</v>
        <stp/>
        <stp>##V3_BDPV12</stp>
        <stp>912827E2 Govt</stp>
        <stp>ID_ISIN</stp>
        <stp>[TREASURY.xlsx]Sheet1!R1153C12</stp>
        <tr r="L1153" s="1"/>
      </tp>
      <tp t="s">
        <v>US912827G973</v>
        <stp/>
        <stp>##V3_BDPV12</stp>
        <stp>912827G9 Govt</stp>
        <stp>ID_ISIN</stp>
        <stp>[TREASURY.xlsx]Sheet1!R1486C12</stp>
        <tr r="L1486" s="1"/>
      </tp>
      <tp t="s">
        <v>US912827F496</v>
        <stp/>
        <stp>##V3_BDPV12</stp>
        <stp>912827F4 Govt</stp>
        <stp>ID_ISIN</stp>
        <stp>[TREASURY.xlsx]Sheet1!R1559C12</stp>
        <tr r="L1559" s="1"/>
      </tp>
      <tp t="s">
        <v>US912827F561</v>
        <stp/>
        <stp>##V3_BDPV12</stp>
        <stp>912827F5 Govt</stp>
        <stp>ID_ISIN</stp>
        <stp>[TREASURY.xlsx]Sheet1!R1560C12</stp>
        <tr r="L1560" s="1"/>
      </tp>
      <tp t="s">
        <v>US912827A851</v>
        <stp/>
        <stp>##V3_BDPV12</stp>
        <stp>912827A8 Govt</stp>
        <stp>ID_ISIN</stp>
        <stp>[TREASURY.xlsx]Sheet1!R1032C12</stp>
        <tr r="L1032" s="1"/>
      </tp>
      <tp t="s">
        <v>US912827D418</v>
        <stp/>
        <stp>##V3_BDPV12</stp>
        <stp>912827D4 Govt</stp>
        <stp>ID_ISIN</stp>
        <stp>[TREASURY.xlsx]Sheet1!R1557C12</stp>
        <tr r="L1557" s="1"/>
      </tp>
      <tp t="s">
        <v>US912827A364</v>
        <stp/>
        <stp>##V3_BDPV12</stp>
        <stp>912827A3 Govt</stp>
        <stp>ID_ISIN</stp>
        <stp>[TREASURY.xlsx]Sheet1!R1030C12</stp>
        <tr r="L1030" s="1"/>
      </tp>
      <tp t="s">
        <v>US912827A281</v>
        <stp/>
        <stp>##V3_BDPV12</stp>
        <stp>912827A2 Govt</stp>
        <stp>ID_ISIN</stp>
        <stp>[TREASURY.xlsx]Sheet1!R1029C12</stp>
        <tr r="L1029" s="1"/>
      </tp>
      <tp t="s">
        <v>US912827A778</v>
        <stp/>
        <stp>##V3_BDPV12</stp>
        <stp>912827A7 Govt</stp>
        <stp>ID_ISIN</stp>
        <stp>[TREASURY.xlsx]Sheet1!R1031C12</stp>
        <tr r="L1031" s="1"/>
      </tp>
      <tp t="s">
        <v>US912827D335</v>
        <stp/>
        <stp>##V3_BDPV12</stp>
        <stp>912827D3 Govt</stp>
        <stp>ID_ISIN</stp>
        <stp>[TREASURY.xlsx]Sheet1!R1483C12</stp>
        <tr r="L1483" s="1"/>
      </tp>
      <tp t="s">
        <v>US912827D582</v>
        <stp/>
        <stp>##V3_BDPV12</stp>
        <stp>912827D5 Govt</stp>
        <stp>ID_ISIN</stp>
        <stp>[TREASURY.xlsx]Sheet1!R1484C12</stp>
        <tr r="L1484" s="1"/>
      </tp>
      <tp t="s">
        <v>US912827E812</v>
        <stp/>
        <stp>##V3_BDPV12</stp>
        <stp>912827E8 Govt</stp>
        <stp>ID_ISIN</stp>
        <stp>[TREASURY.xlsx]Sheet1!R1558C12</stp>
        <tr r="L1558" s="1"/>
      </tp>
      <tp t="s">
        <v>US912827D822</v>
        <stp/>
        <stp>##V3_BDPV12</stp>
        <stp>912827D8 Govt</stp>
        <stp>ID_ISIN</stp>
        <stp>[TREASURY.xlsx]Sheet1!R1485C12</stp>
        <tr r="L1485" s="1"/>
      </tp>
      <tp t="s">
        <v>US912827YL04</v>
        <stp/>
        <stp>##V3_BDPV12</stp>
        <stp>912827YL Govt</stp>
        <stp>ID_ISIN</stp>
        <stp>[TREASURY.xlsx]Sheet1!R1605C12</stp>
        <tr r="L1605" s="1"/>
      </tp>
      <tp t="s">
        <v>US912827YD87</v>
        <stp/>
        <stp>##V3_BDPV12</stp>
        <stp>912827YD Govt</stp>
        <stp>ID_ISIN</stp>
        <stp>[TREASURY.xlsx]Sheet1!R1603C12</stp>
        <tr r="L1603" s="1"/>
      </tp>
      <tp t="s">
        <v>US912827YF36</v>
        <stp/>
        <stp>##V3_BDPV12</stp>
        <stp>912827YF Govt</stp>
        <stp>ID_ISIN</stp>
        <stp>[TREASURY.xlsx]Sheet1!R1604C12</stp>
        <tr r="L1604" s="1"/>
      </tp>
      <tp t="s">
        <v>US912827YP18</v>
        <stp/>
        <stp>##V3_BDPV12</stp>
        <stp>912827YP Govt</stp>
        <stp>ID_ISIN</stp>
        <stp>[TREASURY.xlsx]Sheet1!R1606C12</stp>
        <tr r="L1606" s="1"/>
      </tp>
      <tp t="s">
        <v>US912827YW68</v>
        <stp/>
        <stp>##V3_BDPV12</stp>
        <stp>912827YW Govt</stp>
        <stp>ID_ISIN</stp>
        <stp>[TREASURY.xlsx]Sheet1!R1607C12</stp>
        <tr r="L1607" s="1"/>
      </tp>
      <tp t="s">
        <v>1/31/1992</v>
        <stp/>
        <stp>##V3_BDPV12</stp>
        <stp>912827B6 Govt</stp>
        <stp>FIRST_CPN_DT</stp>
        <stp>[TREASURY.xlsx]Sheet1!R1550C9</stp>
        <tr r="I1550" s="1"/>
      </tp>
      <tp t="s">
        <v>US912827Y307</v>
        <stp/>
        <stp>##V3_BDPV12</stp>
        <stp>912827Y3 Govt</stp>
        <stp>ID_ISIN</stp>
        <stp>[TREASURY.xlsx]Sheet1!R1601C12</stp>
        <tr r="L1601" s="1"/>
      </tp>
      <tp t="s">
        <v>US912827Y489</v>
        <stp/>
        <stp>##V3_BDPV12</stp>
        <stp>912827Y4 Govt</stp>
        <stp>ID_ISIN</stp>
        <stp>[TREASURY.xlsx]Sheet1!R1602C12</stp>
        <tr r="L1602" s="1"/>
      </tp>
      <tp t="s">
        <v>US912827XY34</v>
        <stp/>
        <stp>##V3_BDPV12</stp>
        <stp>912827XY Govt</stp>
        <stp>ID_ISIN</stp>
        <stp>[TREASURY.xlsx]Sheet1!R1600C12</stp>
        <tr r="L1600" s="1"/>
      </tp>
      <tp t="s">
        <v>8/15/1980</v>
        <stp/>
        <stp>##V3_BDPV12</stp>
        <stp>912810CL Govt</stp>
        <stp>FIRST_CPN_DT</stp>
        <stp>[TREASURY.xlsx]Sheet1!R1617C9</stp>
        <tr r="I1617" s="1"/>
      </tp>
      <tp t="s">
        <v>2/29/1992</v>
        <stp/>
        <stp>##V3_BDPV12</stp>
        <stp>912827C3 Govt</stp>
        <stp>FIRST_CPN_DT</stp>
        <stp>[TREASURY.xlsx]Sheet1!R1480C9</stp>
        <tr r="I1480" s="1"/>
      </tp>
      <tp t="s">
        <v>US912827XA57</v>
        <stp/>
        <stp>##V3_BDPV12</stp>
        <stp>912827XA Govt</stp>
        <stp>ID_ISIN</stp>
        <stp>[TREASURY.xlsx]Sheet1!R1594C12</stp>
        <tr r="L1594" s="1"/>
      </tp>
      <tp t="s">
        <v>US912827XB31</v>
        <stp/>
        <stp>##V3_BDPV12</stp>
        <stp>912827XB Govt</stp>
        <stp>ID_ISIN</stp>
        <stp>[TREASURY.xlsx]Sheet1!R1595C12</stp>
        <tr r="L1595" s="1"/>
      </tp>
      <tp t="s">
        <v>US912827XF45</v>
        <stp/>
        <stp>##V3_BDPV12</stp>
        <stp>912827XF Govt</stp>
        <stp>ID_ISIN</stp>
        <stp>[TREASURY.xlsx]Sheet1!R1596C12</stp>
        <tr r="L1596" s="1"/>
      </tp>
      <tp t="s">
        <v>US912827XG28</v>
        <stp/>
        <stp>##V3_BDPV12</stp>
        <stp>912827XG Govt</stp>
        <stp>ID_ISIN</stp>
        <stp>[TREASURY.xlsx]Sheet1!R1597C12</stp>
        <tr r="L1597" s="1"/>
      </tp>
      <tp t="s">
        <v>US912827XN78</v>
        <stp/>
        <stp>##V3_BDPV12</stp>
        <stp>912827XN Govt</stp>
        <stp>ID_ISIN</stp>
        <stp>[TREASURY.xlsx]Sheet1!R1598C12</stp>
        <tr r="L1598" s="1"/>
      </tp>
      <tp t="s">
        <v>US912827XV94</v>
        <stp/>
        <stp>##V3_BDPV12</stp>
        <stp>912827XV Govt</stp>
        <stp>ID_ISIN</stp>
        <stp>[TREASURY.xlsx]Sheet1!R1599C12</stp>
        <tr r="L1599" s="1"/>
      </tp>
      <tp t="s">
        <v>US912827ZD78</v>
        <stp/>
        <stp>##V3_BDPV12</stp>
        <stp>912827ZD Govt</stp>
        <stp>ID_ISIN</stp>
        <stp>[TREASURY.xlsx]Sheet1!R1610C12</stp>
        <tr r="L1610" s="1"/>
      </tp>
      <tp t="s">
        <v>US912827ZY16</v>
        <stp/>
        <stp>##V3_BDPV12</stp>
        <stp>912827ZY Govt</stp>
        <stp>ID_ISIN</stp>
        <stp>[TREASURY.xlsx]Sheet1!R1613C12</stp>
        <tr r="L1613" s="1"/>
      </tp>
      <tp t="s">
        <v>US912827ZZ80</v>
        <stp/>
        <stp>##V3_BDPV12</stp>
        <stp>912827ZZ Govt</stp>
        <stp>ID_ISIN</stp>
        <stp>[TREASURY.xlsx]Sheet1!R1614C12</stp>
        <tr r="L1614" s="1"/>
      </tp>
      <tp t="s">
        <v>US912827ZQ81</v>
        <stp/>
        <stp>##V3_BDPV12</stp>
        <stp>912827ZQ Govt</stp>
        <stp>ID_ISIN</stp>
        <stp>[TREASURY.xlsx]Sheet1!R1611C12</stp>
        <tr r="L1611" s="1"/>
      </tp>
      <tp t="s">
        <v>US912827ZT21</v>
        <stp/>
        <stp>##V3_BDPV12</stp>
        <stp>912827ZT Govt</stp>
        <stp>ID_ISIN</stp>
        <stp>[TREASURY.xlsx]Sheet1!R1612C12</stp>
        <tr r="L1612" s="1"/>
      </tp>
      <tp t="s">
        <v>9/30/1991</v>
        <stp/>
        <stp>##V3_BDPV12</stp>
        <stp>912827A3 Govt</stp>
        <stp>FIRST_CPN_DT</stp>
        <stp>[TREASURY.xlsx]Sheet1!R1030C9</stp>
        <tr r="I1030" s="1"/>
      </tp>
      <tp t="s">
        <v>US912827Z395</v>
        <stp/>
        <stp>##V3_BDPV12</stp>
        <stp>912827Z3 Govt</stp>
        <stp>ID_ISIN</stp>
        <stp>[TREASURY.xlsx]Sheet1!R1608C12</stp>
        <tr r="L1608" s="1"/>
      </tp>
      <tp t="s">
        <v>US912827Z544</v>
        <stp/>
        <stp>##V3_BDPV12</stp>
        <stp>912827Z5 Govt</stp>
        <stp>ID_ISIN</stp>
        <stp>[TREASURY.xlsx]Sheet1!R1609C12</stp>
        <tr r="L1609" s="1"/>
      </tp>
      <tp t="s">
        <v>US912827YK21</v>
        <stp/>
        <stp>##V3_BDPV12</stp>
        <stp>912827YK Govt</stp>
        <stp>ID_ISIN</stp>
        <stp>[TREASURY.xlsx]Sheet1!R1222C12</stp>
        <tr r="L1222" s="1"/>
      </tp>
      <tp t="s">
        <v>US912827YH91</v>
        <stp/>
        <stp>##V3_BDPV12</stp>
        <stp>912827YH Govt</stp>
        <stp>ID_ISIN</stp>
        <stp>[TREASURY.xlsx]Sheet1!R1221C12</stp>
        <tr r="L1221" s="1"/>
      </tp>
      <tp t="s">
        <v>US912827YC05</v>
        <stp/>
        <stp>##V3_BDPV12</stp>
        <stp>912827YC Govt</stp>
        <stp>ID_ISIN</stp>
        <stp>[TREASURY.xlsx]Sheet1!R1220C12</stp>
        <tr r="L1220" s="1"/>
      </tp>
      <tp t="s">
        <v>US912827ZG00</v>
        <stp/>
        <stp>##V3_BDPV12</stp>
        <stp>912827ZG Govt</stp>
        <stp>ID_ISIN</stp>
        <stp>[TREASURY.xlsx]Sheet1!R1103C12</stp>
        <tr r="L1103" s="1"/>
      </tp>
      <tp t="s">
        <v>US912827YQ90</v>
        <stp/>
        <stp>##V3_BDPV12</stp>
        <stp>912827YQ Govt</stp>
        <stp>ID_ISIN</stp>
        <stp>[TREASURY.xlsx]Sheet1!R1223C12</stp>
        <tr r="L1223" s="1"/>
      </tp>
      <tp t="s">
        <v>US912827YU03</v>
        <stp/>
        <stp>##V3_BDPV12</stp>
        <stp>912827YU Govt</stp>
        <stp>ID_ISIN</stp>
        <stp>[TREASURY.xlsx]Sheet1!R1224C12</stp>
        <tr r="L1224" s="1"/>
      </tp>
      <tp t="s">
        <v>US912827ZW59</v>
        <stp/>
        <stp>##V3_BDPV12</stp>
        <stp>912827ZW Govt</stp>
        <stp>ID_ISIN</stp>
        <stp>[TREASURY.xlsx]Sheet1!R1104C12</stp>
        <tr r="L1104" s="1"/>
      </tp>
      <tp t="s">
        <v>11/30/1992</v>
        <stp/>
        <stp>##V3_BDPV12</stp>
        <stp>912827F5 Govt</stp>
        <stp>FIRST_CPN_DT</stp>
        <stp>[TREASURY.xlsx]Sheet1!R1560C9</stp>
        <tr r="I1560" s="1"/>
      </tp>
      <tp t="s">
        <v>US912827Z882</v>
        <stp/>
        <stp>##V3_BDPV12</stp>
        <stp>912827Z8 Govt</stp>
        <stp>ID_ISIN</stp>
        <stp>[TREASURY.xlsx]Sheet1!R1102C12</stp>
        <tr r="L1102" s="1"/>
      </tp>
      <tp t="s">
        <v>US912827Y711</v>
        <stp/>
        <stp>##V3_BDPV12</stp>
        <stp>912827Y7 Govt</stp>
        <stp>ID_ISIN</stp>
        <stp>[TREASURY.xlsx]Sheet1!R1219C12</stp>
        <tr r="L1219" s="1"/>
      </tp>
      <tp t="s">
        <v>US912827XL13</v>
        <stp/>
        <stp>##V3_BDPV12</stp>
        <stp>912827XL Govt</stp>
        <stp>ID_ISIN</stp>
        <stp>[TREASURY.xlsx]Sheet1!R1214C12</stp>
        <tr r="L1214" s="1"/>
      </tp>
      <tp t="s">
        <v>US912827XM95</v>
        <stp/>
        <stp>##V3_BDPV12</stp>
        <stp>912827XM Govt</stp>
        <stp>ID_ISIN</stp>
        <stp>[TREASURY.xlsx]Sheet1!R1215C12</stp>
        <tr r="L1215" s="1"/>
      </tp>
      <tp t="s">
        <v>US912827XR82</v>
        <stp/>
        <stp>##V3_BDPV12</stp>
        <stp>912827XR Govt</stp>
        <stp>ID_ISIN</stp>
        <stp>[TREASURY.xlsx]Sheet1!R1216C12</stp>
        <tr r="L1216" s="1"/>
      </tp>
      <tp t="s">
        <v>US912827XU12</v>
        <stp/>
        <stp>##V3_BDPV12</stp>
        <stp>912827XU Govt</stp>
        <stp>ID_ISIN</stp>
        <stp>[TREASURY.xlsx]Sheet1!R1217C12</stp>
        <tr r="L1217" s="1"/>
      </tp>
      <tp t="s">
        <v>US912827XW77</v>
        <stp/>
        <stp>##V3_BDPV12</stp>
        <stp>912827XW Govt</stp>
        <stp>ID_ISIN</stp>
        <stp>[TREASURY.xlsx]Sheet1!R1218C12</stp>
        <tr r="L1218" s="1"/>
      </tp>
      <tp t="s">
        <v>US912827X804</v>
        <stp/>
        <stp>##V3_BDPV12</stp>
        <stp>912827X8 Govt</stp>
        <stp>ID_ISIN</stp>
        <stp>[TREASURY.xlsx]Sheet1!R1213C12</stp>
        <tr r="L1213" s="1"/>
      </tp>
      <tp t="s">
        <v>US912827X234</v>
        <stp/>
        <stp>##V3_BDPV12</stp>
        <stp>912827X2 Govt</stp>
        <stp>ID_ISIN</stp>
        <stp>[TREASURY.xlsx]Sheet1!R1211C12</stp>
        <tr r="L1211" s="1"/>
      </tp>
      <tp t="s">
        <v>US912827X648</v>
        <stp/>
        <stp>##V3_BDPV12</stp>
        <stp>912827X6 Govt</stp>
        <stp>ID_ISIN</stp>
        <stp>[TREASURY.xlsx]Sheet1!R1212C12</stp>
        <tr r="L1212" s="1"/>
      </tp>
      <tp t="s">
        <v>2/15/1986</v>
        <stp/>
        <stp>##V3_BDPV12</stp>
        <stp>912810DR Govt</stp>
        <stp>FIRST_CPN_DT</stp>
        <stp>[TREASURY.xlsx]Sheet1!R1447C9</stp>
        <tr r="I1447" s="1"/>
      </tp>
      <tp t="s">
        <v>2/15/1985</v>
        <stp/>
        <stp>##V3_BDPV12</stp>
        <stp>912810DK Govt</stp>
        <stp>FIRST_CPN_DT</stp>
        <stp>[TREASURY.xlsx]Sheet1!R1347C9</stp>
        <tr r="I1347" s="1"/>
      </tp>
      <tp t="s">
        <v>US912827Y224</v>
        <stp/>
        <stp>##V3_BDPV12</stp>
        <stp>912827Y2 Govt</stp>
        <stp>ID_ISIN</stp>
        <stp>[TREASURY.xlsx]Sheet1!R1098C12</stp>
        <tr r="L1098" s="1"/>
      </tp>
      <tp t="s">
        <v>US912827Y638</v>
        <stp/>
        <stp>##V3_BDPV12</stp>
        <stp>912827Y6 Govt</stp>
        <stp>ID_ISIN</stp>
        <stp>[TREASURY.xlsx]Sheet1!R1099C12</stp>
        <tr r="L1099" s="1"/>
      </tp>
      <tp t="s">
        <v>US912827ZM77</v>
        <stp/>
        <stp>##V3_BDPV12</stp>
        <stp>912827ZM Govt</stp>
        <stp>ID_ISIN</stp>
        <stp>[TREASURY.xlsx]Sheet1!R1230C12</stp>
        <tr r="L1230" s="1"/>
      </tp>
      <tp t="s">
        <v>US912827ZB13</v>
        <stp/>
        <stp>##V3_BDPV12</stp>
        <stp>912827ZB Govt</stp>
        <stp>ID_ISIN</stp>
        <stp>[TREASURY.xlsx]Sheet1!R1228C12</stp>
        <tr r="L1228" s="1"/>
      </tp>
      <tp t="s">
        <v>US912827ZA30</v>
        <stp/>
        <stp>##V3_BDPV12</stp>
        <stp>912827ZA Govt</stp>
        <stp>ID_ISIN</stp>
        <stp>[TREASURY.xlsx]Sheet1!R1227C12</stp>
        <tr r="L1227" s="1"/>
      </tp>
      <tp t="s">
        <v>US912827YB22</v>
        <stp/>
        <stp>##V3_BDPV12</stp>
        <stp>912827YB Govt</stp>
        <stp>ID_ISIN</stp>
        <stp>[TREASURY.xlsx]Sheet1!R1100C12</stp>
        <tr r="L1100" s="1"/>
      </tp>
      <tp t="s">
        <v>US912827ZF27</v>
        <stp/>
        <stp>##V3_BDPV12</stp>
        <stp>912827ZF Govt</stp>
        <stp>ID_ISIN</stp>
        <stp>[TREASURY.xlsx]Sheet1!R1229C12</stp>
        <tr r="L1229" s="1"/>
      </tp>
      <tp t="s">
        <v>US912827XQ00</v>
        <stp/>
        <stp>##V3_BDPV12</stp>
        <stp>912827XQ Govt</stp>
        <stp>ID_ISIN</stp>
        <stp>[TREASURY.xlsx]Sheet1!R1096C12</stp>
        <tr r="L1096" s="1"/>
      </tp>
      <tp t="s">
        <v>US912827XZ09</v>
        <stp/>
        <stp>##V3_BDPV12</stp>
        <stp>912827XZ Govt</stp>
        <stp>ID_ISIN</stp>
        <stp>[TREASURY.xlsx]Sheet1!R1097C12</stp>
        <tr r="L1097" s="1"/>
      </tp>
      <tp t="s">
        <v>US912827ZV76</v>
        <stp/>
        <stp>##V3_BDPV12</stp>
        <stp>912827ZV Govt</stp>
        <stp>ID_ISIN</stp>
        <stp>[TREASURY.xlsx]Sheet1!R1231C12</stp>
        <tr r="L1231" s="1"/>
      </tp>
      <tp t="s">
        <v>US912827YT30</v>
        <stp/>
        <stp>##V3_BDPV12</stp>
        <stp>912827YT Govt</stp>
        <stp>ID_ISIN</stp>
        <stp>[TREASURY.xlsx]Sheet1!R1101C12</stp>
        <tr r="L1101" s="1"/>
      </tp>
      <tp t="s">
        <v>US912827X317</v>
        <stp/>
        <stp>##V3_BDPV12</stp>
        <stp>912827X3 Govt</stp>
        <stp>ID_ISIN</stp>
        <stp>[TREASURY.xlsx]Sheet1!R1094C12</stp>
        <tr r="L1094" s="1"/>
      </tp>
      <tp t="s">
        <v>US912827X721</v>
        <stp/>
        <stp>##V3_BDPV12</stp>
        <stp>912827X7 Govt</stp>
        <stp>ID_ISIN</stp>
        <stp>[TREASURY.xlsx]Sheet1!R1095C12</stp>
        <tr r="L1095" s="1"/>
      </tp>
      <tp t="s">
        <v>US912827Z627</v>
        <stp/>
        <stp>##V3_BDPV12</stp>
        <stp>912827Z6 Govt</stp>
        <stp>ID_ISIN</stp>
        <stp>[TREASURY.xlsx]Sheet1!R1226C12</stp>
        <tr r="L1226" s="1"/>
      </tp>
      <tp t="s">
        <v>US912827Z478</v>
        <stp/>
        <stp>##V3_BDPV12</stp>
        <stp>912827Z4 Govt</stp>
        <stp>ID_ISIN</stp>
        <stp>[TREASURY.xlsx]Sheet1!R1225C12</stp>
        <tr r="L1225" s="1"/>
      </tp>
      <tp t="s">
        <v>US912827RH74</v>
        <stp/>
        <stp>##V3_BDPV12</stp>
        <stp>912827RH Govt</stp>
        <stp>ID_ISIN</stp>
        <stp>[TREASURY.xlsx]Sheet1!R1502C12</stp>
        <tr r="L1502" s="1"/>
      </tp>
      <tp t="s">
        <v>US912827UK66</v>
        <stp/>
        <stp>##V3_BDPV12</stp>
        <stp>912827UK Govt</stp>
        <stp>ID_ISIN</stp>
        <stp>[TREASURY.xlsx]Sheet1!R1200C12</stp>
        <tr r="L1200" s="1"/>
      </tp>
      <tp t="s">
        <v>US912827TD43</v>
        <stp/>
        <stp>##V3_BDPV12</stp>
        <stp>912827TD Govt</stp>
        <stp>ID_ISIN</stp>
        <stp>[TREASURY.xlsx]Sheet1!R1398C12</stp>
        <tr r="L1398" s="1"/>
      </tp>
      <tp t="s">
        <v>US912827UL40</v>
        <stp/>
        <stp>##V3_BDPV12</stp>
        <stp>912827UL Govt</stp>
        <stp>ID_ISIN</stp>
        <stp>[TREASURY.xlsx]Sheet1!R1201C12</stp>
        <tr r="L1201" s="1"/>
      </tp>
      <tp t="s">
        <v>US912827RL86</v>
        <stp/>
        <stp>##V3_BDPV12</stp>
        <stp>912827RL Govt</stp>
        <stp>ID_ISIN</stp>
        <stp>[TREASURY.xlsx]Sheet1!R1503C12</stp>
        <tr r="L1503" s="1"/>
      </tp>
      <tp t="s">
        <v>US912827WF53</v>
        <stp/>
        <stp>##V3_BDPV12</stp>
        <stp>912827WF Govt</stp>
        <stp>ID_ISIN</stp>
        <stp>[TREASURY.xlsx]Sheet1!R1090C12</stp>
        <tr r="L1090" s="1"/>
      </tp>
      <tp t="s">
        <v>US912827TF90</v>
        <stp/>
        <stp>##V3_BDPV12</stp>
        <stp>912827TF Govt</stp>
        <stp>ID_ISIN</stp>
        <stp>[TREASURY.xlsx]Sheet1!R1399C12</stp>
        <tr r="L1399" s="1"/>
      </tp>
      <tp t="s">
        <v>US912827WG37</v>
        <stp/>
        <stp>##V3_BDPV12</stp>
        <stp>912827WG Govt</stp>
        <stp>ID_ISIN</stp>
        <stp>[TREASURY.xlsx]Sheet1!R1091C12</stp>
        <tr r="L1091" s="1"/>
      </tp>
      <tp t="s">
        <v>US912827RF19</v>
        <stp/>
        <stp>##V3_BDPV12</stp>
        <stp>912827RF Govt</stp>
        <stp>ID_ISIN</stp>
        <stp>[TREASURY.xlsx]Sheet1!R1579C12</stp>
        <tr r="L1579" s="1"/>
      </tp>
      <tp t="s">
        <v>US912827RM69</v>
        <stp/>
        <stp>##V3_BDPV12</stp>
        <stp>912827RM Govt</stp>
        <stp>ID_ISIN</stp>
        <stp>[TREASURY.xlsx]Sheet1!R1580C12</stp>
        <tr r="L1580" s="1"/>
      </tp>
      <tp t="s">
        <v>US912827RG91</v>
        <stp/>
        <stp>##V3_BDPV12</stp>
        <stp>912827RG Govt</stp>
        <stp>ID_ISIN</stp>
        <stp>[TREASURY.xlsx]Sheet1!R1501C12</stp>
        <tr r="L1501" s="1"/>
      </tp>
      <tp t="s">
        <v>US912827WN87</v>
        <stp/>
        <stp>##V3_BDPV12</stp>
        <stp>912827WN Govt</stp>
        <stp>ID_ISIN</stp>
        <stp>[TREASURY.xlsx]Sheet1!R1092C12</stp>
        <tr r="L1092" s="1"/>
      </tp>
      <tp t="s">
        <v>US912827WQ19</v>
        <stp/>
        <stp>##V3_BDPV12</stp>
        <stp>912827WQ Govt</stp>
        <stp>ID_ISIN</stp>
        <stp>[TREASURY.xlsx]Sheet1!R1093C12</stp>
        <tr r="L1093" s="1"/>
      </tp>
      <tp t="s">
        <v>US912827RT13</v>
        <stp/>
        <stp>##V3_BDPV12</stp>
        <stp>912827RT Govt</stp>
        <stp>ID_ISIN</stp>
        <stp>[TREASURY.xlsx]Sheet1!R1581C12</stp>
        <tr r="L1581" s="1"/>
      </tp>
      <tp t="s">
        <v>US912827RV68</v>
        <stp/>
        <stp>##V3_BDPV12</stp>
        <stp>912827RV Govt</stp>
        <stp>ID_ISIN</stp>
        <stp>[TREASURY.xlsx]Sheet1!R1582C12</stp>
        <tr r="L1582" s="1"/>
      </tp>
      <tp t="s">
        <v>US912827RY08</v>
        <stp/>
        <stp>##V3_BDPV12</stp>
        <stp>912827RY Govt</stp>
        <stp>ID_ISIN</stp>
        <stp>[TREASURY.xlsx]Sheet1!R1583C12</stp>
        <tr r="L1583" s="1"/>
      </tp>
      <tp t="s">
        <v>US912827UP53</v>
        <stp/>
        <stp>##V3_BDPV12</stp>
        <stp>912827UP Govt</stp>
        <stp>ID_ISIN</stp>
        <stp>[TREASURY.xlsx]Sheet1!R1202C12</stp>
        <tr r="L1202" s="1"/>
      </tp>
      <tp t="s">
        <v>US912827RZ72</v>
        <stp/>
        <stp>##V3_BDPV12</stp>
        <stp>912827RZ Govt</stp>
        <stp>ID_ISIN</stp>
        <stp>[TREASURY.xlsx]Sheet1!R1584C12</stp>
        <tr r="L1584" s="1"/>
      </tp>
      <tp t="s">
        <v>US912827T448</v>
        <stp/>
        <stp>##V3_BDPV12</stp>
        <stp>912827T4 Govt</stp>
        <stp>ID_ISIN</stp>
        <stp>[TREASURY.xlsx]Sheet1!R1397C12</stp>
        <tr r="L1397" s="1"/>
      </tp>
      <tp t="s">
        <v>US912827R954</v>
        <stp/>
        <stp>##V3_BDPV12</stp>
        <stp>912827R9 Govt</stp>
        <stp>ID_ISIN</stp>
        <stp>[TREASURY.xlsx]Sheet1!R1578C12</stp>
        <tr r="L1578" s="1"/>
      </tp>
      <tp t="s">
        <v>US912827R798</v>
        <stp/>
        <stp>##V3_BDPV12</stp>
        <stp>912827R7 Govt</stp>
        <stp>ID_ISIN</stp>
        <stp>[TREASURY.xlsx]Sheet1!R1577C12</stp>
        <tr r="L1577" s="1"/>
      </tp>
      <tp t="s">
        <v>US912827R616</v>
        <stp/>
        <stp>##V3_BDPV12</stp>
        <stp>912827R6 Govt</stp>
        <stp>ID_ISIN</stp>
        <stp>[TREASURY.xlsx]Sheet1!R1500C12</stp>
        <tr r="L1500" s="1"/>
      </tp>
      <tp t="s">
        <v>US912827SA13</v>
        <stp/>
        <stp>##V3_BDPV12</stp>
        <stp>912827SA Govt</stp>
        <stp>ID_ISIN</stp>
        <stp>[TREASURY.xlsx]Sheet1!R1587C12</stp>
        <tr r="L1587" s="1"/>
      </tp>
      <tp t="s">
        <v>US912827VD15</v>
        <stp/>
        <stp>##V3_BDPV12</stp>
        <stp>912827VD Govt</stp>
        <stp>ID_ISIN</stp>
        <stp>[TREASURY.xlsx]Sheet1!R1085C12</stp>
        <tr r="L1085" s="1"/>
      </tp>
      <tp t="s">
        <v>US912827SG82</v>
        <stp/>
        <stp>##V3_BDPV12</stp>
        <stp>912827SG Govt</stp>
        <stp>ID_ISIN</stp>
        <stp>[TREASURY.xlsx]Sheet1!R1588C12</stp>
        <tr r="L1588" s="1"/>
      </tp>
      <tp t="s">
        <v>US912827VF62</v>
        <stp/>
        <stp>##V3_BDPV12</stp>
        <stp>912827VF Govt</stp>
        <stp>ID_ISIN</stp>
        <stp>[TREASURY.xlsx]Sheet1!R1086C12</stp>
        <tr r="L1086" s="1"/>
      </tp>
      <tp t="s">
        <v>US912827SK94</v>
        <stp/>
        <stp>##V3_BDPV12</stp>
        <stp>912827SK Govt</stp>
        <stp>ID_ISIN</stp>
        <stp>[TREASURY.xlsx]Sheet1!R1589C12</stp>
        <tr r="L1589" s="1"/>
      </tp>
      <tp t="s">
        <v>US912827VM14</v>
        <stp/>
        <stp>##V3_BDPV12</stp>
        <stp>912827VM Govt</stp>
        <stp>ID_ISIN</stp>
        <stp>[TREASURY.xlsx]Sheet1!R1088C12</stp>
        <tr r="L1088" s="1"/>
      </tp>
      <tp t="s">
        <v>US912827VL31</v>
        <stp/>
        <stp>##V3_BDPV12</stp>
        <stp>912827VL Govt</stp>
        <stp>ID_ISIN</stp>
        <stp>[TREASURY.xlsx]Sheet1!R1087C12</stp>
        <tr r="L1087" s="1"/>
      </tp>
      <tp t="s">
        <v>US912827VZ27</v>
        <stp/>
        <stp>##V3_BDPV12</stp>
        <stp>912827VZ Govt</stp>
        <stp>ID_ISIN</stp>
        <stp>[TREASURY.xlsx]Sheet1!R1089C12</stp>
        <tr r="L1089" s="1"/>
      </tp>
      <tp t="s">
        <v>11/30/1993</v>
        <stp/>
        <stp>##V3_BDPV12</stp>
        <stp>912827K9 Govt</stp>
        <stp>FIRST_CPN_DT</stp>
        <stp>[TREASURY.xlsx]Sheet1!R1160C9</stp>
        <tr r="I1160" s="1"/>
      </tp>
      <tp t="s">
        <v>10/31/1993</v>
        <stp/>
        <stp>##V3_BDPV12</stp>
        <stp>912827K6 Govt</stp>
        <stp>FIRST_CPN_DT</stp>
        <stp>[TREASURY.xlsx]Sheet1!R1490C9</stp>
        <tr r="I1490" s="1"/>
      </tp>
      <tp t="s">
        <v>US912827S374</v>
        <stp/>
        <stp>##V3_BDPV12</stp>
        <stp>912827S3 Govt</stp>
        <stp>ID_ISIN</stp>
        <stp>[TREASURY.xlsx]Sheet1!R1585C12</stp>
        <tr r="L1585" s="1"/>
      </tp>
      <tp t="s">
        <v>US912827V253</v>
        <stp/>
        <stp>##V3_BDPV12</stp>
        <stp>912827V2 Govt</stp>
        <stp>ID_ISIN</stp>
        <stp>[TREASURY.xlsx]Sheet1!R1082C12</stp>
        <tr r="L1082" s="1"/>
      </tp>
      <tp t="s">
        <v>US912827V584</v>
        <stp/>
        <stp>##V3_BDPV12</stp>
        <stp>912827V5 Govt</stp>
        <stp>ID_ISIN</stp>
        <stp>[TREASURY.xlsx]Sheet1!R1083C12</stp>
        <tr r="L1083" s="1"/>
      </tp>
      <tp t="s">
        <v>US912827R467</v>
        <stp/>
        <stp>##V3_BDPV12</stp>
        <stp>912827R4 Govt</stp>
        <stp>ID_ISIN</stp>
        <stp>[TREASURY.xlsx]Sheet1!R1499C12</stp>
        <tr r="L1499" s="1"/>
      </tp>
      <tp t="s">
        <v>US912827V667</v>
        <stp/>
        <stp>##V3_BDPV12</stp>
        <stp>912827V6 Govt</stp>
        <stp>ID_ISIN</stp>
        <stp>[TREASURY.xlsx]Sheet1!R1084C12</stp>
        <tr r="L1084" s="1"/>
      </tp>
      <tp t="s">
        <v>US912827S861</v>
        <stp/>
        <stp>##V3_BDPV12</stp>
        <stp>912827S8 Govt</stp>
        <stp>ID_ISIN</stp>
        <stp>[TREASURY.xlsx]Sheet1!R1586C12</stp>
        <tr r="L1586" s="1"/>
      </tp>
      <tp t="s">
        <v>US912827S788</v>
        <stp/>
        <stp>##V3_BDPV12</stp>
        <stp>912827S7 Govt</stp>
        <stp>ID_ISIN</stp>
        <stp>[TREASURY.xlsx]Sheet1!R1504C12</stp>
        <tr r="L1504" s="1"/>
      </tp>
      <tp t="s">
        <v>US912827WJ75</v>
        <stp/>
        <stp>##V3_BDPV12</stp>
        <stp>912827WJ Govt</stp>
        <stp>ID_ISIN</stp>
        <stp>[TREASURY.xlsx]Sheet1!R1207C12</stp>
        <tr r="L1207" s="1"/>
      </tp>
      <tp t="s">
        <v>US912827WL22</v>
        <stp/>
        <stp>##V3_BDPV12</stp>
        <stp>912827WL Govt</stp>
        <stp>ID_ISIN</stp>
        <stp>[TREASURY.xlsx]Sheet1!R1208C12</stp>
        <tr r="L1208" s="1"/>
      </tp>
      <tp t="s">
        <v>US912827QF28</v>
        <stp/>
        <stp>##V3_BDPV12</stp>
        <stp>912827QF Govt</stp>
        <stp>ID_ISIN</stp>
        <stp>[TREASURY.xlsx]Sheet1!R1495C12</stp>
        <tr r="L1495" s="1"/>
      </tp>
      <tp t="s">
        <v>US912827UH38</v>
        <stp/>
        <stp>##V3_BDPV12</stp>
        <stp>912827UH Govt</stp>
        <stp>ID_ISIN</stp>
        <stp>[TREASURY.xlsx]Sheet1!R1078C12</stp>
        <tr r="L1078" s="1"/>
      </tp>
      <tp t="s">
        <v>US912827WA66</v>
        <stp/>
        <stp>##V3_BDPV12</stp>
        <stp>912827WA Govt</stp>
        <stp>ID_ISIN</stp>
        <stp>[TREASURY.xlsx]Sheet1!R1206C12</stp>
        <tr r="L1206" s="1"/>
      </tp>
      <tp t="s">
        <v>US912827TH56</v>
        <stp/>
        <stp>##V3_BDPV12</stp>
        <stp>912827TH Govt</stp>
        <stp>ID_ISIN</stp>
        <stp>[TREASURY.xlsx]Sheet1!R1192C12</stp>
        <tr r="L1192" s="1"/>
      </tp>
      <tp t="s">
        <v>US912827UE07</v>
        <stp/>
        <stp>##V3_BDPV12</stp>
        <stp>912827UE Govt</stp>
        <stp>ID_ISIN</stp>
        <stp>[TREASURY.xlsx]Sheet1!R1077C12</stp>
        <tr r="L1077" s="1"/>
      </tp>
      <tp t="s">
        <v>US912827QK13</v>
        <stp/>
        <stp>##V3_BDPV12</stp>
        <stp>912827QK Govt</stp>
        <stp>ID_ISIN</stp>
        <stp>[TREASURY.xlsx]Sheet1!R1496C12</stp>
        <tr r="L1496" s="1"/>
      </tp>
      <tp t="s">
        <v>US912827PD88</v>
        <stp/>
        <stp>##V3_BDPV12</stp>
        <stp>912827PD Govt</stp>
        <stp>ID_ISIN</stp>
        <stp>[TREASURY.xlsx]Sheet1!R1569C12</stp>
        <tr r="L1569" s="1"/>
      </tp>
      <tp t="s">
        <v>US912827TP72</v>
        <stp/>
        <stp>##V3_BDPV12</stp>
        <stp>912827TP Govt</stp>
        <stp>ID_ISIN</stp>
        <stp>[TREASURY.xlsx]Sheet1!R1193C12</stp>
        <tr r="L1193" s="1"/>
      </tp>
      <tp t="s">
        <v>US912827WY43</v>
        <stp/>
        <stp>##V3_BDPV12</stp>
        <stp>912827WY Govt</stp>
        <stp>ID_ISIN</stp>
        <stp>[TREASURY.xlsx]Sheet1!R1210C12</stp>
        <tr r="L1210" s="1"/>
      </tp>
      <tp t="s">
        <v>US912827TR39</v>
        <stp/>
        <stp>##V3_BDPV12</stp>
        <stp>912827TR Govt</stp>
        <stp>ID_ISIN</stp>
        <stp>[TREASURY.xlsx]Sheet1!R1194C12</stp>
        <tr r="L1194" s="1"/>
      </tp>
      <tp t="s">
        <v>US912827UR10</v>
        <stp/>
        <stp>##V3_BDPV12</stp>
        <stp>912827UR Govt</stp>
        <stp>ID_ISIN</stp>
        <stp>[TREASURY.xlsx]Sheet1!R1080C12</stp>
        <tr r="L1080" s="1"/>
      </tp>
      <tp t="s">
        <v>US912827TT94</v>
        <stp/>
        <stp>##V3_BDPV12</stp>
        <stp>912827TT Govt</stp>
        <stp>ID_ISIN</stp>
        <stp>[TREASURY.xlsx]Sheet1!R1195C12</stp>
        <tr r="L1195" s="1"/>
      </tp>
      <tp t="s">
        <v>US912827PZ90</v>
        <stp/>
        <stp>##V3_BDPV12</stp>
        <stp>912827PZ Govt</stp>
        <stp>ID_ISIN</stp>
        <stp>[TREASURY.xlsx]Sheet1!R1571C12</stp>
        <tr r="L1571" s="1"/>
      </tp>
      <tp t="s">
        <v>US912827QU94</v>
        <stp/>
        <stp>##V3_BDPV12</stp>
        <stp>912827QU Govt</stp>
        <stp>ID_ISIN</stp>
        <stp>[TREASURY.xlsx]Sheet1!R1497C12</stp>
        <tr r="L1497" s="1"/>
      </tp>
      <tp t="s">
        <v>US912827PX43</v>
        <stp/>
        <stp>##V3_BDPV12</stp>
        <stp>912827PX Govt</stp>
        <stp>ID_ISIN</stp>
        <stp>[TREASURY.xlsx]Sheet1!R1570C12</stp>
        <tr r="L1570" s="1"/>
      </tp>
      <tp t="s">
        <v>US912827QV77</v>
        <stp/>
        <stp>##V3_BDPV12</stp>
        <stp>912827QV Govt</stp>
        <stp>ID_ISIN</stp>
        <stp>[TREASURY.xlsx]Sheet1!R1498C12</stp>
        <tr r="L1498" s="1"/>
      </tp>
      <tp t="s">
        <v>US912827TX07</v>
        <stp/>
        <stp>##V3_BDPV12</stp>
        <stp>912827TX Govt</stp>
        <stp>ID_ISIN</stp>
        <stp>[TREASURY.xlsx]Sheet1!R1196C12</stp>
        <tr r="L1196" s="1"/>
      </tp>
      <tp t="s">
        <v>US912827UX87</v>
        <stp/>
        <stp>##V3_BDPV12</stp>
        <stp>912827UX Govt</stp>
        <stp>ID_ISIN</stp>
        <stp>[TREASURY.xlsx]Sheet1!R1081C12</stp>
        <tr r="L1081" s="1"/>
      </tp>
      <tp t="s">
        <v>US912827UQ37</v>
        <stp/>
        <stp>##V3_BDPV12</stp>
        <stp>912827UQ Govt</stp>
        <stp>ID_ISIN</stp>
        <stp>[TREASURY.xlsx]Sheet1!R1079C12</stp>
        <tr r="L1079" s="1"/>
      </tp>
      <tp t="s">
        <v>US912827WV04</v>
        <stp/>
        <stp>##V3_BDPV12</stp>
        <stp>912827WV Govt</stp>
        <stp>ID_ISIN</stp>
        <stp>[TREASURY.xlsx]Sheet1!R1209C12</stp>
        <tr r="L1209" s="1"/>
      </tp>
      <tp t="s">
        <v>US912827Q394</v>
        <stp/>
        <stp>##V3_BDPV12</stp>
        <stp>912827Q3 Govt</stp>
        <stp>ID_ISIN</stp>
        <stp>[TREASURY.xlsx]Sheet1!R1494C12</stp>
        <tr r="L1494" s="1"/>
      </tp>
      <tp t="s">
        <v>US912827T695</v>
        <stp/>
        <stp>##V3_BDPV12</stp>
        <stp>912827T6 Govt</stp>
        <stp>ID_ISIN</stp>
        <stp>[TREASURY.xlsx]Sheet1!R1191C12</stp>
        <tr r="L1191" s="1"/>
      </tp>
      <tp t="s">
        <v>US912827TN25</v>
        <stp/>
        <stp>##V3_BDPV12</stp>
        <stp>912827TN Govt</stp>
        <stp>ID_ISIN</stp>
        <stp>[TREASURY.xlsx]Sheet1!R1074C12</stp>
        <tr r="L1074" s="1"/>
      </tp>
      <tp t="s">
        <v>US912827VJ84</v>
        <stp/>
        <stp>##V3_BDPV12</stp>
        <stp>912827VJ Govt</stp>
        <stp>ID_ISIN</stp>
        <stp>[TREASURY.xlsx]Sheet1!R1203C12</stp>
        <tr r="L1203" s="1"/>
      </tp>
      <tp t="s">
        <v>US912827TJ13</v>
        <stp/>
        <stp>##V3_BDPV12</stp>
        <stp>912827TJ Govt</stp>
        <stp>ID_ISIN</stp>
        <stp>[TREASURY.xlsx]Sheet1!R1073C12</stp>
        <tr r="L1073" s="1"/>
      </tp>
      <tp t="s">
        <v>US912827UG54</v>
        <stp/>
        <stp>##V3_BDPV12</stp>
        <stp>912827UG Govt</stp>
        <stp>ID_ISIN</stp>
        <stp>[TREASURY.xlsx]Sheet1!R1199C12</stp>
        <tr r="L1199" s="1"/>
      </tp>
      <tp t="s">
        <v>US912827QB14</v>
        <stp/>
        <stp>##V3_BDPV12</stp>
        <stp>912827QB Govt</stp>
        <stp>ID_ISIN</stp>
        <stp>[TREASURY.xlsx]Sheet1!R1574C12</stp>
        <tr r="L1574" s="1"/>
      </tp>
      <tp t="s">
        <v>US912827TB86</v>
        <stp/>
        <stp>##V3_BDPV12</stp>
        <stp>912827TB Govt</stp>
        <stp>ID_ISIN</stp>
        <stp>[TREASURY.xlsx]Sheet1!R1072C12</stp>
        <tr r="L1072" s="1"/>
      </tp>
      <tp t="s">
        <v>US912827QZ81</v>
        <stp/>
        <stp>##V3_BDPV12</stp>
        <stp>912827QZ Govt</stp>
        <stp>ID_ISIN</stp>
        <stp>[TREASURY.xlsx]Sheet1!R1576C12</stp>
        <tr r="L1576" s="1"/>
      </tp>
      <tp t="s">
        <v>US912827QX34</v>
        <stp/>
        <stp>##V3_BDPV12</stp>
        <stp>912827QX Govt</stp>
        <stp>ID_ISIN</stp>
        <stp>[TREASURY.xlsx]Sheet1!R1575C12</stp>
        <tr r="L1575" s="1"/>
      </tp>
      <tp t="s">
        <v>US912827TY89</v>
        <stp/>
        <stp>##V3_BDPV12</stp>
        <stp>912827TY Govt</stp>
        <stp>ID_ISIN</stp>
        <stp>[TREASURY.xlsx]Sheet1!R1076C12</stp>
        <tr r="L1076" s="1"/>
      </tp>
      <tp t="s">
        <v>US912827VP45</v>
        <stp/>
        <stp>##V3_BDPV12</stp>
        <stp>912827VP Govt</stp>
        <stp>ID_ISIN</stp>
        <stp>[TREASURY.xlsx]Sheet1!R1204C12</stp>
        <tr r="L1204" s="1"/>
      </tp>
      <tp t="s">
        <v>US912827PY26</v>
        <stp/>
        <stp>##V3_BDPV12</stp>
        <stp>912827PY Govt</stp>
        <stp>ID_ISIN</stp>
        <stp>[TREASURY.xlsx]Sheet1!R1493C12</stp>
        <tr r="L1493" s="1"/>
      </tp>
      <tp t="s">
        <v>US912827VS83</v>
        <stp/>
        <stp>##V3_BDPV12</stp>
        <stp>912827VS Govt</stp>
        <stp>ID_ISIN</stp>
        <stp>[TREASURY.xlsx]Sheet1!R1205C12</stp>
        <tr r="L1205" s="1"/>
      </tp>
      <tp t="s">
        <v>US912827TQ55</v>
        <stp/>
        <stp>##V3_BDPV12</stp>
        <stp>912827TQ Govt</stp>
        <stp>ID_ISIN</stp>
        <stp>[TREASURY.xlsx]Sheet1!R1075C12</stp>
        <tr r="L1075" s="1"/>
      </tp>
      <tp t="s">
        <v>US912827U594</v>
        <stp/>
        <stp>##V3_BDPV12</stp>
        <stp>912827U5 Govt</stp>
        <stp>ID_ISIN</stp>
        <stp>[TREASURY.xlsx]Sheet1!R1197C12</stp>
        <tr r="L1197" s="1"/>
      </tp>
      <tp t="s">
        <v>US912827T851</v>
        <stp/>
        <stp>##V3_BDPV12</stp>
        <stp>912827T8 Govt</stp>
        <stp>ID_ISIN</stp>
        <stp>[TREASURY.xlsx]Sheet1!R1071C12</stp>
        <tr r="L1071" s="1"/>
      </tp>
      <tp t="s">
        <v>US912827Q881</v>
        <stp/>
        <stp>##V3_BDPV12</stp>
        <stp>912827Q8 Govt</stp>
        <stp>ID_ISIN</stp>
        <stp>[TREASURY.xlsx]Sheet1!R1572C12</stp>
        <tr r="L1572" s="1"/>
      </tp>
      <tp t="s">
        <v>US912827Q964</v>
        <stp/>
        <stp>##V3_BDPV12</stp>
        <stp>912827Q9 Govt</stp>
        <stp>ID_ISIN</stp>
        <stp>[TREASURY.xlsx]Sheet1!R1573C12</stp>
        <tr r="L1573" s="1"/>
      </tp>
      <tp t="s">
        <v>US912827P891</v>
        <stp/>
        <stp>##V3_BDPV12</stp>
        <stp>912827P8 Govt</stp>
        <stp>ID_ISIN</stp>
        <stp>[TREASURY.xlsx]Sheet1!R1492C12</stp>
        <tr r="L1492" s="1"/>
      </tp>
      <tp t="s">
        <v>US912827U834</v>
        <stp/>
        <stp>##V3_BDPV12</stp>
        <stp>912827U8 Govt</stp>
        <stp>ID_ISIN</stp>
        <stp>[TREASURY.xlsx]Sheet1!R1198C12</stp>
        <tr r="L1198" s="1"/>
      </tp>
      <tp t="s">
        <v>US912827T778</v>
        <stp/>
        <stp>##V3_BDPV12</stp>
        <stp>912827T7 Govt</stp>
        <stp>ID_ISIN</stp>
        <stp>[TREASURY.xlsx]Sheet1!R1070C12</stp>
        <tr r="L1070" s="1"/>
      </tp>
      <tp t="s">
        <v>US912827T364</v>
        <stp/>
        <stp>##V3_BDPV12</stp>
        <stp>912827T3 Govt</stp>
        <stp>ID_ISIN</stp>
        <stp>[TREASURY.xlsx]Sheet1!R1069C12</stp>
        <tr r="L1069" s="1"/>
      </tp>
      <tp t="s">
        <v>US912827WH10</v>
        <stp/>
        <stp>##V3_BDPV12</stp>
        <stp>912827WH Govt</stp>
        <stp>ID_ISIN</stp>
        <stp>[TREASURY.xlsx]Sheet1!R1417C12</stp>
        <tr r="L1417" s="1"/>
      </tp>
      <tp t="s">
        <v>US912827SN34</v>
        <stp/>
        <stp>##V3_BDPV12</stp>
        <stp>912827SN Govt</stp>
        <stp>ID_ISIN</stp>
        <stp>[TREASURY.xlsx]Sheet1!R1066C12</stp>
        <tr r="L1066" s="1"/>
      </tp>
      <tp t="s">
        <v>US912827PB23</v>
        <stp/>
        <stp>##V3_BDPV12</stp>
        <stp>912827PB Govt</stp>
        <stp>ID_ISIN</stp>
        <stp>[TREASURY.xlsx]Sheet1!R1388C12</stp>
        <tr r="L1388" s="1"/>
      </tp>
      <tp t="s">
        <v>US912827WM05</v>
        <stp/>
        <stp>##V3_BDPV12</stp>
        <stp>912827WM Govt</stp>
        <stp>ID_ISIN</stp>
        <stp>[TREASURY.xlsx]Sheet1!R1418C12</stp>
        <tr r="L1418" s="1"/>
      </tp>
      <tp t="s">
        <v>US912827PK22</v>
        <stp/>
        <stp>##V3_BDPV12</stp>
        <stp>912827PK Govt</stp>
        <stp>ID_ISIN</stp>
        <stp>[TREASURY.xlsx]Sheet1!R1340C12</stp>
        <tr r="L1340" s="1"/>
      </tp>
      <tp t="s">
        <v>US912827SF00</v>
        <stp/>
        <stp>##V3_BDPV12</stp>
        <stp>912827SF Govt</stp>
        <stp>ID_ISIN</stp>
        <stp>[TREASURY.xlsx]Sheet1!R1065C12</stp>
        <tr r="L1065" s="1"/>
      </tp>
      <tp t="s">
        <v>US912827PJ58</v>
        <stp/>
        <stp>##V3_BDPV12</stp>
        <stp>912827PJ Govt</stp>
        <stp>ID_ISIN</stp>
        <stp>[TREASURY.xlsx]Sheet1!R1389C12</stp>
        <tr r="L1389" s="1"/>
      </tp>
      <tp t="s">
        <v>US912827WZ18</v>
        <stp/>
        <stp>##V3_BDPV12</stp>
        <stp>912827WZ Govt</stp>
        <stp>ID_ISIN</stp>
        <stp>[TREASURY.xlsx]Sheet1!R1423C12</stp>
        <tr r="L1423" s="1"/>
      </tp>
      <tp t="s">
        <v>US912827PS57</v>
        <stp/>
        <stp>##V3_BDPV12</stp>
        <stp>912827PS Govt</stp>
        <stp>ID_ISIN</stp>
        <stp>[TREASURY.xlsx]Sheet1!R1390C12</stp>
        <tr r="L1390" s="1"/>
      </tp>
      <tp t="s">
        <v>US912827SZ63</v>
        <stp/>
        <stp>##V3_BDPV12</stp>
        <stp>912827SZ Govt</stp>
        <stp>ID_ISIN</stp>
        <stp>[TREASURY.xlsx]Sheet1!R1068C12</stp>
        <tr r="L1068" s="1"/>
      </tp>
      <tp t="s">
        <v>US912827PV86</v>
        <stp/>
        <stp>##V3_BDPV12</stp>
        <stp>912827PV Govt</stp>
        <stp>ID_ISIN</stp>
        <stp>[TREASURY.xlsx]Sheet1!R1391C12</stp>
        <tr r="L1391" s="1"/>
      </tp>
      <tp t="s">
        <v>US912827WS74</v>
        <stp/>
        <stp>##V3_BDPV12</stp>
        <stp>912827WS Govt</stp>
        <stp>ID_ISIN</stp>
        <stp>[TREASURY.xlsx]Sheet1!R1420C12</stp>
        <tr r="L1420" s="1"/>
      </tp>
      <tp t="s">
        <v>US912827WP36</v>
        <stp/>
        <stp>##V3_BDPV12</stp>
        <stp>912827WP Govt</stp>
        <stp>ID_ISIN</stp>
        <stp>[TREASURY.xlsx]Sheet1!R1419C12</stp>
        <tr r="L1419" s="1"/>
      </tp>
      <tp t="s">
        <v>US912827PT31</v>
        <stp/>
        <stp>##V3_BDPV12</stp>
        <stp>912827PT Govt</stp>
        <stp>ID_ISIN</stp>
        <stp>[TREASURY.xlsx]Sheet1!R1342C12</stp>
        <tr r="L1342" s="1"/>
      </tp>
      <tp t="s">
        <v>US912827ST04</v>
        <stp/>
        <stp>##V3_BDPV12</stp>
        <stp>912827ST Govt</stp>
        <stp>ID_ISIN</stp>
        <stp>[TREASURY.xlsx]Sheet1!R1067C12</stp>
        <tr r="L1067" s="1"/>
      </tp>
      <tp t="s">
        <v>US912827WU21</v>
        <stp/>
        <stp>##V3_BDPV12</stp>
        <stp>912827WU Govt</stp>
        <stp>ID_ISIN</stp>
        <stp>[TREASURY.xlsx]Sheet1!R1422C12</stp>
        <tr r="L1422" s="1"/>
      </tp>
      <tp t="s">
        <v>US912827PR74</v>
        <stp/>
        <stp>##V3_BDPV12</stp>
        <stp>912827PR Govt</stp>
        <stp>ID_ISIN</stp>
        <stp>[TREASURY.xlsx]Sheet1!R1341C12</stp>
        <tr r="L1341" s="1"/>
      </tp>
      <tp t="s">
        <v>US912827WT57</v>
        <stp/>
        <stp>##V3_BDPV12</stp>
        <stp>912827WT Govt</stp>
        <stp>ID_ISIN</stp>
        <stp>[TREASURY.xlsx]Sheet1!R1421C12</stp>
        <tr r="L1421" s="1"/>
      </tp>
      <tp t="s">
        <v>6/30/1983</v>
        <stp/>
        <stp>##V3_BDPV12</stp>
        <stp>912827NY Govt</stp>
        <stp>FIRST_CPN_DT</stp>
        <stp>[TREASURY.xlsx]Sheet1!R1170C9</stp>
        <tr r="I1170" s="1"/>
      </tp>
      <tp t="s">
        <v>12/31/1982</v>
        <stp/>
        <stp>##V3_BDPV12</stp>
        <stp>912827NJ Govt</stp>
        <stp>FIRST_CPN_DT</stp>
        <stp>[TREASURY.xlsx]Sheet1!R1050C9</stp>
        <tr r="I1050" s="1"/>
      </tp>
      <tp t="s">
        <v>8/31/1994</v>
        <stp/>
        <stp>##V3_BDPV12</stp>
        <stp>912827N9 Govt</stp>
        <stp>FIRST_CPN_DT</stp>
        <stp>[TREASURY.xlsx]Sheet1!R1330C9</stp>
        <tr r="I1330" s="1"/>
      </tp>
      <tp t="s">
        <v>US912827P305</v>
        <stp/>
        <stp>##V3_BDPV12</stp>
        <stp>912827P3 Govt</stp>
        <stp>ID_ISIN</stp>
        <stp>[TREASURY.xlsx]Sheet1!R1386C12</stp>
        <tr r="L1386" s="1"/>
      </tp>
      <tp t="s">
        <v>US912827V337</v>
        <stp/>
        <stp>##V3_BDPV12</stp>
        <stp>912827V3 Govt</stp>
        <stp>ID_ISIN</stp>
        <stp>[TREASURY.xlsx]Sheet1!R1591C12</stp>
        <tr r="L1591" s="1"/>
      </tp>
      <tp t="s">
        <v>US912827P974</v>
        <stp/>
        <stp>##V3_BDPV12</stp>
        <stp>912827P9 Govt</stp>
        <stp>ID_ISIN</stp>
        <stp>[TREASURY.xlsx]Sheet1!R1339C12</stp>
        <tr r="L1339" s="1"/>
      </tp>
      <tp t="s">
        <v>US912827P636</v>
        <stp/>
        <stp>##V3_BDPV12</stp>
        <stp>912827P6 Govt</stp>
        <stp>ID_ISIN</stp>
        <stp>[TREASURY.xlsx]Sheet1!R1387C12</stp>
        <tr r="L1387" s="1"/>
      </tp>
      <tp t="s">
        <v>US912827W574</v>
        <stp/>
        <stp>##V3_BDPV12</stp>
        <stp>912827W5 Govt</stp>
        <stp>ID_ISIN</stp>
        <stp>[TREASURY.xlsx]Sheet1!R1414C12</stp>
        <tr r="L1414" s="1"/>
      </tp>
      <tp t="s">
        <v>US912827P719</v>
        <stp/>
        <stp>##V3_BDPV12</stp>
        <stp>912827P7 Govt</stp>
        <stp>ID_ISIN</stp>
        <stp>[TREASURY.xlsx]Sheet1!R1338C12</stp>
        <tr r="L1338" s="1"/>
      </tp>
      <tp t="s">
        <v>US912827W657</v>
        <stp/>
        <stp>##V3_BDPV12</stp>
        <stp>912827W6 Govt</stp>
        <stp>ID_ISIN</stp>
        <stp>[TREASURY.xlsx]Sheet1!R1415C12</stp>
        <tr r="L1415" s="1"/>
      </tp>
      <tp t="s">
        <v>US912827P552</v>
        <stp/>
        <stp>##V3_BDPV12</stp>
        <stp>912827P5 Govt</stp>
        <stp>ID_ISIN</stp>
        <stp>[TREASURY.xlsx]Sheet1!R1337C12</stp>
        <tr r="L1337" s="1"/>
      </tp>
      <tp t="s">
        <v>US912827W731</v>
        <stp/>
        <stp>##V3_BDPV12</stp>
        <stp>912827W7 Govt</stp>
        <stp>ID_ISIN</stp>
        <stp>[TREASURY.xlsx]Sheet1!R1416C12</stp>
        <tr r="L1416" s="1"/>
      </tp>
      <tp t="s">
        <v>US912827RN43</v>
        <stp/>
        <stp>##V3_BDPV12</stp>
        <stp>912827RN Govt</stp>
        <stp>ID_ISIN</stp>
        <stp>[TREASURY.xlsx]Sheet1!R1064C12</stp>
        <tr r="L1064" s="1"/>
      </tp>
      <tp t="s">
        <v>US912827QA31</v>
        <stp/>
        <stp>##V3_BDPV12</stp>
        <stp>912827QA Govt</stp>
        <stp>ID_ISIN</stp>
        <stp>[TREASURY.xlsx]Sheet1!R1392C12</stp>
        <tr r="L1392" s="1"/>
      </tp>
      <tp t="s">
        <v>US912827SB95</v>
        <stp/>
        <stp>##V3_BDPV12</stp>
        <stp>912827SB Govt</stp>
        <stp>ID_ISIN</stp>
        <stp>[TREASURY.xlsx]Sheet1!R1183C12</stp>
        <tr r="L1183" s="1"/>
      </tp>
      <tp t="s">
        <v>US912827SE35</v>
        <stp/>
        <stp>##V3_BDPV12</stp>
        <stp>912827SE Govt</stp>
        <stp>ID_ISIN</stp>
        <stp>[TREASURY.xlsx]Sheet1!R1184C12</stp>
        <tr r="L1184" s="1"/>
      </tp>
      <tp t="s">
        <v>US912827VB58</v>
        <stp/>
        <stp>##V3_BDPV12</stp>
        <stp>912827VB Govt</stp>
        <stp>ID_ISIN</stp>
        <stp>[TREASURY.xlsx]Sheet1!R1411C12</stp>
        <tr r="L1411" s="1"/>
      </tp>
      <tp t="s">
        <v>US912827RE44</v>
        <stp/>
        <stp>##V3_BDPV12</stp>
        <stp>912827RE Govt</stp>
        <stp>ID_ISIN</stp>
        <stp>[TREASURY.xlsx]Sheet1!R1063C12</stp>
        <tr r="L1063" s="1"/>
      </tp>
      <tp t="s">
        <v>US912827SJ22</v>
        <stp/>
        <stp>##V3_BDPV12</stp>
        <stp>912827SJ Govt</stp>
        <stp>ID_ISIN</stp>
        <stp>[TREASURY.xlsx]Sheet1!R1185C12</stp>
        <tr r="L1185" s="1"/>
      </tp>
      <tp t="s">
        <v>US912827RC87</v>
        <stp/>
        <stp>##V3_BDPV12</stp>
        <stp>912827RC Govt</stp>
        <stp>ID_ISIN</stp>
        <stp>[TREASURY.xlsx]Sheet1!R1062C12</stp>
        <tr r="L1062" s="1"/>
      </tp>
      <tp t="s">
        <v>US912827RA22</v>
        <stp/>
        <stp>##V3_BDPV12</stp>
        <stp>912827RA Govt</stp>
        <stp>ID_ISIN</stp>
        <stp>[TREASURY.xlsx]Sheet1!R1061C12</stp>
        <tr r="L1061" s="1"/>
      </tp>
      <tp t="s">
        <v>US912827SQ64</v>
        <stp/>
        <stp>##V3_BDPV12</stp>
        <stp>912827SQ Govt</stp>
        <stp>ID_ISIN</stp>
        <stp>[TREASURY.xlsx]Sheet1!R1187C12</stp>
        <tr r="L1187" s="1"/>
      </tp>
      <tp t="s">
        <v>US912827SP81</v>
        <stp/>
        <stp>##V3_BDPV12</stp>
        <stp>912827SP Govt</stp>
        <stp>ID_ISIN</stp>
        <stp>[TREASURY.xlsx]Sheet1!R1186C12</stp>
        <tr r="L1186" s="1"/>
      </tp>
      <tp t="s">
        <v>US912827SS21</v>
        <stp/>
        <stp>##V3_BDPV12</stp>
        <stp>912827SS Govt</stp>
        <stp>ID_ISIN</stp>
        <stp>[TREASURY.xlsx]Sheet1!R1188C12</stp>
        <tr r="L1188" s="1"/>
      </tp>
      <tp t="s">
        <v>US912827QS49</v>
        <stp/>
        <stp>##V3_BDPV12</stp>
        <stp>912827QS Govt</stp>
        <stp>ID_ISIN</stp>
        <stp>[TREASURY.xlsx]Sheet1!R1393C12</stp>
        <tr r="L1393" s="1"/>
      </tp>
      <tp t="s">
        <v>US912827SW33</v>
        <stp/>
        <stp>##V3_BDPV12</stp>
        <stp>912827SW Govt</stp>
        <stp>ID_ISIN</stp>
        <stp>[TREASURY.xlsx]Sheet1!R1189C12</stp>
        <tr r="L1189" s="1"/>
      </tp>
      <tp t="s">
        <v>US912827QW50</v>
        <stp/>
        <stp>##V3_BDPV12</stp>
        <stp>912827QW Govt</stp>
        <stp>ID_ISIN</stp>
        <stp>[TREASURY.xlsx]Sheet1!R1394C12</stp>
        <tr r="L1394" s="1"/>
      </tp>
      <tp t="s">
        <v>US912827WW86</v>
        <stp/>
        <stp>##V3_BDPV12</stp>
        <stp>912827WW Govt</stp>
        <stp>ID_ISIN</stp>
        <stp>[TREASURY.xlsx]Sheet1!R1592C12</stp>
        <tr r="L1592" s="1"/>
      </tp>
      <tp t="s">
        <v>US912827WX69</v>
        <stp/>
        <stp>##V3_BDPV12</stp>
        <stp>912827WX Govt</stp>
        <stp>ID_ISIN</stp>
        <stp>[TREASURY.xlsx]Sheet1!R1593C12</stp>
        <tr r="L1593" s="1"/>
      </tp>
      <tp t="s">
        <v>US912827QY17</v>
        <stp/>
        <stp>##V3_BDPV12</stp>
        <stp>912827QY Govt</stp>
        <stp>ID_ISIN</stp>
        <stp>[TREASURY.xlsx]Sheet1!R1395C12</stp>
        <tr r="L1395" s="1"/>
      </tp>
      <tp t="s">
        <v>US912827SY98</v>
        <stp/>
        <stp>##V3_BDPV12</stp>
        <stp>912827SY Govt</stp>
        <stp>ID_ISIN</stp>
        <stp>[TREASURY.xlsx]Sheet1!R1190C12</stp>
        <tr r="L1190" s="1"/>
      </tp>
      <tp t="s">
        <v>US912827VU30</v>
        <stp/>
        <stp>##V3_BDPV12</stp>
        <stp>912827VU Govt</stp>
        <stp>ID_ISIN</stp>
        <stp>[TREASURY.xlsx]Sheet1!R1412C12</stp>
        <tr r="L1412" s="1"/>
      </tp>
      <tp t="s">
        <v>US912827VW95</v>
        <stp/>
        <stp>##V3_BDPV12</stp>
        <stp>912827VW Govt</stp>
        <stp>ID_ISIN</stp>
        <stp>[TREASURY.xlsx]Sheet1!R1413C12</stp>
        <tr r="L1413" s="1"/>
      </tp>
      <tp t="s">
        <v>US912827S291</v>
        <stp/>
        <stp>##V3_BDPV12</stp>
        <stp>912827S2 Govt</stp>
        <stp>ID_ISIN</stp>
        <stp>[TREASURY.xlsx]Sheet1!R1181C12</stp>
        <tr r="L1181" s="1"/>
      </tp>
      <tp t="s">
        <v>US912827S606</v>
        <stp/>
        <stp>##V3_BDPV12</stp>
        <stp>912827S6 Govt</stp>
        <stp>ID_ISIN</stp>
        <stp>[TREASURY.xlsx]Sheet1!R1182C12</stp>
        <tr r="L1182" s="1"/>
      </tp>
      <tp t="s">
        <v>US912827Q626</v>
        <stp/>
        <stp>##V3_BDPV12</stp>
        <stp>912827Q6 Govt</stp>
        <stp>ID_ISIN</stp>
        <stp>[TREASURY.xlsx]Sheet1!R1343C12</stp>
        <tr r="L1343" s="1"/>
      </tp>
      <tp t="s">
        <v>US912827R384</v>
        <stp/>
        <stp>##V3_BDPV12</stp>
        <stp>912827R3 Govt</stp>
        <stp>ID_ISIN</stp>
        <stp>[TREASURY.xlsx]Sheet1!R1060C12</stp>
        <tr r="L1060" s="1"/>
      </tp>
      <tp t="s">
        <v>US912827V741</v>
        <stp/>
        <stp>##V3_BDPV12</stp>
        <stp>912827V7 Govt</stp>
        <stp>ID_ISIN</stp>
        <stp>[TREASURY.xlsx]Sheet1!R1410C12</stp>
        <tr r="L1410" s="1"/>
      </tp>
      <tp t="s">
        <v>US912827QM78</v>
        <stp/>
        <stp>##V3_BDPV12</stp>
        <stp>912827QM Govt</stp>
        <stp>ID_ISIN</stp>
        <stp>[TREASURY.xlsx]Sheet1!R1058C12</stp>
        <tr r="L1058" s="1"/>
      </tp>
      <tp t="s">
        <v>US912827TK85</v>
        <stp/>
        <stp>##V3_BDPV12</stp>
        <stp>912827TK Govt</stp>
        <stp>ID_ISIN</stp>
        <stp>[TREASURY.xlsx]Sheet1!R1508C12</stp>
        <tr r="L1508" s="1"/>
      </tp>
      <tp t="s">
        <v>US912827PM87</v>
        <stp/>
        <stp>##V3_BDPV12</stp>
        <stp>912827PM Govt</stp>
        <stp>ID_ISIN</stp>
        <stp>[TREASURY.xlsx]Sheet1!R1174C12</stp>
        <tr r="L1174" s="1"/>
      </tp>
      <tp t="s">
        <v>US912827UM23</v>
        <stp/>
        <stp>##V3_BDPV12</stp>
        <stp>912827UM Govt</stp>
        <stp>ID_ISIN</stp>
        <stp>[TREASURY.xlsx]Sheet1!R1405C12</stp>
        <tr r="L1405" s="1"/>
      </tp>
      <tp t="s">
        <v>US912827QH83</v>
        <stp/>
        <stp>##V3_BDPV12</stp>
        <stp>912827QH Govt</stp>
        <stp>ID_ISIN</stp>
        <stp>[TREASURY.xlsx]Sheet1!R1057C12</stp>
        <tr r="L1057" s="1"/>
      </tp>
      <tp t="s">
        <v>US912827TL68</v>
        <stp/>
        <stp>##V3_BDPV12</stp>
        <stp>912827TL Govt</stp>
        <stp>ID_ISIN</stp>
        <stp>[TREASURY.xlsx]Sheet1!R1509C12</stp>
        <tr r="L1509" s="1"/>
      </tp>
      <tp t="s">
        <v>US912827UN06</v>
        <stp/>
        <stp>##V3_BDPV12</stp>
        <stp>912827UN Govt</stp>
        <stp>ID_ISIN</stp>
        <stp>[TREASURY.xlsx]Sheet1!R1406C12</stp>
        <tr r="L1406" s="1"/>
      </tp>
      <tp t="s">
        <v>US912827QD79</v>
        <stp/>
        <stp>##V3_BDPV12</stp>
        <stp>912827QD Govt</stp>
        <stp>ID_ISIN</stp>
        <stp>[TREASURY.xlsx]Sheet1!R1056C12</stp>
        <tr r="L1056" s="1"/>
      </tp>
      <tp t="s">
        <v>US912827PG10</v>
        <stp/>
        <stp>##V3_BDPV12</stp>
        <stp>912827PG Govt</stp>
        <stp>ID_ISIN</stp>
        <stp>[TREASURY.xlsx]Sheet1!R1173C12</stp>
        <tr r="L1173" s="1"/>
      </tp>
      <tp t="s">
        <v>US912827TC69</v>
        <stp/>
        <stp>##V3_BDPV12</stp>
        <stp>912827TC Govt</stp>
        <stp>ID_ISIN</stp>
        <stp>[TREASURY.xlsx]Sheet1!R1506C12</stp>
        <tr r="L1506" s="1"/>
      </tp>
      <tp t="s">
        <v>US912827TE26</v>
        <stp/>
        <stp>##V3_BDPV12</stp>
        <stp>912827TE Govt</stp>
        <stp>ID_ISIN</stp>
        <stp>[TREASURY.xlsx]Sheet1!R1507C12</stp>
        <tr r="L1507" s="1"/>
      </tp>
      <tp t="s">
        <v>US912827QC96</v>
        <stp/>
        <stp>##V3_BDPV12</stp>
        <stp>912827QC Govt</stp>
        <stp>ID_ISIN</stp>
        <stp>[TREASURY.xlsx]Sheet1!R1055C12</stp>
        <tr r="L1055" s="1"/>
      </tp>
      <tp t="s">
        <v>US912827UF71</v>
        <stp/>
        <stp>##V3_BDPV12</stp>
        <stp>912827UF Govt</stp>
        <stp>ID_ISIN</stp>
        <stp>[TREASURY.xlsx]Sheet1!R1404C12</stp>
        <tr r="L1404" s="1"/>
      </tp>
      <tp t="s">
        <v>US912827PA40</v>
        <stp/>
        <stp>##V3_BDPV12</stp>
        <stp>912827PA Govt</stp>
        <stp>ID_ISIN</stp>
        <stp>[TREASURY.xlsx]Sheet1!R1172C12</stp>
        <tr r="L1172" s="1"/>
      </tp>
      <tp t="s">
        <v>US912827UZ36</v>
        <stp/>
        <stp>##V3_BDPV12</stp>
        <stp>912827UZ Govt</stp>
        <stp>ID_ISIN</stp>
        <stp>[TREASURY.xlsx]Sheet1!R1409C12</stp>
        <tr r="L1409" s="1"/>
      </tp>
      <tp t="s">
        <v>US912827QT22</v>
        <stp/>
        <stp>##V3_BDPV12</stp>
        <stp>912827QT Govt</stp>
        <stp>ID_ISIN</stp>
        <stp>[TREASURY.xlsx]Sheet1!R1059C12</stp>
        <tr r="L1059" s="1"/>
      </tp>
      <tp t="s">
        <v>US912827US92</v>
        <stp/>
        <stp>##V3_BDPV12</stp>
        <stp>912827US Govt</stp>
        <stp>ID_ISIN</stp>
        <stp>[TREASURY.xlsx]Sheet1!R1407C12</stp>
        <tr r="L1407" s="1"/>
      </tp>
      <tp t="s">
        <v>US912827PU04</v>
        <stp/>
        <stp>##V3_BDPV12</stp>
        <stp>912827PU Govt</stp>
        <stp>ID_ISIN</stp>
        <stp>[TREASURY.xlsx]Sheet1!R1175C12</stp>
        <tr r="L1175" s="1"/>
      </tp>
      <tp t="s">
        <v>US912827UU49</v>
        <stp/>
        <stp>##V3_BDPV12</stp>
        <stp>912827UU Govt</stp>
        <stp>ID_ISIN</stp>
        <stp>[TREASURY.xlsx]Sheet1!R1408C12</stp>
        <tr r="L1408" s="1"/>
      </tp>
      <tp t="s">
        <v>US912827TV41</v>
        <stp/>
        <stp>##V3_BDPV12</stp>
        <stp>912827TV Govt</stp>
        <stp>ID_ISIN</stp>
        <stp>[TREASURY.xlsx]Sheet1!R1510C12</stp>
        <tr r="L1510" s="1"/>
      </tp>
      <tp t="s">
        <v>11/15/1981</v>
        <stp/>
        <stp>##V3_BDPV12</stp>
        <stp>912827LW Govt</stp>
        <stp>FIRST_CPN_DT</stp>
        <stp>[TREASURY.xlsx]Sheet1!R1380C9</stp>
        <tr r="I1380" s="1"/>
      </tp>
      <tp t="s">
        <v>3/31/1981</v>
        <stp/>
        <stp>##V3_BDPV12</stp>
        <stp>912827LB Govt</stp>
        <stp>FIRST_CPN_DT</stp>
        <stp>[TREASURY.xlsx]Sheet1!R1320C9</stp>
        <tr r="I1320" s="1"/>
      </tp>
      <tp t="s">
        <v>12/31/1993</v>
        <stp/>
        <stp>##V3_BDPV12</stp>
        <stp>912827L4 Govt</stp>
        <stp>FIRST_CPN_DT</stp>
        <stp>[TREASURY.xlsx]Sheet1!R1040C9</stp>
        <tr r="I1040" s="1"/>
      </tp>
      <tp t="s">
        <v>US912827T935</v>
        <stp/>
        <stp>##V3_BDPV12</stp>
        <stp>912827T9 Govt</stp>
        <stp>ID_ISIN</stp>
        <stp>[TREASURY.xlsx]Sheet1!R1505C12</stp>
        <tr r="L1505" s="1"/>
      </tp>
      <tp t="s">
        <v>US912827P487</v>
        <stp/>
        <stp>##V3_BDPV12</stp>
        <stp>912827P4 Govt</stp>
        <stp>ID_ISIN</stp>
        <stp>[TREASURY.xlsx]Sheet1!R1171C12</stp>
        <tr r="L1171" s="1"/>
      </tp>
      <tp t="s">
        <v>US912827U420</v>
        <stp/>
        <stp>##V3_BDPV12</stp>
        <stp>912827U4 Govt</stp>
        <stp>ID_ISIN</stp>
        <stp>[TREASURY.xlsx]Sheet1!R1403C12</stp>
        <tr r="L1403" s="1"/>
      </tp>
      <tp t="s">
        <v>US912827QN51</v>
        <stp/>
        <stp>##V3_BDPV12</stp>
        <stp>912827QN Govt</stp>
        <stp>ID_ISIN</stp>
        <stp>[TREASURY.xlsx]Sheet1!R1179C12</stp>
        <tr r="L1179" s="1"/>
      </tp>
      <tp t="s">
        <v>US912827TM42</v>
        <stp/>
        <stp>##V3_BDPV12</stp>
        <stp>912827TM Govt</stp>
        <stp>ID_ISIN</stp>
        <stp>[TREASURY.xlsx]Sheet1!R1400C12</stp>
        <tr r="L1400" s="1"/>
      </tp>
      <tp t="s">
        <v>US912827PE61</v>
        <stp/>
        <stp>##V3_BDPV12</stp>
        <stp>912827PE Govt</stp>
        <stp>ID_ISIN</stp>
        <stp>[TREASURY.xlsx]Sheet1!R1054C12</stp>
        <tr r="L1054" s="1"/>
      </tp>
      <tp t="s">
        <v>US912827UD24</v>
        <stp/>
        <stp>##V3_BDPV12</stp>
        <stp>912827UD Govt</stp>
        <stp>ID_ISIN</stp>
        <stp>[TREASURY.xlsx]Sheet1!R1512C12</stp>
        <tr r="L1512" s="1"/>
      </tp>
      <tp t="s">
        <v>US912827QQ82</v>
        <stp/>
        <stp>##V3_BDPV12</stp>
        <stp>912827QQ Govt</stp>
        <stp>ID_ISIN</stp>
        <stp>[TREASURY.xlsx]Sheet1!R1180C12</stp>
        <tr r="L1180" s="1"/>
      </tp>
      <tp t="s">
        <v>US912827SR48</v>
        <stp/>
        <stp>##V3_BDPV12</stp>
        <stp>912827SR Govt</stp>
        <stp>ID_ISIN</stp>
        <stp>[TREASURY.xlsx]Sheet1!R1396C12</stp>
        <tr r="L1396" s="1"/>
      </tp>
      <tp t="s">
        <v>US912827UY60</v>
        <stp/>
        <stp>##V3_BDPV12</stp>
        <stp>912827UY Govt</stp>
        <stp>ID_ISIN</stp>
        <stp>[TREASURY.xlsx]Sheet1!R1590C12</stp>
        <tr r="L1590" s="1"/>
      </tp>
      <tp t="s">
        <v>US912827TU67</v>
        <stp/>
        <stp>##V3_BDPV12</stp>
        <stp>912827TU Govt</stp>
        <stp>ID_ISIN</stp>
        <stp>[TREASURY.xlsx]Sheet1!R1401C12</stp>
        <tr r="L1401" s="1"/>
      </tp>
      <tp t="s">
        <v>US912827TW24</v>
        <stp/>
        <stp>##V3_BDPV12</stp>
        <stp>912827TW Govt</stp>
        <stp>ID_ISIN</stp>
        <stp>[TREASURY.xlsx]Sheet1!R1402C12</stp>
        <tr r="L1402" s="1"/>
      </tp>
      <tp t="s">
        <v>US912827Q709</v>
        <stp/>
        <stp>##V3_BDPV12</stp>
        <stp>912827Q7 Govt</stp>
        <stp>ID_ISIN</stp>
        <stp>[TREASURY.xlsx]Sheet1!R1178C12</stp>
        <tr r="L1178" s="1"/>
      </tp>
      <tp t="s">
        <v>US912827Q477</v>
        <stp/>
        <stp>##V3_BDPV12</stp>
        <stp>912827Q4 Govt</stp>
        <stp>ID_ISIN</stp>
        <stp>[TREASURY.xlsx]Sheet1!R1177C12</stp>
        <tr r="L1177" s="1"/>
      </tp>
      <tp t="s">
        <v>US912827Q212</v>
        <stp/>
        <stp>##V3_BDPV12</stp>
        <stp>912827Q2 Govt</stp>
        <stp>ID_ISIN</stp>
        <stp>[TREASURY.xlsx]Sheet1!R1176C12</stp>
        <tr r="L1176" s="1"/>
      </tp>
      <tp t="s">
        <v>US912827U750</v>
        <stp/>
        <stp>##V3_BDPV12</stp>
        <stp>912827U7 Govt</stp>
        <stp>ID_ISIN</stp>
        <stp>[TREASURY.xlsx]Sheet1!R1511C12</stp>
        <tr r="L1511" s="1"/>
      </tp>
      <tp t="s">
        <v>7/31/1997</v>
        <stp/>
        <stp>##V3_BDPV12</stp>
        <stp>9128272G Govt</stp>
        <stp>FIRST_CPN_DT</stp>
        <stp>[TREASURY.xlsx]Sheet1!R1517C9</stp>
        <tr r="I1517" s="1"/>
      </tp>
      <tp t="s">
        <v>5/15/1998</v>
        <stp/>
        <stp>##V3_BDPV12</stp>
        <stp>9128273M Govt</stp>
        <stp>FIRST_CPN_DT</stp>
        <stp>[TREASURY.xlsx]Sheet1!R1357C9</stp>
        <tr r="I1357" s="1"/>
      </tp>
      <tp t="s">
        <v>3/31/1998</v>
        <stp/>
        <stp>##V3_BDPV12</stp>
        <stp>9128273H Govt</stp>
        <stp>FIRST_CPN_DT</stp>
        <stp>[TREASURY.xlsx]Sheet1!R1527C9</stp>
        <tr r="I1527" s="1"/>
      </tp>
      <tp t="s">
        <v>8/31/2001</v>
        <stp/>
        <stp>##V3_BDPV12</stp>
        <stp>9128276U Govt</stp>
        <stp>FIRST_CPN_DT</stp>
        <stp>[TREASURY.xlsx]Sheet1!R1467C9</stp>
        <tr r="I1467" s="1"/>
      </tp>
      <tp t="s">
        <v>1/31/2001</v>
        <stp/>
        <stp>##V3_BDPV12</stp>
        <stp>9128276H Govt</stp>
        <stp>FIRST_CPN_DT</stp>
        <stp>[TREASURY.xlsx]Sheet1!R1537C9</stp>
        <tr r="I1537" s="1"/>
      </tp>
      <tp t="s">
        <v>5/15/2002</v>
        <stp/>
        <stp>##V3_BDPV12</stp>
        <stp>9128277F Govt</stp>
        <stp>FIRST_CPN_DT</stp>
        <stp>[TREASURY.xlsx]Sheet1!R1027C9</stp>
        <tr r="I1027" s="1"/>
      </tp>
      <tp t="s">
        <v>2/28/1999</v>
        <stp/>
        <stp>##V3_BDPV12</stp>
        <stp>9128274Q Govt</stp>
        <stp>FIRST_CPN_DT</stp>
        <stp>[TREASURY.xlsx]Sheet1!R1367C9</stp>
        <tr r="I1367" s="1"/>
      </tp>
      <tp t="s">
        <v>9/30/1998</v>
        <stp/>
        <stp>##V3_BDPV12</stp>
        <stp>9128274A Govt</stp>
        <stp>FIRST_CPN_DT</stp>
        <stp>[TREASURY.xlsx]Sheet1!R1457C9</stp>
        <tr r="I1457" s="1"/>
      </tp>
      <tp t="s">
        <v>3/31/2000</v>
        <stp/>
        <stp>##V3_BDPV12</stp>
        <stp>9128275Q Govt</stp>
        <stp>FIRST_CPN_DT</stp>
        <stp>[TREASURY.xlsx]Sheet1!R1017C9</stp>
        <tr r="I1017" s="1"/>
      </tp>
      <tp>
        <v>2.875</v>
        <stp/>
        <stp>##V3_BDPV12</stp>
        <stp>9128285K Govt</stp>
        <stp>CPN</stp>
        <stp>[TREASURY.xlsx]Sheet1!R229C3</stp>
        <tr r="C229" s="1"/>
      </tp>
      <tp>
        <v>3</v>
        <stp/>
        <stp>##V3_BDPV12</stp>
        <stp>9128285J Govt</stp>
        <stp>CPN</stp>
        <stp>[TREASURY.xlsx]Sheet1!R248C3</stp>
        <tr r="C248" s="1"/>
      </tp>
      <tp>
        <v>2.75</v>
        <stp/>
        <stp>##V3_BDPV12</stp>
        <stp>9128285A Govt</stp>
        <stp>CPN</stp>
        <stp>[TREASURY.xlsx]Sheet1!R283C3</stp>
        <tr r="C283" s="1"/>
      </tp>
      <tp>
        <v>1.5</v>
        <stp/>
        <stp>##V3_BDPV12</stp>
        <stp>912828YA Govt</stp>
        <stp>CPN</stp>
        <stp>[TREASURY.xlsx]Sheet1!R183C3</stp>
        <tr r="C183" s="1"/>
      </tp>
      <tp>
        <v>1.125</v>
        <stp/>
        <stp>##V3_BDPV12</stp>
        <stp>912828BC Govt</stp>
        <stp>CPN</stp>
        <stp>[TREASURY.xlsx]Sheet1!R641C3</stp>
        <tr r="C641" s="1"/>
      </tp>
      <tp>
        <v>10</v>
        <stp/>
        <stp>##V3_BDPV12</stp>
        <stp>912827SD Govt</stp>
        <stp>CPN</stp>
        <stp>[TREASURY.xlsx]Sheet1!R916C3</stp>
        <tr r="C916" s="1"/>
      </tp>
      <tp>
        <v>1.375</v>
        <stp/>
        <stp>##V3_BDPV12</stp>
        <stp>912828VF Govt</stp>
        <stp>CPN</stp>
        <stp>[TREASURY.xlsx]Sheet1!R694C3</stp>
        <tr r="C694" s="1"/>
      </tp>
      <tp t="s">
        <v>#N/A N/A</v>
        <stp/>
        <stp>##V3_BDPV12</stp>
        <stp>912810DJ Govt</stp>
        <stp>YLD_YTM_BID</stp>
        <stp>[TREASURY.xlsx]Sheet1!R399C4</stp>
        <tr r="D399" s="1"/>
      </tp>
      <tp>
        <v>1.125</v>
        <stp/>
        <stp>##V3_BDPV12</stp>
        <stp>912828LF Govt</stp>
        <stp>CPN</stp>
        <stp>[TREASURY.xlsx]Sheet1!R584C3</stp>
        <tr r="C584" s="1"/>
      </tp>
      <tp>
        <v>1.9230842509156212</v>
        <stp/>
        <stp>##V3_BDPV12</stp>
        <stp>912810QK Govt</stp>
        <stp>YLD_YTM_BID</stp>
        <stp>[TREASURY.xlsx]Sheet1!R238C4</stp>
        <tr r="D238" s="1"/>
      </tp>
      <tp>
        <v>1</v>
        <stp/>
        <stp>##V3_BDPV12</stp>
        <stp>912828UB Govt</stp>
        <stp>CPN</stp>
        <stp>[TREASURY.xlsx]Sheet1!R540C3</stp>
        <tr r="C540" s="1"/>
      </tp>
      <tp>
        <v>0.125</v>
        <stp/>
        <stp>##V3_BDPV12</stp>
        <stp>912828UD Govt</stp>
        <stp>CPN</stp>
        <stp>[TREASURY.xlsx]Sheet1!R586C3</stp>
        <tr r="C586" s="1"/>
      </tp>
      <tp>
        <v>2.0492802970766855</v>
        <stp/>
        <stp>##V3_BDPV12</stp>
        <stp>912810RG Govt</stp>
        <stp>YLD_YTM_BID</stp>
        <stp>[TREASURY.xlsx]Sheet1!R284C4</stp>
        <tr r="D284" s="1"/>
      </tp>
      <tp>
        <v>5.75</v>
        <stp/>
        <stp>##V3_BDPV12</stp>
        <stp>9128276J Govt</stp>
        <stp>CPN</stp>
        <stp>[TREASURY.xlsx]Sheet1!R438C3</stp>
        <tr r="C438" s="1"/>
      </tp>
      <tp>
        <v>1</v>
        <stp/>
        <stp>##V3_BDPV12</stp>
        <stp>912828LG Govt</stp>
        <stp>CPN</stp>
        <stp>[TREASURY.xlsx]Sheet1!R815C3</stp>
        <tr r="C815" s="1"/>
      </tp>
      <tp>
        <v>9</v>
        <stp/>
        <stp>##V3_BDPV12</stp>
        <stp>912827XC Govt</stp>
        <stp>CPN</stp>
        <stp>[TREASURY.xlsx]Sheet1!R771C3</stp>
        <tr r="C771" s="1"/>
      </tp>
      <tp>
        <v>2.125</v>
        <stp/>
        <stp>##V3_BDPV12</stp>
        <stp>912828AK Govt</stp>
        <stp>CPN</stp>
        <stp>[TREASURY.xlsx]Sheet1!R959C3</stp>
        <tr r="C959" s="1"/>
      </tp>
      <tp>
        <v>0.75</v>
        <stp/>
        <stp>##V3_BDPV12</stp>
        <stp>912828NE Govt</stp>
        <stp>CPN</stp>
        <stp>[TREASURY.xlsx]Sheet1!R977C3</stp>
        <tr r="C977" s="1"/>
      </tp>
      <tp>
        <v>9.1545548918944064E-2</v>
        <stp/>
        <stp>##V3_BDPV12</stp>
        <stp>91282CAC Govt</stp>
        <stp>YLD_YTM_BID</stp>
        <stp>[TREASURY.xlsx]Sheet1!R120C4</stp>
        <tr r="D120" s="1"/>
      </tp>
      <tp>
        <v>0.25779969378034417</v>
        <stp/>
        <stp>##V3_BDPV12</stp>
        <stp>91282CAF Govt</stp>
        <stp>YLD_YTM_BID</stp>
        <stp>[TREASURY.xlsx]Sheet1!R195C4</stp>
        <tr r="D195" s="1"/>
      </tp>
      <tp t="s">
        <v>#N/A N/A</v>
        <stp/>
        <stp>##V3_BDPV12</stp>
        <stp>912828NK Govt</stp>
        <stp>YLD_YTM_BID</stp>
        <stp>[TREASURY.xlsx]Sheet1!R978C4</stp>
        <tr r="D978" s="1"/>
      </tp>
      <tp t="s">
        <v>#N/A N/A</v>
        <stp/>
        <stp>##V3_BDPV12</stp>
        <stp>912827VE Govt</stp>
        <stp>YLD_YTM_BID</stp>
        <stp>[TREASURY.xlsx]Sheet1!R626C4</stp>
        <tr r="D626" s="1"/>
      </tp>
      <tp t="s">
        <v>#N/A N/A</v>
        <stp/>
        <stp>##V3_BDPV12</stp>
        <stp>912828UJ Govt</stp>
        <stp>YLD_YTM_BID</stp>
        <stp>[TREASURY.xlsx]Sheet1!R999C4</stp>
        <tr r="D999" s="1"/>
      </tp>
      <tp t="s">
        <v>#N/A N/A</v>
        <stp/>
        <stp>##V3_BDPV12</stp>
        <stp>912827MB Govt</stp>
        <stp>YLD_YTM_BID</stp>
        <stp>[TREASURY.xlsx]Sheet1!R721C4</stp>
        <tr r="D721" s="1"/>
      </tp>
      <tp t="s">
        <v>#N/A N/A</v>
        <stp/>
        <stp>##V3_BDPV12</stp>
        <stp>912827NC Govt</stp>
        <stp>YLD_YTM_BID</stp>
        <stp>[TREASURY.xlsx]Sheet1!R730C4</stp>
        <tr r="D730" s="1"/>
      </tp>
      <tp t="s">
        <v>#N/A N/A</v>
        <stp/>
        <stp>##V3_BDPV12</stp>
        <stp>912827KK Govt</stp>
        <stp>YLD_YTM_BID</stp>
        <stp>[TREASURY.xlsx]Sheet1!R708C4</stp>
        <tr r="D708" s="1"/>
      </tp>
      <tp t="s">
        <v>#N/A N/A</v>
        <stp/>
        <stp>##V3_BDPV12</stp>
        <stp>912827VC Govt</stp>
        <stp>YLD_YTM_BID</stp>
        <stp>[TREASURY.xlsx]Sheet1!R760C4</stp>
        <tr r="D760" s="1"/>
      </tp>
      <tp t="s">
        <v>#N/A N/A</v>
        <stp/>
        <stp>##V3_BDPV12</stp>
        <stp>9128277K Govt</stp>
        <stp>YLD_YTM_BID</stp>
        <stp>[TREASURY.xlsx]Sheet1!R528C4</stp>
        <tr r="D528" s="1"/>
      </tp>
      <tp t="s">
        <v>#N/A N/A</v>
        <stp/>
        <stp>##V3_BDPV12</stp>
        <stp>912828MK Govt</stp>
        <stp>YLD_YTM_BID</stp>
        <stp>[TREASURY.xlsx]Sheet1!R538C4</stp>
        <tr r="D538" s="1"/>
      </tp>
      <tp t="s">
        <v>#N/A N/A</v>
        <stp/>
        <stp>##V3_BDPV12</stp>
        <stp>912828DB Govt</stp>
        <stp>YLD_YTM_BID</stp>
        <stp>[TREASURY.xlsx]Sheet1!R591C4</stp>
        <tr r="D591" s="1"/>
      </tp>
      <tp>
        <v>6.125</v>
        <stp/>
        <stp>##V3_BDPV12</stp>
        <stp>912810FB Govt</stp>
        <stp>CPN</stp>
        <stp>[TREASURY.xlsx]Sheet1!R320C3</stp>
        <tr r="C320" s="1"/>
      </tp>
      <tp t="s">
        <v>#N/A N/A</v>
        <stp/>
        <stp>##V3_BDPV12</stp>
        <stp>912828CF Govt</stp>
        <stp>YLD_YTM_BID</stp>
        <stp>[TREASURY.xlsx]Sheet1!R465C4</stp>
        <tr r="D465" s="1"/>
      </tp>
      <tp t="s">
        <v>#N/A N/A</v>
        <stp/>
        <stp>##V3_BDPV12</stp>
        <stp>912828FF Govt</stp>
        <stp>YLD_YTM_BID</stp>
        <stp>[TREASURY.xlsx]Sheet1!R475C4</stp>
        <tr r="D475" s="1"/>
      </tp>
      <tp t="s">
        <v>#N/A N/A</v>
        <stp/>
        <stp>##V3_BDPV12</stp>
        <stp>912828UE Govt</stp>
        <stp>YLD_YTM_BID</stp>
        <stp>[TREASURY.xlsx]Sheet1!R446C4</stp>
        <tr r="D446" s="1"/>
      </tp>
      <tp t="s">
        <v>#N/A N/A</v>
        <stp/>
        <stp>##V3_BDPV12</stp>
        <stp>912828SJ Govt</stp>
        <stp>YLD_YTM_BID</stp>
        <stp>[TREASURY.xlsx]Sheet1!R489C4</stp>
        <tr r="D489" s="1"/>
      </tp>
      <tp t="s">
        <v>#N/A N/A</v>
        <stp/>
        <stp>##V3_BDPV12</stp>
        <stp>912827MK Govt</stp>
        <stp>YLD_YTM_BID</stp>
        <stp>[TREASURY.xlsx]Sheet1!R898C4</stp>
        <tr r="D898" s="1"/>
      </tp>
      <tp t="s">
        <v>#N/A N/A</v>
        <stp/>
        <stp>##V3_BDPV12</stp>
        <stp>912828FJ Govt</stp>
        <stp>YLD_YTM_BID</stp>
        <stp>[TREASURY.xlsx]Sheet1!R799C4</stp>
        <tr r="D799" s="1"/>
      </tp>
      <tp t="s">
        <v>#N/A N/A</v>
        <stp/>
        <stp>##V3_BDPV12</stp>
        <stp>912827WB Govt</stp>
        <stp>YLD_YTM_BID</stp>
        <stp>[TREASURY.xlsx]Sheet1!R931C4</stp>
        <tr r="D931" s="1"/>
      </tp>
      <tp t="s">
        <v>#N/A N/A</v>
        <stp/>
        <stp>##V3_BDPV12</stp>
        <stp>912828TG Govt</stp>
        <stp>YLD_YTM_BID</stp>
        <stp>[TREASURY.xlsx]Sheet1!R654C4</stp>
        <tr r="D654" s="1"/>
      </tp>
      <tp t="s">
        <v>#N/A N/A</v>
        <stp/>
        <stp>##V3_BDPV12</stp>
        <stp>912827YA Govt</stp>
        <stp>YLD_YTM_BID</stp>
        <stp>[TREASURY.xlsx]Sheet1!R942C4</stp>
        <tr r="D942" s="1"/>
      </tp>
      <tp t="s">
        <v>#N/A N/A</v>
        <stp/>
        <stp>##V3_BDPV12</stp>
        <stp>912827YG Govt</stp>
        <stp>YLD_YTM_BID</stp>
        <stp>[TREASURY.xlsx]Sheet1!R944C4</stp>
        <tr r="D944" s="1"/>
      </tp>
      <tp t="s">
        <v>#N/A N/A</v>
        <stp/>
        <stp>##V3_BDPV12</stp>
        <stp>912828CB Govt</stp>
        <stp>YLD_YTM_BID</stp>
        <stp>[TREASURY.xlsx]Sheet1!R331C4</stp>
        <tr r="D331" s="1"/>
      </tp>
      <tp t="s">
        <v>#N/A N/A</v>
        <stp/>
        <stp>##V3_BDPV12</stp>
        <stp>9128282F Govt</stp>
        <stp>YLD_YTM_BID</stp>
        <stp>[TREASURY.xlsx]Sheet1!R345C4</stp>
        <tr r="D345" s="1"/>
      </tp>
      <tp>
        <v>0.86443041821905464</v>
        <stp/>
        <stp>##V3_BDPV12</stp>
        <stp>9128286F Govt</stp>
        <stp>YLD_YTM_BID</stp>
        <stp>[TREASURY.xlsx]Sheet1!R225C4</stp>
        <tr r="D225" s="1"/>
      </tp>
      <tp>
        <v>0.6529147330486087</v>
        <stp/>
        <stp>##V3_BDPV12</stp>
        <stp>9128284F Govt</stp>
        <stp>YLD_YTM_BID</stp>
        <stp>[TREASURY.xlsx]Sheet1!R285C4</stp>
        <tr r="D285" s="1"/>
      </tp>
      <tp t="s">
        <v>11/15/1982</v>
        <stp/>
        <stp>##V3_BDPV12</stp>
        <stp>912827MY Govt</stp>
        <stp>FIRST_CPN_DT</stp>
        <stp>[TREASURY.xlsx]Sheet1!R725C9</stp>
        <tr r="I725" s="1"/>
      </tp>
      <tp t="s">
        <v>7/31/1981</v>
        <stp/>
        <stp>##V3_BDPV12</stp>
        <stp>912827LM Govt</stp>
        <stp>FIRST_CPN_DT</stp>
        <stp>[TREASURY.xlsx]Sheet1!R715C9</stp>
        <tr r="I715" s="1"/>
      </tp>
      <tp t="s">
        <v>7/31/1980</v>
        <stp/>
        <stp>##V3_BDPV12</stp>
        <stp>912827KH Govt</stp>
        <stp>FIRST_CPN_DT</stp>
        <stp>[TREASURY.xlsx]Sheet1!R455C9</stp>
        <tr r="I455" s="1"/>
      </tp>
      <tp t="s">
        <v>5/15/1993</v>
        <stp/>
        <stp>##V3_BDPV12</stp>
        <stp>912827H5 Govt</stp>
        <stp>FIRST_CPN_DT</stp>
        <stp>[TREASURY.xlsx]Sheet1!R705C9</stp>
        <tr r="I705" s="1"/>
      </tp>
      <tp t="s">
        <v>9/30/1980</v>
        <stp/>
        <stp>##V3_BDPV12</stp>
        <stp>912827KP Govt</stp>
        <stp>FIRST_CPN_DT</stp>
        <stp>[TREASURY.xlsx]Sheet1!R885C9</stp>
        <tr r="I885" s="1"/>
      </tp>
      <tp t="s">
        <v>2/15/1982</v>
        <stp/>
        <stp>##V3_BDPV12</stp>
        <stp>912827ME Govt</stp>
        <stp>FIRST_CPN_DT</stp>
        <stp>[TREASURY.xlsx]Sheet1!R895C9</stp>
        <tr r="I895" s="1"/>
      </tp>
      <tp t="s">
        <v>1/31/1995</v>
        <stp/>
        <stp>##V3_BDPV12</stp>
        <stp>912827Q5 Govt</stp>
        <stp>FIRST_CPN_DT</stp>
        <stp>[TREASURY.xlsx]Sheet1!R905C9</stp>
        <tr r="I905" s="1"/>
      </tp>
      <tp t="s">
        <v>8/31/1985</v>
        <stp/>
        <stp>##V3_BDPV12</stp>
        <stp>912827RX Govt</stp>
        <stp>FIRST_CPN_DT</stp>
        <stp>[TREASURY.xlsx]Sheet1!R915C9</stp>
        <tr r="I915" s="1"/>
      </tp>
      <tp t="s">
        <v>5/15/1991</v>
        <stp/>
        <stp>##V3_BDPV12</stp>
        <stp>912827ZN Govt</stp>
        <stp>FIRST_CPN_DT</stp>
        <stp>[TREASURY.xlsx]Sheet1!R685C9</stp>
        <tr r="I685" s="1"/>
      </tp>
      <tp t="s">
        <v>11/30/1995</v>
        <stp/>
        <stp>##V3_BDPV12</stp>
        <stp>912827U2 Govt</stp>
        <stp>FIRST_CPN_DT</stp>
        <stp>[TREASURY.xlsx]Sheet1!R835C9</stp>
        <tr r="I835" s="1"/>
      </tp>
      <tp t="s">
        <v>6/30/1990</v>
        <stp/>
        <stp>##V3_BDPV12</stp>
        <stp>912827YJ Govt</stp>
        <stp>FIRST_CPN_DT</stp>
        <stp>[TREASURY.xlsx]Sheet1!R775C9</stp>
        <tr r="I775" s="1"/>
      </tp>
      <tp t="s">
        <v>5/15/1988</v>
        <stp/>
        <stp>##V3_BDPV12</stp>
        <stp>912827VN Govt</stp>
        <stp>FIRST_CPN_DT</stp>
        <stp>[TREASURY.xlsx]Sheet1!R925C9</stp>
        <tr r="I925" s="1"/>
      </tp>
      <tp t="s">
        <v>8/15/1990</v>
        <stp/>
        <stp>##V3_BDPV12</stp>
        <stp>912827YM Govt</stp>
        <stp>FIRST_CPN_DT</stp>
        <stp>[TREASURY.xlsx]Sheet1!R945C9</stp>
        <tr r="I945" s="1"/>
      </tp>
      <tp t="s">
        <v>8/15/1989</v>
        <stp/>
        <stp>##V3_BDPV12</stp>
        <stp>912827XD Govt</stp>
        <stp>FIRST_CPN_DT</stp>
        <stp>[TREASURY.xlsx]Sheet1!R935C9</stp>
        <tr r="I935" s="1"/>
      </tp>
      <tp t="s">
        <v>7/15/1988</v>
        <stp/>
        <stp>##V3_BDPV12</stp>
        <stp>912827VT Govt</stp>
        <stp>FIRST_CPN_DT</stp>
        <stp>[TREASURY.xlsx]Sheet1!R765C9</stp>
        <tr r="I765" s="1"/>
      </tp>
      <tp t="s">
        <v>6/30/1987</v>
        <stp/>
        <stp>##V3_BDPV12</stp>
        <stp>912827UJ Govt</stp>
        <stp>FIRST_CPN_DT</stp>
        <stp>[TREASURY.xlsx]Sheet1!R755C9</stp>
        <tr r="I755" s="1"/>
      </tp>
      <tp t="s">
        <v>7/31/1991</v>
        <stp/>
        <stp>##V3_BDPV12</stp>
        <stp>912827ZU Govt</stp>
        <stp>FIRST_CPN_DT</stp>
        <stp>[TREASURY.xlsx]Sheet1!R955C9</stp>
        <tr r="I955" s="1"/>
      </tp>
      <tp t="s">
        <v>6/30/1995</v>
        <stp/>
        <stp>##V3_BDPV12</stp>
        <stp>912827S4 Govt</stp>
        <stp>FIRST_CPN_DT</stp>
        <stp>[TREASURY.xlsx]Sheet1!R745C9</stp>
        <tr r="I745" s="1"/>
      </tp>
      <tp t="s">
        <v>12/31/1983</v>
        <stp/>
        <stp>##V3_BDPV12</stp>
        <stp>912827PQ Govt</stp>
        <stp>FIRST_CPN_DT</stp>
        <stp>[TREASURY.xlsx]Sheet1!R665C9</stp>
        <tr r="I665" s="1"/>
      </tp>
      <tp t="s">
        <v>8/31/1994</v>
        <stp/>
        <stp>##V3_BDPV12</stp>
        <stp>912827P2 Govt</stp>
        <stp>FIRST_CPN_DT</stp>
        <stp>[TREASURY.xlsx]Sheet1!R735C9</stp>
        <tr r="I735" s="1"/>
      </tp>
      <tp t="s">
        <v>11/15/1990</v>
        <stp/>
        <stp>##V3_BDPV12</stp>
        <stp>912810EF Govt</stp>
        <stp>FIRST_CPN_DT</stp>
        <stp>[TREASURY.xlsx]Sheet1!R606C9</stp>
        <tr r="I606" s="1"/>
      </tp>
      <tp t="s">
        <v>2/15/1979</v>
        <stp/>
        <stp>##V3_BDPV12</stp>
        <stp>912810CC Govt</stp>
        <stp>FIRST_CPN_DT</stp>
        <stp>[TREASURY.xlsx]Sheet1!R526C9</stp>
        <tr r="I526" s="1"/>
      </tp>
      <tp t="s">
        <v>2/15/1996</v>
        <stp/>
        <stp>##V3_BDPV12</stp>
        <stp>912810EV Govt</stp>
        <stp>FIRST_CPN_DT</stp>
        <stp>[TREASURY.xlsx]Sheet1!R326C9</stp>
        <tr r="I326" s="1"/>
      </tp>
      <tp t="s">
        <v>8/15/2018</v>
        <stp/>
        <stp>##V3_BDPV12</stp>
        <stp>912810SA Govt</stp>
        <stp>FIRST_CPN_DT</stp>
        <stp>[TREASURY.xlsx]Sheet1!R146C9</stp>
        <tr r="I146" s="1"/>
      </tp>
      <tp t="s">
        <v>11/15/2010</v>
        <stp/>
        <stp>##V3_BDPV12</stp>
        <stp>912810QH Govt</stp>
        <stp>FIRST_CPN_DT</stp>
        <stp>[TREASURY.xlsx]Sheet1!R316C9</stp>
        <tr r="I316" s="1"/>
      </tp>
      <tp t="s">
        <v>11/15/2019</v>
        <stp/>
        <stp>##V3_BDPV12</stp>
        <stp>912810SH Govt</stp>
        <stp>FIRST_CPN_DT</stp>
        <stp>[TREASURY.xlsx]Sheet1!R156C9</stp>
        <tr r="I156" s="1"/>
      </tp>
      <tp t="s">
        <v>8/15/2007</v>
        <stp/>
        <stp>##V3_BDPV12</stp>
        <stp>912810PT Govt</stp>
        <stp>FIRST_CPN_DT</stp>
        <stp>[TREASURY.xlsx]Sheet1!R226C9</stp>
        <tr r="I226" s="1"/>
      </tp>
      <tp t="s">
        <v>11/15/2015</v>
        <stp/>
        <stp>##V3_BDPV12</stp>
        <stp>912810RM Govt</stp>
        <stp>FIRST_CPN_DT</stp>
        <stp>[TREASURY.xlsx]Sheet1!R176C9</stp>
        <tr r="I176" s="1"/>
      </tp>
      <tp t="s">
        <v>11/15/2012</v>
        <stp/>
        <stp>##V3_BDPV12</stp>
        <stp>912810QW Govt</stp>
        <stp>FIRST_CPN_DT</stp>
        <stp>[TREASURY.xlsx]Sheet1!R286C9</stp>
        <tr r="I286" s="1"/>
      </tp>
      <tp t="s">
        <v>2/15/2010</v>
        <stp/>
        <stp>##V3_BDPV12</stp>
        <stp>912828LJ Govt</stp>
        <stp>FIRST_CPN_DT</stp>
        <stp>[TREASURY.xlsx]Sheet1!R485C9</stp>
        <tr r="I485" s="1"/>
      </tp>
      <tp t="s">
        <v>11/15/2010</v>
        <stp/>
        <stp>##V3_BDPV12</stp>
        <stp>912828ND Govt</stp>
        <stp>FIRST_CPN_DT</stp>
        <stp>[TREASURY.xlsx]Sheet1!R645C9</stp>
        <tr r="I645" s="1"/>
      </tp>
      <tp t="s">
        <v>5/15/2010</v>
        <stp/>
        <stp>##V3_BDPV12</stp>
        <stp>912828LX Govt</stp>
        <stp>FIRST_CPN_DT</stp>
        <stp>[TREASURY.xlsx]Sheet1!R535C9</stp>
        <tr r="I535" s="1"/>
      </tp>
      <tp t="s">
        <v>5/31/2010</v>
        <stp/>
        <stp>##V3_BDPV12</stp>
        <stp>912828LZ Govt</stp>
        <stp>FIRST_CPN_DT</stp>
        <stp>[TREASURY.xlsx]Sheet1!R515C9</stp>
        <tr r="I515" s="1"/>
      </tp>
      <tp t="s">
        <v>5/31/2006</v>
        <stp/>
        <stp>##V3_BDPV12</stp>
        <stp>912828EP Govt</stp>
        <stp>FIRST_CPN_DT</stp>
        <stp>[TREASURY.xlsx]Sheet1!R965C9</stp>
        <tr r="I965" s="1"/>
      </tp>
      <tp t="s">
        <v>5/31/2008</v>
        <stp/>
        <stp>##V3_BDPV12</stp>
        <stp>912828HK Govt</stp>
        <stp>FIRST_CPN_DT</stp>
        <stp>[TREASURY.xlsx]Sheet1!R525C9</stp>
        <tr r="I525" s="1"/>
      </tp>
      <tp t="s">
        <v>4/30/2007</v>
        <stp/>
        <stp>##V3_BDPV12</stp>
        <stp>912828FV Govt</stp>
        <stp>FIRST_CPN_DT</stp>
        <stp>[TREASURY.xlsx]Sheet1!R845C9</stp>
        <tr r="I845" s="1"/>
      </tp>
      <tp t="s">
        <v>7/31/2015</v>
        <stp/>
        <stp>##V3_BDPV12</stp>
        <stp>912828H7 Govt</stp>
        <stp>FIRST_CPN_DT</stp>
        <stp>[TREASURY.xlsx]Sheet1!R605C9</stp>
        <tr r="I605" s="1"/>
      </tp>
      <tp t="s">
        <v>12/31/2007</v>
        <stp/>
        <stp>##V3_BDPV12</stp>
        <stp>912828GV Govt</stp>
        <stp>FIRST_CPN_DT</stp>
        <stp>[TREASURY.xlsx]Sheet1!R805C9</stp>
        <tr r="I805" s="1"/>
      </tp>
      <tp t="s">
        <v>9/15/2004</v>
        <stp/>
        <stp>##V3_BDPV12</stp>
        <stp>912828CC Govt</stp>
        <stp>FIRST_CPN_DT</stp>
        <stp>[TREASURY.xlsx]Sheet1!R325C9</stp>
        <tr r="I325" s="1"/>
      </tp>
      <tp t="s">
        <v>11/15/2007</v>
        <stp/>
        <stp>##V3_BDPV12</stp>
        <stp>912828GS Govt</stp>
        <stp>FIRST_CPN_DT</stp>
        <stp>[TREASURY.xlsx]Sheet1!R615C9</stp>
        <tr r="I615" s="1"/>
      </tp>
      <tp t="s">
        <v>2/28/2015</v>
        <stp/>
        <stp>##V3_BDPV12</stp>
        <stp>912828D8 Govt</stp>
        <stp>FIRST_CPN_DT</stp>
        <stp>[TREASURY.xlsx]Sheet1!R545C9</stp>
        <tr r="I545" s="1"/>
      </tp>
      <tp t="s">
        <v>11/15/2006</v>
        <stp/>
        <stp>##V3_BDPV12</stp>
        <stp>912828FF Govt</stp>
        <stp>FIRST_CPN_DT</stp>
        <stp>[TREASURY.xlsx]Sheet1!R475C9</stp>
        <tr r="I475" s="1"/>
      </tp>
      <tp t="s">
        <v>2/15/2006</v>
        <stp/>
        <stp>##V3_BDPV12</stp>
        <stp>912828EE Govt</stp>
        <stp>FIRST_CPN_DT</stp>
        <stp>[TREASURY.xlsx]Sheet1!R795C9</stp>
        <tr r="I795" s="1"/>
      </tp>
      <tp t="s">
        <v>5/15/2009</v>
        <stp/>
        <stp>##V3_BDPV12</stp>
        <stp>912828JU Govt</stp>
        <stp>FIRST_CPN_DT</stp>
        <stp>[TREASURY.xlsx]Sheet1!R855C9</stp>
        <tr r="I855" s="1"/>
      </tp>
      <tp t="s">
        <v>1/31/2010</v>
        <stp/>
        <stp>##V3_BDPV12</stp>
        <stp>912828LG Govt</stp>
        <stp>FIRST_CPN_DT</stp>
        <stp>[TREASURY.xlsx]Sheet1!R815C9</stp>
        <tr r="I815" s="1"/>
      </tp>
      <tp t="s">
        <v>5/31/2014</v>
        <stp/>
        <stp>##V3_BDPV12</stp>
        <stp>912828A4 Govt</stp>
        <stp>FIRST_CPN_DT</stp>
        <stp>[TREASURY.xlsx]Sheet1!R555C9</stp>
        <tr r="I555" s="1"/>
      </tp>
      <tp t="s">
        <v>4/30/2010</v>
        <stp/>
        <stp>##V3_BDPV12</stp>
        <stp>912828LT Govt</stp>
        <stp>FIRST_CPN_DT</stp>
        <stp>[TREASURY.xlsx]Sheet1!R975C9</stp>
        <tr r="I975" s="1"/>
      </tp>
      <tp t="s">
        <v>11/15/2003</v>
        <stp/>
        <stp>##V3_BDPV12</stp>
        <stp>912828AZ Govt</stp>
        <stp>FIRST_CPN_DT</stp>
        <stp>[TREASURY.xlsx]Sheet1!R415C9</stp>
        <tr r="I415" s="1"/>
      </tp>
      <tp t="s">
        <v>10/15/2010</v>
        <stp/>
        <stp>##V3_BDPV12</stp>
        <stp>912828MX Govt</stp>
        <stp>FIRST_CPN_DT</stp>
        <stp>[TREASURY.xlsx]Sheet1!R825C9</stp>
        <tr r="I825" s="1"/>
      </tp>
      <tp t="s">
        <v>5/15/2004</v>
        <stp/>
        <stp>##V3_BDPV12</stp>
        <stp>912828BQ Govt</stp>
        <stp>FIRST_CPN_DT</stp>
        <stp>[TREASURY.xlsx]Sheet1!R435C9</stp>
        <tr r="I435" s="1"/>
      </tp>
      <tp t="s">
        <v>1/31/2011</v>
        <stp/>
        <stp>##V3_BDPV12</stp>
        <stp>912828NP Govt</stp>
        <stp>FIRST_CPN_DT</stp>
        <stp>[TREASURY.xlsx]Sheet1!R865C9</stp>
        <tr r="I865" s="1"/>
      </tp>
      <tp t="s">
        <v>7/31/2003</v>
        <stp/>
        <stp>##V3_BDPV12</stp>
        <stp>912828AS Govt</stp>
        <stp>FIRST_CPN_DT</stp>
        <stp>[TREASURY.xlsx]Sheet1!R785C9</stp>
        <tr r="I785" s="1"/>
      </tp>
      <tp t="s">
        <v>7/15/2004</v>
        <stp/>
        <stp>##V3_BDPV12</stp>
        <stp>912828BV Govt</stp>
        <stp>FIRST_CPN_DT</stp>
        <stp>[TREASURY.xlsx]Sheet1!R495C9</stp>
        <tr r="I495" s="1"/>
      </tp>
      <tp t="s">
        <v>10/31/2004</v>
        <stp/>
        <stp>##V3_BDPV12</stp>
        <stp>912828CF Govt</stp>
        <stp>FIRST_CPN_DT</stp>
        <stp>[TREASURY.xlsx]Sheet1!R465C9</stp>
        <tr r="I465" s="1"/>
      </tp>
      <tp t="s">
        <v>8/15/2003</v>
        <stp/>
        <stp>##V3_BDPV12</stp>
        <stp>912828AT Govt</stp>
        <stp>FIRST_CPN_DT</stp>
        <stp>[TREASURY.xlsx]Sheet1!R635C9</stp>
        <tr r="I635" s="1"/>
      </tp>
      <tp t="s">
        <v>3/31/2020</v>
        <stp/>
        <stp>##V3_BDPV12</stp>
        <stp>912828YH Govt</stp>
        <stp>FIRST_CPN_DT</stp>
        <stp>[TREASURY.xlsx]Sheet1!R135C9</stp>
        <tr r="I135" s="1"/>
      </tp>
      <tp t="s">
        <v>11/30/2017</v>
        <stp/>
        <stp>##V3_BDPV12</stp>
        <stp>912828XT Govt</stp>
        <stp>FIRST_CPN_DT</stp>
        <stp>[TREASURY.xlsx]Sheet1!R155C9</stp>
        <tr r="I155" s="1"/>
      </tp>
      <tp t="s">
        <v>7/15/2011</v>
        <stp/>
        <stp>##V3_BDPV12</stp>
        <stp>912828PQ Govt</stp>
        <stp>FIRST_CPN_DT</stp>
        <stp>[TREASURY.xlsx]Sheet1!R985C9</stp>
        <tr r="I985" s="1"/>
      </tp>
      <tp t="s">
        <v>2/29/2020</v>
        <stp/>
        <stp>##V3_BDPV12</stp>
        <stp>912828YC Govt</stp>
        <stp>FIRST_CPN_DT</stp>
        <stp>[TREASURY.xlsx]Sheet1!R335C9</stp>
        <tr r="I335" s="1"/>
      </tp>
      <tp t="s">
        <v>10/15/2012</v>
        <stp/>
        <stp>##V3_BDPV12</stp>
        <stp>912828SP Govt</stp>
        <stp>FIRST_CPN_DT</stp>
        <stp>[TREASURY.xlsx]Sheet1!R995C9</stp>
        <tr r="I995" s="1"/>
      </tp>
      <tp t="s">
        <v>10/31/2020</v>
        <stp/>
        <stp>##V3_BDPV12</stp>
        <stp>912828ZM Govt</stp>
        <stp>FIRST_CPN_DT</stp>
        <stp>[TREASURY.xlsx]Sheet1!R175C9</stp>
        <tr r="I175" s="1"/>
      </tp>
      <tp t="s">
        <v>10/15/2020</v>
        <stp/>
        <stp>##V3_BDPV12</stp>
        <stp>912828ZH Govt</stp>
        <stp>FIRST_CPN_DT</stp>
        <stp>[TREASURY.xlsx]Sheet1!R165C9</stp>
        <tr r="I165" s="1"/>
      </tp>
      <tp t="s">
        <v>1/31/2019</v>
        <stp/>
        <stp>##V3_BDPV12</stp>
        <stp>912828Y7 Govt</stp>
        <stp>FIRST_CPN_DT</stp>
        <stp>[TREASURY.xlsx]Sheet1!R255C9</stp>
        <tr r="I255" s="1"/>
      </tp>
      <tp t="s">
        <v>5/31/2013</v>
        <stp/>
        <stp>##V3_BDPV12</stp>
        <stp>912828TZ Govt</stp>
        <stp>FIRST_CPN_DT</stp>
        <stp>[TREASURY.xlsx]Sheet1!R875C9</stp>
        <tr r="I875" s="1"/>
      </tp>
      <tp t="s">
        <v>1/15/2016</v>
        <stp/>
        <stp>##V3_BDPV12</stp>
        <stp>912828XK Govt</stp>
        <stp>FIRST_CPN_DT</stp>
        <stp>[TREASURY.xlsx]Sheet1!R625C9</stp>
        <tr r="I625" s="1"/>
      </tp>
      <tp t="s">
        <v>3/31/2014</v>
        <stp/>
        <stp>##V3_BDPV12</stp>
        <stp>912828VZ Govt</stp>
        <stp>FIRST_CPN_DT</stp>
        <stp>[TREASURY.xlsx]Sheet1!R695C9</stp>
        <tr r="I695" s="1"/>
      </tp>
      <tp t="s">
        <v>12/31/2016</v>
        <stp/>
        <stp>##V3_BDPV12</stp>
        <stp>912828S3 Govt</stp>
        <stp>FIRST_CPN_DT</stp>
        <stp>[TREASURY.xlsx]Sheet1!R305C9</stp>
        <tr r="I305" s="1"/>
      </tp>
      <tp t="s">
        <v>7/31/2017</v>
        <stp/>
        <stp>##V3_BDPV12</stp>
        <stp>912828V5 Govt</stp>
        <stp>FIRST_CPN_DT</stp>
        <stp>[TREASURY.xlsx]Sheet1!R655C9</stp>
        <tr r="I655" s="1"/>
      </tp>
      <tp t="s">
        <v>10/31/2016</v>
        <stp/>
        <stp>##V3_BDPV12</stp>
        <stp>912828R2 Govt</stp>
        <stp>FIRST_CPN_DT</stp>
        <stp>[TREASURY.xlsx]Sheet1!R245C9</stp>
        <tr r="I245" s="1"/>
      </tp>
      <tp t="s">
        <v>1/31/2013</v>
        <stp/>
        <stp>##V3_BDPV12</stp>
        <stp>912828TH Govt</stp>
        <stp>FIRST_CPN_DT</stp>
        <stp>[TREASURY.xlsx]Sheet1!R585C9</stp>
        <tr r="I585" s="1"/>
      </tp>
      <tp t="s">
        <v>2/15/2013</v>
        <stp/>
        <stp>##V3_BDPV12</stp>
        <stp>912828TK Govt</stp>
        <stp>FIRST_CPN_DT</stp>
        <stp>[TREASURY.xlsx]Sheet1!R565C9</stp>
        <tr r="I565" s="1"/>
      </tp>
      <tp t="s">
        <v>10/31/2013</v>
        <stp/>
        <stp>##V3_BDPV12</stp>
        <stp>912828UZ Govt</stp>
        <stp>FIRST_CPN_DT</stp>
        <stp>[TREASURY.xlsx]Sheet1!R445C9</stp>
        <tr r="I445" s="1"/>
      </tp>
      <tp t="s">
        <v>5/15/2011</v>
        <stp/>
        <stp>##V3_BDPV12</stp>
        <stp>912828PC Govt</stp>
        <stp>FIRST_CPN_DT</stp>
        <stp>[TREASURY.xlsx]Sheet1!R365C9</stp>
        <tr r="I365" s="1"/>
      </tp>
      <tp t="s">
        <v>8/15/2011</v>
        <stp/>
        <stp>##V3_BDPV12</stp>
        <stp>912828PX Govt</stp>
        <stp>FIRST_CPN_DT</stp>
        <stp>[TREASURY.xlsx]Sheet1!R355C9</stp>
        <tr r="I355" s="1"/>
      </tp>
      <tp t="s">
        <v>8/15/2011</v>
        <stp/>
        <stp>##V3_BDPV12</stp>
        <stp>912828QH Govt</stp>
        <stp>FIRST_CPN_DT</stp>
        <stp>[TREASURY.xlsx]Sheet1!R595C9</stp>
        <tr r="I595" s="1"/>
      </tp>
      <tp t="s">
        <v>9/15/2011</v>
        <stp/>
        <stp>##V3_BDPV12</stp>
        <stp>912828PZ Govt</stp>
        <stp>FIRST_CPN_DT</stp>
        <stp>[TREASURY.xlsx]Sheet1!R575C9</stp>
        <tr r="I575" s="1"/>
      </tp>
      <tp t="s">
        <v>4/30/2017</v>
        <stp/>
        <stp>##V3_BDPV12</stp>
        <stp>912828T6 Govt</stp>
        <stp>FIRST_CPN_DT</stp>
        <stp>[TREASURY.xlsx]Sheet1!R105C9</stp>
        <tr r="I105" s="1"/>
      </tp>
      <tp t="s">
        <v>10/31/2016</v>
        <stp/>
        <stp>##V3_BDPV12</stp>
        <stp>912828Q9 Govt</stp>
        <stp>FIRST_CPN_DT</stp>
        <stp>[TREASURY.xlsx]Sheet1!R425C9</stp>
        <tr r="I425" s="1"/>
      </tp>
      <tp t="s">
        <v>9/30/2017</v>
        <stp/>
        <stp>##V3_BDPV12</stp>
        <stp>912828W7 Govt</stp>
        <stp>FIRST_CPN_DT</stp>
        <stp>[TREASURY.xlsx]Sheet1!R125C9</stp>
        <tr r="I125" s="1"/>
      </tp>
      <tp t="s">
        <v>4/30/2017</v>
        <stp/>
        <stp>##V3_BDPV12</stp>
        <stp>912828T9 Govt</stp>
        <stp>FIRST_CPN_DT</stp>
        <stp>[TREASURY.xlsx]Sheet1!R215C9</stp>
        <tr r="I215" s="1"/>
      </tp>
      <tp t="s">
        <v>12/31/2012</v>
        <stp/>
        <stp>##V3_BDPV12</stp>
        <stp>912828TC Govt</stp>
        <stp>FIRST_CPN_DT</stp>
        <stp>[TREASURY.xlsx]Sheet1!R385C9</stp>
        <tr r="I385" s="1"/>
      </tp>
      <tp t="s">
        <v>8/31/2018</v>
        <stp/>
        <stp>##V3_BDPV12</stp>
        <stp>9128283Y Govt</stp>
        <stp>FIRST_CPN_DT</stp>
        <stp>[TREASURY.xlsx]Sheet1!R395C9</stp>
        <tr r="I395" s="1"/>
      </tp>
      <tp t="s">
        <v>7/15/2018</v>
        <stp/>
        <stp>##V3_BDPV12</stp>
        <stp>9128283Q Govt</stp>
        <stp>FIRST_CPN_DT</stp>
        <stp>[TREASURY.xlsx]Sheet1!R375C9</stp>
        <tr r="I375" s="1"/>
      </tp>
      <tp t="s">
        <v>9/30/2018</v>
        <stp/>
        <stp>##V3_BDPV12</stp>
        <stp>9128284C Govt</stp>
        <stp>FIRST_CPN_DT</stp>
        <stp>[TREASURY.xlsx]Sheet1!R505C9</stp>
        <tr r="I505" s="1"/>
      </tp>
      <tp t="s">
        <v>2/28/2017</v>
        <stp/>
        <stp>##V3_BDPV12</stp>
        <stp>9128282F Govt</stp>
        <stp>FIRST_CPN_DT</stp>
        <stp>[TREASURY.xlsx]Sheet1!R345C9</stp>
        <tr r="I345" s="1"/>
      </tp>
      <tp t="s">
        <v>11/30/2018</v>
        <stp/>
        <stp>##V3_BDPV12</stp>
        <stp>9128284Q Govt</stp>
        <stp>FIRST_CPN_DT</stp>
        <stp>[TREASURY.xlsx]Sheet1!R675C9</stp>
        <tr r="I675" s="1"/>
      </tp>
      <tp t="s">
        <v>6/30/2018</v>
        <stp/>
        <stp>##V3_BDPV12</stp>
        <stp>9128283P Govt</stp>
        <stp>FIRST_CPN_DT</stp>
        <stp>[TREASURY.xlsx]Sheet1!R185C9</stp>
        <tr r="I185" s="1"/>
      </tp>
      <tp t="s">
        <v>3/31/2018</v>
        <stp/>
        <stp>##V3_BDPV12</stp>
        <stp>9128282Y Govt</stp>
        <stp>FIRST_CPN_DT</stp>
        <stp>[TREASURY.xlsx]Sheet1!R145C9</stp>
        <tr r="I145" s="1"/>
      </tp>
      <tp t="s">
        <v>7/31/2019</v>
        <stp/>
        <stp>##V3_BDPV12</stp>
        <stp>9128286A Govt</stp>
        <stp>FIRST_CPN_DT</stp>
        <stp>[TREASURY.xlsx]Sheet1!R265C9</stp>
        <tr r="I265" s="1"/>
      </tp>
      <tp t="s">
        <v>8/31/2019</v>
        <stp/>
        <stp>##V3_BDPV12</stp>
        <stp>9128286F Govt</stp>
        <stp>FIRST_CPN_DT</stp>
        <stp>[TREASURY.xlsx]Sheet1!R225C9</stp>
        <tr r="I225" s="1"/>
      </tp>
      <tp t="s">
        <v>9/30/2018</v>
        <stp/>
        <stp>##V3_BDPV12</stp>
        <stp>9128284F Govt</stp>
        <stp>FIRST_CPN_DT</stp>
        <stp>[TREASURY.xlsx]Sheet1!R285C9</stp>
        <tr r="I285" s="1"/>
      </tp>
      <tp t="s">
        <v>3/31/2019</v>
        <stp/>
        <stp>##V3_BDPV12</stp>
        <stp>9128285C Govt</stp>
        <stp>FIRST_CPN_DT</stp>
        <stp>[TREASURY.xlsx]Sheet1!R205C9</stp>
        <tr r="I205" s="1"/>
      </tp>
      <tp t="s">
        <v>UNITED STATES</v>
        <stp/>
        <stp>##V3_BDPV12</stp>
        <stp>912827WF Govt</stp>
        <stp>COUNTRY_FULL_NAME</stp>
        <stp>[TREASURY.xlsx]Sheet1!R1090C8</stp>
        <tr r="H1090" s="1"/>
      </tp>
      <tp t="s">
        <v>S/A</v>
        <stp/>
        <stp>##V3_BDPV12</stp>
        <stp>912827ZM Govt</stp>
        <stp>COUPON_FREQUENCY_DESCRIPTION</stp>
        <stp>[TREASURY.xlsx]Sheet1!R1230C10</stp>
        <tr r="J1230" s="1"/>
      </tp>
      <tp t="s">
        <v>UNITED STATES</v>
        <stp/>
        <stp>##V3_BDPV12</stp>
        <stp>912827QD Govt</stp>
        <stp>COUNTRY_FULL_NAME</stp>
        <stp>[TREASURY.xlsx]Sheet1!R1056C8</stp>
        <tr r="H1056" s="1"/>
      </tp>
      <tp t="s">
        <v>UNITED STATES</v>
        <stp/>
        <stp>##V3_BDPV12</stp>
        <stp>912828RD Govt</stp>
        <stp>COUNTRY_FULL_NAME</stp>
        <stp>[TREASURY.xlsx]Sheet1!R1265C8</stp>
        <tr r="H1265" s="1"/>
      </tp>
      <tp t="s">
        <v>UNITED STATES</v>
        <stp/>
        <stp>##V3_BDPV12</stp>
        <stp>912827UD Govt</stp>
        <stp>COUNTRY_FULL_NAME</stp>
        <stp>[TREASURY.xlsx]Sheet1!R1512C8</stp>
        <tr r="H1512" s="1"/>
      </tp>
      <tp t="s">
        <v>UNITED STATES</v>
        <stp/>
        <stp>##V3_BDPV12</stp>
        <stp>912827SE Govt</stp>
        <stp>COUNTRY_FULL_NAME</stp>
        <stp>[TREASURY.xlsx]Sheet1!R1184C8</stp>
        <tr r="H1184" s="1"/>
      </tp>
      <tp t="s">
        <v>UNITED STATES</v>
        <stp/>
        <stp>##V3_BDPV12</stp>
        <stp>912828PB Govt</stp>
        <stp>COUNTRY_FULL_NAME</stp>
        <stp>[TREASURY.xlsx]Sheet1!R1297C8</stp>
        <tr r="H1297" s="1"/>
      </tp>
      <tp t="s">
        <v>UNITED STATES</v>
        <stp/>
        <stp>##V3_BDPV12</stp>
        <stp>912827VB Govt</stp>
        <stp>COUNTRY_FULL_NAME</stp>
        <stp>[TREASURY.xlsx]Sheet1!R1411C8</stp>
        <tr r="H1411" s="1"/>
      </tp>
      <tp t="s">
        <v>T 8 3/4 11/15/08</v>
        <stp/>
        <stp>##V3_BDPV12</stp>
        <stp>912810CE Govt</stp>
        <stp>SECURITY_NAME</stp>
        <stp>[TREASURY.xlsx]Sheet1!R1441C16</stp>
        <tr r="P1441" s="1"/>
      </tp>
      <tp t="s">
        <v>S/A</v>
        <stp/>
        <stp>##V3_BDPV12</stp>
        <stp>912827ZG Govt</stp>
        <stp>COUPON_FREQUENCY_DESCRIPTION</stp>
        <stp>[TREASURY.xlsx]Sheet1!R1103C10</stp>
        <tr r="J1103" s="1"/>
      </tp>
      <tp t="s">
        <v>UNITED STATES</v>
        <stp/>
        <stp>##V3_BDPV12</stp>
        <stp>912828TN Govt</stp>
        <stp>COUNTRY_FULL_NAME</stp>
        <stp>[TREASURY.xlsx]Sheet1!R1143C8</stp>
        <tr r="H1143" s="1"/>
      </tp>
      <tp t="s">
        <v>T 6 1/8 08/15/07</v>
        <stp/>
        <stp>##V3_BDPV12</stp>
        <stp>9128273E Govt</stp>
        <stp>SECURITY_NAME</stp>
        <stp>[TREASURY.xlsx]Sheet1!R1526C16</stp>
        <tr r="P1526" s="1"/>
      </tp>
      <tp t="s">
        <v>T 6 5/8 05/31/02</v>
        <stp/>
        <stp>##V3_BDPV12</stp>
        <stp>9128276E Govt</stp>
        <stp>SECURITY_NAME</stp>
        <stp>[TREASURY.xlsx]Sheet1!R1536C16</stp>
        <tr r="P1536" s="1"/>
      </tp>
      <tp t="s">
        <v>T 8 02/15/89</v>
        <stp/>
        <stp>##V3_BDPV12</stp>
        <stp>912827TE Govt</stp>
        <stp>SECURITY_NAME</stp>
        <stp>[TREASURY.xlsx]Sheet1!R1507C16</stp>
        <tr r="P1507" s="1"/>
      </tp>
      <tp t="s">
        <v>T 2 3/4 10/31/03</v>
        <stp/>
        <stp>##V3_BDPV12</stp>
        <stp>9128277E Govt</stp>
        <stp>SECURITY_NAME</stp>
        <stp>[TREASURY.xlsx]Sheet1!R1545C16</stp>
        <tr r="P1545" s="1"/>
      </tp>
      <tp t="s">
        <v>S/A</v>
        <stp/>
        <stp>##V3_BDPV12</stp>
        <stp>912827ZF Govt</stp>
        <stp>COUPON_FREQUENCY_DESCRIPTION</stp>
        <stp>[TREASURY.xlsx]Sheet1!R1229C10</stp>
        <tr r="J1229" s="1"/>
      </tp>
      <tp t="s">
        <v>UNITED STATES</v>
        <stp/>
        <stp>##V3_BDPV12</stp>
        <stp>912828WL Govt</stp>
        <stp>COUNTRY_FULL_NAME</stp>
        <stp>[TREASURY.xlsx]Sheet1!R1150C8</stp>
        <tr r="H1150" s="1"/>
      </tp>
      <tp t="s">
        <v>8/15/2051</v>
        <stp/>
        <stp>##V3_BDPV12</stp>
        <stp>912810SZ Govt</stp>
        <stp>MATURITY</stp>
        <stp>[TREASURY.xlsx]Sheet1!R3C5</stp>
        <tr r="E3" s="1"/>
      </tp>
      <tp t="s">
        <v>T 1 1/2 07/31/05</v>
        <stp/>
        <stp>##V3_BDPV12</stp>
        <stp>912828BE Govt</stp>
        <stp>SECURITY_NAME</stp>
        <stp>[TREASURY.xlsx]Sheet1!R1425C16</stp>
        <tr r="P1425" s="1"/>
      </tp>
      <tp t="s">
        <v>T 3 1/8 04/15/09</v>
        <stp/>
        <stp>##V3_BDPV12</stp>
        <stp>912828CE Govt</stp>
        <stp>SECURITY_NAME</stp>
        <stp>[TREASURY.xlsx]Sheet1!R1426C16</stp>
        <tr r="P1426" s="1"/>
      </tp>
      <tp t="s">
        <v>T 13 3/4 05/15/92</v>
        <stp/>
        <stp>##V3_BDPV12</stp>
        <stp>912827NE Govt</stp>
        <stp>SECURITY_NAME</stp>
        <stp>[TREASURY.xlsx]Sheet1!R1332C16</stp>
        <tr r="P1332" s="1"/>
      </tp>
      <tp t="s">
        <v>T 5 5/8 05/15/01</v>
        <stp/>
        <stp>##V3_BDPV12</stp>
        <stp>9128274E Govt</stp>
        <stp>SECURITY_NAME</stp>
        <stp>[TREASURY.xlsx]Sheet1!R1363C16</stp>
        <tr r="P1363" s="1"/>
      </tp>
      <tp t="s">
        <v>S/A</v>
        <stp/>
        <stp>##V3_BDPV12</stp>
        <stp>912827ZD Govt</stp>
        <stp>COUPON_FREQUENCY_DESCRIPTION</stp>
        <stp>[TREASURY.xlsx]Sheet1!R1610C10</stp>
        <tr r="J1610" s="1"/>
      </tp>
      <tp t="s">
        <v>UNITED STATES</v>
        <stp/>
        <stp>##V3_BDPV12</stp>
        <stp>912827TJ Govt</stp>
        <stp>COUNTRY_FULL_NAME</stp>
        <stp>[TREASURY.xlsx]Sheet1!R1073C8</stp>
        <tr r="H1073" s="1"/>
      </tp>
      <tp t="s">
        <v>T 4 7/8 01/31/09</v>
        <stp/>
        <stp>##V3_BDPV12</stp>
        <stp>912828GE Govt</stp>
        <stp>SECURITY_NAME</stp>
        <stp>[TREASURY.xlsx]Sheet1!R1242C16</stp>
        <tr r="P1242" s="1"/>
      </tp>
      <tp t="s">
        <v>T 4 7/8 05/15/09</v>
        <stp/>
        <stp>##V3_BDPV12</stp>
        <stp>912828FE Govt</stp>
        <stp>SECURITY_NAME</stp>
        <stp>[TREASURY.xlsx]Sheet1!R1274C16</stp>
        <tr r="P1274" s="1"/>
      </tp>
      <tp t="s">
        <v>S/A</v>
        <stp/>
        <stp>##V3_BDPV12</stp>
        <stp>912827ZA Govt</stp>
        <stp>COUPON_FREQUENCY_DESCRIPTION</stp>
        <stp>[TREASURY.xlsx]Sheet1!R1227C10</stp>
        <tr r="J1227" s="1"/>
      </tp>
      <tp t="s">
        <v>UNITED STATES</v>
        <stp/>
        <stp>##V3_BDPV12</stp>
        <stp>912827QK Govt</stp>
        <stp>COUNTRY_FULL_NAME</stp>
        <stp>[TREASURY.xlsx]Sheet1!R1496C8</stp>
        <tr r="H1496" s="1"/>
      </tp>
      <tp t="s">
        <v>T 11 1/4 05/15/95</v>
        <stp/>
        <stp>##V3_BDPV12</stp>
        <stp>912827SE Govt</stp>
        <stp>SECURITY_NAME</stp>
        <stp>[TREASURY.xlsx]Sheet1!R1184C16</stp>
        <tr r="P1184" s="1"/>
      </tp>
      <tp t="s">
        <v>T 3 1/2 12/15/09</v>
        <stp/>
        <stp>##V3_BDPV12</stp>
        <stp>912828DE Govt</stp>
        <stp>SECURITY_NAME</stp>
        <stp>[TREASURY.xlsx]Sheet1!R1109C16</stp>
        <tr r="P1109" s="1"/>
      </tp>
      <tp t="s">
        <v>S/A</v>
        <stp/>
        <stp>##V3_BDPV12</stp>
        <stp>912827ZB Govt</stp>
        <stp>COUPON_FREQUENCY_DESCRIPTION</stp>
        <stp>[TREASURY.xlsx]Sheet1!R1228C10</stp>
        <tr r="J1228" s="1"/>
      </tp>
      <tp t="s">
        <v>T 6 1/8 12/31/01</v>
        <stp/>
        <stp>##V3_BDPV12</stp>
        <stp>9128272E Govt</stp>
        <stp>SECURITY_NAME</stp>
        <stp>[TREASURY.xlsx]Sheet1!R1009C16</stp>
        <tr r="P1009" s="1"/>
      </tp>
      <tp t="s">
        <v>T 11 1/8 08/15/03</v>
        <stp/>
        <stp>##V3_BDPV12</stp>
        <stp>912810DE Govt</stp>
        <stp>SECURITY_NAME</stp>
        <stp>[TREASURY.xlsx]Sheet1!R1311C16</stp>
        <tr r="P1311" s="1"/>
      </tp>
      <tp t="s">
        <v>T 12 3/4 11/15/89</v>
        <stp/>
        <stp>##V3_BDPV12</stp>
        <stp>912827RE Govt</stp>
        <stp>SECURITY_NAME</stp>
        <stp>[TREASURY.xlsx]Sheet1!R1063C16</stp>
        <tr r="P1063" s="1"/>
      </tp>
      <tp t="s">
        <v>T 6 3/8 11/15/89</v>
        <stp/>
        <stp>##V3_BDPV12</stp>
        <stp>912827UE Govt</stp>
        <stp>SECURITY_NAME</stp>
        <stp>[TREASURY.xlsx]Sheet1!R1077C16</stp>
        <tr r="P1077" s="1"/>
      </tp>
      <tp t="s">
        <v>T 9 5/8 02/28/85</v>
        <stp/>
        <stp>##V3_BDPV12</stp>
        <stp>912827PE Govt</stp>
        <stp>SECURITY_NAME</stp>
        <stp>[TREASURY.xlsx]Sheet1!R1054C16</stp>
        <tr r="P1054" s="1"/>
      </tp>
      <tp t="s">
        <v>S/A</v>
        <stp/>
        <stp>##V3_BDPV12</stp>
        <stp>912827ZY Govt</stp>
        <stp>COUPON_FREQUENCY_DESCRIPTION</stp>
        <stp>[TREASURY.xlsx]Sheet1!R1613C10</stp>
        <tr r="J1613" s="1"/>
      </tp>
      <tp t="s">
        <v>UNITED STATES</v>
        <stp/>
        <stp>##V3_BDPV12</stp>
        <stp>912828UW Govt</stp>
        <stp>COUNTRY_FULL_NAME</stp>
        <stp>[TREASURY.xlsx]Sheet1!R1002C8</stp>
        <tr r="H1002" s="1"/>
      </tp>
      <tp t="s">
        <v>S/A</v>
        <stp/>
        <stp>##V3_BDPV12</stp>
        <stp>912827ZZ Govt</stp>
        <stp>COUPON_FREQUENCY_DESCRIPTION</stp>
        <stp>[TREASURY.xlsx]Sheet1!R1614C10</stp>
        <tr r="J1614" s="1"/>
      </tp>
      <tp t="s">
        <v>UNITED STATES</v>
        <stp/>
        <stp>##V3_BDPV12</stp>
        <stp>912827WS Govt</stp>
        <stp>COUNTRY_FULL_NAME</stp>
        <stp>[TREASURY.xlsx]Sheet1!R1420C8</stp>
        <tr r="H1420" s="1"/>
      </tp>
      <tp t="s">
        <v>UNITED STATES</v>
        <stp/>
        <stp>##V3_BDPV12</stp>
        <stp>912827TP Govt</stp>
        <stp>COUNTRY_FULL_NAME</stp>
        <stp>[TREASURY.xlsx]Sheet1!R1193C8</stp>
        <tr r="H1193" s="1"/>
      </tp>
      <tp t="s">
        <v>UNITED STATES</v>
        <stp/>
        <stp>##V3_BDPV12</stp>
        <stp>912827UP Govt</stp>
        <stp>COUNTRY_FULL_NAME</stp>
        <stp>[TREASURY.xlsx]Sheet1!R1202C8</stp>
        <tr r="H1202" s="1"/>
      </tp>
      <tp t="s">
        <v>S/A</v>
        <stp/>
        <stp>##V3_BDPV12</stp>
        <stp>912827ZW Govt</stp>
        <stp>COUPON_FREQUENCY_DESCRIPTION</stp>
        <stp>[TREASURY.xlsx]Sheet1!R1104C10</stp>
        <tr r="J1104" s="1"/>
      </tp>
      <tp t="s">
        <v>S/A</v>
        <stp/>
        <stp>##V3_BDPV12</stp>
        <stp>912827ZQ Govt</stp>
        <stp>COUPON_FREQUENCY_DESCRIPTION</stp>
        <stp>[TREASURY.xlsx]Sheet1!R1611C10</stp>
        <tr r="J1611" s="1"/>
      </tp>
      <tp t="s">
        <v>S/A</v>
        <stp/>
        <stp>##V3_BDPV12</stp>
        <stp>912827ZV Govt</stp>
        <stp>COUPON_FREQUENCY_DESCRIPTION</stp>
        <stp>[TREASURY.xlsx]Sheet1!R1231C10</stp>
        <tr r="J1231" s="1"/>
      </tp>
      <tp t="s">
        <v>S/A</v>
        <stp/>
        <stp>##V3_BDPV12</stp>
        <stp>912827ZT Govt</stp>
        <stp>COUPON_FREQUENCY_DESCRIPTION</stp>
        <stp>[TREASURY.xlsx]Sheet1!R1612C10</stp>
        <tr r="J1612" s="1"/>
      </tp>
      <tp t="s">
        <v>UNITED STATES</v>
        <stp/>
        <stp>##V3_BDPV12</stp>
        <stp>912827QZ Govt</stp>
        <stp>COUNTRY_FULL_NAME</stp>
        <stp>[TREASURY.xlsx]Sheet1!R1576C8</stp>
        <tr r="H1576" s="1"/>
      </tp>
      <tp t="s">
        <v>UNITED STATES</v>
        <stp/>
        <stp>##V3_BDPV12</stp>
        <stp>912827WY Govt</stp>
        <stp>COUNTRY_FULL_NAME</stp>
        <stp>[TREASURY.xlsx]Sheet1!R1210C8</stp>
        <tr r="H1210" s="1"/>
      </tp>
      <tp t="s">
        <v>UNITED STATES</v>
        <stp/>
        <stp>##V3_BDPV12</stp>
        <stp>912827P6 Govt</stp>
        <stp>COUNTRY_FULL_NAME</stp>
        <stp>[TREASURY.xlsx]Sheet1!R1387C8</stp>
        <tr r="H1387" s="1"/>
      </tp>
      <tp t="s">
        <v>UNITED STATES</v>
        <stp/>
        <stp>##V3_BDPV12</stp>
        <stp>912827S7 Govt</stp>
        <stp>COUNTRY_FULL_NAME</stp>
        <stp>[TREASURY.xlsx]Sheet1!R1504C8</stp>
        <tr r="H1504" s="1"/>
      </tp>
      <tp t="s">
        <v>UNITED STATES</v>
        <stp/>
        <stp>##V3_BDPV12</stp>
        <stp>912827P5 Govt</stp>
        <stp>COUNTRY_FULL_NAME</stp>
        <stp>[TREASURY.xlsx]Sheet1!R1337C8</stp>
        <tr r="H1337" s="1"/>
      </tp>
      <tp t="s">
        <v>UNITED STATES</v>
        <stp/>
        <stp>##V3_BDPV12</stp>
        <stp>912827Q2 Govt</stp>
        <stp>COUNTRY_FULL_NAME</stp>
        <stp>[TREASURY.xlsx]Sheet1!R1176C8</stp>
        <tr r="H1176" s="1"/>
      </tp>
      <tp t="s">
        <v>UNITED STATES</v>
        <stp/>
        <stp>##V3_BDPV12</stp>
        <stp>912827V3 Govt</stp>
        <stp>COUNTRY_FULL_NAME</stp>
        <stp>[TREASURY.xlsx]Sheet1!R1591C8</stp>
        <tr r="H1591" s="1"/>
      </tp>
      <tp t="s">
        <v>S/A</v>
        <stp/>
        <stp>##V3_BDPV12</stp>
        <stp>912827Z8 Govt</stp>
        <stp>COUPON_FREQUENCY_DESCRIPTION</stp>
        <stp>[TREASURY.xlsx]Sheet1!R1102C10</stp>
        <tr r="J1102" s="1"/>
      </tp>
      <tp t="s">
        <v>S/A</v>
        <stp/>
        <stp>##V3_BDPV12</stp>
        <stp>912827Z4 Govt</stp>
        <stp>COUPON_FREQUENCY_DESCRIPTION</stp>
        <stp>[TREASURY.xlsx]Sheet1!R1225C10</stp>
        <tr r="J1225" s="1"/>
      </tp>
      <tp t="s">
        <v>S/A</v>
        <stp/>
        <stp>##V3_BDPV12</stp>
        <stp>912827Z6 Govt</stp>
        <stp>COUPON_FREQUENCY_DESCRIPTION</stp>
        <stp>[TREASURY.xlsx]Sheet1!R1226C10</stp>
        <tr r="J1226" s="1"/>
      </tp>
      <tp t="s">
        <v>S/A</v>
        <stp/>
        <stp>##V3_BDPV12</stp>
        <stp>912827Z3 Govt</stp>
        <stp>COUPON_FREQUENCY_DESCRIPTION</stp>
        <stp>[TREASURY.xlsx]Sheet1!R1608C10</stp>
        <tr r="J1608" s="1"/>
      </tp>
      <tp t="s">
        <v>S/A</v>
        <stp/>
        <stp>##V3_BDPV12</stp>
        <stp>912827Z5 Govt</stp>
        <stp>COUPON_FREQUENCY_DESCRIPTION</stp>
        <stp>[TREASURY.xlsx]Sheet1!R1609C10</stp>
        <tr r="J1609" s="1"/>
      </tp>
      <tp t="s">
        <v>7/15/2012</v>
        <stp/>
        <stp>##V3_BDPV12</stp>
        <stp>912828RZ Govt</stp>
        <stp>FIRST_CPN_DT</stp>
        <stp>[TREASURY.xlsx]Sheet1!R1268C9</stp>
        <tr r="I1268" s="1"/>
      </tp>
      <tp t="s">
        <v>5/15/1995</v>
        <stp/>
        <stp>##V3_BDPV12</stp>
        <stp>912827R7 Govt</stp>
        <stp>FIRST_CPN_DT</stp>
        <stp>[TREASURY.xlsx]Sheet1!R1577C9</stp>
        <tr r="I1577" s="1"/>
      </tp>
      <tp t="s">
        <v>2/28/1986</v>
        <stp/>
        <stp>##V3_BDPV12</stp>
        <stp>912827SQ Govt</stp>
        <stp>FIRST_CPN_DT</stp>
        <stp>[TREASURY.xlsx]Sheet1!R1187C9</stp>
        <tr r="I1187" s="1"/>
      </tp>
      <tp t="s">
        <v>4/30/1986</v>
        <stp/>
        <stp>##V3_BDPV12</stp>
        <stp>912827ST Govt</stp>
        <stp>FIRST_CPN_DT</stp>
        <stp>[TREASURY.xlsx]Sheet1!R1067C9</stp>
        <tr r="I1067" s="1"/>
      </tp>
      <tp t="s">
        <v>9/30/1985</v>
        <stp/>
        <stp>##V3_BDPV12</stp>
        <stp>912827SA Govt</stp>
        <stp>FIRST_CPN_DT</stp>
        <stp>[TREASURY.xlsx]Sheet1!R1587C9</stp>
        <tr r="I1587" s="1"/>
      </tp>
      <tp t="s">
        <v>4/30/2011</v>
        <stp/>
        <stp>##V3_BDPV12</stp>
        <stp>912828PD Govt</stp>
        <stp>FIRST_CPN_DT</stp>
        <stp>[TREASURY.xlsx]Sheet1!R1298C9</stp>
        <tr r="I1298" s="1"/>
      </tp>
      <tp t="s">
        <v>10/31/1994</v>
        <stp/>
        <stp>##V3_BDPV12</stp>
        <stp>912827P5 Govt</stp>
        <stp>FIRST_CPN_DT</stp>
        <stp>[TREASURY.xlsx]Sheet1!R1337C9</stp>
        <tr r="I1337" s="1"/>
      </tp>
      <tp t="s">
        <v>10/31/1994</v>
        <stp/>
        <stp>##V3_BDPV12</stp>
        <stp>912827P6 Govt</stp>
        <stp>FIRST_CPN_DT</stp>
        <stp>[TREASURY.xlsx]Sheet1!R1387C9</stp>
        <tr r="I1387" s="1"/>
      </tp>
      <tp t="s">
        <v>11/15/1984</v>
        <stp/>
        <stp>##V3_BDPV12</stp>
        <stp>912827QU Govt</stp>
        <stp>FIRST_CPN_DT</stp>
        <stp>[TREASURY.xlsx]Sheet1!R1497C9</stp>
        <tr r="I1497" s="1"/>
      </tp>
      <tp t="s">
        <v>6/30/1984</v>
        <stp/>
        <stp>##V3_BDPV12</stp>
        <stp>912827QH Govt</stp>
        <stp>FIRST_CPN_DT</stp>
        <stp>[TREASURY.xlsx]Sheet1!R1057C9</stp>
        <tr r="I1057" s="1"/>
      </tp>
      <tp t="s">
        <v>12/31/1994</v>
        <stp/>
        <stp>##V3_BDPV12</stp>
        <stp>912827Q4 Govt</stp>
        <stp>FIRST_CPN_DT</stp>
        <stp>[TREASURY.xlsx]Sheet1!R1177C9</stp>
        <tr r="I1177" s="1"/>
      </tp>
      <tp t="s">
        <v>2/15/2021</v>
        <stp/>
        <stp>##V3_BDPV12</stp>
        <stp>91282CAF Govt</stp>
        <stp>FIRST_CPN_DT</stp>
        <stp>[TREASURY.xlsx]Sheet1!R195C9</stp>
        <tr r="I195" s="1"/>
      </tp>
      <tp t="s">
        <v>7/15/2021</v>
        <stp/>
        <stp>##V3_BDPV12</stp>
        <stp>91282CBE Govt</stp>
        <stp>FIRST_CPN_DT</stp>
        <stp>[TREASURY.xlsx]Sheet1!R115C9</stp>
        <tr r="I115" s="1"/>
      </tp>
      <tp t="s">
        <v>12/31/2013</v>
        <stp/>
        <stp>##V3_BDPV12</stp>
        <stp>912828VK Govt</stp>
        <stp>FIRST_CPN_DT</stp>
        <stp>[TREASURY.xlsx]Sheet1!R1148C9</stp>
        <tr r="I1148" s="1"/>
      </tp>
      <tp t="s">
        <v>4/30/1988</v>
        <stp/>
        <stp>##V3_BDPV12</stp>
        <stp>912827VL Govt</stp>
        <stp>FIRST_CPN_DT</stp>
        <stp>[TREASURY.xlsx]Sheet1!R1087C9</stp>
        <tr r="I1087" s="1"/>
      </tp>
      <tp t="s">
        <v>12/31/1988</v>
        <stp/>
        <stp>##V3_BDPV12</stp>
        <stp>912827WJ Govt</stp>
        <stp>FIRST_CPN_DT</stp>
        <stp>[TREASURY.xlsx]Sheet1!R1207C9</stp>
        <tr r="I1207" s="1"/>
      </tp>
      <tp t="s">
        <v>12/31/1988</v>
        <stp/>
        <stp>##V3_BDPV12</stp>
        <stp>912827WH Govt</stp>
        <stp>FIRST_CPN_DT</stp>
        <stp>[TREASURY.xlsx]Sheet1!R1417C9</stp>
        <tr r="I1417" s="1"/>
      </tp>
      <tp t="s">
        <v>8/15/1986</v>
        <stp/>
        <stp>##V3_BDPV12</stp>
        <stp>912827TE Govt</stp>
        <stp>FIRST_CPN_DT</stp>
        <stp>[TREASURY.xlsx]Sheet1!R1507C9</stp>
        <tr r="I1507" s="1"/>
      </tp>
      <tp t="s">
        <v>9/30/1995</v>
        <stp/>
        <stp>##V3_BDPV12</stp>
        <stp>912827T4 Govt</stp>
        <stp>FIRST_CPN_DT</stp>
        <stp>[TREASURY.xlsx]Sheet1!R1397C9</stp>
        <tr r="I1397" s="1"/>
      </tp>
      <tp>
        <v>2.0946282555223936</v>
        <stp/>
        <stp>##V3_BDPV12</stp>
        <stp>912810SZ Govt</stp>
        <stp>YLD_YTM_BID</stp>
        <stp>[TREASURY.xlsx]Sheet1!R3C4</stp>
        <tr r="D3" s="1"/>
      </tp>
      <tp t="s">
        <v>10/31/2013</v>
        <stp/>
        <stp>##V3_BDPV12</stp>
        <stp>912828UY Govt</stp>
        <stp>FIRST_CPN_DT</stp>
        <stp>[TREASURY.xlsx]Sheet1!R1138C9</stp>
        <tr r="I1138" s="1"/>
      </tp>
      <tp t="s">
        <v>9/30/1987</v>
        <stp/>
        <stp>##V3_BDPV12</stp>
        <stp>912827US Govt</stp>
        <stp>FIRST_CPN_DT</stp>
        <stp>[TREASURY.xlsx]Sheet1!R1407C9</stp>
        <tr r="I1407" s="1"/>
      </tp>
      <tp t="s">
        <v>5/15/1987</v>
        <stp/>
        <stp>##V3_BDPV12</stp>
        <stp>912827UE Govt</stp>
        <stp>FIRST_CPN_DT</stp>
        <stp>[TREASURY.xlsx]Sheet1!R1077C9</stp>
        <tr r="I1077" s="1"/>
      </tp>
      <tp t="s">
        <v>1/31/1996</v>
        <stp/>
        <stp>##V3_BDPV12</stp>
        <stp>912827U5 Govt</stp>
        <stp>FIRST_CPN_DT</stp>
        <stp>[TREASURY.xlsx]Sheet1!R1197C9</stp>
        <tr r="I1197" s="1"/>
      </tp>
      <tp t="s">
        <v>US912810CN64</v>
        <stp/>
        <stp>##V3_BDPV12</stp>
        <stp>912810CN Govt</stp>
        <stp>ID_ISIN</stp>
        <stp>[TREASURY.xlsx]Sheet1!R1442C12</stp>
        <tr r="L1442" s="1"/>
      </tp>
      <tp t="s">
        <v>US912810DN55</v>
        <stp/>
        <stp>##V3_BDPV12</stp>
        <stp>912810DN Govt</stp>
        <stp>ID_ISIN</stp>
        <stp>[TREASURY.xlsx]Sheet1!R1348C12</stp>
        <tr r="L1348" s="1"/>
      </tp>
      <tp t="s">
        <v>US912810DK17</v>
        <stp/>
        <stp>##V3_BDPV12</stp>
        <stp>912810DK Govt</stp>
        <stp>ID_ISIN</stp>
        <stp>[TREASURY.xlsx]Sheet1!R1347C12</stp>
        <tr r="L1347" s="1"/>
      </tp>
      <tp t="s">
        <v>US912810CE65</v>
        <stp/>
        <stp>##V3_BDPV12</stp>
        <stp>912810CE Govt</stp>
        <stp>ID_ISIN</stp>
        <stp>[TREASURY.xlsx]Sheet1!R1441C12</stp>
        <tr r="L1441" s="1"/>
      </tp>
      <tp t="s">
        <v>US912810DE56</v>
        <stp/>
        <stp>##V3_BDPV12</stp>
        <stp>912810DE Govt</stp>
        <stp>ID_ISIN</stp>
        <stp>[TREASURY.xlsx]Sheet1!R1311C12</stp>
        <tr r="L1311" s="1"/>
      </tp>
      <tp t="s">
        <v>US912810DF22</v>
        <stp/>
        <stp>##V3_BDPV12</stp>
        <stp>912810DF Govt</stp>
        <stp>ID_ISIN</stp>
        <stp>[TREASURY.xlsx]Sheet1!R1312C12</stp>
        <tr r="L1312" s="1"/>
      </tp>
      <tp t="s">
        <v>US912810DB18</v>
        <stp/>
        <stp>##V3_BDPV12</stp>
        <stp>912810DB Govt</stp>
        <stp>ID_ISIN</stp>
        <stp>[TREASURY.xlsx]Sheet1!R1346C12</stp>
        <tr r="L1346" s="1"/>
      </tp>
      <tp t="s">
        <v>US912810BG23</v>
        <stp/>
        <stp>##V3_BDPV12</stp>
        <stp>912810BG Govt</stp>
        <stp>ID_ISIN</stp>
        <stp>[TREASURY.xlsx]Sheet1!R1513C12</stp>
        <tr r="L1513" s="1"/>
      </tp>
      <tp t="s">
        <v>US912810BZ04</v>
        <stp/>
        <stp>##V3_BDPV12</stp>
        <stp>912810BZ Govt</stp>
        <stp>ID_ISIN</stp>
        <stp>[TREASURY.xlsx]Sheet1!R1514C12</stp>
        <tr r="L1514" s="1"/>
      </tp>
      <tp t="s">
        <v>US912810CZ94</v>
        <stp/>
        <stp>##V3_BDPV12</stp>
        <stp>912810CZ Govt</stp>
        <stp>ID_ISIN</stp>
        <stp>[TREASURY.xlsx]Sheet1!R1446C12</stp>
        <tr r="L1446" s="1"/>
      </tp>
      <tp t="s">
        <v>12/31/1990</v>
        <stp/>
        <stp>##V3_BDPV12</stp>
        <stp>912827ZA Govt</stp>
        <stp>FIRST_CPN_DT</stp>
        <stp>[TREASURY.xlsx]Sheet1!R1227C9</stp>
        <tr r="I1227" s="1"/>
      </tp>
      <tp t="s">
        <v>US912810CM81</v>
        <stp/>
        <stp>##V3_BDPV12</stp>
        <stp>912810CM Govt</stp>
        <stp>ID_ISIN</stp>
        <stp>[TREASURY.xlsx]Sheet1!R1515C12</stp>
        <tr r="L1515" s="1"/>
      </tp>
      <tp t="s">
        <v>US912810EG95</v>
        <stp/>
        <stp>##V3_BDPV12</stp>
        <stp>912810EG Govt</stp>
        <stp>ID_ISIN</stp>
        <stp>[TREASURY.xlsx]Sheet1!R1349C12</stp>
        <tr r="L1349" s="1"/>
      </tp>
      <tp t="s">
        <v>US912810BX55</v>
        <stp/>
        <stp>##V3_BDPV12</stp>
        <stp>912810BX Govt</stp>
        <stp>ID_ISIN</stp>
        <stp>[TREASURY.xlsx]Sheet1!R1440C12</stp>
        <tr r="L1440" s="1"/>
      </tp>
      <tp t="s">
        <v>US912810BU17</v>
        <stp/>
        <stp>##V3_BDPV12</stp>
        <stp>912810BU Govt</stp>
        <stp>ID_ISIN</stp>
        <stp>[TREASURY.xlsx]Sheet1!R1439C12</stp>
        <tr r="L1439" s="1"/>
      </tp>
      <tp t="s">
        <v>US912810CL09</v>
        <stp/>
        <stp>##V3_BDPV12</stp>
        <stp>912810CL Govt</stp>
        <stp>ID_ISIN</stp>
        <stp>[TREASURY.xlsx]Sheet1!R1617C12</stp>
        <tr r="L1617" s="1"/>
      </tp>
      <tp t="s">
        <v>US912810CQ95</v>
        <stp/>
        <stp>##V3_BDPV12</stp>
        <stp>912810CQ Govt</stp>
        <stp>ID_ISIN</stp>
        <stp>[TREASURY.xlsx]Sheet1!R1623C12</stp>
        <tr r="L1623" s="1"/>
      </tp>
      <tp t="s">
        <v>US912810CW63</v>
        <stp/>
        <stp>##V3_BDPV12</stp>
        <stp>912810CW Govt</stp>
        <stp>ID_ISIN</stp>
        <stp>[TREASURY.xlsx]Sheet1!R1618C12</stp>
        <tr r="L1618" s="1"/>
      </tp>
      <tp t="s">
        <v>3/31/1990</v>
        <stp/>
        <stp>##V3_BDPV12</stp>
        <stp>912827XZ Govt</stp>
        <stp>FIRST_CPN_DT</stp>
        <stp>[TREASURY.xlsx]Sheet1!R1097C9</stp>
        <tr r="I1097" s="1"/>
      </tp>
      <tp t="s">
        <v>1/31/1990</v>
        <stp/>
        <stp>##V3_BDPV12</stp>
        <stp>912827XU Govt</stp>
        <stp>FIRST_CPN_DT</stp>
        <stp>[TREASURY.xlsx]Sheet1!R1217C9</stp>
        <tr r="I1217" s="1"/>
      </tp>
      <tp t="s">
        <v>11/15/1989</v>
        <stp/>
        <stp>##V3_BDPV12</stp>
        <stp>912827XG Govt</stp>
        <stp>FIRST_CPN_DT</stp>
        <stp>[TREASURY.xlsx]Sheet1!R1597C9</stp>
        <tr r="I1597" s="1"/>
      </tp>
      <tp t="s">
        <v>11/15/1990</v>
        <stp/>
        <stp>##V3_BDPV12</stp>
        <stp>912827YW Govt</stp>
        <stp>FIRST_CPN_DT</stp>
        <stp>[TREASURY.xlsx]Sheet1!R1607C9</stp>
        <tr r="I1607" s="1"/>
      </tp>
      <tp t="s">
        <v>US912810EB09</v>
        <stp/>
        <stp>##V3_BDPV12</stp>
        <stp>912810EB Govt</stp>
        <stp>ID_ISIN</stp>
        <stp>[TREASURY.xlsx]Sheet1!R1624C12</stp>
        <tr r="L1624" s="1"/>
      </tp>
      <tp t="s">
        <v>US912810DH87</v>
        <stp/>
        <stp>##V3_BDPV12</stp>
        <stp>912810DH Govt</stp>
        <stp>ID_ISIN</stp>
        <stp>[TREASURY.xlsx]Sheet1!R1619C12</stp>
        <tr r="L1619" s="1"/>
      </tp>
      <tp t="s">
        <v>US912810DL99</v>
        <stp/>
        <stp>##V3_BDPV12</stp>
        <stp>912810DL Govt</stp>
        <stp>ID_ISIN</stp>
        <stp>[TREASURY.xlsx]Sheet1!R1620C12</stp>
        <tr r="L1620" s="1"/>
      </tp>
      <tp t="s">
        <v>US912810DQ86</v>
        <stp/>
        <stp>##V3_BDPV12</stp>
        <stp>912810DQ Govt</stp>
        <stp>ID_ISIN</stp>
        <stp>[TREASURY.xlsx]Sheet1!R1621C12</stp>
        <tr r="L1621" s="1"/>
      </tp>
      <tp t="s">
        <v>US912810DT26</v>
        <stp/>
        <stp>##V3_BDPV12</stp>
        <stp>912810DT Govt</stp>
        <stp>ID_ISIN</stp>
        <stp>[TREASURY.xlsx]Sheet1!R1622C12</stp>
        <tr r="L1622" s="1"/>
      </tp>
      <tp t="s">
        <v>US912810EA26</v>
        <stp/>
        <stp>##V3_BDPV12</stp>
        <stp>912810EA Govt</stp>
        <stp>ID_ISIN</stp>
        <stp>[TREASURY.xlsx]Sheet1!R1445C12</stp>
        <tr r="L1445" s="1"/>
      </tp>
      <tp t="s">
        <v>US912810DG05</v>
        <stp/>
        <stp>##V3_BDPV12</stp>
        <stp>912810DG Govt</stp>
        <stp>ID_ISIN</stp>
        <stp>[TREASURY.xlsx]Sheet1!R1516C12</stp>
        <tr r="L1516" s="1"/>
      </tp>
      <tp t="s">
        <v>US912810CK26</v>
        <stp/>
        <stp>##V3_BDPV12</stp>
        <stp>912810CK Govt</stp>
        <stp>ID_ISIN</stp>
        <stp>[TREASURY.xlsx]Sheet1!R1309C12</stp>
        <tr r="L1309" s="1"/>
      </tp>
      <tp t="s">
        <v>US912810DD73</v>
        <stp/>
        <stp>##V3_BDPV12</stp>
        <stp>912810DD Govt</stp>
        <stp>ID_ISIN</stp>
        <stp>[TREASURY.xlsx]Sheet1!R1444C12</stp>
        <tr r="L1444" s="1"/>
      </tp>
      <tp t="s">
        <v>US912810DC90</v>
        <stp/>
        <stp>##V3_BDPV12</stp>
        <stp>912810DC Govt</stp>
        <stp>ID_ISIN</stp>
        <stp>[TREASURY.xlsx]Sheet1!R1443C12</stp>
        <tr r="L1443" s="1"/>
      </tp>
      <tp t="s">
        <v>US912810CG14</v>
        <stp/>
        <stp>##V3_BDPV12</stp>
        <stp>912810CG Govt</stp>
        <stp>ID_ISIN</stp>
        <stp>[TREASURY.xlsx]Sheet1!R1308C12</stp>
        <tr r="L1308" s="1"/>
      </tp>
      <tp t="s">
        <v>US912810DY11</v>
        <stp/>
        <stp>##V3_BDPV12</stp>
        <stp>912810DY Govt</stp>
        <stp>ID_ISIN</stp>
        <stp>[TREASURY.xlsx]Sheet1!R1448C12</stp>
        <tr r="L1448" s="1"/>
      </tp>
      <tp t="s">
        <v>US912810CU08</v>
        <stp/>
        <stp>##V3_BDPV12</stp>
        <stp>912810CU Govt</stp>
        <stp>ID_ISIN</stp>
        <stp>[TREASURY.xlsx]Sheet1!R1345C12</stp>
        <tr r="L1345" s="1"/>
      </tp>
      <tp t="s">
        <v>US912810CV80</v>
        <stp/>
        <stp>##V3_BDPV12</stp>
        <stp>912810CV Govt</stp>
        <stp>ID_ISIN</stp>
        <stp>[TREASURY.xlsx]Sheet1!R1310C12</stp>
        <tr r="L1310" s="1"/>
      </tp>
      <tp t="s">
        <v>US912810DR69</v>
        <stp/>
        <stp>##V3_BDPV12</stp>
        <stp>912810DR Govt</stp>
        <stp>ID_ISIN</stp>
        <stp>[TREASURY.xlsx]Sheet1!R1447C12</stp>
        <tr r="L1447" s="1"/>
      </tp>
      <tp t="s">
        <v>US912810CR78</v>
        <stp/>
        <stp>##V3_BDPV12</stp>
        <stp>912810CR Govt</stp>
        <stp>ID_ISIN</stp>
        <stp>[TREASURY.xlsx]Sheet1!R1344C12</stp>
        <tr r="L1344" s="1"/>
      </tp>
      <tp t="s">
        <v>8/15/1977</v>
        <stp/>
        <stp>##V3_BDPV12</stp>
        <stp>912810BX Govt</stp>
        <stp>FIRST_CPN_DT</stp>
        <stp>[TREASURY.xlsx]Sheet1!R1440C9</stp>
        <tr r="I1440" s="1"/>
      </tp>
      <tp t="s">
        <v>7/31/2014</v>
        <stp/>
        <stp>##V3_BDPV12</stp>
        <stp>912828B3 Govt</stp>
        <stp>FIRST_CPN_DT</stp>
        <stp>[TREASURY.xlsx]Sheet1!R1108C9</stp>
        <tr r="I1108" s="1"/>
      </tp>
      <tp t="s">
        <v>1/15/1992</v>
        <stp/>
        <stp>##V3_BDPV12</stp>
        <stp>912827B5 Govt</stp>
        <stp>FIRST_CPN_DT</stp>
        <stp>[TREASURY.xlsx]Sheet1!R1477C9</stp>
        <tr r="I1477" s="1"/>
      </tp>
      <tp t="s">
        <v>11/15/1981</v>
        <stp/>
        <stp>##V3_BDPV12</stp>
        <stp>912810CV Govt</stp>
        <stp>FIRST_CPN_DT</stp>
        <stp>[TREASURY.xlsx]Sheet1!R1310C9</stp>
        <tr r="I1310" s="1"/>
      </tp>
      <tp t="s">
        <v>10/15/1991</v>
        <stp/>
        <stp>##V3_BDPV12</stp>
        <stp>912827A4 Govt</stp>
        <stp>FIRST_CPN_DT</stp>
        <stp>[TREASURY.xlsx]Sheet1!R1547C9</stp>
        <tr r="I1547" s="1"/>
      </tp>
      <tp t="s">
        <v>5/15/2007</v>
        <stp/>
        <stp>##V3_BDPV12</stp>
        <stp>912828FX Govt</stp>
        <stp>FIRST_CPN_DT</stp>
        <stp>[TREASURY.xlsx]Sheet1!R1278C9</stp>
        <tr r="I1278" s="1"/>
      </tp>
      <tp t="s">
        <v>4/30/2015</v>
        <stp/>
        <stp>##V3_BDPV12</stp>
        <stp>912828F8 Govt</stp>
        <stp>FIRST_CPN_DT</stp>
        <stp>[TREASURY.xlsx]Sheet1!R1118C9</stp>
        <tr r="I1118" s="1"/>
      </tp>
      <tp t="s">
        <v>2/28/1993</v>
        <stp/>
        <stp>##V3_BDPV12</stp>
        <stp>912827G7 Govt</stp>
        <stp>FIRST_CPN_DT</stp>
        <stp>[TREASURY.xlsx]Sheet1!R1037C9</stp>
        <tr r="I1037" s="1"/>
      </tp>
      <tp t="s">
        <v>10/31/2005</v>
        <stp/>
        <stp>##V3_BDPV12</stp>
        <stp>912828DS Govt</stp>
        <stp>FIRST_CPN_DT</stp>
        <stp>[TREASURY.xlsx]Sheet1!R1428C9</stp>
        <tr r="I1428" s="1"/>
      </tp>
      <tp t="s">
        <v>2/15/1985</v>
        <stp/>
        <stp>##V3_BDPV12</stp>
        <stp>912810DL Govt</stp>
        <stp>FIRST_CPN_DT</stp>
        <stp>[TREASURY.xlsx]Sheet1!R1620C9</stp>
        <tr r="I1620" s="1"/>
      </tp>
      <tp t="s">
        <v>5/31/1992</v>
        <stp/>
        <stp>##V3_BDPV12</stp>
        <stp>912827D4 Govt</stp>
        <stp>FIRST_CPN_DT</stp>
        <stp>[TREASURY.xlsx]Sheet1!R1557C9</stp>
        <tr r="I1557" s="1"/>
      </tp>
      <tp t="s">
        <v>4/15/2006</v>
        <stp/>
        <stp>##V3_BDPV12</stp>
        <stp>912828EJ Govt</stp>
        <stp>FIRST_CPN_DT</stp>
        <stp>[TREASURY.xlsx]Sheet1!R1238C9</stp>
        <tr r="I1238" s="1"/>
      </tp>
      <tp t="s">
        <v>8/15/1993</v>
        <stp/>
        <stp>##V3_BDPV12</stp>
        <stp>912827J6 Govt</stp>
        <stp>FIRST_CPN_DT</stp>
        <stp>[TREASURY.xlsx]Sheet1!R1317C9</stp>
        <tr r="I1317" s="1"/>
      </tp>
      <tp t="s">
        <v>8/31/1980</v>
        <stp/>
        <stp>##V3_BDPV12</stp>
        <stp>912827KL Govt</stp>
        <stp>FIRST_CPN_DT</stp>
        <stp>[TREASURY.xlsx]Sheet1!R1377C9</stp>
        <tr r="I1377" s="1"/>
      </tp>
      <tp t="s">
        <v>9/15/2009</v>
        <stp/>
        <stp>##V3_BDPV12</stp>
        <stp>912828KG Govt</stp>
        <stp>FIRST_CPN_DT</stp>
        <stp>[TREASURY.xlsx]Sheet1!R1288C9</stp>
        <tr r="I1288" s="1"/>
      </tp>
      <tp t="s">
        <v>10/31/2015</v>
        <stp/>
        <stp>##V3_BDPV12</stp>
        <stp>912828K6 Govt</stp>
        <stp>FIRST_CPN_DT</stp>
        <stp>[TREASURY.xlsx]Sheet1!R1248C9</stp>
        <tr r="I1248" s="1"/>
      </tp>
      <tp t="s">
        <v>7/31/2008</v>
        <stp/>
        <stp>##V3_BDPV12</stp>
        <stp>912828HP Govt</stp>
        <stp>FIRST_CPN_DT</stp>
        <stp>[TREASURY.xlsx]Sheet1!R1438C9</stp>
        <tr r="I1438" s="1"/>
      </tp>
      <tp t="s">
        <v>5/31/1993</v>
        <stp/>
        <stp>##V3_BDPV12</stp>
        <stp>912827H8 Govt</stp>
        <stp>FIRST_CPN_DT</stp>
        <stp>[TREASURY.xlsx]Sheet1!R1487C9</stp>
        <tr r="I1487" s="1"/>
      </tp>
      <tp t="s">
        <v>4/30/1993</v>
        <stp/>
        <stp>##V3_BDPV12</stp>
        <stp>912827H4 Govt</stp>
        <stp>FIRST_CPN_DT</stp>
        <stp>[TREASURY.xlsx]Sheet1!R1157C9</stp>
        <tr r="I1157" s="1"/>
      </tp>
      <tp t="s">
        <v>3/15/2011</v>
        <stp/>
        <stp>##V3_BDPV12</stp>
        <stp>912828NY Govt</stp>
        <stp>FIRST_CPN_DT</stp>
        <stp>[TREASURY.xlsx]Sheet1!R1258C9</stp>
        <tr r="I1258" s="1"/>
      </tp>
      <tp t="s">
        <v>12/31/1981</v>
        <stp/>
        <stp>##V3_BDPV12</stp>
        <stp>912827LZ Govt</stp>
        <stp>FIRST_CPN_DT</stp>
        <stp>[TREASURY.xlsx]Sheet1!R1567C9</stp>
        <tr r="I1567" s="1"/>
      </tp>
      <tp t="s">
        <v>2/15/2010</v>
        <stp/>
        <stp>##V3_BDPV12</stp>
        <stp>912828LH Govt</stp>
        <stp>FIRST_CPN_DT</stp>
        <stp>[TREASURY.xlsx]Sheet1!R1128C9</stp>
        <tr r="I1128" s="1"/>
      </tp>
      <tp t="s">
        <v>6/30/1982</v>
        <stp/>
        <stp>##V3_BDPV12</stp>
        <stp>912827MR Govt</stp>
        <stp>FIRST_CPN_DT</stp>
        <stp>[TREASURY.xlsx]Sheet1!R1327C9</stp>
        <tr r="I1327" s="1"/>
      </tp>
      <tp t="s">
        <v>8/15/1982</v>
        <stp/>
        <stp>##V3_BDPV12</stp>
        <stp>912827MW Govt</stp>
        <stp>FIRST_CPN_DT</stp>
        <stp>[TREASURY.xlsx]Sheet1!R1047C9</stp>
        <tr r="I1047" s="1"/>
      </tp>
      <tp t="s">
        <v>5/15/1982</v>
        <stp/>
        <stp>##V3_BDPV12</stp>
        <stp>912827MD Govt</stp>
        <stp>FIRST_CPN_DT</stp>
        <stp>[TREASURY.xlsx]Sheet1!R1167C9</stp>
        <tr r="I1167" s="1"/>
      </tp>
      <tp t="s">
        <v>8/15/2018</v>
        <stp/>
        <stp>##V3_BDPV12</stp>
        <stp>9128283X Govt</stp>
        <stp>FIRST_CPN_DT</stp>
        <stp>[TREASURY.xlsx]Sheet1!R1269C9</stp>
        <tr r="I1269" s="1"/>
      </tp>
      <tp t="s">
        <v>8/15/1998</v>
        <stp/>
        <stp>##V3_BDPV12</stp>
        <stp>9128273W Govt</stp>
        <stp>FIRST_CPN_DT</stp>
        <stp>[TREASURY.xlsx]Sheet1!R1456C9</stp>
        <tr r="I1456" s="1"/>
      </tp>
      <tp t="s">
        <v>4/30/1998</v>
        <stp/>
        <stp>##V3_BDPV12</stp>
        <stp>9128273K Govt</stp>
        <stp>FIRST_CPN_DT</stp>
        <stp>[TREASURY.xlsx]Sheet1!R1356C9</stp>
        <tr r="I1356" s="1"/>
      </tp>
      <tp t="s">
        <v>2/15/1998</v>
        <stp/>
        <stp>##V3_BDPV12</stp>
        <stp>9128273E Govt</stp>
        <stp>FIRST_CPN_DT</stp>
        <stp>[TREASURY.xlsx]Sheet1!R1526C9</stp>
        <tr r="I1526" s="1"/>
      </tp>
      <tp t="s">
        <v>12/31/2001</v>
        <stp/>
        <stp>##V3_BDPV12</stp>
        <stp>9128276Z Govt</stp>
        <stp>FIRST_CPN_DT</stp>
        <stp>[TREASURY.xlsx]Sheet1!R1026C9</stp>
        <tr r="I1026" s="1"/>
      </tp>
      <tp t="s">
        <v>12/31/2000</v>
        <stp/>
        <stp>##V3_BDPV12</stp>
        <stp>9128276F Govt</stp>
        <stp>FIRST_CPN_DT</stp>
        <stp>[TREASURY.xlsx]Sheet1!R1466C9</stp>
        <tr r="I1466" s="1"/>
      </tp>
      <tp t="s">
        <v>11/30/2000</v>
        <stp/>
        <stp>##V3_BDPV12</stp>
        <stp>9128276E Govt</stp>
        <stp>FIRST_CPN_DT</stp>
        <stp>[TREASURY.xlsx]Sheet1!R1536C9</stp>
        <tr r="I1536" s="1"/>
      </tp>
      <tp t="s">
        <v>8/15/2002</v>
        <stp/>
        <stp>##V3_BDPV12</stp>
        <stp>9128277L Govt</stp>
        <stp>FIRST_CPN_DT</stp>
        <stp>[TREASURY.xlsx]Sheet1!R1546C9</stp>
        <tr r="I1546" s="1"/>
      </tp>
      <tp t="s">
        <v>12/31/1998</v>
        <stp/>
        <stp>##V3_BDPV12</stp>
        <stp>9128274K Govt</stp>
        <stp>FIRST_CPN_DT</stp>
        <stp>[TREASURY.xlsx]Sheet1!R1366C9</stp>
        <tr r="I1366" s="1"/>
      </tp>
      <tp t="s">
        <v>2/29/2000</v>
        <stp/>
        <stp>##V3_BDPV12</stp>
        <stp>9128275P Govt</stp>
        <stp>FIRST_CPN_DT</stp>
        <stp>[TREASURY.xlsx]Sheet1!R1016C9</stp>
        <tr r="I1016" s="1"/>
      </tp>
      <tp>
        <v>0.125</v>
        <stp/>
        <stp>##V3_BDPV12</stp>
        <stp>91282CAC Govt</stp>
        <stp>CPN</stp>
        <stp>[TREASURY.xlsx]Sheet1!R120C3</stp>
        <tr r="C120" s="1"/>
      </tp>
      <tp>
        <v>0.125</v>
        <stp/>
        <stp>##V3_BDPV12</stp>
        <stp>91282CAF Govt</stp>
        <stp>CPN</stp>
        <stp>[TREASURY.xlsx]Sheet1!R195C3</stp>
        <tr r="C195" s="1"/>
      </tp>
      <tp>
        <v>2.5</v>
        <stp/>
        <stp>##V3_BDPV12</stp>
        <stp>9128286F Govt</stp>
        <stp>CPN</stp>
        <stp>[TREASURY.xlsx]Sheet1!R225C3</stp>
        <tr r="C225" s="1"/>
      </tp>
      <tp>
        <v>2.625</v>
        <stp/>
        <stp>##V3_BDPV12</stp>
        <stp>9128284F Govt</stp>
        <stp>CPN</stp>
        <stp>[TREASURY.xlsx]Sheet1!R285C3</stp>
        <tr r="C285" s="1"/>
      </tp>
      <tp>
        <v>1.625</v>
        <stp/>
        <stp>##V3_BDPV12</stp>
        <stp>912828CB Govt</stp>
        <stp>CPN</stp>
        <stp>[TREASURY.xlsx]Sheet1!R331C3</stp>
        <tr r="C331" s="1"/>
      </tp>
      <tp>
        <v>1.125</v>
        <stp/>
        <stp>##V3_BDPV12</stp>
        <stp>9128282F Govt</stp>
        <stp>CPN</stp>
        <stp>[TREASURY.xlsx]Sheet1!R345C3</stp>
        <tr r="C345" s="1"/>
      </tp>
      <tp>
        <v>8.375</v>
        <stp/>
        <stp>##V3_BDPV12</stp>
        <stp>912827WB Govt</stp>
        <stp>CPN</stp>
        <stp>[TREASURY.xlsx]Sheet1!R931C3</stp>
        <tr r="C931" s="1"/>
      </tp>
      <tp>
        <v>0.5</v>
        <stp/>
        <stp>##V3_BDPV12</stp>
        <stp>912828TG Govt</stp>
        <stp>CPN</stp>
        <stp>[TREASURY.xlsx]Sheet1!R654C3</stp>
        <tr r="C654" s="1"/>
      </tp>
      <tp>
        <v>8.25</v>
        <stp/>
        <stp>##V3_BDPV12</stp>
        <stp>912827YA Govt</stp>
        <stp>CPN</stp>
        <stp>[TREASURY.xlsx]Sheet1!R942C3</stp>
        <tr r="C942" s="1"/>
      </tp>
      <tp>
        <v>7.75</v>
        <stp/>
        <stp>##V3_BDPV12</stp>
        <stp>912827YG Govt</stp>
        <stp>CPN</stp>
        <stp>[TREASURY.xlsx]Sheet1!R944C3</stp>
        <tr r="C944" s="1"/>
      </tp>
      <tp>
        <v>15.375</v>
        <stp/>
        <stp>##V3_BDPV12</stp>
        <stp>912827MK Govt</stp>
        <stp>CPN</stp>
        <stp>[TREASURY.xlsx]Sheet1!R898C3</stp>
        <tr r="C898" s="1"/>
      </tp>
      <tp>
        <v>5.125</v>
        <stp/>
        <stp>##V3_BDPV12</stp>
        <stp>912828FJ Govt</stp>
        <stp>CPN</stp>
        <stp>[TREASURY.xlsx]Sheet1!R799C3</stp>
        <tr r="C799" s="1"/>
      </tp>
      <tp>
        <v>1.1430831845296086</v>
        <stp/>
        <stp>##V3_BDPV12</stp>
        <stp>912810FB Govt</stp>
        <stp>YLD_YTM_BID</stp>
        <stp>[TREASURY.xlsx]Sheet1!R320C4</stp>
        <tr r="D320" s="1"/>
      </tp>
      <tp>
        <v>2.25</v>
        <stp/>
        <stp>##V3_BDPV12</stp>
        <stp>912828CF Govt</stp>
        <stp>CPN</stp>
        <stp>[TREASURY.xlsx]Sheet1!R465C3</stp>
        <tr r="C465" s="1"/>
      </tp>
      <tp>
        <v>5.125</v>
        <stp/>
        <stp>##V3_BDPV12</stp>
        <stp>912828FF Govt</stp>
        <stp>CPN</stp>
        <stp>[TREASURY.xlsx]Sheet1!R475C3</stp>
        <tr r="C475" s="1"/>
      </tp>
      <tp>
        <v>0.75</v>
        <stp/>
        <stp>##V3_BDPV12</stp>
        <stp>912828UE Govt</stp>
        <stp>CPN</stp>
        <stp>[TREASURY.xlsx]Sheet1!R446C3</stp>
        <tr r="C446" s="1"/>
      </tp>
      <tp>
        <v>0.875</v>
        <stp/>
        <stp>##V3_BDPV12</stp>
        <stp>912828SJ Govt</stp>
        <stp>CPN</stp>
        <stp>[TREASURY.xlsx]Sheet1!R489C3</stp>
        <tr r="C489" s="1"/>
      </tp>
      <tp>
        <v>3.125</v>
        <stp/>
        <stp>##V3_BDPV12</stp>
        <stp>912828MK Govt</stp>
        <stp>CPN</stp>
        <stp>[TREASURY.xlsx]Sheet1!R538C3</stp>
        <tr r="C538" s="1"/>
      </tp>
      <tp>
        <v>3.5</v>
        <stp/>
        <stp>##V3_BDPV12</stp>
        <stp>912828DB Govt</stp>
        <stp>CPN</stp>
        <stp>[TREASURY.xlsx]Sheet1!R591C3</stp>
        <tr r="C591" s="1"/>
      </tp>
      <tp>
        <v>3</v>
        <stp/>
        <stp>##V3_BDPV12</stp>
        <stp>9128277K Govt</stp>
        <stp>CPN</stp>
        <stp>[TREASURY.xlsx]Sheet1!R528C3</stp>
        <tr r="C528" s="1"/>
      </tp>
      <tp>
        <v>14</v>
        <stp/>
        <stp>##V3_BDPV12</stp>
        <stp>912827MB Govt</stp>
        <stp>CPN</stp>
        <stp>[TREASURY.xlsx]Sheet1!R721C3</stp>
        <tr r="C721" s="1"/>
      </tp>
      <tp>
        <v>13.875</v>
        <stp/>
        <stp>##V3_BDPV12</stp>
        <stp>912827NC Govt</stp>
        <stp>CPN</stp>
        <stp>[TREASURY.xlsx]Sheet1!R730C3</stp>
        <tr r="C730" s="1"/>
      </tp>
      <tp>
        <v>12</v>
        <stp/>
        <stp>##V3_BDPV12</stp>
        <stp>912827KK Govt</stp>
        <stp>CPN</stp>
        <stp>[TREASURY.xlsx]Sheet1!R708C3</stp>
        <tr r="C708" s="1"/>
      </tp>
      <tp>
        <v>7.625</v>
        <stp/>
        <stp>##V3_BDPV12</stp>
        <stp>912827VC Govt</stp>
        <stp>CPN</stp>
        <stp>[TREASURY.xlsx]Sheet1!R760C3</stp>
        <tr r="C760" s="1"/>
      </tp>
      <tp>
        <v>2.5</v>
        <stp/>
        <stp>##V3_BDPV12</stp>
        <stp>912828NK Govt</stp>
        <stp>CPN</stp>
        <stp>[TREASURY.xlsx]Sheet1!R978C3</stp>
        <tr r="C978" s="1"/>
      </tp>
      <tp>
        <v>8.625</v>
        <stp/>
        <stp>##V3_BDPV12</stp>
        <stp>912827VE Govt</stp>
        <stp>CPN</stp>
        <stp>[TREASURY.xlsx]Sheet1!R626C3</stp>
        <tr r="C626" s="1"/>
      </tp>
      <tp>
        <v>0.875</v>
        <stp/>
        <stp>##V3_BDPV12</stp>
        <stp>912828UJ Govt</stp>
        <stp>CPN</stp>
        <stp>[TREASURY.xlsx]Sheet1!R999C3</stp>
        <tr r="C999" s="1"/>
      </tp>
      <tp t="s">
        <v>#N/A N/A</v>
        <stp/>
        <stp>##V3_BDPV12</stp>
        <stp>912828AK Govt</stp>
        <stp>YLD_YTM_BID</stp>
        <stp>[TREASURY.xlsx]Sheet1!R959C4</stp>
        <tr r="D959" s="1"/>
      </tp>
      <tp t="s">
        <v>#N/A N/A</v>
        <stp/>
        <stp>##V3_BDPV12</stp>
        <stp>912828NE Govt</stp>
        <stp>YLD_YTM_BID</stp>
        <stp>[TREASURY.xlsx]Sheet1!R977C4</stp>
        <tr r="D977" s="1"/>
      </tp>
      <tp t="s">
        <v>#N/A N/A</v>
        <stp/>
        <stp>##V3_BDPV12</stp>
        <stp>912828LG Govt</stp>
        <stp>YLD_YTM_BID</stp>
        <stp>[TREASURY.xlsx]Sheet1!R815C4</stp>
        <tr r="D815" s="1"/>
      </tp>
      <tp t="s">
        <v>#N/A N/A</v>
        <stp/>
        <stp>##V3_BDPV12</stp>
        <stp>912827XC Govt</stp>
        <stp>YLD_YTM_BID</stp>
        <stp>[TREASURY.xlsx]Sheet1!R771C4</stp>
        <tr r="D771" s="1"/>
      </tp>
      <tp t="s">
        <v>#N/A N/A</v>
        <stp/>
        <stp>##V3_BDPV12</stp>
        <stp>9128276J Govt</stp>
        <stp>YLD_YTM_BID</stp>
        <stp>[TREASURY.xlsx]Sheet1!R438C4</stp>
        <tr r="D438" s="1"/>
      </tp>
      <tp t="s">
        <v>#N/A N/A</v>
        <stp/>
        <stp>##V3_BDPV12</stp>
        <stp>912828LF Govt</stp>
        <stp>YLD_YTM_BID</stp>
        <stp>[TREASURY.xlsx]Sheet1!R584C4</stp>
        <tr r="D584" s="1"/>
      </tp>
      <tp>
        <v>3.875</v>
        <stp/>
        <stp>##V3_BDPV12</stp>
        <stp>912810QK Govt</stp>
        <stp>CPN</stp>
        <stp>[TREASURY.xlsx]Sheet1!R238C3</stp>
        <tr r="C238" s="1"/>
      </tp>
      <tp t="s">
        <v>#N/A N/A</v>
        <stp/>
        <stp>##V3_BDPV12</stp>
        <stp>912828UB Govt</stp>
        <stp>YLD_YTM_BID</stp>
        <stp>[TREASURY.xlsx]Sheet1!R540C4</stp>
        <tr r="D540" s="1"/>
      </tp>
      <tp t="s">
        <v>#N/A N/A</v>
        <stp/>
        <stp>##V3_BDPV12</stp>
        <stp>912828UD Govt</stp>
        <stp>YLD_YTM_BID</stp>
        <stp>[TREASURY.xlsx]Sheet1!R586C4</stp>
        <tr r="D586" s="1"/>
      </tp>
      <tp>
        <v>3.375</v>
        <stp/>
        <stp>##V3_BDPV12</stp>
        <stp>912810RG Govt</stp>
        <stp>CPN</stp>
        <stp>[TREASURY.xlsx]Sheet1!R284C3</stp>
        <tr r="C284" s="1"/>
      </tp>
      <tp>
        <v>13.25</v>
        <stp/>
        <stp>##V3_BDPV12</stp>
        <stp>912810DJ Govt</stp>
        <stp>CPN</stp>
        <stp>[TREASURY.xlsx]Sheet1!R399C3</stp>
        <tr r="C399" s="1"/>
      </tp>
      <tp t="s">
        <v>#N/A N/A</v>
        <stp/>
        <stp>##V3_BDPV12</stp>
        <stp>912828BC Govt</stp>
        <stp>YLD_YTM_BID</stp>
        <stp>[TREASURY.xlsx]Sheet1!R641C4</stp>
        <tr r="D641" s="1"/>
      </tp>
      <tp t="s">
        <v>#N/A N/A</v>
        <stp/>
        <stp>##V3_BDPV12</stp>
        <stp>912827SD Govt</stp>
        <stp>YLD_YTM_BID</stp>
        <stp>[TREASURY.xlsx]Sheet1!R916C4</stp>
        <tr r="D916" s="1"/>
      </tp>
      <tp t="s">
        <v>#N/A N/A</v>
        <stp/>
        <stp>##V3_BDPV12</stp>
        <stp>912828VF Govt</stp>
        <stp>YLD_YTM_BID</stp>
        <stp>[TREASURY.xlsx]Sheet1!R694C4</stp>
        <tr r="D694" s="1"/>
      </tp>
      <tp>
        <v>9.3409938413634361E-2</v>
        <stp/>
        <stp>##V3_BDPV12</stp>
        <stp>912828YA Govt</stp>
        <stp>YLD_YTM_BID</stp>
        <stp>[TREASURY.xlsx]Sheet1!R183C4</stp>
        <tr r="D183" s="1"/>
      </tp>
      <tp>
        <v>0.3071867730699856</v>
        <stp/>
        <stp>##V3_BDPV12</stp>
        <stp>9128285K Govt</stp>
        <stp>YLD_YTM_BID</stp>
        <stp>[TREASURY.xlsx]Sheet1!R229C4</stp>
        <tr r="D229" s="1"/>
      </tp>
      <tp>
        <v>0.79410384959807023</v>
        <stp/>
        <stp>##V3_BDPV12</stp>
        <stp>9128285J Govt</stp>
        <stp>YLD_YTM_BID</stp>
        <stp>[TREASURY.xlsx]Sheet1!R248C4</stp>
        <tr r="D248" s="1"/>
      </tp>
      <tp t="s">
        <v>#N/A N/A</v>
        <stp/>
        <stp>##V3_BDPV12</stp>
        <stp>9128285A Govt</stp>
        <stp>YLD_YTM_BID</stp>
        <stp>[TREASURY.xlsx]Sheet1!R283C4</stp>
        <tr r="D283" s="1"/>
      </tp>
      <tp t="s">
        <v>3/31/1982</v>
        <stp/>
        <stp>##V3_BDPV12</stp>
        <stp>912827MH Govt</stp>
        <stp>FIRST_CPN_DT</stp>
        <stp>[TREASURY.xlsx]Sheet1!R544C9</stp>
        <tr r="I544" s="1"/>
      </tp>
      <tp t="s">
        <v>5/15/1983</v>
        <stp/>
        <stp>##V3_BDPV12</stp>
        <stp>912827NV Govt</stp>
        <stp>FIRST_CPN_DT</stp>
        <stp>[TREASURY.xlsx]Sheet1!R734C9</stp>
        <tr r="I734" s="1"/>
      </tp>
      <tp t="s">
        <v>7/15/1982</v>
        <stp/>
        <stp>##V3_BDPV12</stp>
        <stp>912827MT Govt</stp>
        <stp>FIRST_CPN_DT</stp>
        <stp>[TREASURY.xlsx]Sheet1!R724C9</stp>
        <tr r="I724" s="1"/>
      </tp>
      <tp t="s">
        <v>2/28/1994</v>
        <stp/>
        <stp>##V3_BDPV12</stp>
        <stp>912827L9 Govt</stp>
        <stp>FIRST_CPN_DT</stp>
        <stp>[TREASURY.xlsx]Sheet1!R714C9</stp>
        <tr r="I714" s="1"/>
      </tp>
      <tp t="s">
        <v>4/15/1993</v>
        <stp/>
        <stp>##V3_BDPV12</stp>
        <stp>912827H2 Govt</stp>
        <stp>FIRST_CPN_DT</stp>
        <stp>[TREASURY.xlsx]Sheet1!R704C9</stp>
        <tr r="I704" s="1"/>
      </tp>
      <tp t="s">
        <v>8/15/1980</v>
        <stp/>
        <stp>##V3_BDPV12</stp>
        <stp>912827KJ Govt</stp>
        <stp>FIRST_CPN_DT</stp>
        <stp>[TREASURY.xlsx]Sheet1!R884C9</stp>
        <tr r="I884" s="1"/>
      </tp>
      <tp t="s">
        <v>11/15/1981</v>
        <stp/>
        <stp>##V3_BDPV12</stp>
        <stp>912827LY Govt</stp>
        <stp>FIRST_CPN_DT</stp>
        <stp>[TREASURY.xlsx]Sheet1!R894C9</stp>
        <tr r="I894" s="1"/>
      </tp>
      <tp t="s">
        <v>2/15/1984</v>
        <stp/>
        <stp>##V3_BDPV12</stp>
        <stp>912827PP Govt</stp>
        <stp>FIRST_CPN_DT</stp>
        <stp>[TREASURY.xlsx]Sheet1!R904C9</stp>
        <tr r="I904" s="1"/>
      </tp>
      <tp t="s">
        <v>7/31/1985</v>
        <stp/>
        <stp>##V3_BDPV12</stp>
        <stp>912827RU Govt</stp>
        <stp>FIRST_CPN_DT</stp>
        <stp>[TREASURY.xlsx]Sheet1!R914C9</stp>
        <tr r="I914" s="1"/>
      </tp>
      <tp t="s">
        <v>6/30/1986</v>
        <stp/>
        <stp>##V3_BDPV12</stp>
        <stp>912827TA Govt</stp>
        <stp>FIRST_CPN_DT</stp>
        <stp>[TREASURY.xlsx]Sheet1!R834C9</stp>
        <tr r="I834" s="1"/>
      </tp>
      <tp t="s">
        <v>3/31/1991</v>
        <stp/>
        <stp>##V3_BDPV12</stp>
        <stp>912827ZH Govt</stp>
        <stp>FIRST_CPN_DT</stp>
        <stp>[TREASURY.xlsx]Sheet1!R634C9</stp>
        <tr r="I634" s="1"/>
      </tp>
      <tp t="s">
        <v>3/31/1988</v>
        <stp/>
        <stp>##V3_BDPV12</stp>
        <stp>912827VH Govt</stp>
        <stp>FIRST_CPN_DT</stp>
        <stp>[TREASURY.xlsx]Sheet1!R924C9</stp>
        <tr r="I924" s="1"/>
      </tp>
      <tp t="s">
        <v>1/15/1990</v>
        <stp/>
        <stp>##V3_BDPV12</stp>
        <stp>912827XT Govt</stp>
        <stp>FIRST_CPN_DT</stp>
        <stp>[TREASURY.xlsx]Sheet1!R774C9</stp>
        <tr r="I774" s="1"/>
      </tp>
      <tp t="s">
        <v>9/30/1990</v>
        <stp/>
        <stp>##V3_BDPV12</stp>
        <stp>912827YR Govt</stp>
        <stp>FIRST_CPN_DT</stp>
        <stp>[TREASURY.xlsx]Sheet1!R684C9</stp>
        <tr r="I684" s="1"/>
      </tp>
      <tp t="s">
        <v>8/15/1990</v>
        <stp/>
        <stp>##V3_BDPV12</stp>
        <stp>912827YG Govt</stp>
        <stp>FIRST_CPN_DT</stp>
        <stp>[TREASURY.xlsx]Sheet1!R944C9</stp>
        <tr r="I944" s="1"/>
      </tp>
      <tp t="s">
        <v>6/30/1988</v>
        <stp/>
        <stp>##V3_BDPV12</stp>
        <stp>912827VR Govt</stp>
        <stp>FIRST_CPN_DT</stp>
        <stp>[TREASURY.xlsx]Sheet1!R764C9</stp>
        <tr r="I764" s="1"/>
      </tp>
      <tp t="s">
        <v>10/31/1996</v>
        <stp/>
        <stp>##V3_BDPV12</stp>
        <stp>912827X5 Govt</stp>
        <stp>FIRST_CPN_DT</stp>
        <stp>[TREASURY.xlsx]Sheet1!R934C9</stp>
        <tr r="I934" s="1"/>
      </tp>
      <tp t="s">
        <v>4/30/1987</v>
        <stp/>
        <stp>##V3_BDPV12</stp>
        <stp>912827UC Govt</stp>
        <stp>FIRST_CPN_DT</stp>
        <stp>[TREASURY.xlsx]Sheet1!R754C9</stp>
        <tr r="I754" s="1"/>
      </tp>
      <tp t="s">
        <v>6/30/1991</v>
        <stp/>
        <stp>##V3_BDPV12</stp>
        <stp>912827ZS Govt</stp>
        <stp>FIRST_CPN_DT</stp>
        <stp>[TREASURY.xlsx]Sheet1!R954C9</stp>
        <tr r="I954" s="1"/>
      </tp>
      <tp t="s">
        <v>2/15/1985</v>
        <stp/>
        <stp>##V3_BDPV12</stp>
        <stp>912827RB Govt</stp>
        <stp>FIRST_CPN_DT</stp>
        <stp>[TREASURY.xlsx]Sheet1!R744C9</stp>
        <tr r="I744" s="1"/>
      </tp>
      <tp t="s">
        <v>2/15/2000</v>
        <stp/>
        <stp>##V3_BDPV12</stp>
        <stp>9128275N Govt</stp>
        <stp>FIRST_CPN_DT</stp>
        <stp>[TREASURY.xlsx]Sheet1!R674C9</stp>
        <tr r="I674" s="1"/>
      </tp>
      <tp t="s">
        <v>2/15/2002</v>
        <stp/>
        <stp>##V3_BDPV12</stp>
        <stp>9128277B Govt</stp>
        <stp>FIRST_CPN_DT</stp>
        <stp>[TREASURY.xlsx]Sheet1!R354C9</stp>
        <tr r="I354" s="1"/>
      </tp>
      <tp t="s">
        <v>8/15/1986</v>
        <stp/>
        <stp>##V3_BDPV12</stp>
        <stp>912810DV Govt</stp>
        <stp>FIRST_CPN_DT</stp>
        <stp>[TREASURY.xlsx]Sheet1!R527C9</stp>
        <tr r="I527" s="1"/>
      </tp>
      <tp t="s">
        <v>5/15/1985</v>
        <stp/>
        <stp>##V3_BDPV12</stp>
        <stp>912810DM Govt</stp>
        <stp>FIRST_CPN_DT</stp>
        <stp>[TREASURY.xlsx]Sheet1!R697C9</stp>
        <tr r="I697" s="1"/>
      </tp>
      <tp t="s">
        <v>2/15/2000</v>
        <stp/>
        <stp>##V3_BDPV12</stp>
        <stp>912810FJ Govt</stp>
        <stp>FIRST_CPN_DT</stp>
        <stp>[TREASURY.xlsx]Sheet1!R267C9</stp>
        <tr r="I267" s="1"/>
      </tp>
      <tp t="s">
        <v>2/15/1992</v>
        <stp/>
        <stp>##V3_BDPV12</stp>
        <stp>912810EK Govt</stp>
        <stp>FIRST_CPN_DT</stp>
        <stp>[TREASURY.xlsx]Sheet1!R357C9</stp>
        <tr r="I357" s="1"/>
      </tp>
      <tp t="s">
        <v>8/15/1993</v>
        <stp/>
        <stp>##V3_BDPV12</stp>
        <stp>912810EP Govt</stp>
        <stp>FIRST_CPN_DT</stp>
        <stp>[TREASURY.xlsx]Sheet1!R317C9</stp>
        <tr r="I317" s="1"/>
      </tp>
      <tp t="s">
        <v>8/15/1996</v>
        <stp/>
        <stp>##V3_BDPV12</stp>
        <stp>912810EW Govt</stp>
        <stp>FIRST_CPN_DT</stp>
        <stp>[TREASURY.xlsx]Sheet1!R277C9</stp>
        <tr r="I277" s="1"/>
      </tp>
      <tp t="s">
        <v>8/15/2019</v>
        <stp/>
        <stp>##V3_BDPV12</stp>
        <stp>912810SF Govt</stp>
        <stp>FIRST_CPN_DT</stp>
        <stp>[TREASURY.xlsx]Sheet1!R177C9</stp>
        <tr r="I177" s="1"/>
      </tp>
      <tp t="s">
        <v>11/15/2017</v>
        <stp/>
        <stp>##V3_BDPV12</stp>
        <stp>912810RX Govt</stp>
        <stp>FIRST_CPN_DT</stp>
        <stp>[TREASURY.xlsx]Sheet1!R197C9</stp>
        <tr r="I197" s="1"/>
      </tp>
      <tp t="s">
        <v>5/15/2012</v>
        <stp/>
        <stp>##V3_BDPV12</stp>
        <stp>912810QT Govt</stp>
        <stp>FIRST_CPN_DT</stp>
        <stp>[TREASURY.xlsx]Sheet1!R237C9</stp>
        <tr r="I237" s="1"/>
      </tp>
      <tp t="s">
        <v>8/15/2012</v>
        <stp/>
        <stp>##V3_BDPV12</stp>
        <stp>912810QU Govt</stp>
        <stp>FIRST_CPN_DT</stp>
        <stp>[TREASURY.xlsx]Sheet1!R287C9</stp>
        <tr r="I287" s="1"/>
      </tp>
      <tp t="s">
        <v>8/15/2009</v>
        <stp/>
        <stp>##V3_BDPV12</stp>
        <stp>912828KD Govt</stp>
        <stp>FIRST_CPN_DT</stp>
        <stp>[TREASURY.xlsx]Sheet1!R364C9</stp>
        <tr r="I364" s="1"/>
      </tp>
      <tp t="s">
        <v>6/30/2010</v>
        <stp/>
        <stp>##V3_BDPV12</stp>
        <stp>912828ME Govt</stp>
        <stp>FIRST_CPN_DT</stp>
        <stp>[TREASURY.xlsx]Sheet1!R574C9</stp>
        <tr r="I574" s="1"/>
      </tp>
      <tp t="s">
        <v>9/30/2015</v>
        <stp/>
        <stp>##V3_BDPV12</stp>
        <stp>912828J7 Govt</stp>
        <stp>FIRST_CPN_DT</stp>
        <stp>[TREASURY.xlsx]Sheet1!R204C9</stp>
        <tr r="I204" s="1"/>
      </tp>
      <tp t="s">
        <v>12/31/2009</v>
        <stp/>
        <stp>##V3_BDPV12</stp>
        <stp>912828LF Govt</stp>
        <stp>FIRST_CPN_DT</stp>
        <stp>[TREASURY.xlsx]Sheet1!R584C9</stp>
        <tr r="I584" s="1"/>
      </tp>
      <tp t="s">
        <v>9/30/2010</v>
        <stp/>
        <stp>##V3_BDPV12</stp>
        <stp>912828MU Govt</stp>
        <stp>FIRST_CPN_DT</stp>
        <stp>[TREASURY.xlsx]Sheet1!R494C9</stp>
        <tr r="I494" s="1"/>
      </tp>
      <tp t="s">
        <v>2/15/2006</v>
        <stp/>
        <stp>##V3_BDPV12</stp>
        <stp>912828ED Govt</stp>
        <stp>FIRST_CPN_DT</stp>
        <stp>[TREASURY.xlsx]Sheet1!R964C9</stp>
        <tr r="I964" s="1"/>
      </tp>
      <tp t="s">
        <v>6/30/2008</v>
        <stp/>
        <stp>##V3_BDPV12</stp>
        <stp>912828HL Govt</stp>
        <stp>FIRST_CPN_DT</stp>
        <stp>[TREASURY.xlsx]Sheet1!R424C9</stp>
        <tr r="I424" s="1"/>
      </tp>
      <tp t="s">
        <v>12/31/2009</v>
        <stp/>
        <stp>##V3_BDPV12</stp>
        <stp>912828KY Govt</stp>
        <stp>FIRST_CPN_DT</stp>
        <stp>[TREASURY.xlsx]Sheet1!R644C9</stp>
        <tr r="I644" s="1"/>
      </tp>
      <tp t="s">
        <v>12/31/2006</v>
        <stp/>
        <stp>##V3_BDPV12</stp>
        <stp>912828FK Govt</stp>
        <stp>FIRST_CPN_DT</stp>
        <stp>[TREASURY.xlsx]Sheet1!R844C9</stp>
        <tr r="I844" s="1"/>
      </tp>
      <tp t="s">
        <v>11/30/2007</v>
        <stp/>
        <stp>##V3_BDPV12</stp>
        <stp>912828GT Govt</stp>
        <stp>FIRST_CPN_DT</stp>
        <stp>[TREASURY.xlsx]Sheet1!R804C9</stp>
        <tr r="I804" s="1"/>
      </tp>
      <tp t="s">
        <v>4/30/2016</v>
        <stp/>
        <stp>##V3_BDPV12</stp>
        <stp>912828M4 Govt</stp>
        <stp>FIRST_CPN_DT</stp>
        <stp>[TREASURY.xlsx]Sheet1!R254C9</stp>
        <tr r="I254" s="1"/>
      </tp>
      <tp t="s">
        <v>9/30/2004</v>
        <stp/>
        <stp>##V3_BDPV12</stp>
        <stp>912828CD Govt</stp>
        <stp>FIRST_CPN_DT</stp>
        <stp>[TREASURY.xlsx]Sheet1!R384C9</stp>
        <tr r="I384" s="1"/>
      </tp>
      <tp t="s">
        <v>6/15/2006</v>
        <stp/>
        <stp>##V3_BDPV12</stp>
        <stp>912828EQ Govt</stp>
        <stp>FIRST_CPN_DT</stp>
        <stp>[TREASURY.xlsx]Sheet1!R524C9</stp>
        <tr r="I524" s="1"/>
      </tp>
      <tp t="s">
        <v>3/31/2007</v>
        <stp/>
        <stp>##V3_BDPV12</stp>
        <stp>912828FU Govt</stp>
        <stp>FIRST_CPN_DT</stp>
        <stp>[TREASURY.xlsx]Sheet1!R614C9</stp>
        <tr r="I614" s="1"/>
      </tp>
      <tp t="s">
        <v>2/15/2006</v>
        <stp/>
        <stp>##V3_BDPV12</stp>
        <stp>912828EC Govt</stp>
        <stp>FIRST_CPN_DT</stp>
        <stp>[TREASURY.xlsx]Sheet1!R794C9</stp>
        <tr r="I794" s="1"/>
      </tp>
      <tp t="s">
        <v>2/28/2009</v>
        <stp/>
        <stp>##V3_BDPV12</stp>
        <stp>912828JK Govt</stp>
        <stp>FIRST_CPN_DT</stp>
        <stp>[TREASURY.xlsx]Sheet1!R854C9</stp>
        <tr r="I854" s="1"/>
      </tp>
      <tp t="s">
        <v>11/15/2007</v>
        <stp/>
        <stp>##V3_BDPV12</stp>
        <stp>912828GR Govt</stp>
        <stp>FIRST_CPN_DT</stp>
        <stp>[TREASURY.xlsx]Sheet1!R504C9</stp>
        <tr r="I504" s="1"/>
      </tp>
      <tp t="s">
        <v>12/31/2009</v>
        <stp/>
        <stp>##V3_BDPV12</stp>
        <stp>912828KZ Govt</stp>
        <stp>FIRST_CPN_DT</stp>
        <stp>[TREASURY.xlsx]Sheet1!R974C9</stp>
        <tr r="I974" s="1"/>
      </tp>
      <tp t="s">
        <v>6/30/2006</v>
        <stp/>
        <stp>##V3_BDPV12</stp>
        <stp>912828ER Govt</stp>
        <stp>FIRST_CPN_DT</stp>
        <stp>[TREASURY.xlsx]Sheet1!R604C9</stp>
        <tr r="I604" s="1"/>
      </tp>
      <tp t="s">
        <v>2/15/2007</v>
        <stp/>
        <stp>##V3_BDPV12</stp>
        <stp>912828FQ Govt</stp>
        <stp>FIRST_CPN_DT</stp>
        <stp>[TREASURY.xlsx]Sheet1!R534C9</stp>
        <tr r="I534" s="1"/>
      </tp>
      <tp t="s">
        <v>1/31/2010</v>
        <stp/>
        <stp>##V3_BDPV12</stp>
        <stp>912828LD Govt</stp>
        <stp>FIRST_CPN_DT</stp>
        <stp>[TREASURY.xlsx]Sheet1!R814C9</stp>
        <tr r="I814" s="1"/>
      </tp>
      <tp t="s">
        <v>8/15/2003</v>
        <stp/>
        <stp>##V3_BDPV12</stp>
        <stp>912828AU Govt</stp>
        <stp>FIRST_CPN_DT</stp>
        <stp>[TREASURY.xlsx]Sheet1!R474C9</stp>
        <tr r="I474" s="1"/>
      </tp>
      <tp t="s">
        <v>5/15/2007</v>
        <stp/>
        <stp>##V3_BDPV12</stp>
        <stp>912828FY Govt</stp>
        <stp>FIRST_CPN_DT</stp>
        <stp>[TREASURY.xlsx]Sheet1!R394C9</stp>
        <tr r="I394" s="1"/>
      </tp>
      <tp t="s">
        <v>9/30/2010</v>
        <stp/>
        <stp>##V3_BDPV12</stp>
        <stp>912828MV Govt</stp>
        <stp>FIRST_CPN_DT</stp>
        <stp>[TREASURY.xlsx]Sheet1!R824C9</stp>
        <tr r="I824" s="1"/>
      </tp>
      <tp t="s">
        <v>6/30/2014</v>
        <stp/>
        <stp>##V3_BDPV12</stp>
        <stp>912828A8 Govt</stp>
        <stp>FIRST_CPN_DT</stp>
        <stp>[TREASURY.xlsx]Sheet1!R434C9</stp>
        <tr r="I434" s="1"/>
      </tp>
      <tp t="s">
        <v>1/15/2011</v>
        <stp/>
        <stp>##V3_BDPV12</stp>
        <stp>912828NN Govt</stp>
        <stp>FIRST_CPN_DT</stp>
        <stp>[TREASURY.xlsx]Sheet1!R864C9</stp>
        <tr r="I864" s="1"/>
      </tp>
      <tp t="s">
        <v>2/15/2005</v>
        <stp/>
        <stp>##V3_BDPV12</stp>
        <stp>912828CT Govt</stp>
        <stp>FIRST_CPN_DT</stp>
        <stp>[TREASURY.xlsx]Sheet1!R514C9</stp>
        <tr r="I514" s="1"/>
      </tp>
      <tp t="s">
        <v>5/31/2020</v>
        <stp/>
        <stp>##V3_BDPV12</stp>
        <stp>912828YU Govt</stp>
        <stp>FIRST_CPN_DT</stp>
        <stp>[TREASURY.xlsx]Sheet1!R174C9</stp>
        <tr r="I174" s="1"/>
      </tp>
      <tp t="s">
        <v>6/30/2020</v>
        <stp/>
        <stp>##V3_BDPV12</stp>
        <stp>912828YX Govt</stp>
        <stp>FIRST_CPN_DT</stp>
        <stp>[TREASURY.xlsx]Sheet1!R104C9</stp>
        <tr r="I104" s="1"/>
      </tp>
      <tp t="s">
        <v>7/31/2020</v>
        <stp/>
        <stp>##V3_BDPV12</stp>
        <stp>912828Z6 Govt</stp>
        <stp>FIRST_CPN_DT</stp>
        <stp>[TREASURY.xlsx]Sheet1!R234C9</stp>
        <tr r="I234" s="1"/>
      </tp>
      <tp t="s">
        <v>6/30/2011</v>
        <stp/>
        <stp>##V3_BDPV12</stp>
        <stp>912828PN Govt</stp>
        <stp>FIRST_CPN_DT</stp>
        <stp>[TREASURY.xlsx]Sheet1!R984C9</stp>
        <tr r="I984" s="1"/>
      </tp>
      <tp t="s">
        <v>10/31/2017</v>
        <stp/>
        <stp>##V3_BDPV12</stp>
        <stp>912828X4 Govt</stp>
        <stp>FIRST_CPN_DT</stp>
        <stp>[TREASURY.xlsx]Sheet1!R224C9</stp>
        <tr r="I224" s="1"/>
      </tp>
      <tp t="s">
        <v>1/15/2021</v>
        <stp/>
        <stp>##V3_BDPV12</stp>
        <stp>912828ZY Govt</stp>
        <stp>FIRST_CPN_DT</stp>
        <stp>[TREASURY.xlsx]Sheet1!R184C9</stp>
        <tr r="I184" s="1"/>
      </tp>
      <tp t="s">
        <v>5/15/2012</v>
        <stp/>
        <stp>##V3_BDPV12</stp>
        <stp>912828RQ Govt</stp>
        <stp>FIRST_CPN_DT</stp>
        <stp>[TREASURY.xlsx]Sheet1!R994C9</stp>
        <tr r="I994" s="1"/>
      </tp>
      <tp t="s">
        <v>3/31/2013</v>
        <stp/>
        <stp>##V3_BDPV12</stp>
        <stp>912828TQ Govt</stp>
        <stp>FIRST_CPN_DT</stp>
        <stp>[TREASURY.xlsx]Sheet1!R874C9</stp>
        <tr r="I874" s="1"/>
      </tp>
      <tp t="s">
        <v>10/15/2017</v>
        <stp/>
        <stp>##V3_BDPV12</stp>
        <stp>912828X2 Govt</stp>
        <stp>FIRST_CPN_DT</stp>
        <stp>[TREASURY.xlsx]Sheet1!R624C9</stp>
        <tr r="I624" s="1"/>
      </tp>
      <tp t="s">
        <v>11/30/2013</v>
        <stp/>
        <stp>##V3_BDPV12</stp>
        <stp>912828VF Govt</stp>
        <stp>FIRST_CPN_DT</stp>
        <stp>[TREASURY.xlsx]Sheet1!R694C9</stp>
        <tr r="I694" s="1"/>
      </tp>
      <tp t="s">
        <v>6/30/2012</v>
        <stp/>
        <stp>##V3_BDPV12</stp>
        <stp>912828RX Govt</stp>
        <stp>FIRST_CPN_DT</stp>
        <stp>[TREASURY.xlsx]Sheet1!R374C9</stp>
        <tr r="I374" s="1"/>
      </tp>
      <tp t="s">
        <v>6/15/2017</v>
        <stp/>
        <stp>##V3_BDPV12</stp>
        <stp>912828U7 Govt</stp>
        <stp>FIRST_CPN_DT</stp>
        <stp>[TREASURY.xlsx]Sheet1!R484C9</stp>
        <tr r="I484" s="1"/>
      </tp>
      <tp t="s">
        <v>1/31/2013</v>
        <stp/>
        <stp>##V3_BDPV12</stp>
        <stp>912828TG Govt</stp>
        <stp>FIRST_CPN_DT</stp>
        <stp>[TREASURY.xlsx]Sheet1!R654C9</stp>
        <tr r="I654" s="1"/>
      </tp>
      <tp t="s">
        <v>11/15/2011</v>
        <stp/>
        <stp>##V3_BDPV12</stp>
        <stp>912828QN Govt</stp>
        <stp>FIRST_CPN_DT</stp>
        <stp>[TREASURY.xlsx]Sheet1!R334C9</stp>
        <tr r="I334" s="1"/>
      </tp>
      <tp t="s">
        <v>11/15/2012</v>
        <stp/>
        <stp>##V3_BDPV12</stp>
        <stp>912828SV Govt</stp>
        <stp>FIRST_CPN_DT</stp>
        <stp>[TREASURY.xlsx]Sheet1!R164C9</stp>
        <tr r="I164" s="1"/>
      </tp>
      <tp t="s">
        <v>2/28/2011</v>
        <stp/>
        <stp>##V3_BDPV12</stp>
        <stp>912828PH Govt</stp>
        <stp>FIRST_CPN_DT</stp>
        <stp>[TREASURY.xlsx]Sheet1!R464C9</stp>
        <tr r="I464" s="1"/>
      </tp>
      <tp t="s">
        <v>2/15/2013</v>
        <stp/>
        <stp>##V3_BDPV12</stp>
        <stp>912828TJ Govt</stp>
        <stp>FIRST_CPN_DT</stp>
        <stp>[TREASURY.xlsx]Sheet1!R194C9</stp>
        <tr r="I194" s="1"/>
      </tp>
      <tp t="s">
        <v>8/31/2011</v>
        <stp/>
        <stp>##V3_BDPV12</stp>
        <stp>912828PY Govt</stp>
        <stp>FIRST_CPN_DT</stp>
        <stp>[TREASURY.xlsx]Sheet1!R594C9</stp>
        <tr r="I594" s="1"/>
      </tp>
      <tp t="s">
        <v>10/31/2015</v>
        <stp/>
        <stp>##V3_BDPV12</stp>
        <stp>912828WZ Govt</stp>
        <stp>FIRST_CPN_DT</stp>
        <stp>[TREASURY.xlsx]Sheet1!R244C9</stp>
        <tr r="I244" s="1"/>
      </tp>
      <tp t="s">
        <v>3/31/2017</v>
        <stp/>
        <stp>##V3_BDPV12</stp>
        <stp>912828T3 Govt</stp>
        <stp>FIRST_CPN_DT</stp>
        <stp>[TREASURY.xlsx]Sheet1!R124C9</stp>
        <tr r="I124" s="1"/>
      </tp>
      <tp t="s">
        <v>7/31/2012</v>
        <stp/>
        <stp>##V3_BDPV12</stp>
        <stp>912828SB Govt</stp>
        <stp>FIRST_CPN_DT</stp>
        <stp>[TREASURY.xlsx]Sheet1!R564C9</stp>
        <tr r="I564" s="1"/>
      </tp>
      <tp t="s">
        <v>5/31/2012</v>
        <stp/>
        <stp>##V3_BDPV12</stp>
        <stp>912828RS Govt</stp>
        <stp>FIRST_CPN_DT</stp>
        <stp>[TREASURY.xlsx]Sheet1!R444C9</stp>
        <tr r="I444" s="1"/>
      </tp>
      <tp t="s">
        <v>2/15/2014</v>
        <stp/>
        <stp>##V3_BDPV12</stp>
        <stp>912828VS Govt</stp>
        <stp>FIRST_CPN_DT</stp>
        <stp>[TREASURY.xlsx]Sheet1!R134C9</stp>
        <tr r="I134" s="1"/>
      </tp>
      <tp t="s">
        <v>11/15/2012</v>
        <stp/>
        <stp>##V3_BDPV12</stp>
        <stp>912828SU Govt</stp>
        <stp>FIRST_CPN_DT</stp>
        <stp>[TREASURY.xlsx]Sheet1!R404C9</stp>
        <tr r="I404" s="1"/>
      </tp>
      <tp t="s">
        <v>1/31/2018</v>
        <stp/>
        <stp>##V3_BDPV12</stp>
        <stp>9128282P Govt</stp>
        <stp>FIRST_CPN_DT</stp>
        <stp>[TREASURY.xlsx]Sheet1!R214C9</stp>
        <tr r="I214" s="1"/>
      </tp>
      <tp t="s">
        <v>5/31/2018</v>
        <stp/>
        <stp>##V3_BDPV12</stp>
        <stp>9128283H Govt</stp>
        <stp>FIRST_CPN_DT</stp>
        <stp>[TREASURY.xlsx]Sheet1!R784C9</stp>
        <tr r="I784" s="1"/>
      </tp>
      <tp t="s">
        <v>11/30/2019</v>
        <stp/>
        <stp>##V3_BDPV12</stp>
        <stp>9128286X Govt</stp>
        <stp>FIRST_CPN_DT</stp>
        <stp>[TREASURY.xlsx]Sheet1!R264C9</stp>
        <tr r="I264" s="1"/>
      </tp>
      <tp t="s">
        <v>11/30/2018</v>
        <stp/>
        <stp>##V3_BDPV12</stp>
        <stp>9128284S Govt</stp>
        <stp>FIRST_CPN_DT</stp>
        <stp>[TREASURY.xlsx]Sheet1!R294C9</stp>
        <tr r="I294" s="1"/>
      </tp>
      <tp t="s">
        <v>12/15/2018</v>
        <stp/>
        <stp>##V3_BDPV12</stp>
        <stp>9128284T Govt</stp>
        <stp>FIRST_CPN_DT</stp>
        <stp>[TREASURY.xlsx]Sheet1!R344C9</stp>
        <tr r="I344" s="1"/>
      </tp>
      <tp t="s">
        <v>3/31/2018</v>
        <stp/>
        <stp>##V3_BDPV12</stp>
        <stp>9128282X Govt</stp>
        <stp>FIRST_CPN_DT</stp>
        <stp>[TREASURY.xlsx]Sheet1!R554C9</stp>
        <tr r="I554" s="1"/>
      </tp>
      <tp t="s">
        <v>UNITED STATES</v>
        <stp/>
        <stp>##V3_BDPV12</stp>
        <stp>912827SF Govt</stp>
        <stp>COUNTRY_FULL_NAME</stp>
        <stp>[TREASURY.xlsx]Sheet1!R1065C8</stp>
        <tr r="H1065" s="1"/>
      </tp>
      <tp t="s">
        <v>UNITED STATES</v>
        <stp/>
        <stp>##V3_BDPV12</stp>
        <stp>912827WG Govt</stp>
        <stp>COUNTRY_FULL_NAME</stp>
        <stp>[TREASURY.xlsx]Sheet1!R1091C8</stp>
        <tr r="H1091" s="1"/>
      </tp>
      <tp t="s">
        <v>UNITED STATES</v>
        <stp/>
        <stp>##V3_BDPV12</stp>
        <stp>912827TB Govt</stp>
        <stp>COUNTRY_FULL_NAME</stp>
        <stp>[TREASURY.xlsx]Sheet1!R1072C8</stp>
        <tr r="H1072" s="1"/>
      </tp>
      <tp t="s">
        <v>UNITED STATES</v>
        <stp/>
        <stp>##V3_BDPV12</stp>
        <stp>912828PA Govt</stp>
        <stp>COUNTRY_FULL_NAME</stp>
        <stp>[TREASURY.xlsx]Sheet1!R1296C8</stp>
        <tr r="H1296" s="1"/>
      </tp>
      <tp t="s">
        <v>T 10 3/4 05/15/03</v>
        <stp/>
        <stp>##V3_BDPV12</stp>
        <stp>912810DD Govt</stp>
        <stp>SECURITY_NAME</stp>
        <stp>[TREASURY.xlsx]Sheet1!R1444C16</stp>
        <tr r="P1444" s="1"/>
      </tp>
      <tp t="s">
        <v>UNITED STATES</v>
        <stp/>
        <stp>##V3_BDPV12</stp>
        <stp>912827RN Govt</stp>
        <stp>COUNTRY_FULL_NAME</stp>
        <stp>[TREASURY.xlsx]Sheet1!R1064C8</stp>
        <tr r="H1064" s="1"/>
      </tp>
      <tp t="s">
        <v>T 7 3/4 11/15/92</v>
        <stp/>
        <stp>##V3_BDPV12</stp>
        <stp>912827YD Govt</stp>
        <stp>SECURITY_NAME</stp>
        <stp>[TREASURY.xlsx]Sheet1!R1603C16</stp>
        <tr r="P1603" s="1"/>
      </tp>
      <tp t="s">
        <v>T 8 08/15/93</v>
        <stp/>
        <stp>##V3_BDPV12</stp>
        <stp>912827ZD Govt</stp>
        <stp>SECURITY_NAME</stp>
        <stp>[TREASURY.xlsx]Sheet1!R1610C16</stp>
        <tr r="P1610" s="1"/>
      </tp>
      <tp t="s">
        <v>T 7 1/8 10/15/93</v>
        <stp/>
        <stp>##V3_BDPV12</stp>
        <stp>912827UD Govt</stp>
        <stp>SECURITY_NAME</stp>
        <stp>[TREASURY.xlsx]Sheet1!R1512C16</stp>
        <tr r="P1512" s="1"/>
      </tp>
      <tp t="s">
        <v>T 10 7/8 02/15/93</v>
        <stp/>
        <stp>##V3_BDPV12</stp>
        <stp>912827PD Govt</stp>
        <stp>SECURITY_NAME</stp>
        <stp>[TREASURY.xlsx]Sheet1!R1569C16</stp>
        <tr r="P1569" s="1"/>
      </tp>
      <tp t="s">
        <v>T 6 3/4 05/15/05</v>
        <stp/>
        <stp>##V3_BDPV12</stp>
        <stp>9128276D Govt</stp>
        <stp>SECURITY_NAME</stp>
        <stp>[TREASURY.xlsx]Sheet1!R1465C16</stp>
        <tr r="P1465" s="1"/>
      </tp>
      <tp t="s">
        <v>T 2 3/4 09/30/03</v>
        <stp/>
        <stp>##V3_BDPV12</stp>
        <stp>9128277D Govt</stp>
        <stp>SECURITY_NAME</stp>
        <stp>[TREASURY.xlsx]Sheet1!R1470C16</stp>
        <tr r="P1470" s="1"/>
      </tp>
      <tp t="s">
        <v>T 5 3/4 04/30/03</v>
        <stp/>
        <stp>##V3_BDPV12</stp>
        <stp>9128274D Govt</stp>
        <stp>SECURITY_NAME</stp>
        <stp>[TREASURY.xlsx]Sheet1!R1459C16</stp>
        <tr r="P1459" s="1"/>
      </tp>
      <tp t="s">
        <v>T 12 1/8 10/31/82</v>
        <stp/>
        <stp>##V3_BDPV12</stp>
        <stp>912827LD Govt</stp>
        <stp>SECURITY_NAME</stp>
        <stp>[TREASURY.xlsx]Sheet1!R1378C16</stp>
        <tr r="P1378" s="1"/>
      </tp>
      <tp t="s">
        <v>T 5 3/4 12/31/98</v>
        <stp/>
        <stp>##V3_BDPV12</stp>
        <stp>9128272D Govt</stp>
        <stp>SECURITY_NAME</stp>
        <stp>[TREASURY.xlsx]Sheet1!R1350C16</stp>
        <tr r="P1350" s="1"/>
      </tp>
      <tp t="s">
        <v>T 6 08/15/00</v>
        <stp/>
        <stp>##V3_BDPV12</stp>
        <stp>9128273D Govt</stp>
        <stp>SECURITY_NAME</stp>
        <stp>[TREASURY.xlsx]Sheet1!R1354C16</stp>
        <tr r="P1354" s="1"/>
      </tp>
      <tp t="s">
        <v>T 8 1/8 01/31/88</v>
        <stp/>
        <stp>##V3_BDPV12</stp>
        <stp>912827TD Govt</stp>
        <stp>SECURITY_NAME</stp>
        <stp>[TREASURY.xlsx]Sheet1!R1398C16</stp>
        <tr r="P1398" s="1"/>
      </tp>
      <tp t="s">
        <v>UNITED STATES</v>
        <stp/>
        <stp>##V3_BDPV12</stp>
        <stp>912827SJ Govt</stp>
        <stp>COUNTRY_FULL_NAME</stp>
        <stp>[TREASURY.xlsx]Sheet1!R1185C8</stp>
        <tr r="H1185" s="1"/>
      </tp>
      <tp t="s">
        <v>T 0 3/8 10/31/12</v>
        <stp/>
        <stp>##V3_BDPV12</stp>
        <stp>912828PD Govt</stp>
        <stp>SECURITY_NAME</stp>
        <stp>[TREASURY.xlsx]Sheet1!R1298C16</stp>
        <tr r="P1298" s="1"/>
      </tp>
      <tp t="s">
        <v>T 0 1/8 08/31/13</v>
        <stp/>
        <stp>##V3_BDPV12</stp>
        <stp>912828RD Govt</stp>
        <stp>SECURITY_NAME</stp>
        <stp>[TREASURY.xlsx]Sheet1!R1265C16</stp>
        <tr r="P1265" s="1"/>
      </tp>
      <tp t="s">
        <v>T 16 11/15/84</v>
        <stp/>
        <stp>##V3_BDPV12</stp>
        <stp>912827MD Govt</stp>
        <stp>SECURITY_NAME</stp>
        <stp>[TREASURY.xlsx]Sheet1!R1167C16</stp>
        <tr r="P1167" s="1"/>
      </tp>
      <tp t="s">
        <v>T 0 1/4 05/31/15</v>
        <stp/>
        <stp>##V3_BDPV12</stp>
        <stp>912828VD Govt</stp>
        <stp>SECURITY_NAME</stp>
        <stp>[TREASURY.xlsx]Sheet1!R1147C16</stp>
        <tr r="P1147" s="1"/>
      </tp>
      <tp t="s">
        <v>UNITED STATES</v>
        <stp/>
        <stp>##V3_BDPV12</stp>
        <stp>912827TH Govt</stp>
        <stp>COUNTRY_FULL_NAME</stp>
        <stp>[TREASURY.xlsx]Sheet1!R1192C8</stp>
        <tr r="H1192" s="1"/>
      </tp>
      <tp t="s">
        <v>UNITED STATES</v>
        <stp/>
        <stp>##V3_BDPV12</stp>
        <stp>912827QH Govt</stp>
        <stp>COUNTRY_FULL_NAME</stp>
        <stp>[TREASURY.xlsx]Sheet1!R1057C8</stp>
        <tr r="H1057" s="1"/>
      </tp>
      <tp t="s">
        <v>T 4 7/8 03/31/01</v>
        <stp/>
        <stp>##V3_BDPV12</stp>
        <stp>9128275D Govt</stp>
        <stp>SECURITY_NAME</stp>
        <stp>[TREASURY.xlsx]Sheet1!R1013C16</stp>
        <tr r="P1013" s="1"/>
      </tp>
      <tp t="s">
        <v>T 11 3/4 11/15/93</v>
        <stp/>
        <stp>##V3_BDPV12</stp>
        <stp>912827QD Govt</stp>
        <stp>SECURITY_NAME</stp>
        <stp>[TREASURY.xlsx]Sheet1!R1056C16</stp>
        <tr r="P1056" s="1"/>
      </tp>
      <tp t="s">
        <v>T 7 7/8 08/15/90</v>
        <stp/>
        <stp>##V3_BDPV12</stp>
        <stp>912827VD Govt</stp>
        <stp>SECURITY_NAME</stp>
        <stp>[TREASURY.xlsx]Sheet1!R1085C16</stp>
        <tr r="P1085" s="1"/>
      </tp>
      <tp t="s">
        <v>UNITED STATES</v>
        <stp/>
        <stp>##V3_BDPV12</stp>
        <stp>912827TW Govt</stp>
        <stp>COUNTRY_FULL_NAME</stp>
        <stp>[TREASURY.xlsx]Sheet1!R1402C8</stp>
        <tr r="H1402" s="1"/>
      </tp>
      <tp t="s">
        <v>UNITED STATES</v>
        <stp/>
        <stp>##V3_BDPV12</stp>
        <stp>912827WT Govt</stp>
        <stp>COUNTRY_FULL_NAME</stp>
        <stp>[TREASURY.xlsx]Sheet1!R1421C8</stp>
        <tr r="H1421" s="1"/>
      </tp>
      <tp t="s">
        <v>UNITED STATES</v>
        <stp/>
        <stp>##V3_BDPV12</stp>
        <stp>912827QU Govt</stp>
        <stp>COUNTRY_FULL_NAME</stp>
        <stp>[TREASURY.xlsx]Sheet1!R1497C8</stp>
        <tr r="H1497" s="1"/>
      </tp>
      <tp t="s">
        <v>UNITED STATES</v>
        <stp/>
        <stp>##V3_BDPV12</stp>
        <stp>912827RZ Govt</stp>
        <stp>COUNTRY_FULL_NAME</stp>
        <stp>[TREASURY.xlsx]Sheet1!R1584C8</stp>
        <tr r="H1584" s="1"/>
      </tp>
      <tp t="s">
        <v>UNITED STATES</v>
        <stp/>
        <stp>##V3_BDPV12</stp>
        <stp>912827V7 Govt</stp>
        <stp>COUNTRY_FULL_NAME</stp>
        <stp>[TREASURY.xlsx]Sheet1!R1410C8</stp>
        <tr r="H1410" s="1"/>
      </tp>
      <tp t="s">
        <v>UNITED STATES</v>
        <stp/>
        <stp>##V3_BDPV12</stp>
        <stp>912827Q4 Govt</stp>
        <stp>COUNTRY_FULL_NAME</stp>
        <stp>[TREASURY.xlsx]Sheet1!R1177C8</stp>
        <tr r="H1177" s="1"/>
      </tp>
      <tp t="s">
        <v>UNITED STATES</v>
        <stp/>
        <stp>##V3_BDPV12</stp>
        <stp>912828R4 Govt</stp>
        <stp>COUNTRY_FULL_NAME</stp>
        <stp>[TREASURY.xlsx]Sheet1!R1264C8</stp>
        <tr r="H1264" s="1"/>
      </tp>
      <tp t="s">
        <v>UNITED STATES</v>
        <stp/>
        <stp>##V3_BDPV12</stp>
        <stp>912827U4 Govt</stp>
        <stp>COUNTRY_FULL_NAME</stp>
        <stp>[TREASURY.xlsx]Sheet1!R1403C8</stp>
        <tr r="H1403" s="1"/>
      </tp>
      <tp t="s">
        <v>UNITED STATES</v>
        <stp/>
        <stp>##V3_BDPV12</stp>
        <stp>912828R5 Govt</stp>
        <stp>COUNTRY_FULL_NAME</stp>
        <stp>[TREASURY.xlsx]Sheet1!R1284C8</stp>
        <tr r="H1284" s="1"/>
      </tp>
      <tp t="s">
        <v>UNITED STATES</v>
        <stp/>
        <stp>##V3_BDPV12</stp>
        <stp>912827P3 Govt</stp>
        <stp>COUNTRY_FULL_NAME</stp>
        <stp>[TREASURY.xlsx]Sheet1!R1386C8</stp>
        <tr r="H1386" s="1"/>
      </tp>
      <tp t="s">
        <v>UNITED STATES</v>
        <stp/>
        <stp>##V3_BDPV12</stp>
        <stp>912827S3 Govt</stp>
        <stp>COUNTRY_FULL_NAME</stp>
        <stp>[TREASURY.xlsx]Sheet1!R1585C8</stp>
        <tr r="H1585" s="1"/>
      </tp>
      <tp t="s">
        <v>5/15/1986</v>
        <stp/>
        <stp>##V3_BDPV12</stp>
        <stp>912827SR Govt</stp>
        <stp>FIRST_CPN_DT</stp>
        <stp>[TREASURY.xlsx]Sheet1!R1396C9</stp>
        <tr r="I1396" s="1"/>
      </tp>
      <tp t="s">
        <v>2/15/1986</v>
        <stp/>
        <stp>##V3_BDPV12</stp>
        <stp>912827SP Govt</stp>
        <stp>FIRST_CPN_DT</stp>
        <stp>[TREASURY.xlsx]Sheet1!R1186C9</stp>
        <tr r="I1186" s="1"/>
      </tp>
      <tp t="s">
        <v>2/15/1986</v>
        <stp/>
        <stp>##V3_BDPV12</stp>
        <stp>912827SN Govt</stp>
        <stp>FIRST_CPN_DT</stp>
        <stp>[TREASURY.xlsx]Sheet1!R1066C9</stp>
        <tr r="I1066" s="1"/>
      </tp>
      <tp t="s">
        <v>8/15/1995</v>
        <stp/>
        <stp>##V3_BDPV12</stp>
        <stp>912827S8 Govt</stp>
        <stp>FIRST_CPN_DT</stp>
        <stp>[TREASURY.xlsx]Sheet1!R1586C9</stp>
        <tr r="I1586" s="1"/>
      </tp>
      <tp t="s">
        <v>4/30/2011</v>
        <stp/>
        <stp>##V3_BDPV12</stp>
        <stp>912828PF Govt</stp>
        <stp>FIRST_CPN_DT</stp>
        <stp>[TREASURY.xlsx]Sheet1!R1299C9</stp>
        <tr r="I1299" s="1"/>
      </tp>
      <tp t="s">
        <v>9/30/1994</v>
        <stp/>
        <stp>##V3_BDPV12</stp>
        <stp>912827P3 Govt</stp>
        <stp>FIRST_CPN_DT</stp>
        <stp>[TREASURY.xlsx]Sheet1!R1386C9</stp>
        <tr r="I1386" s="1"/>
      </tp>
      <tp t="s">
        <v>8/15/2016</v>
        <stp/>
        <stp>##V3_BDPV12</stp>
        <stp>912828P5 Govt</stp>
        <stp>FIRST_CPN_DT</stp>
        <stp>[TREASURY.xlsx]Sheet1!R1259C9</stp>
        <tr r="I1259" s="1"/>
      </tp>
      <tp t="s">
        <v>1/15/1985</v>
        <stp/>
        <stp>##V3_BDPV12</stp>
        <stp>912827QZ Govt</stp>
        <stp>FIRST_CPN_DT</stp>
        <stp>[TREASURY.xlsx]Sheet1!R1576C9</stp>
        <tr r="I1576" s="1"/>
      </tp>
      <tp t="s">
        <v>7/31/1984</v>
        <stp/>
        <stp>##V3_BDPV12</stp>
        <stp>912827QK Govt</stp>
        <stp>FIRST_CPN_DT</stp>
        <stp>[TREASURY.xlsx]Sheet1!R1496C9</stp>
        <tr r="I1496" s="1"/>
      </tp>
      <tp t="s">
        <v>5/15/1984</v>
        <stp/>
        <stp>##V3_BDPV12</stp>
        <stp>912827QD Govt</stp>
        <stp>FIRST_CPN_DT</stp>
        <stp>[TREASURY.xlsx]Sheet1!R1056C9</stp>
        <tr r="I1056" s="1"/>
      </tp>
      <tp t="s">
        <v>11/30/1994</v>
        <stp/>
        <stp>##V3_BDPV12</stp>
        <stp>912827Q2 Govt</stp>
        <stp>FIRST_CPN_DT</stp>
        <stp>[TREASURY.xlsx]Sheet1!R1176C9</stp>
        <tr r="I1176" s="1"/>
      </tp>
      <tp t="s">
        <v>5/31/2021</v>
        <stp/>
        <stp>##V3_BDPV12</stp>
        <stp>91282CAY Govt</stp>
        <stp>FIRST_CPN_DT</stp>
        <stp>[TREASURY.xlsx]Sheet1!R144C9</stp>
        <tr r="I144" s="1"/>
      </tp>
      <tp t="s">
        <v>6/30/2021</v>
        <stp/>
        <stp>##V3_BDPV12</stp>
        <stp>91282CBB Govt</stp>
        <stp>FIRST_CPN_DT</stp>
        <stp>[TREASURY.xlsx]Sheet1!R114C9</stp>
        <tr r="I114" s="1"/>
      </tp>
      <tp t="s">
        <v>3/15/2014</v>
        <stp/>
        <stp>##V3_BDPV12</stp>
        <stp>912828VW Govt</stp>
        <stp>FIRST_CPN_DT</stp>
        <stp>[TREASURY.xlsx]Sheet1!R1149C9</stp>
        <tr r="I1149" s="1"/>
      </tp>
      <tp t="s">
        <v>2/29/1988</v>
        <stp/>
        <stp>##V3_BDPV12</stp>
        <stp>912827VF Govt</stp>
        <stp>FIRST_CPN_DT</stp>
        <stp>[TREASURY.xlsx]Sheet1!R1086C9</stp>
        <tr r="I1086" s="1"/>
      </tp>
      <tp t="s">
        <v>4/30/2014</v>
        <stp/>
        <stp>##V3_BDPV12</stp>
        <stp>912828WC Govt</stp>
        <stp>FIRST_CPN_DT</stp>
        <stp>[TREASURY.xlsx]Sheet1!R1139C9</stp>
        <tr r="I1139" s="1"/>
      </tp>
      <tp t="s">
        <v>9/30/1988</v>
        <stp/>
        <stp>##V3_BDPV12</stp>
        <stp>912827WA Govt</stp>
        <stp>FIRST_CPN_DT</stp>
        <stp>[TREASURY.xlsx]Sheet1!R1206C9</stp>
        <tr r="I1206" s="1"/>
      </tp>
      <tp t="s">
        <v>8/15/1996</v>
        <stp/>
        <stp>##V3_BDPV12</stp>
        <stp>912827W7 Govt</stp>
        <stp>FIRST_CPN_DT</stp>
        <stp>[TREASURY.xlsx]Sheet1!R1416C9</stp>
        <tr r="I1416" s="1"/>
      </tp>
      <tp t="s">
        <v>2/28/1987</v>
        <stp/>
        <stp>##V3_BDPV12</stp>
        <stp>912827TY Govt</stp>
        <stp>FIRST_CPN_DT</stp>
        <stp>[TREASURY.xlsx]Sheet1!R1076C9</stp>
        <tr r="I1076" s="1"/>
      </tp>
      <tp t="s">
        <v>2/15/1987</v>
        <stp/>
        <stp>##V3_BDPV12</stp>
        <stp>912827TX Govt</stp>
        <stp>FIRST_CPN_DT</stp>
        <stp>[TREASURY.xlsx]Sheet1!R1196C9</stp>
        <tr r="I1196" s="1"/>
      </tp>
      <tp t="s">
        <v>7/15/1986</v>
        <stp/>
        <stp>##V3_BDPV12</stp>
        <stp>912827TC Govt</stp>
        <stp>FIRST_CPN_DT</stp>
        <stp>[TREASURY.xlsx]Sheet1!R1506C9</stp>
        <tr r="I1506" s="1"/>
      </tp>
      <tp t="s">
        <v>8/15/1987</v>
        <stp/>
        <stp>##V3_BDPV12</stp>
        <stp>912827UN Govt</stp>
        <stp>FIRST_CPN_DT</stp>
        <stp>[TREASURY.xlsx]Sheet1!R1406C9</stp>
        <tr r="I1406" s="1"/>
      </tp>
      <tp t="s">
        <v>4/15/1997</v>
        <stp/>
        <stp>##V3_BDPV12</stp>
        <stp>912827Z6 Govt</stp>
        <stp>FIRST_CPN_DT</stp>
        <stp>[TREASURY.xlsx]Sheet1!R1226C9</stp>
        <tr r="I1226" s="1"/>
      </tp>
      <tp t="s">
        <v>12/31/1989</v>
        <stp/>
        <stp>##V3_BDPV12</stp>
        <stp>912827XR Govt</stp>
        <stp>FIRST_CPN_DT</stp>
        <stp>[TREASURY.xlsx]Sheet1!R1216C9</stp>
        <tr r="I1216" s="1"/>
      </tp>
      <tp t="s">
        <v>2/15/1990</v>
        <stp/>
        <stp>##V3_BDPV12</stp>
        <stp>912827XQ Govt</stp>
        <stp>FIRST_CPN_DT</stp>
        <stp>[TREASURY.xlsx]Sheet1!R1096C9</stp>
        <tr r="I1096" s="1"/>
      </tp>
      <tp t="s">
        <v>8/31/1989</v>
        <stp/>
        <stp>##V3_BDPV12</stp>
        <stp>912827XF Govt</stp>
        <stp>FIRST_CPN_DT</stp>
        <stp>[TREASURY.xlsx]Sheet1!R1596C9</stp>
        <tr r="I1596" s="1"/>
      </tp>
      <tp t="s">
        <v>8/31/1990</v>
        <stp/>
        <stp>##V3_BDPV12</stp>
        <stp>912827YP Govt</stp>
        <stp>FIRST_CPN_DT</stp>
        <stp>[TREASURY.xlsx]Sheet1!R1606C9</stp>
        <tr r="I1606" s="1"/>
      </tp>
      <tp t="s">
        <v>12/31/1991</v>
        <stp/>
        <stp>##V3_BDPV12</stp>
        <stp>912827B4 Govt</stp>
        <stp>FIRST_CPN_DT</stp>
        <stp>[TREASURY.xlsx]Sheet1!R1476C9</stp>
        <tr r="I1476" s="1"/>
      </tp>
      <tp t="s">
        <v>5/15/1979</v>
        <stp/>
        <stp>##V3_BDPV12</stp>
        <stp>912810CE Govt</stp>
        <stp>FIRST_CPN_DT</stp>
        <stp>[TREASURY.xlsx]Sheet1!R1441C9</stp>
        <tr r="I1441" s="1"/>
      </tp>
      <tp t="s">
        <v>5/15/1992</v>
        <stp/>
        <stp>##V3_BDPV12</stp>
        <stp>912827C9 Govt</stp>
        <stp>FIRST_CPN_DT</stp>
        <stp>[TREASURY.xlsx]Sheet1!R1556C9</stp>
        <tr r="I1556" s="1"/>
      </tp>
      <tp t="s">
        <v>5/31/2007</v>
        <stp/>
        <stp>##V3_BDPV12</stp>
        <stp>912828FZ Govt</stp>
        <stp>FIRST_CPN_DT</stp>
        <stp>[TREASURY.xlsx]Sheet1!R1279C9</stp>
        <tr r="I1279" s="1"/>
      </tp>
      <tp t="s">
        <v>8/31/2007</v>
        <stp/>
        <stp>##V3_BDPV12</stp>
        <stp>912828GK Govt</stp>
        <stp>FIRST_CPN_DT</stp>
        <stp>[TREASURY.xlsx]Sheet1!R1119C9</stp>
        <tr r="I1119" s="1"/>
      </tp>
      <tp t="s">
        <v>3/31/1993</v>
        <stp/>
        <stp>##V3_BDPV12</stp>
        <stp>912827G9 Govt</stp>
        <stp>FIRST_CPN_DT</stp>
        <stp>[TREASURY.xlsx]Sheet1!R1486C9</stp>
        <tr r="I1486" s="1"/>
      </tp>
      <tp t="s">
        <v>2/28/1993</v>
        <stp/>
        <stp>##V3_BDPV12</stp>
        <stp>912827G6 Govt</stp>
        <stp>FIRST_CPN_DT</stp>
        <stp>[TREASURY.xlsx]Sheet1!R1036C9</stp>
        <tr r="I1036" s="1"/>
      </tp>
      <tp t="s">
        <v>2/15/1993</v>
        <stp/>
        <stp>##V3_BDPV12</stp>
        <stp>912827G5 Govt</stp>
        <stp>FIRST_CPN_DT</stp>
        <stp>[TREASURY.xlsx]Sheet1!R1156C9</stp>
        <tr r="I1156" s="1"/>
      </tp>
      <tp t="s">
        <v>12/15/2005</v>
        <stp/>
        <stp>##V3_BDPV12</stp>
        <stp>912828DX Govt</stp>
        <stp>FIRST_CPN_DT</stp>
        <stp>[TREASURY.xlsx]Sheet1!R1429C9</stp>
        <tr r="I1429" s="1"/>
      </tp>
      <tp t="s">
        <v>11/15/1985</v>
        <stp/>
        <stp>##V3_BDPV12</stp>
        <stp>912810DQ Govt</stp>
        <stp>FIRST_CPN_DT</stp>
        <stp>[TREASURY.xlsx]Sheet1!R1621C9</stp>
        <tr r="I1621" s="1"/>
      </tp>
      <tp t="s">
        <v>2/15/1984</v>
        <stp/>
        <stp>##V3_BDPV12</stp>
        <stp>912810DE Govt</stp>
        <stp>FIRST_CPN_DT</stp>
        <stp>[TREASURY.xlsx]Sheet1!R1311C9</stp>
        <tr r="I1311" s="1"/>
      </tp>
      <tp t="s">
        <v>6/15/2005</v>
        <stp/>
        <stp>##V3_BDPV12</stp>
        <stp>912828DE Govt</stp>
        <stp>FIRST_CPN_DT</stp>
        <stp>[TREASURY.xlsx]Sheet1!R1109C9</stp>
        <tr r="I1109" s="1"/>
      </tp>
      <tp t="s">
        <v>8/31/2006</v>
        <stp/>
        <stp>##V3_BDPV12</stp>
        <stp>912828EY Govt</stp>
        <stp>FIRST_CPN_DT</stp>
        <stp>[TREASURY.xlsx]Sheet1!R1239C9</stp>
        <tr r="I1239" s="1"/>
      </tp>
      <tp t="s">
        <v>8/31/1993</v>
        <stp/>
        <stp>##V3_BDPV12</stp>
        <stp>912827J9 Govt</stp>
        <stp>FIRST_CPN_DT</stp>
        <stp>[TREASURY.xlsx]Sheet1!R1376C9</stp>
        <tr r="I1376" s="1"/>
      </tp>
      <tp t="s">
        <v>8/15/2009</v>
        <stp/>
        <stp>##V3_BDPV12</stp>
        <stp>912828KC Govt</stp>
        <stp>FIRST_CPN_DT</stp>
        <stp>[TREASURY.xlsx]Sheet1!R1249C9</stp>
        <tr r="I1249" s="1"/>
      </tp>
      <tp t="s">
        <v>4/30/1993</v>
        <stp/>
        <stp>##V3_BDPV12</stp>
        <stp>912827H3 Govt</stp>
        <stp>FIRST_CPN_DT</stp>
        <stp>[TREASURY.xlsx]Sheet1!R1316C9</stp>
        <tr r="I1316" s="1"/>
      </tp>
      <tp t="s">
        <v>6/30/1983</v>
        <stp/>
        <stp>##V3_BDPV12</stp>
        <stp>912827NZ Govt</stp>
        <stp>FIRST_CPN_DT</stp>
        <stp>[TREASURY.xlsx]Sheet1!R1336C9</stp>
        <tr r="I1336" s="1"/>
      </tp>
      <tp t="s">
        <v>3/15/2010</v>
        <stp/>
        <stp>##V3_BDPV12</stp>
        <stp>912828LM Govt</stp>
        <stp>FIRST_CPN_DT</stp>
        <stp>[TREASURY.xlsx]Sheet1!R1129C9</stp>
        <tr r="I1129" s="1"/>
      </tp>
      <tp t="s">
        <v>8/15/1981</v>
        <stp/>
        <stp>##V3_BDPV12</stp>
        <stp>912827LH Govt</stp>
        <stp>FIRST_CPN_DT</stp>
        <stp>[TREASURY.xlsx]Sheet1!R1566C9</stp>
        <tr r="I1566" s="1"/>
      </tp>
      <tp t="s">
        <v>1/31/2010</v>
        <stp/>
        <stp>##V3_BDPV12</stp>
        <stp>912828LC Govt</stp>
        <stp>FIRST_CPN_DT</stp>
        <stp>[TREASURY.xlsx]Sheet1!R1289C9</stp>
        <tr r="I1289" s="1"/>
      </tp>
      <tp t="s">
        <v>6/30/1982</v>
        <stp/>
        <stp>##V3_BDPV12</stp>
        <stp>912827MS Govt</stp>
        <stp>FIRST_CPN_DT</stp>
        <stp>[TREASURY.xlsx]Sheet1!R1046C9</stp>
        <tr r="I1046" s="1"/>
      </tp>
      <tp t="s">
        <v>5/15/1982</v>
        <stp/>
        <stp>##V3_BDPV12</stp>
        <stp>912827MN Govt</stp>
        <stp>FIRST_CPN_DT</stp>
        <stp>[TREASURY.xlsx]Sheet1!R1326C9</stp>
        <tr r="I1326" s="1"/>
      </tp>
      <tp t="s">
        <v>5/31/1994</v>
        <stp/>
        <stp>##V3_BDPV12</stp>
        <stp>912827M9 Govt</stp>
        <stp>FIRST_CPN_DT</stp>
        <stp>[TREASURY.xlsx]Sheet1!R1166C9</stp>
        <tr r="I1166" s="1"/>
      </tp>
      <tp t="s">
        <v>12/31/1997</v>
        <stp/>
        <stp>##V3_BDPV12</stp>
        <stp>9128272Y Govt</stp>
        <stp>FIRST_CPN_DT</stp>
        <stp>[TREASURY.xlsx]Sheet1!R1525C9</stp>
        <tr r="I1525" s="1"/>
      </tp>
      <tp t="s">
        <v>7/31/1998</v>
        <stp/>
        <stp>##V3_BDPV12</stp>
        <stp>9128273U Govt</stp>
        <stp>FIRST_CPN_DT</stp>
        <stp>[TREASURY.xlsx]Sheet1!R1455C9</stp>
        <tr r="I1455" s="1"/>
      </tp>
      <tp t="s">
        <v>2/28/1998</v>
        <stp/>
        <stp>##V3_BDPV12</stp>
        <stp>9128273F Govt</stp>
        <stp>FIRST_CPN_DT</stp>
        <stp>[TREASURY.xlsx]Sheet1!R1355C9</stp>
        <tr r="I1355" s="1"/>
      </tp>
      <tp t="s">
        <v>8/15/2001</v>
        <stp/>
        <stp>##V3_BDPV12</stp>
        <stp>9128276T Govt</stp>
        <stp>FIRST_CPN_DT</stp>
        <stp>[TREASURY.xlsx]Sheet1!R1025C9</stp>
        <tr r="I1025" s="1"/>
      </tp>
      <tp t="s">
        <v>11/15/2000</v>
        <stp/>
        <stp>##V3_BDPV12</stp>
        <stp>9128276D Govt</stp>
        <stp>FIRST_CPN_DT</stp>
        <stp>[TREASURY.xlsx]Sheet1!R1465C9</stp>
        <tr r="I1465" s="1"/>
      </tp>
      <tp t="s">
        <v>4/30/2002</v>
        <stp/>
        <stp>##V3_BDPV12</stp>
        <stp>9128277E Govt</stp>
        <stp>FIRST_CPN_DT</stp>
        <stp>[TREASURY.xlsx]Sheet1!R1545C9</stp>
        <tr r="I1545" s="1"/>
      </tp>
      <tp t="s">
        <v>12/31/1998</v>
        <stp/>
        <stp>##V3_BDPV12</stp>
        <stp>9128274J Govt</stp>
        <stp>FIRST_CPN_DT</stp>
        <stp>[TREASURY.xlsx]Sheet1!R1365C9</stp>
        <tr r="I1365" s="1"/>
      </tp>
      <tp t="s">
        <v>2/15/2000</v>
        <stp/>
        <stp>##V3_BDPV12</stp>
        <stp>9128275M Govt</stp>
        <stp>FIRST_CPN_DT</stp>
        <stp>[TREASURY.xlsx]Sheet1!R1015C9</stp>
        <tr r="I1015" s="1"/>
      </tp>
      <tp t="s">
        <v>8/31/1999</v>
        <stp/>
        <stp>##V3_BDPV12</stp>
        <stp>9128275C Govt</stp>
        <stp>FIRST_CPN_DT</stp>
        <stp>[TREASURY.xlsx]Sheet1!R1535C9</stp>
        <tr r="I1535" s="1"/>
      </tp>
      <tp>
        <v>0.125</v>
        <stp/>
        <stp>##V3_BDPV12</stp>
        <stp>91282CBE Govt</stp>
        <stp>CPN</stp>
        <stp>[TREASURY.xlsx]Sheet1!R115C3</stp>
        <tr r="C115" s="1"/>
      </tp>
      <tp>
        <v>2.375</v>
        <stp/>
        <stp>##V3_BDPV12</stp>
        <stp>9128286H Govt</stp>
        <stp>CPN</stp>
        <stp>[TREASURY.xlsx]Sheet1!R228C3</stp>
        <tr r="C228" s="1"/>
      </tp>
      <tp>
        <v>2.75</v>
        <stp/>
        <stp>##V3_BDPV12</stp>
        <stp>912828KD Govt</stp>
        <stp>CPN</stp>
        <stp>[TREASURY.xlsx]Sheet1!R364C3</stp>
        <tr r="C364" s="1"/>
      </tp>
      <tp>
        <v>1.5</v>
        <stp/>
        <stp>##V3_BDPV12</stp>
        <stp>912828CD Govt</stp>
        <stp>CPN</stp>
        <stp>[TREASURY.xlsx]Sheet1!R384C3</stp>
        <tr r="C384" s="1"/>
      </tp>
      <tp>
        <v>2.125</v>
        <stp/>
        <stp>##V3_BDPV12</stp>
        <stp>912828RC Govt</stp>
        <stp>CPN</stp>
        <stp>[TREASURY.xlsx]Sheet1!R333C3</stp>
        <tr r="C333" s="1"/>
      </tp>
      <tp t="s">
        <v>#N/A N/A</v>
        <stp/>
        <stp>##V3_BDPV12</stp>
        <stp>912810EC Govt</stp>
        <stp>YLD_YTM_BID</stp>
        <stp>[TREASURY.xlsx]Sheet1!R612C4</stp>
        <tr r="D612" s="1"/>
      </tp>
      <tp>
        <v>2.125</v>
        <stp/>
        <stp>##V3_BDPV12</stp>
        <stp>912828XB Govt</stp>
        <stp>CPN</stp>
        <stp>[TREASURY.xlsx]Sheet1!R122C3</stp>
        <tr r="C122" s="1"/>
      </tp>
      <tp>
        <v>2.875</v>
        <stp/>
        <stp>##V3_BDPV12</stp>
        <stp>9128285F Govt</stp>
        <stp>CPN</stp>
        <stp>[TREASURY.xlsx]Sheet1!R106C3</stp>
        <tr r="C106" s="1"/>
      </tp>
      <tp>
        <v>2.0776926287503978</v>
        <stp/>
        <stp>##V3_BDPV12</stp>
        <stp>912810SF Govt</stp>
        <stp>YLD_YTM_BID</stp>
        <stp>[TREASURY.xlsx]Sheet1!R177C4</stp>
        <tr r="D177" s="1"/>
      </tp>
      <tp>
        <v>14.875</v>
        <stp/>
        <stp>##V3_BDPV12</stp>
        <stp>912827ME Govt</stp>
        <stp>CPN</stp>
        <stp>[TREASURY.xlsx]Sheet1!R895C3</stp>
        <tr r="C895" s="1"/>
      </tp>
      <tp>
        <v>4.25</v>
        <stp/>
        <stp>##V3_BDPV12</stp>
        <stp>912828EE Govt</stp>
        <stp>CPN</stp>
        <stp>[TREASURY.xlsx]Sheet1!R795C3</stp>
        <tr r="C795" s="1"/>
      </tp>
      <tp>
        <v>3.25</v>
        <stp/>
        <stp>##V3_BDPV12</stp>
        <stp>912828BG Govt</stp>
        <stp>CPN</stp>
        <stp>[TREASURY.xlsx]Sheet1!R427C3</stp>
        <tr r="C427" s="1"/>
      </tp>
      <tp>
        <v>3.375</v>
        <stp/>
        <stp>##V3_BDPV12</stp>
        <stp>912828JG Govt</stp>
        <stp>CPN</stp>
        <stp>[TREASURY.xlsx]Sheet1!R417C3</stp>
        <tr r="C417" s="1"/>
      </tp>
      <tp>
        <v>1.25</v>
        <stp/>
        <stp>##V3_BDPV12</stp>
        <stp>912828BB Govt</stp>
        <stp>CPN</stp>
        <stp>[TREASURY.xlsx]Sheet1!R482C3</stp>
        <tr r="C482" s="1"/>
      </tp>
      <tp>
        <v>1.625</v>
        <stp/>
        <stp>##V3_BDPV12</stp>
        <stp>912828XH Govt</stp>
        <stp>CPN</stp>
        <stp>[TREASURY.xlsx]Sheet1!R468C3</stp>
        <tr r="C468" s="1"/>
      </tp>
      <tp>
        <v>2.75</v>
        <stp/>
        <stp>##V3_BDPV12</stp>
        <stp>9128285B Govt</stp>
        <stp>CPN</stp>
        <stp>[TREASURY.xlsx]Sheet1!R442C3</stp>
        <tr r="C442" s="1"/>
      </tp>
      <tp>
        <v>2.0627210147241861</v>
        <stp/>
        <stp>##V3_BDPV12</stp>
        <stp>912810RH Govt</stp>
        <stp>YLD_YTM_BID</stp>
        <stp>[TREASURY.xlsx]Sheet1!R259C4</stp>
        <tr r="D259" s="1"/>
      </tp>
      <tp>
        <v>2</v>
        <stp/>
        <stp>##V3_BDPV12</stp>
        <stp>912828QF Govt</stp>
        <stp>CPN</stp>
        <stp>[TREASURY.xlsx]Sheet1!R576C3</stp>
        <tr r="C576" s="1"/>
      </tp>
      <tp>
        <v>2.0351932428178667</v>
        <stp/>
        <stp>##V3_BDPV12</stp>
        <stp>912810RD Govt</stp>
        <stp>YLD_YTM_BID</stp>
        <stp>[TREASURY.xlsx]Sheet1!R235C4</stp>
        <tr r="D235" s="1"/>
      </tp>
      <tp>
        <v>0.5</v>
        <stp/>
        <stp>##V3_BDPV12</stp>
        <stp>912828VG Govt</stp>
        <stp>CPN</stp>
        <stp>[TREASURY.xlsx]Sheet1!R587C3</stp>
        <tr r="C587" s="1"/>
      </tp>
      <tp>
        <v>1.8561794217546541</v>
        <stp/>
        <stp>##V3_BDPV12</stp>
        <stp>912810QA Govt</stp>
        <stp>YLD_YTM_BID</stp>
        <stp>[TREASURY.xlsx]Sheet1!R280C4</stp>
        <tr r="D280" s="1"/>
      </tp>
      <tp>
        <v>4.5</v>
        <stp/>
        <stp>##V3_BDPV12</stp>
        <stp>912828GA Govt</stp>
        <stp>CPN</stp>
        <stp>[TREASURY.xlsx]Sheet1!R801C3</stp>
        <tr r="C801" s="1"/>
      </tp>
      <tp>
        <v>2.25</v>
        <stp/>
        <stp>##V3_BDPV12</stp>
        <stp>912828AG Govt</stp>
        <stp>CPN</stp>
        <stp>[TREASURY.xlsx]Sheet1!R837C3</stp>
        <tr r="C837" s="1"/>
      </tp>
      <tp>
        <v>2.875</v>
        <stp/>
        <stp>##V3_BDPV12</stp>
        <stp>912828JC Govt</stp>
        <stp>CPN</stp>
        <stp>[TREASURY.xlsx]Sheet1!R853C3</stp>
        <tr r="C853" s="1"/>
      </tp>
      <tp>
        <v>3.25</v>
        <stp/>
        <stp>##V3_BDPV12</stp>
        <stp>912828LD Govt</stp>
        <stp>CPN</stp>
        <stp>[TREASURY.xlsx]Sheet1!R814C3</stp>
        <tr r="C814" s="1"/>
      </tp>
      <tp>
        <v>4.125</v>
        <stp/>
        <stp>##V3_BDPV12</stp>
        <stp>912828ED Govt</stp>
        <stp>CPN</stp>
        <stp>[TREASURY.xlsx]Sheet1!R964C3</stp>
        <tr r="C964" s="1"/>
      </tp>
      <tp>
        <v>4.75</v>
        <stp/>
        <stp>##V3_BDPV12</stp>
        <stp>912828GG Govt</stp>
        <stp>CPN</stp>
        <stp>[TREASURY.xlsx]Sheet1!R967C3</stp>
        <tr r="C967" s="1"/>
      </tp>
      <tp>
        <v>13</v>
        <stp/>
        <stp>##V3_BDPV12</stp>
        <stp>912827LF Govt</stp>
        <stp>CPN</stp>
        <stp>[TREASURY.xlsx]Sheet1!R656C3</stp>
        <tr r="C656" s="1"/>
      </tp>
      <tp t="s">
        <v>#N/A N/A</v>
        <stp/>
        <stp>##V3_BDPV12</stp>
        <stp>912828TF Govt</stp>
        <stp>YLD_YTM_BID</stp>
        <stp>[TREASURY.xlsx]Sheet1!R997C4</stp>
        <tr r="D997" s="1"/>
      </tp>
      <tp t="s">
        <v>#N/A N/A</v>
        <stp/>
        <stp>##V3_BDPV12</stp>
        <stp>912827MA Govt</stp>
        <stp>YLD_YTM_BID</stp>
        <stp>[TREASURY.xlsx]Sheet1!R720C4</stp>
        <tr r="D720" s="1"/>
      </tp>
      <tp t="s">
        <v>#N/A N/A</v>
        <stp/>
        <stp>##V3_BDPV12</stp>
        <stp>912828HG Govt</stp>
        <stp>YLD_YTM_BID</stp>
        <stp>[TREASURY.xlsx]Sheet1!R806C4</stp>
        <tr r="D806" s="1"/>
      </tp>
      <tp t="s">
        <v>#N/A N/A</v>
        <stp/>
        <stp>##V3_BDPV12</stp>
        <stp>912828NC Govt</stp>
        <stp>YLD_YTM_BID</stp>
        <stp>[TREASURY.xlsx]Sheet1!R862C4</stp>
        <tr r="D862" s="1"/>
      </tp>
      <tp t="s">
        <v>#N/A N/A</v>
        <stp/>
        <stp>##V3_BDPV12</stp>
        <stp>912827PF Govt</stp>
        <stp>YLD_YTM_BID</stp>
        <stp>[TREASURY.xlsx]Sheet1!R737C4</stp>
        <tr r="D737" s="1"/>
      </tp>
      <tp t="s">
        <v>#N/A N/A</v>
        <stp/>
        <stp>##V3_BDPV12</stp>
        <stp>912827UB Govt</stp>
        <stp>YLD_YTM_BID</stp>
        <stp>[TREASURY.xlsx]Sheet1!R753C4</stp>
        <tr r="D753" s="1"/>
      </tp>
      <tp t="s">
        <v>#N/A N/A</v>
        <stp/>
        <stp>##V3_BDPV12</stp>
        <stp>912827PH Govt</stp>
        <stp>YLD_YTM_BID</stp>
        <stp>[TREASURY.xlsx]Sheet1!R499C4</stp>
        <tr r="D499" s="1"/>
      </tp>
      <tp t="s">
        <v>#N/A N/A</v>
        <stp/>
        <stp>##V3_BDPV12</stp>
        <stp>912828CH Govt</stp>
        <stp>YLD_YTM_BID</stp>
        <stp>[TREASURY.xlsx]Sheet1!R559C4</stp>
        <tr r="D559" s="1"/>
      </tp>
      <tp t="s">
        <v>#N/A N/A</v>
        <stp/>
        <stp>##V3_BDPV12</stp>
        <stp>912828EG Govt</stp>
        <stp>YLD_YTM_BID</stp>
        <stp>[TREASURY.xlsx]Sheet1!R596C4</stp>
        <tr r="D596" s="1"/>
      </tp>
      <tp t="s">
        <v>#N/A N/A</v>
        <stp/>
        <stp>##V3_BDPV12</stp>
        <stp>912828ME Govt</stp>
        <stp>YLD_YTM_BID</stp>
        <stp>[TREASURY.xlsx]Sheet1!R574C4</stp>
        <tr r="D574" s="1"/>
      </tp>
      <tp t="s">
        <v>#N/A N/A</v>
        <stp/>
        <stp>##V3_BDPV12</stp>
        <stp>912828JF Govt</stp>
        <stp>YLD_YTM_BID</stp>
        <stp>[TREASURY.xlsx]Sheet1!R537C4</stp>
        <tr r="D537" s="1"/>
      </tp>
      <tp>
        <v>3.125</v>
        <stp/>
        <stp>##V3_BDPV12</stp>
        <stp>912810SC Govt</stp>
        <stp>CPN</stp>
        <stp>[TREASURY.xlsx]Sheet1!R243C3</stp>
        <tr r="C243" s="1"/>
      </tp>
      <tp t="s">
        <v>#N/A N/A</v>
        <stp/>
        <stp>##V3_BDPV12</stp>
        <stp>912828TA Govt</stp>
        <stp>YLD_YTM_BID</stp>
        <stp>[TREASURY.xlsx]Sheet1!R520C4</stp>
        <tr r="D520" s="1"/>
      </tp>
      <tp>
        <v>3.625</v>
        <stp/>
        <stp>##V3_BDPV12</stp>
        <stp>912810RC Govt</stp>
        <stp>CPN</stp>
        <stp>[TREASURY.xlsx]Sheet1!R263C3</stp>
        <tr r="C263" s="1"/>
      </tp>
      <tp>
        <v>3.625</v>
        <stp/>
        <stp>##V3_BDPV12</stp>
        <stp>912810RE Govt</stp>
        <stp>CPN</stp>
        <stp>[TREASURY.xlsx]Sheet1!R295C3</stp>
        <tr r="C295" s="1"/>
      </tp>
      <tp t="s">
        <v>#N/A N/A</v>
        <stp/>
        <stp>##V3_BDPV12</stp>
        <stp>912828SG Govt</stp>
        <stp>YLD_YTM_BID</stp>
        <stp>[TREASURY.xlsx]Sheet1!R496C4</stp>
        <tr r="D496" s="1"/>
      </tp>
      <tp t="s">
        <v>#N/A N/A</v>
        <stp/>
        <stp>##V3_BDPV12</stp>
        <stp>912827MG Govt</stp>
        <stp>YLD_YTM_BID</stp>
        <stp>[TREASURY.xlsx]Sheet1!R896C4</stp>
        <tr r="D896" s="1"/>
      </tp>
      <tp t="s">
        <v>#N/A N/A</v>
        <stp/>
        <stp>##V3_BDPV12</stp>
        <stp>912828ND Govt</stp>
        <stp>YLD_YTM_BID</stp>
        <stp>[TREASURY.xlsx]Sheet1!R645C4</stp>
        <tr r="D645" s="1"/>
      </tp>
      <tp t="s">
        <v>#N/A N/A</v>
        <stp/>
        <stp>##V3_BDPV12</stp>
        <stp>912827QG Govt</stp>
        <stp>YLD_YTM_BID</stp>
        <stp>[TREASURY.xlsx]Sheet1!R906C4</stp>
        <tr r="D906" s="1"/>
      </tp>
      <tp t="s">
        <v>#N/A N/A</v>
        <stp/>
        <stp>##V3_BDPV12</stp>
        <stp>912827XD Govt</stp>
        <stp>YLD_YTM_BID</stp>
        <stp>[TREASURY.xlsx]Sheet1!R935C4</stp>
        <tr r="D935" s="1"/>
      </tp>
      <tp>
        <v>8.75</v>
        <stp/>
        <stp>##V3_BDPV12</stp>
        <stp>912810EF Govt</stp>
        <stp>CPN</stp>
        <stp>[TREASURY.xlsx]Sheet1!R606C3</stp>
        <tr r="C606" s="1"/>
      </tp>
      <tp>
        <v>8.125</v>
        <stp/>
        <stp>##V3_BDPV12</stp>
        <stp>912810ED Govt</stp>
        <stp>CPN</stp>
        <stp>[TREASURY.xlsx]Sheet1!R664C3</stp>
        <tr r="C664" s="1"/>
      </tp>
      <tp>
        <v>6.168343921080402E-2</v>
        <stp/>
        <stp>##V3_BDPV12</stp>
        <stp>912828ZA Govt</stp>
        <stp>YLD_YTM_BID</stp>
        <stp>[TREASURY.xlsx]Sheet1!R190C4</stp>
        <tr r="D190" s="1"/>
      </tp>
      <tp>
        <v>7.9481521335205044E-2</v>
        <stp/>
        <stp>##V3_BDPV12</stp>
        <stp>912828XG Govt</stp>
        <stp>YLD_YTM_BID</stp>
        <stp>[TREASURY.xlsx]Sheet1!R196C4</stp>
        <tr r="D196" s="1"/>
      </tp>
      <tp t="s">
        <v>#N/A N/A</v>
        <stp/>
        <stp>##V3_BDPV12</stp>
        <stp>912828DC Govt</stp>
        <stp>YLD_YTM_BID</stp>
        <stp>[TREASURY.xlsx]Sheet1!R352C4</stp>
        <tr r="D352" s="1"/>
      </tp>
      <tp t="s">
        <v>#N/A N/A</v>
        <stp/>
        <stp>##V3_BDPV12</stp>
        <stp>9128282B Govt</stp>
        <stp>YLD_YTM_BID</stp>
        <stp>[TREASURY.xlsx]Sheet1!R373C4</stp>
        <tr r="D373" s="1"/>
      </tp>
      <tp>
        <v>7.0631432909499622E-2</v>
        <stp/>
        <stp>##V3_BDPV12</stp>
        <stp>9128286C Govt</stp>
        <stp>YLD_YTM_BID</stp>
        <stp>[TREASURY.xlsx]Sheet1!R272C4</stp>
        <tr r="D272" s="1"/>
      </tp>
      <tp t="s">
        <v>7/31/1994</v>
        <stp/>
        <stp>##V3_BDPV12</stp>
        <stp>912827N5 Govt</stp>
        <stp>FIRST_CPN_DT</stp>
        <stp>[TREASURY.xlsx]Sheet1!R727C9</stp>
        <tr r="I727" s="1"/>
      </tp>
      <tp t="s">
        <v>11/15/1981</v>
        <stp/>
        <stp>##V3_BDPV12</stp>
        <stp>912827LV Govt</stp>
        <stp>FIRST_CPN_DT</stp>
        <stp>[TREASURY.xlsx]Sheet1!R717C9</stp>
        <tr r="I717" s="1"/>
      </tp>
      <tp t="s">
        <v>7/15/1993</v>
        <stp/>
        <stp>##V3_BDPV12</stp>
        <stp>912827J3 Govt</stp>
        <stp>FIRST_CPN_DT</stp>
        <stp>[TREASURY.xlsx]Sheet1!R707C9</stp>
        <tr r="I707" s="1"/>
      </tp>
      <tp t="s">
        <v>5/15/1981</v>
        <stp/>
        <stp>##V3_BDPV12</stp>
        <stp>912827LA Govt</stp>
        <stp>FIRST_CPN_DT</stp>
        <stp>[TREASURY.xlsx]Sheet1!R887C9</stp>
        <tr r="I887" s="1"/>
      </tp>
      <tp t="s">
        <v>3/31/1982</v>
        <stp/>
        <stp>##V3_BDPV12</stp>
        <stp>912827MJ Govt</stp>
        <stp>FIRST_CPN_DT</stp>
        <stp>[TREASURY.xlsx]Sheet1!R897C9</stp>
        <tr r="I897" s="1"/>
      </tp>
      <tp t="s">
        <v>7/15/1984</v>
        <stp/>
        <stp>##V3_BDPV12</stp>
        <stp>912827QJ Govt</stp>
        <stp>FIRST_CPN_DT</stp>
        <stp>[TREASURY.xlsx]Sheet1!R907C9</stp>
        <tr r="I907" s="1"/>
      </tp>
      <tp t="s">
        <v>1/15/1986</v>
        <stp/>
        <stp>##V3_BDPV12</stp>
        <stp>912827SL Govt</stp>
        <stp>FIRST_CPN_DT</stp>
        <stp>[TREASURY.xlsx]Sheet1!R917C9</stp>
        <tr r="I917" s="1"/>
      </tp>
      <tp t="s">
        <v>4/30/1997</v>
        <stp/>
        <stp>##V3_BDPV12</stp>
        <stp>912827Z7 Govt</stp>
        <stp>FIRST_CPN_DT</stp>
        <stp>[TREASURY.xlsx]Sheet1!R777C9</stp>
        <tr r="I777" s="1"/>
      </tp>
      <tp t="s">
        <v>8/31/1988</v>
        <stp/>
        <stp>##V3_BDPV12</stp>
        <stp>912827VX Govt</stp>
        <stp>FIRST_CPN_DT</stp>
        <stp>[TREASURY.xlsx]Sheet1!R927C9</stp>
        <tr r="I927" s="1"/>
      </tp>
      <tp t="s">
        <v>11/15/1990</v>
        <stp/>
        <stp>##V3_BDPV12</stp>
        <stp>912827YV Govt</stp>
        <stp>FIRST_CPN_DT</stp>
        <stp>[TREASURY.xlsx]Sheet1!R947C9</stp>
        <tr r="I947" s="1"/>
      </tp>
      <tp t="s">
        <v>5/31/1996</v>
        <stp/>
        <stp>##V3_BDPV12</stp>
        <stp>912827W2 Govt</stp>
        <stp>FIRST_CPN_DT</stp>
        <stp>[TREASURY.xlsx]Sheet1!R767C9</stp>
        <tr r="I767" s="1"/>
      </tp>
      <tp t="s">
        <v>11/30/1989</v>
        <stp/>
        <stp>##V3_BDPV12</stp>
        <stp>912827XP Govt</stp>
        <stp>FIRST_CPN_DT</stp>
        <stp>[TREASURY.xlsx]Sheet1!R937C9</stp>
        <tr r="I937" s="1"/>
      </tp>
      <tp t="s">
        <v>3/31/1996</v>
        <stp/>
        <stp>##V3_BDPV12</stp>
        <stp>912827V4 Govt</stp>
        <stp>FIRST_CPN_DT</stp>
        <stp>[TREASURY.xlsx]Sheet1!R757C9</stp>
        <tr r="I757" s="1"/>
      </tp>
      <tp t="s">
        <v>10/31/1985</v>
        <stp/>
        <stp>##V3_BDPV12</stp>
        <stp>912827SC Govt</stp>
        <stp>FIRST_CPN_DT</stp>
        <stp>[TREASURY.xlsx]Sheet1!R747C9</stp>
        <tr r="I747" s="1"/>
      </tp>
      <tp t="s">
        <v>11/15/1983</v>
        <stp/>
        <stp>##V3_BDPV12</stp>
        <stp>912827PF Govt</stp>
        <stp>FIRST_CPN_DT</stp>
        <stp>[TREASURY.xlsx]Sheet1!R737C9</stp>
        <tr r="I737" s="1"/>
      </tp>
      <tp t="s">
        <v>8/31/1998</v>
        <stp/>
        <stp>##V3_BDPV12</stp>
        <stp>9128273Y Govt</stp>
        <stp>FIRST_CPN_DT</stp>
        <stp>[TREASURY.xlsx]Sheet1!R607C9</stp>
        <tr r="I607" s="1"/>
      </tp>
      <tp t="s">
        <v>2/15/1986</v>
        <stp/>
        <stp>##V3_BDPV12</stp>
        <stp>912810DS Govt</stp>
        <stp>FIRST_CPN_DT</stp>
        <stp>[TREASURY.xlsx]Sheet1!R454C9</stp>
        <tr r="I454" s="1"/>
      </tp>
      <tp t="s">
        <v>2/15/1990</v>
        <stp/>
        <stp>##V3_BDPV12</stp>
        <stp>912810ED Govt</stp>
        <stp>FIRST_CPN_DT</stp>
        <stp>[TREASURY.xlsx]Sheet1!R664C9</stp>
        <tr r="I664" s="1"/>
      </tp>
      <tp t="s">
        <v>2/15/1998</v>
        <stp/>
        <stp>##V3_BDPV12</stp>
        <stp>912810FA Govt</stp>
        <stp>FIRST_CPN_DT</stp>
        <stp>[TREASURY.xlsx]Sheet1!R314C9</stp>
        <tr r="I314" s="1"/>
      </tp>
      <tp t="s">
        <v>2/15/1993</v>
        <stp/>
        <stp>##V3_BDPV12</stp>
        <stp>912810EM Govt</stp>
        <stp>FIRST_CPN_DT</stp>
        <stp>[TREASURY.xlsx]Sheet1!R304C9</stp>
        <tr r="I304" s="1"/>
      </tp>
      <tp t="s">
        <v>2/15/1997</v>
        <stp/>
        <stp>##V3_BDPV12</stp>
        <stp>912810EX Govt</stp>
        <stp>FIRST_CPN_DT</stp>
        <stp>[TREASURY.xlsx]Sheet1!R324C9</stp>
        <tr r="I324" s="1"/>
      </tp>
      <tp t="s">
        <v>5/15/1982</v>
        <stp/>
        <stp>##V3_BDPV12</stp>
        <stp>912810CY Govt</stp>
        <stp>FIRST_CPN_DT</stp>
        <stp>[TREASURY.xlsx]Sheet1!R414C9</stp>
        <tr r="I414" s="1"/>
      </tp>
      <tp t="s">
        <v>11/15/2014</v>
        <stp/>
        <stp>##V3_BDPV12</stp>
        <stp>912810RG Govt</stp>
        <stp>FIRST_CPN_DT</stp>
        <stp>[TREASURY.xlsx]Sheet1!R284C9</stp>
        <tr r="I284" s="1"/>
      </tp>
      <tp t="s">
        <v>11/15/2009</v>
        <stp/>
        <stp>##V3_BDPV12</stp>
        <stp>912810QB Govt</stp>
        <stp>FIRST_CPN_DT</stp>
        <stp>[TREASURY.xlsx]Sheet1!R274C9</stp>
        <tr r="I274" s="1"/>
      </tp>
      <tp t="s">
        <v>5/15/2017</v>
        <stp/>
        <stp>##V3_BDPV12</stp>
        <stp>912810RU Govt</stp>
        <stp>FIRST_CPN_DT</stp>
        <stp>[TREASURY.xlsx]Sheet1!R154C9</stp>
        <tr r="I154" s="1"/>
      </tp>
      <tp t="s">
        <v>1/31/2003</v>
        <stp/>
        <stp>##V3_BDPV12</stp>
        <stp>912828AG Govt</stp>
        <stp>FIRST_CPN_DT</stp>
        <stp>[TREASURY.xlsx]Sheet1!R837C9</stp>
        <tr r="I837" s="1"/>
      </tp>
      <tp t="s">
        <v>7/31/2015</v>
        <stp/>
        <stp>##V3_BDPV12</stp>
        <stp>912828H8 Govt</stp>
        <stp>FIRST_CPN_DT</stp>
        <stp>[TREASURY.xlsx]Sheet1!R247C9</stp>
        <tr r="I247" s="1"/>
      </tp>
      <tp t="s">
        <v>2/15/2011</v>
        <stp/>
        <stp>##V3_BDPV12</stp>
        <stp>912828NU Govt</stp>
        <stp>FIRST_CPN_DT</stp>
        <stp>[TREASURY.xlsx]Sheet1!R547C9</stp>
        <tr r="I547" s="1"/>
      </tp>
      <tp t="s">
        <v>11/30/2009</v>
        <stp/>
        <stp>##V3_BDPV12</stp>
        <stp>912828KW Govt</stp>
        <stp>FIRST_CPN_DT</stp>
        <stp>[TREASURY.xlsx]Sheet1!R617C9</stp>
        <tr r="I617" s="1"/>
      </tp>
      <tp t="s">
        <v>8/15/2007</v>
        <stp/>
        <stp>##V3_BDPV12</stp>
        <stp>912828GG Govt</stp>
        <stp>FIRST_CPN_DT</stp>
        <stp>[TREASURY.xlsx]Sheet1!R967C9</stp>
        <tr r="I967" s="1"/>
      </tp>
      <tp t="s">
        <v>1/31/2009</v>
        <stp/>
        <stp>##V3_BDPV12</stp>
        <stp>912828JG Govt</stp>
        <stp>FIRST_CPN_DT</stp>
        <stp>[TREASURY.xlsx]Sheet1!R417C9</stp>
        <tr r="I417" s="1"/>
      </tp>
      <tp t="s">
        <v>1/31/2009</v>
        <stp/>
        <stp>##V3_BDPV12</stp>
        <stp>912828JF Govt</stp>
        <stp>FIRST_CPN_DT</stp>
        <stp>[TREASURY.xlsx]Sheet1!R537C9</stp>
        <tr r="I537" s="1"/>
      </tp>
      <tp t="s">
        <v>9/30/2007</v>
        <stp/>
        <stp>##V3_BDPV12</stp>
        <stp>912828GL Govt</stp>
        <stp>FIRST_CPN_DT</stp>
        <stp>[TREASURY.xlsx]Sheet1!R847C9</stp>
        <tr r="I847" s="1"/>
      </tp>
      <tp t="s">
        <v>2/29/2016</v>
        <stp/>
        <stp>##V3_BDPV12</stp>
        <stp>912828L3 Govt</stp>
        <stp>FIRST_CPN_DT</stp>
        <stp>[TREASURY.xlsx]Sheet1!R327C9</stp>
        <tr r="I327" s="1"/>
      </tp>
      <tp t="s">
        <v>8/15/2004</v>
        <stp/>
        <stp>##V3_BDPV12</stp>
        <stp>912828CA Govt</stp>
        <stp>FIRST_CPN_DT</stp>
        <stp>[TREASURY.xlsx]Sheet1!R337C9</stp>
        <tr r="I337" s="1"/>
      </tp>
      <tp t="s">
        <v>5/31/2008</v>
        <stp/>
        <stp>##V3_BDPV12</stp>
        <stp>912828HJ Govt</stp>
        <stp>FIRST_CPN_DT</stp>
        <stp>[TREASURY.xlsx]Sheet1!R807C9</stp>
        <tr r="I807" s="1"/>
      </tp>
      <tp t="s">
        <v>9/15/2005</v>
        <stp/>
        <stp>##V3_BDPV12</stp>
        <stp>912828DP Govt</stp>
        <stp>FIRST_CPN_DT</stp>
        <stp>[TREASURY.xlsx]Sheet1!R517C9</stp>
        <tr r="I517" s="1"/>
      </tp>
      <tp t="s">
        <v>5/15/2006</v>
        <stp/>
        <stp>##V3_BDPV12</stp>
        <stp>912828EL Govt</stp>
        <stp>FIRST_CPN_DT</stp>
        <stp>[TREASURY.xlsx]Sheet1!R797C9</stp>
        <tr r="I797" s="1"/>
      </tp>
      <tp t="s">
        <v>10/31/2009</v>
        <stp/>
        <stp>##V3_BDPV12</stp>
        <stp>912828KL Govt</stp>
        <stp>FIRST_CPN_DT</stp>
        <stp>[TREASURY.xlsx]Sheet1!R857C9</stp>
        <tr r="I857" s="1"/>
      </tp>
      <tp t="s">
        <v>3/31/2007</v>
        <stp/>
        <stp>##V3_BDPV12</stp>
        <stp>912828FT Govt</stp>
        <stp>FIRST_CPN_DT</stp>
        <stp>[TREASURY.xlsx]Sheet1!R597C9</stp>
        <tr r="I597" s="1"/>
      </tp>
      <tp t="s">
        <v>4/15/2010</v>
        <stp/>
        <stp>##V3_BDPV12</stp>
        <stp>912828LR Govt</stp>
        <stp>FIRST_CPN_DT</stp>
        <stp>[TREASURY.xlsx]Sheet1!R817C9</stp>
        <tr r="I817" s="1"/>
      </tp>
      <tp t="s">
        <v>11/15/2003</v>
        <stp/>
        <stp>##V3_BDPV12</stp>
        <stp>912828AY Govt</stp>
        <stp>FIRST_CPN_DT</stp>
        <stp>[TREASURY.xlsx]Sheet1!R507C9</stp>
        <tr r="I507" s="1"/>
      </tp>
      <tp t="s">
        <v>3/31/2015</v>
        <stp/>
        <stp>##V3_BDPV12</stp>
        <stp>912828F2 Govt</stp>
        <stp>FIRST_CPN_DT</stp>
        <stp>[TREASURY.xlsx]Sheet1!R207C9</stp>
        <tr r="I207" s="1"/>
      </tp>
      <tp t="s">
        <v>7/31/2014</v>
        <stp/>
        <stp>##V3_BDPV12</stp>
        <stp>912828B5 Govt</stp>
        <stp>FIRST_CPN_DT</stp>
        <stp>[TREASURY.xlsx]Sheet1!R647C9</stp>
        <tr r="I647" s="1"/>
      </tp>
      <tp t="s">
        <v>6/15/2004</v>
        <stp/>
        <stp>##V3_BDPV12</stp>
        <stp>912828BT Govt</stp>
        <stp>FIRST_CPN_DT</stp>
        <stp>[TREASURY.xlsx]Sheet1!R787C9</stp>
        <tr r="I787" s="1"/>
      </tp>
      <tp t="s">
        <v>2/15/2004</v>
        <stp/>
        <stp>##V3_BDPV12</stp>
        <stp>912828BG Govt</stp>
        <stp>FIRST_CPN_DT</stp>
        <stp>[TREASURY.xlsx]Sheet1!R427C9</stp>
        <tr r="I427" s="1"/>
      </tp>
      <tp t="s">
        <v>12/15/2004</v>
        <stp/>
        <stp>##V3_BDPV12</stp>
        <stp>912828CL Govt</stp>
        <stp>FIRST_CPN_DT</stp>
        <stp>[TREASURY.xlsx]Sheet1!R557C9</stp>
        <tr r="I557" s="1"/>
      </tp>
      <tp t="s">
        <v>8/31/2006</v>
        <stp/>
        <stp>##V3_BDPV12</stp>
        <stp>912828EX Govt</stp>
        <stp>FIRST_CPN_DT</stp>
        <stp>[TREASURY.xlsx]Sheet1!R397C9</stp>
        <tr r="I397" s="1"/>
      </tp>
      <tp t="s">
        <v>5/15/2015</v>
        <stp/>
        <stp>##V3_BDPV12</stp>
        <stp>912828G3 Govt</stp>
        <stp>FIRST_CPN_DT</stp>
        <stp>[TREASURY.xlsx]Sheet1!R137C9</stp>
        <tr r="I137" s="1"/>
      </tp>
      <tp t="s">
        <v>11/30/2010</v>
        <stp/>
        <stp>##V3_BDPV12</stp>
        <stp>912828NE Govt</stp>
        <stp>FIRST_CPN_DT</stp>
        <stp>[TREASURY.xlsx]Sheet1!R977C9</stp>
        <tr r="I977" s="1"/>
      </tp>
      <tp t="s">
        <v>5/15/2003</v>
        <stp/>
        <stp>##V3_BDPV12</stp>
        <stp>912828AN Govt</stp>
        <stp>FIRST_CPN_DT</stp>
        <stp>[TREASURY.xlsx]Sheet1!R657C9</stp>
        <tr r="I657" s="1"/>
      </tp>
      <tp t="s">
        <v>9/30/2003</v>
        <stp/>
        <stp>##V3_BDPV12</stp>
        <stp>912828AW Govt</stp>
        <stp>FIRST_CPN_DT</stp>
        <stp>[TREASURY.xlsx]Sheet1!R667C9</stp>
        <tr r="I667" s="1"/>
      </tp>
      <tp t="s">
        <v>4/30/2005</v>
        <stp/>
        <stp>##V3_BDPV12</stp>
        <stp>912828CY Govt</stp>
        <stp>FIRST_CPN_DT</stp>
        <stp>[TREASURY.xlsx]Sheet1!R477C9</stp>
        <tr r="I477" s="1"/>
      </tp>
      <tp t="s">
        <v>5/31/2014</v>
        <stp/>
        <stp>##V3_BDPV12</stp>
        <stp>912828A3 Govt</stp>
        <stp>FIRST_CPN_DT</stp>
        <stp>[TREASURY.xlsx]Sheet1!R627C9</stp>
        <tr r="I627" s="1"/>
      </tp>
      <tp t="s">
        <v>1/31/2020</v>
        <stp/>
        <stp>##V3_BDPV12</stp>
        <stp>912828Y9 Govt</stp>
        <stp>FIRST_CPN_DT</stp>
        <stp>[TREASURY.xlsx]Sheet1!R157C9</stp>
        <tr r="I157" s="1"/>
      </tp>
      <tp t="s">
        <v>12/31/2011</v>
        <stp/>
        <stp>##V3_BDPV12</stp>
        <stp>912828QT Govt</stp>
        <stp>FIRST_CPN_DT</stp>
        <stp>[TREASURY.xlsx]Sheet1!R867C9</stp>
        <tr r="I867" s="1"/>
      </tp>
      <tp t="s">
        <v>1/31/2012</v>
        <stp/>
        <stp>##V3_BDPV12</stp>
        <stp>912828QY Govt</stp>
        <stp>FIRST_CPN_DT</stp>
        <stp>[TREASURY.xlsx]Sheet1!R827C9</stp>
        <tr r="I827" s="1"/>
      </tp>
      <tp t="s">
        <v>6/30/2011</v>
        <stp/>
        <stp>##V3_BDPV12</stp>
        <stp>912828PW Govt</stp>
        <stp>FIRST_CPN_DT</stp>
        <stp>[TREASURY.xlsx]Sheet1!R987C9</stp>
        <tr r="I987" s="1"/>
      </tp>
      <tp t="s">
        <v>12/31/2017</v>
        <stp/>
        <stp>##V3_BDPV12</stp>
        <stp>912828XW Govt</stp>
        <stp>FIRST_CPN_DT</stp>
        <stp>[TREASURY.xlsx]Sheet1!R217C9</stp>
        <tr r="I217" s="1"/>
      </tp>
      <tp t="s">
        <v>11/15/2015</v>
        <stp/>
        <stp>##V3_BDPV12</stp>
        <stp>912828XA Govt</stp>
        <stp>FIRST_CPN_DT</stp>
        <stp>[TREASURY.xlsx]Sheet1!R377C9</stp>
        <tr r="I377" s="1"/>
      </tp>
      <tp t="s">
        <v>10/31/2020</v>
        <stp/>
        <stp>##V3_BDPV12</stp>
        <stp>912828ZN Govt</stp>
        <stp>FIRST_CPN_DT</stp>
        <stp>[TREASURY.xlsx]Sheet1!R117C9</stp>
        <tr r="I117" s="1"/>
      </tp>
      <tp t="s">
        <v>1/31/2019</v>
        <stp/>
        <stp>##V3_BDPV12</stp>
        <stp>912828Y6 Govt</stp>
        <stp>FIRST_CPN_DT</stp>
        <stp>[TREASURY.xlsx]Sheet1!R297C9</stp>
        <tr r="I297" s="1"/>
      </tp>
      <tp t="s">
        <v>1/31/2013</v>
        <stp/>
        <stp>##V3_BDPV12</stp>
        <stp>912828TF Govt</stp>
        <stp>FIRST_CPN_DT</stp>
        <stp>[TREASURY.xlsx]Sheet1!R997C9</stp>
        <tr r="I997" s="1"/>
      </tp>
      <tp t="s">
        <v>7/15/2017</v>
        <stp/>
        <stp>##V3_BDPV12</stp>
        <stp>912828V3 Govt</stp>
        <stp>FIRST_CPN_DT</stp>
        <stp>[TREASURY.xlsx]Sheet1!R877C9</stp>
        <tr r="I877" s="1"/>
      </tp>
      <tp t="s">
        <v>5/15/2013</v>
        <stp/>
        <stp>##V3_BDPV12</stp>
        <stp>912828TX Govt</stp>
        <stp>FIRST_CPN_DT</stp>
        <stp>[TREASURY.xlsx]Sheet1!R467C9</stp>
        <tr r="I467" s="1"/>
      </tp>
      <tp t="s">
        <v>9/30/2016</v>
        <stp/>
        <stp>##V3_BDPV12</stp>
        <stp>912828Q2 Govt</stp>
        <stp>FIRST_CPN_DT</stp>
        <stp>[TREASURY.xlsx]Sheet1!R187C9</stp>
        <tr r="I187" s="1"/>
      </tp>
      <tp t="s">
        <v>12/31/2012</v>
        <stp/>
        <stp>##V3_BDPV12</stp>
        <stp>912828TB Govt</stp>
        <stp>FIRST_CPN_DT</stp>
        <stp>[TREASURY.xlsx]Sheet1!R637C9</stp>
        <tr r="I637" s="1"/>
      </tp>
      <tp t="s">
        <v>11/30/2014</v>
        <stp/>
        <stp>##V3_BDPV12</stp>
        <stp>912828WM Govt</stp>
        <stp>FIRST_CPN_DT</stp>
        <stp>[TREASURY.xlsx]Sheet1!R567C9</stp>
        <tr r="I567" s="1"/>
      </tp>
      <tp t="s">
        <v>12/31/2013</v>
        <stp/>
        <stp>##V3_BDPV12</stp>
        <stp>912828VJ Govt</stp>
        <stp>FIRST_CPN_DT</stp>
        <stp>[TREASURY.xlsx]Sheet1!R447C9</stp>
        <tr r="I447" s="1"/>
      </tp>
      <tp t="s">
        <v>4/30/2014</v>
        <stp/>
        <stp>##V3_BDPV12</stp>
        <stp>912828WB Govt</stp>
        <stp>FIRST_CPN_DT</stp>
        <stp>[TREASURY.xlsx]Sheet1!R457C9</stp>
        <tr r="I457" s="1"/>
      </tp>
      <tp t="s">
        <v>11/15/2013</v>
        <stp/>
        <stp>##V3_BDPV12</stp>
        <stp>912828VC Govt</stp>
        <stp>FIRST_CPN_DT</stp>
        <stp>[TREASURY.xlsx]Sheet1!R577C9</stp>
        <tr r="I577" s="1"/>
      </tp>
      <tp t="s">
        <v>12/15/2013</v>
        <stp/>
        <stp>##V3_BDPV12</stp>
        <stp>912828VG Govt</stp>
        <stp>FIRST_CPN_DT</stp>
        <stp>[TREASURY.xlsx]Sheet1!R587C9</stp>
        <tr r="I587" s="1"/>
      </tp>
      <tp t="s">
        <v>12/31/2011</v>
        <stp/>
        <stp>##V3_BDPV12</stp>
        <stp>912828RA Govt</stp>
        <stp>FIRST_CPN_DT</stp>
        <stp>[TREASURY.xlsx]Sheet1!R677C9</stp>
        <tr r="I677" s="1"/>
      </tp>
      <tp t="s">
        <v>8/15/2013</v>
        <stp/>
        <stp>##V3_BDPV12</stp>
        <stp>912828UN Govt</stp>
        <stp>FIRST_CPN_DT</stp>
        <stp>[TREASURY.xlsx]Sheet1!R147C9</stp>
        <tr r="I147" s="1"/>
      </tp>
      <tp t="s">
        <v>6/15/2012</v>
        <stp/>
        <stp>##V3_BDPV12</stp>
        <stp>912828RV Govt</stp>
        <stp>FIRST_CPN_DT</stp>
        <stp>[TREASURY.xlsx]Sheet1!R687C9</stp>
        <tr r="I687" s="1"/>
      </tp>
      <tp t="s">
        <v>8/31/2011</v>
        <stp/>
        <stp>##V3_BDPV12</stp>
        <stp>912828QJ Govt</stp>
        <stp>FIRST_CPN_DT</stp>
        <stp>[TREASURY.xlsx]Sheet1!R407C9</stp>
        <tr r="I407" s="1"/>
      </tp>
      <tp t="s">
        <v>7/31/2017</v>
        <stp/>
        <stp>##V3_BDPV12</stp>
        <stp>912828V8 Govt</stp>
        <stp>FIRST_CPN_DT</stp>
        <stp>[TREASURY.xlsx]Sheet1!R307C9</stp>
        <tr r="I307" s="1"/>
      </tp>
      <tp t="s">
        <v>5/31/2013</v>
        <stp/>
        <stp>##V3_BDPV12</stp>
        <stp>912828UA Govt</stp>
        <stp>FIRST_CPN_DT</stp>
        <stp>[TREASURY.xlsx]Sheet1!R387C9</stp>
        <tr r="I387" s="1"/>
      </tp>
      <tp t="s">
        <v>12/31/2016</v>
        <stp/>
        <stp>##V3_BDPV12</stp>
        <stp>912828R9 Govt</stp>
        <stp>FIRST_CPN_DT</stp>
        <stp>[TREASURY.xlsx]Sheet1!R437C9</stp>
        <tr r="I437" s="1"/>
      </tp>
      <tp t="s">
        <v>10/31/2012</v>
        <stp/>
        <stp>##V3_BDPV12</stp>
        <stp>912828ST Govt</stp>
        <stp>FIRST_CPN_DT</stp>
        <stp>[TREASURY.xlsx]Sheet1!R497C9</stp>
        <tr r="I497" s="1"/>
      </tp>
      <tp t="s">
        <v>8/15/2017</v>
        <stp/>
        <stp>##V3_BDPV12</stp>
        <stp>912828V9 Govt</stp>
        <stp>FIRST_CPN_DT</stp>
        <stp>[TREASURY.xlsx]Sheet1!R127C9</stp>
        <tr r="I127" s="1"/>
      </tp>
      <tp t="s">
        <v>1/15/2017</v>
        <stp/>
        <stp>##V3_BDPV12</stp>
        <stp>912828S4 Govt</stp>
        <stp>FIRST_CPN_DT</stp>
        <stp>[TREASURY.xlsx]Sheet1!R487C9</stp>
        <tr r="I487" s="1"/>
      </tp>
      <tp t="s">
        <v>1/31/2018</v>
        <stp/>
        <stp>##V3_BDPV12</stp>
        <stp>9128282K Govt</stp>
        <stp>FIRST_CPN_DT</stp>
        <stp>[TREASURY.xlsx]Sheet1!R957C9</stp>
        <tr r="I957" s="1"/>
      </tp>
      <tp t="s">
        <v>10/31/2018</v>
        <stp/>
        <stp>##V3_BDPV12</stp>
        <stp>9128284M Govt</stp>
        <stp>FIRST_CPN_DT</stp>
        <stp>[TREASURY.xlsx]Sheet1!R227C9</stp>
        <tr r="I227" s="1"/>
      </tp>
      <tp t="s">
        <v>11/30/2018</v>
        <stp/>
        <stp>##V3_BDPV12</stp>
        <stp>9128284R Govt</stp>
        <stp>FIRST_CPN_DT</stp>
        <stp>[TREASURY.xlsx]Sheet1!R257C9</stp>
        <tr r="I257" s="1"/>
      </tp>
      <tp t="s">
        <v>2/15/2019</v>
        <stp/>
        <stp>##V3_BDPV12</stp>
        <stp>9128284W Govt</stp>
        <stp>FIRST_CPN_DT</stp>
        <stp>[TREASURY.xlsx]Sheet1!R347C9</stp>
        <tr r="I347" s="1"/>
      </tp>
      <tp t="s">
        <v>11/15/2018</v>
        <stp/>
        <stp>##V3_BDPV12</stp>
        <stp>9128284P Govt</stp>
        <stp>FIRST_CPN_DT</stp>
        <stp>[TREASURY.xlsx]Sheet1!R367C9</stp>
        <tr r="I367" s="1"/>
      </tp>
      <tp t="s">
        <v>S/A</v>
        <stp/>
        <stp>##V3_BDPV12</stp>
        <stp>912827XL Govt</stp>
        <stp>COUPON_FREQUENCY_DESCRIPTION</stp>
        <stp>[TREASURY.xlsx]Sheet1!R1214C10</stp>
        <tr r="J1214" s="1"/>
      </tp>
      <tp t="s">
        <v>S/A</v>
        <stp/>
        <stp>##V3_BDPV12</stp>
        <stp>912827XM Govt</stp>
        <stp>COUPON_FREQUENCY_DESCRIPTION</stp>
        <stp>[TREASURY.xlsx]Sheet1!R1215C10</stp>
        <tr r="J1215" s="1"/>
      </tp>
      <tp t="s">
        <v>UNITED STATES</v>
        <stp/>
        <stp>##V3_BDPV12</stp>
        <stp>912827QB Govt</stp>
        <stp>COUNTRY_FULL_NAME</stp>
        <stp>[TREASURY.xlsx]Sheet1!R1574C8</stp>
        <tr r="H1574" s="1"/>
      </tp>
      <tp t="s">
        <v>S/A</v>
        <stp/>
        <stp>##V3_BDPV12</stp>
        <stp>912827XN Govt</stp>
        <stp>COUPON_FREQUENCY_DESCRIPTION</stp>
        <stp>[TREASURY.xlsx]Sheet1!R1598C10</stp>
        <tr r="J1598" s="1"/>
      </tp>
      <tp t="s">
        <v>S/A</v>
        <stp/>
        <stp>##V3_BDPV12</stp>
        <stp>912828XJ Govt</stp>
        <stp>COUPON_FREQUENCY_DESCRIPTION</stp>
        <stp>[TREASURY.xlsx]Sheet1!R1152C10</stp>
        <tr r="J1152" s="1"/>
      </tp>
      <tp t="s">
        <v>UNITED STATES</v>
        <stp/>
        <stp>##V3_BDPV12</stp>
        <stp>912827WN Govt</stp>
        <stp>COUNTRY_FULL_NAME</stp>
        <stp>[TREASURY.xlsx]Sheet1!R1092C8</stp>
        <tr r="H1092" s="1"/>
      </tp>
      <tp t="s">
        <v>UNITED STATES</v>
        <stp/>
        <stp>##V3_BDPV12</stp>
        <stp>912827SN Govt</stp>
        <stp>COUNTRY_FULL_NAME</stp>
        <stp>[TREASURY.xlsx]Sheet1!R1066C8</stp>
        <tr r="H1066" s="1"/>
      </tp>
      <tp t="s">
        <v>T 11 7/8 11/15/03</v>
        <stp/>
        <stp>##V3_BDPV12</stp>
        <stp>912810DG Govt</stp>
        <stp>SECURITY_NAME</stp>
        <stp>[TREASURY.xlsx]Sheet1!R1516C16</stp>
        <tr r="P1516" s="1"/>
      </tp>
      <tp t="s">
        <v>T 3 1/2 11/15/98</v>
        <stp/>
        <stp>##V3_BDPV12</stp>
        <stp>912810BG Govt</stp>
        <stp>SECURITY_NAME</stp>
        <stp>[TREASURY.xlsx]Sheet1!R1513C16</stp>
        <tr r="P1513" s="1"/>
      </tp>
      <tp t="s">
        <v>S/A</v>
        <stp/>
        <stp>##V3_BDPV12</stp>
        <stp>912827XB Govt</stp>
        <stp>COUPON_FREQUENCY_DESCRIPTION</stp>
        <stp>[TREASURY.xlsx]Sheet1!R1595C10</stp>
        <tr r="J1595" s="1"/>
      </tp>
      <tp t="s">
        <v>S/A</v>
        <stp/>
        <stp>##V3_BDPV12</stp>
        <stp>912828XF Govt</stp>
        <stp>COUPON_FREQUENCY_DESCRIPTION</stp>
        <stp>[TREASURY.xlsx]Sheet1!R1151C10</stp>
        <tr r="J1151" s="1"/>
      </tp>
      <tp t="s">
        <v>T 12 1/4 10/15/91</v>
        <stp/>
        <stp>##V3_BDPV12</stp>
        <stp>912827RG Govt</stp>
        <stp>SECURITY_NAME</stp>
        <stp>[TREASURY.xlsx]Sheet1!R1501C16</stp>
        <tr r="P1501" s="1"/>
      </tp>
      <tp t="s">
        <v>T 6 1/4 01/31/02</v>
        <stp/>
        <stp>##V3_BDPV12</stp>
        <stp>9128272G Govt</stp>
        <stp>SECURITY_NAME</stp>
        <stp>[TREASURY.xlsx]Sheet1!R1517C16</stp>
        <tr r="P1517" s="1"/>
      </tp>
      <tp t="s">
        <v>T 9 7/8 08/15/90</v>
        <stp/>
        <stp>##V3_BDPV12</stp>
        <stp>912827SG Govt</stp>
        <stp>SECURITY_NAME</stp>
        <stp>[TREASURY.xlsx]Sheet1!R1588C16</stp>
        <tr r="P1588" s="1"/>
      </tp>
      <tp t="s">
        <v>T 9 1/2 05/15/94</v>
        <stp/>
        <stp>##V3_BDPV12</stp>
        <stp>912827XG Govt</stp>
        <stp>SECURITY_NAME</stp>
        <stp>[TREASURY.xlsx]Sheet1!R1597C16</stp>
        <tr r="P1597" s="1"/>
      </tp>
      <tp t="s">
        <v>S/A</v>
        <stp/>
        <stp>##V3_BDPV12</stp>
        <stp>912827XA Govt</stp>
        <stp>COUPON_FREQUENCY_DESCRIPTION</stp>
        <stp>[TREASURY.xlsx]Sheet1!R1594C10</stp>
        <tr r="J1594" s="1"/>
      </tp>
      <tp t="s">
        <v>UNITED STATES</v>
        <stp/>
        <stp>##V3_BDPV12</stp>
        <stp>912828UL Govt</stp>
        <stp>COUNTRY_FULL_NAME</stp>
        <stp>[TREASURY.xlsx]Sheet1!R1000C8</stp>
        <tr r="H1000" s="1"/>
      </tp>
      <tp t="s">
        <v>T 3 11/30/03</v>
        <stp/>
        <stp>##V3_BDPV12</stp>
        <stp>9128277G Govt</stp>
        <stp>SECURITY_NAME</stp>
        <stp>[TREASURY.xlsx]Sheet1!R1471C16</stp>
        <tr r="P1471" s="1"/>
      </tp>
      <tp t="s">
        <v>T 13 7/8 11/30/82</v>
        <stp/>
        <stp>##V3_BDPV12</stp>
        <stp>912827LG Govt</stp>
        <stp>SECURITY_NAME</stp>
        <stp>[TREASURY.xlsx]Sheet1!R1321C16</stp>
        <tr r="P1321" s="1"/>
      </tp>
      <tp t="s">
        <v>T 5 1/2 05/31/00</v>
        <stp/>
        <stp>##V3_BDPV12</stp>
        <stp>9128274G Govt</stp>
        <stp>SECURITY_NAME</stp>
        <stp>[TREASURY.xlsx]Sheet1!R1364C16</stp>
        <tr r="P1364" s="1"/>
      </tp>
      <tp t="s">
        <v>T 5 1/2 05/15/09</v>
        <stp/>
        <stp>##V3_BDPV12</stp>
        <stp>9128275G Govt</stp>
        <stp>SECURITY_NAME</stp>
        <stp>[TREASURY.xlsx]Sheet1!R1369C16</stp>
        <tr r="P1369" s="1"/>
      </tp>
      <tp t="s">
        <v>S/A</v>
        <stp/>
        <stp>##V3_BDPV12</stp>
        <stp>912827XG Govt</stp>
        <stp>COUPON_FREQUENCY_DESCRIPTION</stp>
        <stp>[TREASURY.xlsx]Sheet1!R1597C10</stp>
        <tr r="J1597" s="1"/>
      </tp>
      <tp t="s">
        <v>UNITED STATES</v>
        <stp/>
        <stp>##V3_BDPV12</stp>
        <stp>912827VJ Govt</stp>
        <stp>COUNTRY_FULL_NAME</stp>
        <stp>[TREASURY.xlsx]Sheet1!R1203C8</stp>
        <tr r="H1203" s="1"/>
      </tp>
      <tp t="s">
        <v>T 1 3/8 03/15/12</v>
        <stp/>
        <stp>##V3_BDPV12</stp>
        <stp>912828KG Govt</stp>
        <stp>SECURITY_NAME</stp>
        <stp>[TREASURY.xlsx]Sheet1!R1288C16</stp>
        <tr r="P1288" s="1"/>
      </tp>
      <tp t="s">
        <v>T 4 7/8 05/31/08</v>
        <stp/>
        <stp>##V3_BDPV12</stp>
        <stp>912828FG Govt</stp>
        <stp>SECURITY_NAME</stp>
        <stp>[TREASURY.xlsx]Sheet1!R1241C16</stp>
        <tr r="P1241" s="1"/>
      </tp>
      <tp t="s">
        <v>S/A</v>
        <stp/>
        <stp>##V3_BDPV12</stp>
        <stp>912827XF Govt</stp>
        <stp>COUPON_FREQUENCY_DESCRIPTION</stp>
        <stp>[TREASURY.xlsx]Sheet1!R1596C10</stp>
        <tr r="J1596" s="1"/>
      </tp>
      <tp t="s">
        <v>UNITED STATES</v>
        <stp/>
        <stp>##V3_BDPV12</stp>
        <stp>912827UK Govt</stp>
        <stp>COUNTRY_FULL_NAME</stp>
        <stp>[TREASURY.xlsx]Sheet1!R1200C8</stp>
        <tr r="H1200" s="1"/>
      </tp>
      <tp t="s">
        <v>T 8 1/2 11/15/95</v>
        <stp/>
        <stp>##V3_BDPV12</stp>
        <stp>912827ZG Govt</stp>
        <stp>SECURITY_NAME</stp>
        <stp>[TREASURY.xlsx]Sheet1!R1103C16</stp>
        <tr r="P1103" s="1"/>
      </tp>
      <tp t="s">
        <v>T 13 3/4 08/15/87</v>
        <stp/>
        <stp>##V3_BDPV12</stp>
        <stp>912827NG Govt</stp>
        <stp>SECURITY_NAME</stp>
        <stp>[TREASURY.xlsx]Sheet1!R1169C16</stp>
        <tr r="P1169" s="1"/>
      </tp>
      <tp t="s">
        <v>T 9 5/8 03/31/85</v>
        <stp/>
        <stp>##V3_BDPV12</stp>
        <stp>912827PG Govt</stp>
        <stp>SECURITY_NAME</stp>
        <stp>[TREASURY.xlsx]Sheet1!R1173C16</stp>
        <tr r="P1173" s="1"/>
      </tp>
      <tp t="s">
        <v>T 6 1/4 11/30/88</v>
        <stp/>
        <stp>##V3_BDPV12</stp>
        <stp>912827UG Govt</stp>
        <stp>SECURITY_NAME</stp>
        <stp>[TREASURY.xlsx]Sheet1!R1199C16</stp>
        <tr r="P1199" s="1"/>
      </tp>
      <tp t="s">
        <v>T 3 5/8 01/15/10</v>
        <stp/>
        <stp>##V3_BDPV12</stp>
        <stp>912828DG Govt</stp>
        <stp>SECURITY_NAME</stp>
        <stp>[TREASURY.xlsx]Sheet1!R1110C16</stp>
        <tr r="P1110" s="1"/>
      </tp>
      <tp t="s">
        <v>T 0 7/8 09/15/19</v>
        <stp/>
        <stp>##V3_BDPV12</stp>
        <stp>9128282G Govt</stp>
        <stp>SECURITY_NAME</stp>
        <stp>[TREASURY.xlsx]Sheet1!R1105C16</stp>
        <tr r="P1105" s="1"/>
      </tp>
      <tp t="s">
        <v>T 0 3/8 01/15/16</v>
        <stp/>
        <stp>##V3_BDPV12</stp>
        <stp>912828UG Govt</stp>
        <stp>SECURITY_NAME</stp>
        <stp>[TREASURY.xlsx]Sheet1!R1135C16</stp>
        <tr r="P1135" s="1"/>
      </tp>
      <tp t="s">
        <v>T 8 3/4 08/15/20</v>
        <stp/>
        <stp>##V3_BDPV12</stp>
        <stp>912810EG Govt</stp>
        <stp>SECURITY_NAME</stp>
        <stp>[TREASURY.xlsx]Sheet1!R1349C16</stp>
        <tr r="P1349" s="1"/>
      </tp>
      <tp t="s">
        <v>T 6 1/4 08/31/02</v>
        <stp/>
        <stp>##V3_BDPV12</stp>
        <stp>9128273G Govt</stp>
        <stp>SECURITY_NAME</stp>
        <stp>[TREASURY.xlsx]Sheet1!R1011C16</stp>
        <tr r="P1011" s="1"/>
      </tp>
      <tp t="s">
        <v>T 9 1/8 05/15/09</v>
        <stp/>
        <stp>##V3_BDPV12</stp>
        <stp>912810CG Govt</stp>
        <stp>SECURITY_NAME</stp>
        <stp>[TREASURY.xlsx]Sheet1!R1308C16</stp>
        <tr r="P1308" s="1"/>
      </tp>
      <tp t="s">
        <v>T 8 3/4 08/15/93</v>
        <stp/>
        <stp>##V3_BDPV12</stp>
        <stp>912827WG Govt</stp>
        <stp>SECURITY_NAME</stp>
        <stp>[TREASURY.xlsx]Sheet1!R1091C16</stp>
        <tr r="P1091" s="1"/>
      </tp>
      <tp t="s">
        <v>S/A</v>
        <stp/>
        <stp>##V3_BDPV12</stp>
        <stp>912827XY Govt</stp>
        <stp>COUPON_FREQUENCY_DESCRIPTION</stp>
        <stp>[TREASURY.xlsx]Sheet1!R1600C10</stp>
        <tr r="J1600" s="1"/>
      </tp>
      <tp t="s">
        <v>UNITED STATES</v>
        <stp/>
        <stp>##V3_BDPV12</stp>
        <stp>912827QW Govt</stp>
        <stp>COUNTRY_FULL_NAME</stp>
        <stp>[TREASURY.xlsx]Sheet1!R1394C8</stp>
        <tr r="H1394" s="1"/>
      </tp>
      <tp t="s">
        <v>UNITED STATES</v>
        <stp/>
        <stp>##V3_BDPV12</stp>
        <stp>912827WW Govt</stp>
        <stp>COUNTRY_FULL_NAME</stp>
        <stp>[TREASURY.xlsx]Sheet1!R1592C8</stp>
        <tr r="H1592" s="1"/>
      </tp>
      <tp t="s">
        <v>UNITED STATES</v>
        <stp/>
        <stp>##V3_BDPV12</stp>
        <stp>912827VW Govt</stp>
        <stp>COUNTRY_FULL_NAME</stp>
        <stp>[TREASURY.xlsx]Sheet1!R1413C8</stp>
        <tr r="H1413" s="1"/>
      </tp>
      <tp t="s">
        <v>UNITED STATES</v>
        <stp/>
        <stp>##V3_BDPV12</stp>
        <stp>912827PU Govt</stp>
        <stp>COUNTRY_FULL_NAME</stp>
        <stp>[TREASURY.xlsx]Sheet1!R1175C8</stp>
        <tr r="H1175" s="1"/>
      </tp>
      <tp t="s">
        <v>UNITED STATES</v>
        <stp/>
        <stp>##V3_BDPV12</stp>
        <stp>912828VU Govt</stp>
        <stp>COUNTRY_FULL_NAME</stp>
        <stp>[TREASURY.xlsx]Sheet1!R1003C8</stp>
        <tr r="H1003" s="1"/>
      </tp>
      <tp t="s">
        <v>UNITED STATES</v>
        <stp/>
        <stp>##V3_BDPV12</stp>
        <stp>912827TU Govt</stp>
        <stp>COUNTRY_FULL_NAME</stp>
        <stp>[TREASURY.xlsx]Sheet1!R1401C8</stp>
        <tr r="H1401" s="1"/>
      </tp>
      <tp t="s">
        <v>UNITED STATES</v>
        <stp/>
        <stp>##V3_BDPV12</stp>
        <stp>912827WU Govt</stp>
        <stp>COUNTRY_FULL_NAME</stp>
        <stp>[TREASURY.xlsx]Sheet1!R1422C8</stp>
        <tr r="H1422" s="1"/>
      </tp>
      <tp t="s">
        <v>S/A</v>
        <stp/>
        <stp>##V3_BDPV12</stp>
        <stp>912827XZ Govt</stp>
        <stp>COUPON_FREQUENCY_DESCRIPTION</stp>
        <stp>[TREASURY.xlsx]Sheet1!R1097C10</stp>
        <tr r="J1097" s="1"/>
      </tp>
      <tp t="s">
        <v>UNITED STATES</v>
        <stp/>
        <stp>##V3_BDPV12</stp>
        <stp>912827UR Govt</stp>
        <stp>COUNTRY_FULL_NAME</stp>
        <stp>[TREASURY.xlsx]Sheet1!R1080C8</stp>
        <tr r="H1080" s="1"/>
      </tp>
      <tp t="s">
        <v>UNITED STATES</v>
        <stp/>
        <stp>##V3_BDPV12</stp>
        <stp>912827SR Govt</stp>
        <stp>COUNTRY_FULL_NAME</stp>
        <stp>[TREASURY.xlsx]Sheet1!R1396C8</stp>
        <tr r="H1396" s="1"/>
      </tp>
      <tp t="s">
        <v>UNITED STATES</v>
        <stp/>
        <stp>##V3_BDPV12</stp>
        <stp>912827SP Govt</stp>
        <stp>COUNTRY_FULL_NAME</stp>
        <stp>[TREASURY.xlsx]Sheet1!R1186C8</stp>
        <tr r="H1186" s="1"/>
      </tp>
      <tp t="s">
        <v>S/A</v>
        <stp/>
        <stp>##V3_BDPV12</stp>
        <stp>912827XU Govt</stp>
        <stp>COUPON_FREQUENCY_DESCRIPTION</stp>
        <stp>[TREASURY.xlsx]Sheet1!R1217C10</stp>
        <tr r="J1217" s="1"/>
      </tp>
      <tp t="s">
        <v>S/A</v>
        <stp/>
        <stp>##V3_BDPV12</stp>
        <stp>912827XW Govt</stp>
        <stp>COUPON_FREQUENCY_DESCRIPTION</stp>
        <stp>[TREASURY.xlsx]Sheet1!R1218C10</stp>
        <tr r="J1218" s="1"/>
      </tp>
      <tp t="s">
        <v>S/A</v>
        <stp/>
        <stp>##V3_BDPV12</stp>
        <stp>912827XV Govt</stp>
        <stp>COUPON_FREQUENCY_DESCRIPTION</stp>
        <stp>[TREASURY.xlsx]Sheet1!R1599C10</stp>
        <tr r="J1599" s="1"/>
      </tp>
      <tp t="s">
        <v>S/A</v>
        <stp/>
        <stp>##V3_BDPV12</stp>
        <stp>912827XR Govt</stp>
        <stp>COUPON_FREQUENCY_DESCRIPTION</stp>
        <stp>[TREASURY.xlsx]Sheet1!R1216C10</stp>
        <tr r="J1216" s="1"/>
      </tp>
      <tp t="s">
        <v>S/A</v>
        <stp/>
        <stp>##V3_BDPV12</stp>
        <stp>912828XS Govt</stp>
        <stp>COUPON_FREQUENCY_DESCRIPTION</stp>
        <stp>[TREASURY.xlsx]Sheet1!R1307C10</stp>
        <tr r="J1307" s="1"/>
      </tp>
      <tp t="s">
        <v>S/A</v>
        <stp/>
        <stp>##V3_BDPV12</stp>
        <stp>912827XQ Govt</stp>
        <stp>COUPON_FREQUENCY_DESCRIPTION</stp>
        <stp>[TREASURY.xlsx]Sheet1!R1096C10</stp>
        <tr r="J1096" s="1"/>
      </tp>
      <tp t="s">
        <v>UNITED STATES</v>
        <stp/>
        <stp>##V3_BDPV12</stp>
        <stp>912828RY Govt</stp>
        <stp>COUNTRY_FULL_NAME</stp>
        <stp>[TREASURY.xlsx]Sheet1!R1267C8</stp>
        <tr r="H1267" s="1"/>
      </tp>
      <tp t="s">
        <v>UNITED STATES</v>
        <stp/>
        <stp>##V3_BDPV12</stp>
        <stp>912827UY Govt</stp>
        <stp>COUNTRY_FULL_NAME</stp>
        <stp>[TREASURY.xlsx]Sheet1!R1590C8</stp>
        <tr r="H1590" s="1"/>
      </tp>
      <tp t="s">
        <v>UNITED STATES</v>
        <stp/>
        <stp>##V3_BDPV12</stp>
        <stp>912827T6 Govt</stp>
        <stp>COUNTRY_FULL_NAME</stp>
        <stp>[TREASURY.xlsx]Sheet1!R1191C8</stp>
        <tr r="H1191" s="1"/>
      </tp>
      <tp t="s">
        <v>UNITED STATES</v>
        <stp/>
        <stp>##V3_BDPV12</stp>
        <stp>912827R7 Govt</stp>
        <stp>COUNTRY_FULL_NAME</stp>
        <stp>[TREASURY.xlsx]Sheet1!R1577C8</stp>
        <tr r="H1577" s="1"/>
      </tp>
      <tp t="s">
        <v>UNITED STATES</v>
        <stp/>
        <stp>##V3_BDPV12</stp>
        <stp>912827V5 Govt</stp>
        <stp>COUNTRY_FULL_NAME</stp>
        <stp>[TREASURY.xlsx]Sheet1!R1083C8</stp>
        <tr r="H1083" s="1"/>
      </tp>
      <tp t="s">
        <v>S/A</v>
        <stp/>
        <stp>##V3_BDPV12</stp>
        <stp>912827X8 Govt</stp>
        <stp>COUPON_FREQUENCY_DESCRIPTION</stp>
        <stp>[TREASURY.xlsx]Sheet1!R1213C10</stp>
        <tr r="J1213" s="1"/>
      </tp>
      <tp t="s">
        <v>UNITED STATES</v>
        <stp/>
        <stp>##V3_BDPV12</stp>
        <stp>912827Q3 Govt</stp>
        <stp>COUNTRY_FULL_NAME</stp>
        <stp>[TREASURY.xlsx]Sheet1!R1494C8</stp>
        <tr r="H1494" s="1"/>
      </tp>
      <tp t="s">
        <v>S/A</v>
        <stp/>
        <stp>##V3_BDPV12</stp>
        <stp>912827X7 Govt</stp>
        <stp>COUPON_FREQUENCY_DESCRIPTION</stp>
        <stp>[TREASURY.xlsx]Sheet1!R1095C10</stp>
        <tr r="J1095" s="1"/>
      </tp>
      <tp t="s">
        <v>S/A</v>
        <stp/>
        <stp>##V3_BDPV12</stp>
        <stp>912827X6 Govt</stp>
        <stp>COUPON_FREQUENCY_DESCRIPTION</stp>
        <stp>[TREASURY.xlsx]Sheet1!R1212C10</stp>
        <tr r="J1212" s="1"/>
      </tp>
      <tp t="s">
        <v>S/A</v>
        <stp/>
        <stp>##V3_BDPV12</stp>
        <stp>912827X3 Govt</stp>
        <stp>COUPON_FREQUENCY_DESCRIPTION</stp>
        <stp>[TREASURY.xlsx]Sheet1!R1094C10</stp>
        <tr r="J1094" s="1"/>
      </tp>
      <tp t="s">
        <v>S/A</v>
        <stp/>
        <stp>##V3_BDPV12</stp>
        <stp>912827X2 Govt</stp>
        <stp>COUPON_FREQUENCY_DESCRIPTION</stp>
        <stp>[TREASURY.xlsx]Sheet1!R1211C10</stp>
        <tr r="J1211" s="1"/>
      </tp>
      <tp t="s">
        <v>UNITED STATES</v>
        <stp/>
        <stp>##V3_BDPV12</stp>
        <stp>912827T8 Govt</stp>
        <stp>COUNTRY_FULL_NAME</stp>
        <stp>[TREASURY.xlsx]Sheet1!R1071C8</stp>
        <tr r="H1071" s="1"/>
      </tp>
      <tp t="s">
        <v>UNITED STATES</v>
        <stp/>
        <stp>##V3_BDPV12</stp>
        <stp>912827S8 Govt</stp>
        <stp>COUNTRY_FULL_NAME</stp>
        <stp>[TREASURY.xlsx]Sheet1!R1586C8</stp>
        <tr r="H1586" s="1"/>
      </tp>
      <tp t="s">
        <v>12/31/1985</v>
        <stp/>
        <stp>##V3_BDPV12</stp>
        <stp>912827SJ Govt</stp>
        <stp>FIRST_CPN_DT</stp>
        <stp>[TREASURY.xlsx]Sheet1!R1185C9</stp>
        <tr r="I1185" s="1"/>
      </tp>
      <tp t="s">
        <v>11/30/1985</v>
        <stp/>
        <stp>##V3_BDPV12</stp>
        <stp>912827SF Govt</stp>
        <stp>FIRST_CPN_DT</stp>
        <stp>[TREASURY.xlsx]Sheet1!R1065C9</stp>
        <tr r="I1065" s="1"/>
      </tp>
      <tp t="s">
        <v>6/30/1995</v>
        <stp/>
        <stp>##V3_BDPV12</stp>
        <stp>912827S3 Govt</stp>
        <stp>FIRST_CPN_DT</stp>
        <stp>[TREASURY.xlsx]Sheet1!R1585C9</stp>
        <tr r="I1585" s="1"/>
      </tp>
      <tp t="s">
        <v>2/15/1984</v>
        <stp/>
        <stp>##V3_BDPV12</stp>
        <stp>912827PU Govt</stp>
        <stp>FIRST_CPN_DT</stp>
        <stp>[TREASURY.xlsx]Sheet1!R1175C9</stp>
        <tr r="I1175" s="1"/>
      </tp>
      <tp t="s">
        <v>12/31/1984</v>
        <stp/>
        <stp>##V3_BDPV12</stp>
        <stp>912827QY Govt</stp>
        <stp>FIRST_CPN_DT</stp>
        <stp>[TREASURY.xlsx]Sheet1!R1395C9</stp>
        <tr r="I1395" s="1"/>
      </tp>
      <tp t="s">
        <v>12/31/1984</v>
        <stp/>
        <stp>##V3_BDPV12</stp>
        <stp>912827QX Govt</stp>
        <stp>FIRST_CPN_DT</stp>
        <stp>[TREASURY.xlsx]Sheet1!R1575C9</stp>
        <tr r="I1575" s="1"/>
      </tp>
      <tp t="s">
        <v>8/15/1984</v>
        <stp/>
        <stp>##V3_BDPV12</stp>
        <stp>912827QF Govt</stp>
        <stp>FIRST_CPN_DT</stp>
        <stp>[TREASURY.xlsx]Sheet1!R1495C9</stp>
        <tr r="I1495" s="1"/>
      </tp>
      <tp t="s">
        <v>5/15/1984</v>
        <stp/>
        <stp>##V3_BDPV12</stp>
        <stp>912827QC Govt</stp>
        <stp>FIRST_CPN_DT</stp>
        <stp>[TREASURY.xlsx]Sheet1!R1055C9</stp>
        <tr r="I1055" s="1"/>
      </tp>
      <tp t="s">
        <v>2/28/2021</v>
        <stp/>
        <stp>##V3_BDPV12</stp>
        <stp>91282CAH Govt</stp>
        <stp>FIRST_CPN_DT</stp>
        <stp>[TREASURY.xlsx]Sheet1!R167C9</stp>
        <tr r="I167" s="1"/>
      </tp>
      <tp t="s">
        <v>8/15/2021</v>
        <stp/>
        <stp>##V3_BDPV12</stp>
        <stp>91282CBM Govt</stp>
        <stp>FIRST_CPN_DT</stp>
        <stp>[TREASURY.xlsx]Sheet1!R107C9</stp>
        <tr r="I107" s="1"/>
      </tp>
      <tp t="s">
        <v>6/30/1988</v>
        <stp/>
        <stp>##V3_BDPV12</stp>
        <stp>912827VS Govt</stp>
        <stp>FIRST_CPN_DT</stp>
        <stp>[TREASURY.xlsx]Sheet1!R1205C9</stp>
        <tr r="I1205" s="1"/>
      </tp>
      <tp t="s">
        <v>2/15/1988</v>
        <stp/>
        <stp>##V3_BDPV12</stp>
        <stp>912827VD Govt</stp>
        <stp>FIRST_CPN_DT</stp>
        <stp>[TREASURY.xlsx]Sheet1!R1085C9</stp>
        <tr r="I1085" s="1"/>
      </tp>
      <tp t="s">
        <v>7/31/1996</v>
        <stp/>
        <stp>##V3_BDPV12</stp>
        <stp>912827W6 Govt</stp>
        <stp>FIRST_CPN_DT</stp>
        <stp>[TREASURY.xlsx]Sheet1!R1415C9</stp>
        <tr r="I1415" s="1"/>
      </tp>
      <tp t="s">
        <v>11/15/1986</v>
        <stp/>
        <stp>##V3_BDPV12</stp>
        <stp>912827TQ Govt</stp>
        <stp>FIRST_CPN_DT</stp>
        <stp>[TREASURY.xlsx]Sheet1!R1075C9</stp>
        <tr r="I1075" s="1"/>
      </tp>
      <tp t="s">
        <v>12/31/1986</v>
        <stp/>
        <stp>##V3_BDPV12</stp>
        <stp>912827TT Govt</stp>
        <stp>FIRST_CPN_DT</stp>
        <stp>[TREASURY.xlsx]Sheet1!R1195C9</stp>
        <tr r="I1195" s="1"/>
      </tp>
      <tp t="s">
        <v>11/30/1995</v>
        <stp/>
        <stp>##V3_BDPV12</stp>
        <stp>912827T9 Govt</stp>
        <stp>FIRST_CPN_DT</stp>
        <stp>[TREASURY.xlsx]Sheet1!R1505C9</stp>
        <tr r="I1505" s="1"/>
      </tp>
      <tp t="s">
        <v>7/31/1987</v>
        <stp/>
        <stp>##V3_BDPV12</stp>
        <stp>912827UM Govt</stp>
        <stp>FIRST_CPN_DT</stp>
        <stp>[TREASURY.xlsx]Sheet1!R1405C9</stp>
        <tr r="I1405" s="1"/>
      </tp>
      <tp t="s">
        <v>3/31/1997</v>
        <stp/>
        <stp>##V3_BDPV12</stp>
        <stp>912827Z4 Govt</stp>
        <stp>FIRST_CPN_DT</stp>
        <stp>[TREASURY.xlsx]Sheet1!R1225C9</stp>
        <tr r="I1225" s="1"/>
      </tp>
      <tp t="s">
        <v>11/15/1989</v>
        <stp/>
        <stp>##V3_BDPV12</stp>
        <stp>912827XM Govt</stp>
        <stp>FIRST_CPN_DT</stp>
        <stp>[TREASURY.xlsx]Sheet1!R1215C9</stp>
        <tr r="I1215" s="1"/>
      </tp>
      <tp t="s">
        <v>7/15/1989</v>
        <stp/>
        <stp>##V3_BDPV12</stp>
        <stp>912827XB Govt</stp>
        <stp>FIRST_CPN_DT</stp>
        <stp>[TREASURY.xlsx]Sheet1!R1595C9</stp>
        <tr r="I1595" s="1"/>
      </tp>
      <tp t="s">
        <v>11/15/1996</v>
        <stp/>
        <stp>##V3_BDPV12</stp>
        <stp>912827X7 Govt</stp>
        <stp>FIRST_CPN_DT</stp>
        <stp>[TREASURY.xlsx]Sheet1!R1095C9</stp>
        <tr r="I1095" s="1"/>
      </tp>
      <tp t="s">
        <v>7/31/1990</v>
        <stp/>
        <stp>##V3_BDPV12</stp>
        <stp>912827YL Govt</stp>
        <stp>FIRST_CPN_DT</stp>
        <stp>[TREASURY.xlsx]Sheet1!R1605C9</stp>
        <tr r="I1605" s="1"/>
      </tp>
      <tp t="s">
        <v>11/30/1991</v>
        <stp/>
        <stp>##V3_BDPV12</stp>
        <stp>912827B2 Govt</stp>
        <stp>FIRST_CPN_DT</stp>
        <stp>[TREASURY.xlsx]Sheet1!R1475C9</stp>
        <tr r="I1475" s="1"/>
      </tp>
      <tp t="s">
        <v>11/15/1980</v>
        <stp/>
        <stp>##V3_BDPV12</stp>
        <stp>912810CN Govt</stp>
        <stp>FIRST_CPN_DT</stp>
        <stp>[TREASURY.xlsx]Sheet1!R1442C9</stp>
        <tr r="I1442" s="1"/>
      </tp>
      <tp t="s">
        <v>4/30/1992</v>
        <stp/>
        <stp>##V3_BDPV12</stp>
        <stp>912827C7 Govt</stp>
        <stp>FIRST_CPN_DT</stp>
        <stp>[TREASURY.xlsx]Sheet1!R1555C9</stp>
        <tr r="I1555" s="1"/>
      </tp>
      <tp t="s">
        <v>1/15/1993</v>
        <stp/>
        <stp>##V3_BDPV12</stp>
        <stp>912827F9 Govt</stp>
        <stp>FIRST_CPN_DT</stp>
        <stp>[TREASURY.xlsx]Sheet1!R1155C9</stp>
        <tr r="I1155" s="1"/>
      </tp>
      <tp t="s">
        <v>12/31/1992</v>
        <stp/>
        <stp>##V3_BDPV12</stp>
        <stp>912827F7 Govt</stp>
        <stp>FIRST_CPN_DT</stp>
        <stp>[TREASURY.xlsx]Sheet1!R1315C9</stp>
        <tr r="I1315" s="1"/>
      </tp>
      <tp t="s">
        <v>2/15/1993</v>
        <stp/>
        <stp>##V3_BDPV12</stp>
        <stp>912827G4 Govt</stp>
        <stp>FIRST_CPN_DT</stp>
        <stp>[TREASURY.xlsx]Sheet1!R1035C9</stp>
        <tr r="I1035" s="1"/>
      </tp>
      <tp t="s">
        <v>5/15/1986</v>
        <stp/>
        <stp>##V3_BDPV12</stp>
        <stp>912810DT Govt</stp>
        <stp>FIRST_CPN_DT</stp>
        <stp>[TREASURY.xlsx]Sheet1!R1622C9</stp>
        <tr r="I1622" s="1"/>
      </tp>
      <tp t="s">
        <v>2/15/1984</v>
        <stp/>
        <stp>##V3_BDPV12</stp>
        <stp>912810DF Govt</stp>
        <stp>FIRST_CPN_DT</stp>
        <stp>[TREASURY.xlsx]Sheet1!R1312C9</stp>
        <tr r="I1312" s="1"/>
      </tp>
      <tp t="s">
        <v>7/31/1992</v>
        <stp/>
        <stp>##V3_BDPV12</stp>
        <stp>912827D8 Govt</stp>
        <stp>FIRST_CPN_DT</stp>
        <stp>[TREASURY.xlsx]Sheet1!R1485C9</stp>
        <tr r="I1485" s="1"/>
      </tp>
      <tp t="s">
        <v>6/30/1993</v>
        <stp/>
        <stp>##V3_BDPV12</stp>
        <stp>912827H9 Govt</stp>
        <stp>FIRST_CPN_DT</stp>
        <stp>[TREASURY.xlsx]Sheet1!R1375C9</stp>
        <tr r="I1375" s="1"/>
      </tp>
      <tp t="s">
        <v>8/15/1983</v>
        <stp/>
        <stp>##V3_BDPV12</stp>
        <stp>912827NX Govt</stp>
        <stp>FIRST_CPN_DT</stp>
        <stp>[TREASURY.xlsx]Sheet1!R1385C9</stp>
        <tr r="I1385" s="1"/>
      </tp>
      <tp t="s">
        <v>5/15/1983</v>
        <stp/>
        <stp>##V3_BDPV12</stp>
        <stp>912827NU Govt</stp>
        <stp>FIRST_CPN_DT</stp>
        <stp>[TREASURY.xlsx]Sheet1!R1335C9</stp>
        <tr r="I1335" s="1"/>
      </tp>
      <tp t="s">
        <v>2/15/1994</v>
        <stp/>
        <stp>##V3_BDPV12</stp>
        <stp>912827L7 Govt</stp>
        <stp>FIRST_CPN_DT</stp>
        <stp>[TREASURY.xlsx]Sheet1!R1565C9</stp>
        <tr r="I1565" s="1"/>
      </tp>
      <tp t="s">
        <v>4/30/1982</v>
        <stp/>
        <stp>##V3_BDPV12</stp>
        <stp>912827ML Govt</stp>
        <stp>FIRST_CPN_DT</stp>
        <stp>[TREASURY.xlsx]Sheet1!R1325C9</stp>
        <tr r="I1325" s="1"/>
      </tp>
      <tp t="s">
        <v>5/15/1982</v>
        <stp/>
        <stp>##V3_BDPV12</stp>
        <stp>912827MM Govt</stp>
        <stp>FIRST_CPN_DT</stp>
        <stp>[TREASURY.xlsx]Sheet1!R1045C9</stp>
        <tr r="I1045" s="1"/>
      </tp>
      <tp t="s">
        <v>3/31/1994</v>
        <stp/>
        <stp>##V3_BDPV12</stp>
        <stp>912827M4 Govt</stp>
        <stp>FIRST_CPN_DT</stp>
        <stp>[TREASURY.xlsx]Sheet1!R1165C9</stp>
        <tr r="I1165" s="1"/>
      </tp>
      <tp t="s">
        <v>12/31/1997</v>
        <stp/>
        <stp>##V3_BDPV12</stp>
        <stp>9128272X Govt</stp>
        <stp>FIRST_CPN_DT</stp>
        <stp>[TREASURY.xlsx]Sheet1!R1524C9</stp>
        <tr r="I1524" s="1"/>
      </tp>
      <tp t="s">
        <v>11/15/1997</v>
        <stp/>
        <stp>##V3_BDPV12</stp>
        <stp>9128272U Govt</stp>
        <stp>FIRST_CPN_DT</stp>
        <stp>[TREASURY.xlsx]Sheet1!R1454C9</stp>
        <tr r="I1454" s="1"/>
      </tp>
      <tp t="s">
        <v>2/15/1998</v>
        <stp/>
        <stp>##V3_BDPV12</stp>
        <stp>9128273D Govt</stp>
        <stp>FIRST_CPN_DT</stp>
        <stp>[TREASURY.xlsx]Sheet1!R1354C9</stp>
        <tr r="I1354" s="1"/>
      </tp>
      <tp t="s">
        <v>5/15/2001</v>
        <stp/>
        <stp>##V3_BDPV12</stp>
        <stp>9128276N Govt</stp>
        <stp>FIRST_CPN_DT</stp>
        <stp>[TREASURY.xlsx]Sheet1!R1024C9</stp>
        <tr r="I1024" s="1"/>
      </tp>
      <tp t="s">
        <v>2/28/2002</v>
        <stp/>
        <stp>##V3_BDPV12</stp>
        <stp>9128277C Govt</stp>
        <stp>FIRST_CPN_DT</stp>
        <stp>[TREASURY.xlsx]Sheet1!R1544C9</stp>
        <tr r="I1544" s="1"/>
      </tp>
      <tp t="s">
        <v>7/31/1999</v>
        <stp/>
        <stp>##V3_BDPV12</stp>
        <stp>9128274Z Govt</stp>
        <stp>FIRST_CPN_DT</stp>
        <stp>[TREASURY.xlsx]Sheet1!R1534C9</stp>
        <tr r="I1534" s="1"/>
      </tp>
      <tp t="s">
        <v>11/30/1998</v>
        <stp/>
        <stp>##V3_BDPV12</stp>
        <stp>9128274G Govt</stp>
        <stp>FIRST_CPN_DT</stp>
        <stp>[TREASURY.xlsx]Sheet1!R1364C9</stp>
        <tr r="I1364" s="1"/>
      </tp>
      <tp t="s">
        <v>12/31/1999</v>
        <stp/>
        <stp>##V3_BDPV12</stp>
        <stp>9128275J Govt</stp>
        <stp>FIRST_CPN_DT</stp>
        <stp>[TREASURY.xlsx]Sheet1!R1014C9</stp>
        <tr r="I1014" s="1"/>
      </tp>
      <tp t="s">
        <v>1/31/2000</v>
        <stp/>
        <stp>##V3_BDPV12</stp>
        <stp>9128275L Govt</stp>
        <stp>FIRST_CPN_DT</stp>
        <stp>[TREASURY.xlsx]Sheet1!R1464C9</stp>
        <tr r="I1464" s="1"/>
      </tp>
      <tp>
        <v>2.5</v>
        <stp/>
        <stp>##V3_BDPV12</stp>
        <stp>9128286C Govt</stp>
        <stp>CPN</stp>
        <stp>[TREASURY.xlsx]Sheet1!R272C3</stp>
        <tr r="C272" s="1"/>
      </tp>
      <tp>
        <v>4.25</v>
        <stp/>
        <stp>##V3_BDPV12</stp>
        <stp>912828DC Govt</stp>
        <stp>CPN</stp>
        <stp>[TREASURY.xlsx]Sheet1!R352C3</stp>
        <tr r="C352" s="1"/>
      </tp>
      <tp>
        <v>0.75</v>
        <stp/>
        <stp>##V3_BDPV12</stp>
        <stp>9128282B Govt</stp>
        <stp>CPN</stp>
        <stp>[TREASURY.xlsx]Sheet1!R373C3</stp>
        <tr r="C373" s="1"/>
      </tp>
      <tp t="s">
        <v>#N/A N/A</v>
        <stp/>
        <stp>##V3_BDPV12</stp>
        <stp>912810EF Govt</stp>
        <stp>YLD_YTM_BID</stp>
        <stp>[TREASURY.xlsx]Sheet1!R606C4</stp>
        <tr r="D606" s="1"/>
      </tp>
      <tp t="s">
        <v>#N/A N/A</v>
        <stp/>
        <stp>##V3_BDPV12</stp>
        <stp>912810ED Govt</stp>
        <stp>YLD_YTM_BID</stp>
        <stp>[TREASURY.xlsx]Sheet1!R664C4</stp>
        <tr r="D664" s="1"/>
      </tp>
      <tp>
        <v>1.125</v>
        <stp/>
        <stp>##V3_BDPV12</stp>
        <stp>912828ZA Govt</stp>
        <stp>CPN</stp>
        <stp>[TREASURY.xlsx]Sheet1!R190C3</stp>
        <tr r="C190" s="1"/>
      </tp>
      <tp>
        <v>2.125</v>
        <stp/>
        <stp>##V3_BDPV12</stp>
        <stp>912828XG Govt</stp>
        <stp>CPN</stp>
        <stp>[TREASURY.xlsx]Sheet1!R196C3</stp>
        <tr r="C196" s="1"/>
      </tp>
      <tp>
        <v>3.5</v>
        <stp/>
        <stp>##V3_BDPV12</stp>
        <stp>912828ND Govt</stp>
        <stp>CPN</stp>
        <stp>[TREASURY.xlsx]Sheet1!R645C3</stp>
        <tr r="C645" s="1"/>
      </tp>
      <tp>
        <v>10.875</v>
        <stp/>
        <stp>##V3_BDPV12</stp>
        <stp>912827QG Govt</stp>
        <stp>CPN</stp>
        <stp>[TREASURY.xlsx]Sheet1!R906C3</stp>
        <tr r="C906" s="1"/>
      </tp>
      <tp>
        <v>9.125</v>
        <stp/>
        <stp>##V3_BDPV12</stp>
        <stp>912827XD Govt</stp>
        <stp>CPN</stp>
        <stp>[TREASURY.xlsx]Sheet1!R935C3</stp>
        <tr r="C935" s="1"/>
      </tp>
      <tp>
        <v>16.125</v>
        <stp/>
        <stp>##V3_BDPV12</stp>
        <stp>912827MG Govt</stp>
        <stp>CPN</stp>
        <stp>[TREASURY.xlsx]Sheet1!R896C3</stp>
        <tr r="C896" s="1"/>
      </tp>
      <tp>
        <v>0.25</v>
        <stp/>
        <stp>##V3_BDPV12</stp>
        <stp>912828SG Govt</stp>
        <stp>CPN</stp>
        <stp>[TREASURY.xlsx]Sheet1!R496C3</stp>
        <tr r="C496" s="1"/>
      </tp>
      <tp>
        <v>3.875</v>
        <stp/>
        <stp>##V3_BDPV12</stp>
        <stp>912828CH Govt</stp>
        <stp>CPN</stp>
        <stp>[TREASURY.xlsx]Sheet1!R559C3</stp>
        <tr r="C559" s="1"/>
      </tp>
      <tp>
        <v>3.875</v>
        <stp/>
        <stp>##V3_BDPV12</stp>
        <stp>912828EG Govt</stp>
        <stp>CPN</stp>
        <stp>[TREASURY.xlsx]Sheet1!R596C3</stp>
        <tr r="C596" s="1"/>
      </tp>
      <tp>
        <v>2.625</v>
        <stp/>
        <stp>##V3_BDPV12</stp>
        <stp>912828ME Govt</stp>
        <stp>CPN</stp>
        <stp>[TREASURY.xlsx]Sheet1!R574C3</stp>
        <tr r="C574" s="1"/>
      </tp>
      <tp>
        <v>2.75</v>
        <stp/>
        <stp>##V3_BDPV12</stp>
        <stp>912828JF Govt</stp>
        <stp>CPN</stp>
        <stp>[TREASURY.xlsx]Sheet1!R537C3</stp>
        <tr r="C537" s="1"/>
      </tp>
      <tp>
        <v>2.0788420551276712</v>
        <stp/>
        <stp>##V3_BDPV12</stp>
        <stp>912810SC Govt</stp>
        <stp>YLD_YTM_BID</stp>
        <stp>[TREASURY.xlsx]Sheet1!R243C4</stp>
        <tr r="D243" s="1"/>
      </tp>
      <tp>
        <v>0.25</v>
        <stp/>
        <stp>##V3_BDPV12</stp>
        <stp>912828TA Govt</stp>
        <stp>CPN</stp>
        <stp>[TREASURY.xlsx]Sheet1!R520C3</stp>
        <tr r="C520" s="1"/>
      </tp>
      <tp>
        <v>2.0343590267320617</v>
        <stp/>
        <stp>##V3_BDPV12</stp>
        <stp>912810RC Govt</stp>
        <stp>YLD_YTM_BID</stp>
        <stp>[TREASURY.xlsx]Sheet1!R263C4</stp>
        <tr r="D263" s="1"/>
      </tp>
      <tp>
        <v>2.0421282963027019</v>
        <stp/>
        <stp>##V3_BDPV12</stp>
        <stp>912810RE Govt</stp>
        <stp>YLD_YTM_BID</stp>
        <stp>[TREASURY.xlsx]Sheet1!R295C4</stp>
        <tr r="D295" s="1"/>
      </tp>
      <tp>
        <v>10.25</v>
        <stp/>
        <stp>##V3_BDPV12</stp>
        <stp>912827PH Govt</stp>
        <stp>CPN</stp>
        <stp>[TREASURY.xlsx]Sheet1!R499C3</stp>
        <tr r="C499" s="1"/>
      </tp>
      <tp>
        <v>14</v>
        <stp/>
        <stp>##V3_BDPV12</stp>
        <stp>912827MA Govt</stp>
        <stp>CPN</stp>
        <stp>[TREASURY.xlsx]Sheet1!R720C3</stp>
        <tr r="C720" s="1"/>
      </tp>
      <tp>
        <v>3.875</v>
        <stp/>
        <stp>##V3_BDPV12</stp>
        <stp>912828HG Govt</stp>
        <stp>CPN</stp>
        <stp>[TREASURY.xlsx]Sheet1!R806C3</stp>
        <tr r="C806" s="1"/>
      </tp>
      <tp>
        <v>1.375</v>
        <stp/>
        <stp>##V3_BDPV12</stp>
        <stp>912828NC Govt</stp>
        <stp>CPN</stp>
        <stp>[TREASURY.xlsx]Sheet1!R862C3</stp>
        <tr r="C862" s="1"/>
      </tp>
      <tp>
        <v>9.875</v>
        <stp/>
        <stp>##V3_BDPV12</stp>
        <stp>912827PF Govt</stp>
        <stp>CPN</stp>
        <stp>[TREASURY.xlsx]Sheet1!R737C3</stp>
        <tr r="C737" s="1"/>
      </tp>
      <tp>
        <v>6.75</v>
        <stp/>
        <stp>##V3_BDPV12</stp>
        <stp>912827UB Govt</stp>
        <stp>CPN</stp>
        <stp>[TREASURY.xlsx]Sheet1!R753C3</stp>
        <tr r="C753" s="1"/>
      </tp>
      <tp>
        <v>0.125</v>
        <stp/>
        <stp>##V3_BDPV12</stp>
        <stp>912828TF Govt</stp>
        <stp>CPN</stp>
        <stp>[TREASURY.xlsx]Sheet1!R997C3</stp>
        <tr r="C997" s="1"/>
      </tp>
      <tp>
        <v>0.35626991096744098</v>
        <stp/>
        <stp>##V3_BDPV12</stp>
        <stp>91282CBE Govt</stp>
        <stp>YLD_YTM_BID</stp>
        <stp>[TREASURY.xlsx]Sheet1!R115C4</stp>
        <tr r="D115" s="1"/>
      </tp>
      <tp t="s">
        <v>#N/A N/A</v>
        <stp/>
        <stp>##V3_BDPV12</stp>
        <stp>912828ED Govt</stp>
        <stp>YLD_YTM_BID</stp>
        <stp>[TREASURY.xlsx]Sheet1!R964C4</stp>
        <tr r="D964" s="1"/>
      </tp>
      <tp t="s">
        <v>#N/A N/A</v>
        <stp/>
        <stp>##V3_BDPV12</stp>
        <stp>912828GG Govt</stp>
        <stp>YLD_YTM_BID</stp>
        <stp>[TREASURY.xlsx]Sheet1!R967C4</stp>
        <tr r="D967" s="1"/>
      </tp>
      <tp t="s">
        <v>#N/A N/A</v>
        <stp/>
        <stp>##V3_BDPV12</stp>
        <stp>912827LF Govt</stp>
        <stp>YLD_YTM_BID</stp>
        <stp>[TREASURY.xlsx]Sheet1!R656C4</stp>
        <tr r="D656" s="1"/>
      </tp>
      <tp t="s">
        <v>#N/A N/A</v>
        <stp/>
        <stp>##V3_BDPV12</stp>
        <stp>912828GA Govt</stp>
        <stp>YLD_YTM_BID</stp>
        <stp>[TREASURY.xlsx]Sheet1!R801C4</stp>
        <tr r="D801" s="1"/>
      </tp>
      <tp t="s">
        <v>#N/A N/A</v>
        <stp/>
        <stp>##V3_BDPV12</stp>
        <stp>912828AG Govt</stp>
        <stp>YLD_YTM_BID</stp>
        <stp>[TREASURY.xlsx]Sheet1!R837C4</stp>
        <tr r="D837" s="1"/>
      </tp>
      <tp t="s">
        <v>#N/A N/A</v>
        <stp/>
        <stp>##V3_BDPV12</stp>
        <stp>912828JC Govt</stp>
        <stp>YLD_YTM_BID</stp>
        <stp>[TREASURY.xlsx]Sheet1!R853C4</stp>
        <tr r="D853" s="1"/>
      </tp>
      <tp t="s">
        <v>#N/A N/A</v>
        <stp/>
        <stp>##V3_BDPV12</stp>
        <stp>912828LD Govt</stp>
        <stp>YLD_YTM_BID</stp>
        <stp>[TREASURY.xlsx]Sheet1!R814C4</stp>
        <tr r="D814" s="1"/>
      </tp>
      <tp>
        <v>3.125</v>
        <stp/>
        <stp>##V3_BDPV12</stp>
        <stp>912810RH Govt</stp>
        <stp>CPN</stp>
        <stp>[TREASURY.xlsx]Sheet1!R259C3</stp>
        <tr r="C259" s="1"/>
      </tp>
      <tp t="s">
        <v>#N/A N/A</v>
        <stp/>
        <stp>##V3_BDPV12</stp>
        <stp>912828QF Govt</stp>
        <stp>YLD_YTM_BID</stp>
        <stp>[TREASURY.xlsx]Sheet1!R576C4</stp>
        <tr r="D576" s="1"/>
      </tp>
      <tp>
        <v>3.75</v>
        <stp/>
        <stp>##V3_BDPV12</stp>
        <stp>912810RD Govt</stp>
        <stp>CPN</stp>
        <stp>[TREASURY.xlsx]Sheet1!R235C3</stp>
        <tr r="C235" s="1"/>
      </tp>
      <tp t="s">
        <v>#N/A N/A</v>
        <stp/>
        <stp>##V3_BDPV12</stp>
        <stp>912828VG Govt</stp>
        <stp>YLD_YTM_BID</stp>
        <stp>[TREASURY.xlsx]Sheet1!R587C4</stp>
        <tr r="D587" s="1"/>
      </tp>
      <tp>
        <v>3.5</v>
        <stp/>
        <stp>##V3_BDPV12</stp>
        <stp>912810QA Govt</stp>
        <stp>CPN</stp>
        <stp>[TREASURY.xlsx]Sheet1!R280C3</stp>
        <tr r="C280" s="1"/>
      </tp>
      <tp t="s">
        <v>#N/A N/A</v>
        <stp/>
        <stp>##V3_BDPV12</stp>
        <stp>912828BG Govt</stp>
        <stp>YLD_YTM_BID</stp>
        <stp>[TREASURY.xlsx]Sheet1!R427C4</stp>
        <tr r="D427" s="1"/>
      </tp>
      <tp t="s">
        <v>#N/A N/A</v>
        <stp/>
        <stp>##V3_BDPV12</stp>
        <stp>912828BB Govt</stp>
        <stp>YLD_YTM_BID</stp>
        <stp>[TREASURY.xlsx]Sheet1!R482C4</stp>
        <tr r="D482" s="1"/>
      </tp>
      <tp t="s">
        <v>#N/A N/A</v>
        <stp/>
        <stp>##V3_BDPV12</stp>
        <stp>912828JG Govt</stp>
        <stp>YLD_YTM_BID</stp>
        <stp>[TREASURY.xlsx]Sheet1!R417C4</stp>
        <tr r="D417" s="1"/>
      </tp>
      <tp t="s">
        <v>#N/A N/A</v>
        <stp/>
        <stp>##V3_BDPV12</stp>
        <stp>912828XH Govt</stp>
        <stp>YLD_YTM_BID</stp>
        <stp>[TREASURY.xlsx]Sheet1!R468C4</stp>
        <tr r="D468" s="1"/>
      </tp>
      <tp t="s">
        <v>#N/A N/A</v>
        <stp/>
        <stp>##V3_BDPV12</stp>
        <stp>9128285B Govt</stp>
        <stp>YLD_YTM_BID</stp>
        <stp>[TREASURY.xlsx]Sheet1!R442C4</stp>
        <tr r="D442" s="1"/>
      </tp>
      <tp t="s">
        <v>#N/A N/A</v>
        <stp/>
        <stp>##V3_BDPV12</stp>
        <stp>912827ME Govt</stp>
        <stp>YLD_YTM_BID</stp>
        <stp>[TREASURY.xlsx]Sheet1!R895C4</stp>
        <tr r="D895" s="1"/>
      </tp>
      <tp t="s">
        <v>#N/A N/A</v>
        <stp/>
        <stp>##V3_BDPV12</stp>
        <stp>912828EE Govt</stp>
        <stp>YLD_YTM_BID</stp>
        <stp>[TREASURY.xlsx]Sheet1!R795C4</stp>
        <tr r="D795" s="1"/>
      </tp>
      <tp>
        <v>3</v>
        <stp/>
        <stp>##V3_BDPV12</stp>
        <stp>912810SF Govt</stp>
        <stp>CPN</stp>
        <stp>[TREASURY.xlsx]Sheet1!R177C3</stp>
        <tr r="C177" s="1"/>
      </tp>
      <tp>
        <v>8.875</v>
        <stp/>
        <stp>##V3_BDPV12</stp>
        <stp>912810EC Govt</stp>
        <stp>CPN</stp>
        <stp>[TREASURY.xlsx]Sheet1!R612C3</stp>
        <tr r="C612" s="1"/>
      </tp>
      <tp>
        <v>0.69108412757695525</v>
        <stp/>
        <stp>##V3_BDPV12</stp>
        <stp>912828XB Govt</stp>
        <stp>YLD_YTM_BID</stp>
        <stp>[TREASURY.xlsx]Sheet1!R122C4</stp>
        <tr r="D122" s="1"/>
      </tp>
      <tp>
        <v>0.32863612640377704</v>
        <stp/>
        <stp>##V3_BDPV12</stp>
        <stp>9128285F Govt</stp>
        <stp>YLD_YTM_BID</stp>
        <stp>[TREASURY.xlsx]Sheet1!R106C4</stp>
        <tr r="D106" s="1"/>
      </tp>
      <tp t="s">
        <v>#N/A N/A</v>
        <stp/>
        <stp>##V3_BDPV12</stp>
        <stp>912828KD Govt</stp>
        <stp>YLD_YTM_BID</stp>
        <stp>[TREASURY.xlsx]Sheet1!R364C4</stp>
        <tr r="D364" s="1"/>
      </tp>
      <tp t="s">
        <v>#N/A N/A</v>
        <stp/>
        <stp>##V3_BDPV12</stp>
        <stp>912828CD Govt</stp>
        <stp>YLD_YTM_BID</stp>
        <stp>[TREASURY.xlsx]Sheet1!R384C4</stp>
        <tr r="D384" s="1"/>
      </tp>
      <tp t="s">
        <v>#N/A N/A</v>
        <stp/>
        <stp>##V3_BDPV12</stp>
        <stp>912828RC Govt</stp>
        <stp>YLD_YTM_BID</stp>
        <stp>[TREASURY.xlsx]Sheet1!R333C4</stp>
        <tr r="D333" s="1"/>
      </tp>
      <tp>
        <v>5.8789978935065712E-2</v>
        <stp/>
        <stp>##V3_BDPV12</stp>
        <stp>9128286H Govt</stp>
        <stp>YLD_YTM_BID</stp>
        <stp>[TREASURY.xlsx]Sheet1!R228C4</stp>
        <tr r="D228" s="1"/>
      </tp>
      <tp t="s">
        <v>6/30/1994</v>
        <stp/>
        <stp>##V3_BDPV12</stp>
        <stp>912827N3 Govt</stp>
        <stp>FIRST_CPN_DT</stp>
        <stp>[TREASURY.xlsx]Sheet1!R726C9</stp>
        <tr r="I726" s="1"/>
      </tp>
      <tp t="s">
        <v>5/15/1981</v>
        <stp/>
        <stp>##V3_BDPV12</stp>
        <stp>912827LF Govt</stp>
        <stp>FIRST_CPN_DT</stp>
        <stp>[TREASURY.xlsx]Sheet1!R656C9</stp>
        <tr r="I656" s="1"/>
      </tp>
      <tp t="s">
        <v>8/15/1981</v>
        <stp/>
        <stp>##V3_BDPV12</stp>
        <stp>912827LN Govt</stp>
        <stp>FIRST_CPN_DT</stp>
        <stp>[TREASURY.xlsx]Sheet1!R716C9</stp>
        <tr r="I716" s="1"/>
      </tp>
      <tp t="s">
        <v>6/30/1993</v>
        <stp/>
        <stp>##V3_BDPV12</stp>
        <stp>912827J2 Govt</stp>
        <stp>FIRST_CPN_DT</stp>
        <stp>[TREASURY.xlsx]Sheet1!R706C9</stp>
        <tr r="I706" s="1"/>
      </tp>
      <tp t="s">
        <v>1/31/1994</v>
        <stp/>
        <stp>##V3_BDPV12</stp>
        <stp>912827L5 Govt</stp>
        <stp>FIRST_CPN_DT</stp>
        <stp>[TREASURY.xlsx]Sheet1!R886C9</stp>
        <tr r="I886" s="1"/>
      </tp>
      <tp t="s">
        <v>5/15/1982</v>
        <stp/>
        <stp>##V3_BDPV12</stp>
        <stp>912827MG Govt</stp>
        <stp>FIRST_CPN_DT</stp>
        <stp>[TREASURY.xlsx]Sheet1!R896C9</stp>
        <tr r="I896" s="1"/>
      </tp>
      <tp t="s">
        <v>6/30/1984</v>
        <stp/>
        <stp>##V3_BDPV12</stp>
        <stp>912827QG Govt</stp>
        <stp>FIRST_CPN_DT</stp>
        <stp>[TREASURY.xlsx]Sheet1!R906C9</stp>
        <tr r="I906" s="1"/>
      </tp>
      <tp t="s">
        <v>11/15/1985</v>
        <stp/>
        <stp>##V3_BDPV12</stp>
        <stp>912827SD Govt</stp>
        <stp>FIRST_CPN_DT</stp>
        <stp>[TREASURY.xlsx]Sheet1!R916C9</stp>
        <tr r="I916" s="1"/>
      </tp>
      <tp t="s">
        <v>3/31/1987</v>
        <stp/>
        <stp>##V3_BDPV12</stp>
        <stp>912827UA Govt</stp>
        <stp>FIRST_CPN_DT</stp>
        <stp>[TREASURY.xlsx]Sheet1!R836C9</stp>
        <tr r="I836" s="1"/>
      </tp>
      <tp t="s">
        <v>8/15/1990</v>
        <stp/>
        <stp>##V3_BDPV12</stp>
        <stp>912827YN Govt</stp>
        <stp>FIRST_CPN_DT</stp>
        <stp>[TREASURY.xlsx]Sheet1!R776C9</stp>
        <tr r="I776" s="1"/>
      </tp>
      <tp t="s">
        <v>8/15/1988</v>
        <stp/>
        <stp>##V3_BDPV12</stp>
        <stp>912827VV Govt</stp>
        <stp>FIRST_CPN_DT</stp>
        <stp>[TREASURY.xlsx]Sheet1!R926C9</stp>
        <tr r="I926" s="1"/>
      </tp>
      <tp t="s">
        <v>2/15/1988</v>
        <stp/>
        <stp>##V3_BDPV12</stp>
        <stp>912827VE Govt</stp>
        <stp>FIRST_CPN_DT</stp>
        <stp>[TREASURY.xlsx]Sheet1!R626C9</stp>
        <tr r="I626" s="1"/>
      </tp>
      <tp t="s">
        <v>9/30/1990</v>
        <stp/>
        <stp>##V3_BDPV12</stp>
        <stp>912827YS Govt</stp>
        <stp>FIRST_CPN_DT</stp>
        <stp>[TREASURY.xlsx]Sheet1!R946C9</stp>
        <tr r="I946" s="1"/>
      </tp>
      <tp t="s">
        <v>9/30/1989</v>
        <stp/>
        <stp>##V3_BDPV12</stp>
        <stp>912827XJ Govt</stp>
        <stp>FIRST_CPN_DT</stp>
        <stp>[TREASURY.xlsx]Sheet1!R936C9</stp>
        <tr r="I936" s="1"/>
      </tp>
      <tp t="s">
        <v>11/15/1988</v>
        <stp/>
        <stp>##V3_BDPV12</stp>
        <stp>912827VY Govt</stp>
        <stp>FIRST_CPN_DT</stp>
        <stp>[TREASURY.xlsx]Sheet1!R766C9</stp>
        <tr r="I766" s="1"/>
      </tp>
      <tp t="s">
        <v>10/15/1987</v>
        <stp/>
        <stp>##V3_BDPV12</stp>
        <stp>912827UT Govt</stp>
        <stp>FIRST_CPN_DT</stp>
        <stp>[TREASURY.xlsx]Sheet1!R756C9</stp>
        <tr r="I756" s="1"/>
      </tp>
      <tp t="s">
        <v>8/15/1991</v>
        <stp/>
        <stp>##V3_BDPV12</stp>
        <stp>912827ZX Govt</stp>
        <stp>FIRST_CPN_DT</stp>
        <stp>[TREASURY.xlsx]Sheet1!R956C9</stp>
        <tr r="I956" s="1"/>
      </tp>
      <tp t="s">
        <v>8/31/1995</v>
        <stp/>
        <stp>##V3_BDPV12</stp>
        <stp>912827S9 Govt</stp>
        <stp>FIRST_CPN_DT</stp>
        <stp>[TREASURY.xlsx]Sheet1!R746C9</stp>
        <tr r="I746" s="1"/>
      </tp>
      <tp t="s">
        <v>8/15/1983</v>
        <stp/>
        <stp>##V3_BDPV12</stp>
        <stp>912827PC Govt</stp>
        <stp>FIRST_CPN_DT</stp>
        <stp>[TREASURY.xlsx]Sheet1!R736C9</stp>
        <tr r="I736" s="1"/>
      </tp>
      <tp t="s">
        <v>11/15/1980</v>
        <stp/>
        <stp>##V3_BDPV12</stp>
        <stp>912810CP Govt</stp>
        <stp>FIRST_CPN_DT</stp>
        <stp>[TREASURY.xlsx]Sheet1!R405C9</stp>
        <tr r="I405" s="1"/>
      </tp>
      <tp t="s">
        <v>5/15/2014</v>
        <stp/>
        <stp>##V3_BDPV12</stp>
        <stp>912810RD Govt</stp>
        <stp>FIRST_CPN_DT</stp>
        <stp>[TREASURY.xlsx]Sheet1!R235C9</stp>
        <tr r="I235" s="1"/>
      </tp>
      <tp t="s">
        <v>8/15/2014</v>
        <stp/>
        <stp>##V3_BDPV12</stp>
        <stp>912810RE Govt</stp>
        <stp>FIRST_CPN_DT</stp>
        <stp>[TREASURY.xlsx]Sheet1!R295C9</stp>
        <tr r="I295" s="1"/>
      </tp>
      <tp t="s">
        <v>11/15/2011</v>
        <stp/>
        <stp>##V3_BDPV12</stp>
        <stp>912810QQ Govt</stp>
        <stp>FIRST_CPN_DT</stp>
        <stp>[TREASURY.xlsx]Sheet1!R315C9</stp>
        <tr r="I315" s="1"/>
      </tp>
      <tp t="s">
        <v>2/15/2013</v>
        <stp/>
        <stp>##V3_BDPV12</stp>
        <stp>912810QX Govt</stp>
        <stp>FIRST_CPN_DT</stp>
        <stp>[TREASURY.xlsx]Sheet1!R275C9</stp>
        <tr r="I275" s="1"/>
      </tp>
      <tp t="s">
        <v>3/31/2010</v>
        <stp/>
        <stp>##V3_BDPV12</stp>
        <stp>912828LQ Govt</stp>
        <stp>FIRST_CPN_DT</stp>
        <stp>[TREASURY.xlsx]Sheet1!R486C9</stp>
        <tr r="I486" s="1"/>
      </tp>
      <tp t="s">
        <v>2/28/2010</v>
        <stp/>
        <stp>##V3_BDPV12</stp>
        <stp>912828LK Govt</stp>
        <stp>FIRST_CPN_DT</stp>
        <stp>[TREASURY.xlsx]Sheet1!R546C9</stp>
        <tr r="I546" s="1"/>
      </tp>
      <tp t="s">
        <v>5/15/2009</v>
        <stp/>
        <stp>##V3_BDPV12</stp>
        <stp>912828JR Govt</stp>
        <stp>FIRST_CPN_DT</stp>
        <stp>[TREASURY.xlsx]Sheet1!R396C9</stp>
        <tr r="I396" s="1"/>
      </tp>
      <tp t="s">
        <v>11/15/2008</v>
        <stp/>
        <stp>##V3_BDPV12</stp>
        <stp>912828HZ Govt</stp>
        <stp>FIRST_CPN_DT</stp>
        <stp>[TREASURY.xlsx]Sheet1!R356C9</stp>
        <tr r="I356" s="1"/>
      </tp>
      <tp t="s">
        <v>8/15/2008</v>
        <stp/>
        <stp>##V3_BDPV12</stp>
        <stp>912828HR Govt</stp>
        <stp>FIRST_CPN_DT</stp>
        <stp>[TREASURY.xlsx]Sheet1!R476C9</stp>
        <tr r="I476" s="1"/>
      </tp>
      <tp t="s">
        <v>5/15/2016</v>
        <stp/>
        <stp>##V3_BDPV12</stp>
        <stp>912828M5 Govt</stp>
        <stp>FIRST_CPN_DT</stp>
        <stp>[TREASURY.xlsx]Sheet1!R116C9</stp>
        <tr r="I116" s="1"/>
      </tp>
      <tp t="s">
        <v>9/15/2015</v>
        <stp/>
        <stp>##V3_BDPV12</stp>
        <stp>912828J6 Govt</stp>
        <stp>FIRST_CPN_DT</stp>
        <stp>[TREASURY.xlsx]Sheet1!R686C9</stp>
        <tr r="I686" s="1"/>
      </tp>
      <tp t="s">
        <v>11/30/2009</v>
        <stp/>
        <stp>##V3_BDPV12</stp>
        <stp>912828KV Govt</stp>
        <stp>FIRST_CPN_DT</stp>
        <stp>[TREASURY.xlsx]Sheet1!R616C9</stp>
        <tr r="I616" s="1"/>
      </tp>
      <tp t="s">
        <v>10/31/2009</v>
        <stp/>
        <stp>##V3_BDPV12</stp>
        <stp>912828KR Govt</stp>
        <stp>FIRST_CPN_DT</stp>
        <stp>[TREASURY.xlsx]Sheet1!R676C9</stp>
        <tr r="I676" s="1"/>
      </tp>
      <tp t="s">
        <v>4/30/2007</v>
        <stp/>
        <stp>##V3_BDPV12</stp>
        <stp>912828FW Govt</stp>
        <stp>FIRST_CPN_DT</stp>
        <stp>[TREASURY.xlsx]Sheet1!R846C9</stp>
        <tr r="I846" s="1"/>
      </tp>
      <tp t="s">
        <v>8/15/2010</v>
        <stp/>
        <stp>##V3_BDPV12</stp>
        <stp>912828MP Govt</stp>
        <stp>FIRST_CPN_DT</stp>
        <stp>[TREASURY.xlsx]Sheet1!R386C9</stp>
        <tr r="I386" s="1"/>
      </tp>
      <tp t="s">
        <v>5/31/2015</v>
        <stp/>
        <stp>##V3_BDPV12</stp>
        <stp>912828G6 Govt</stp>
        <stp>FIRST_CPN_DT</stp>
        <stp>[TREASURY.xlsx]Sheet1!R966C9</stp>
        <tr r="I966" s="1"/>
      </tp>
      <tp t="s">
        <v>4/30/2008</v>
        <stp/>
        <stp>##V3_BDPV12</stp>
        <stp>912828HG Govt</stp>
        <stp>FIRST_CPN_DT</stp>
        <stp>[TREASURY.xlsx]Sheet1!R806C9</stp>
        <tr r="I806" s="1"/>
      </tp>
      <tp t="s">
        <v>3/15/2006</v>
        <stp/>
        <stp>##V3_BDPV12</stp>
        <stp>912828EG Govt</stp>
        <stp>FIRST_CPN_DT</stp>
        <stp>[TREASURY.xlsx]Sheet1!R596C9</stp>
        <tr r="I596" s="1"/>
      </tp>
      <tp t="s">
        <v>7/31/2006</v>
        <stp/>
        <stp>##V3_BDPV12</stp>
        <stp>912828EU Govt</stp>
        <stp>FIRST_CPN_DT</stp>
        <stp>[TREASURY.xlsx]Sheet1!R466C9</stp>
        <tr r="I466" s="1"/>
      </tp>
      <tp t="s">
        <v>4/30/2006</v>
        <stp/>
        <stp>##V3_BDPV12</stp>
        <stp>912828EK Govt</stp>
        <stp>FIRST_CPN_DT</stp>
        <stp>[TREASURY.xlsx]Sheet1!R796C9</stp>
        <tr r="I796" s="1"/>
      </tp>
      <tp t="s">
        <v>3/31/2015</v>
        <stp/>
        <stp>##V3_BDPV12</stp>
        <stp>912828F3 Govt</stp>
        <stp>FIRST_CPN_DT</stp>
        <stp>[TREASURY.xlsx]Sheet1!R406C9</stp>
        <tr r="I406" s="1"/>
      </tp>
      <tp t="s">
        <v>6/15/2009</v>
        <stp/>
        <stp>##V3_BDPV12</stp>
        <stp>912828KA Govt</stp>
        <stp>FIRST_CPN_DT</stp>
        <stp>[TREASURY.xlsx]Sheet1!R856C9</stp>
        <tr r="I856" s="1"/>
      </tp>
      <tp t="s">
        <v>7/31/2010</v>
        <stp/>
        <stp>##V3_BDPV12</stp>
        <stp>912828MH Govt</stp>
        <stp>FIRST_CPN_DT</stp>
        <stp>[TREASURY.xlsx]Sheet1!R976C9</stp>
        <tr r="I976" s="1"/>
      </tp>
      <tp t="s">
        <v>3/31/2010</v>
        <stp/>
        <stp>##V3_BDPV12</stp>
        <stp>912828LP Govt</stp>
        <stp>FIRST_CPN_DT</stp>
        <stp>[TREASURY.xlsx]Sheet1!R816C9</stp>
        <tr r="I816" s="1"/>
      </tp>
      <tp t="s">
        <v>9/30/2002</v>
        <stp/>
        <stp>##V3_BDPV12</stp>
        <stp>912828AA Govt</stp>
        <stp>FIRST_CPN_DT</stp>
        <stp>[TREASURY.xlsx]Sheet1!R426C9</stp>
        <tr r="I426" s="1"/>
      </tp>
      <tp t="s">
        <v>3/15/2004</v>
        <stp/>
        <stp>##V3_BDPV12</stp>
        <stp>912828BK Govt</stp>
        <stp>FIRST_CPN_DT</stp>
        <stp>[TREASURY.xlsx]Sheet1!R786C9</stp>
        <tr r="I786" s="1"/>
      </tp>
      <tp t="s">
        <v>1/15/2005</v>
        <stp/>
        <stp>##V3_BDPV12</stp>
        <stp>912828CN Govt</stp>
        <stp>FIRST_CPN_DT</stp>
        <stp>[TREASURY.xlsx]Sheet1!R696C9</stp>
        <tr r="I696" s="1"/>
      </tp>
      <tp t="s">
        <v>2/28/2005</v>
        <stp/>
        <stp>##V3_BDPV12</stp>
        <stp>912828CU Govt</stp>
        <stp>FIRST_CPN_DT</stp>
        <stp>[TREASURY.xlsx]Sheet1!R636C9</stp>
        <tr r="I636" s="1"/>
      </tp>
      <tp t="s">
        <v>8/15/2004</v>
        <stp/>
        <stp>##V3_BDPV12</stp>
        <stp>912828BZ Govt</stp>
        <stp>FIRST_CPN_DT</stp>
        <stp>[TREASURY.xlsx]Sheet1!R436C9</stp>
        <tr r="I436" s="1"/>
      </tp>
      <tp t="s">
        <v>3/31/2003</v>
        <stp/>
        <stp>##V3_BDPV12</stp>
        <stp>912828AL Govt</stp>
        <stp>FIRST_CPN_DT</stp>
        <stp>[TREASURY.xlsx]Sheet1!R666C9</stp>
        <tr r="I666" s="1"/>
      </tp>
      <tp t="s">
        <v>8/15/2004</v>
        <stp/>
        <stp>##V3_BDPV12</stp>
        <stp>912828BY Govt</stp>
        <stp>FIRST_CPN_DT</stp>
        <stp>[TREASURY.xlsx]Sheet1!R506C9</stp>
        <tr r="I506" s="1"/>
      </tp>
      <tp t="s">
        <v>7/31/2004</v>
        <stp/>
        <stp>##V3_BDPV12</stp>
        <stp>912828BX Govt</stp>
        <stp>FIRST_CPN_DT</stp>
        <stp>[TREASURY.xlsx]Sheet1!R556C9</stp>
        <tr r="I556" s="1"/>
      </tp>
      <tp t="s">
        <v>10/15/2014</v>
        <stp/>
        <stp>##V3_BDPV12</stp>
        <stp>912828C7 Govt</stp>
        <stp>FIRST_CPN_DT</stp>
        <stp>[TREASURY.xlsx]Sheet1!R416C9</stp>
        <tr r="I416" s="1"/>
      </tp>
      <tp t="s">
        <v>8/15/2020</v>
        <stp/>
        <stp>##V3_BDPV12</stp>
        <stp>912828Z8 Govt</stp>
        <stp>FIRST_CPN_DT</stp>
        <stp>[TREASURY.xlsx]Sheet1!R236C9</stp>
        <tr r="I236" s="1"/>
      </tp>
      <tp t="s">
        <v>12/31/2015</v>
        <stp/>
        <stp>##V3_BDPV12</stp>
        <stp>912828XG Govt</stp>
        <stp>FIRST_CPN_DT</stp>
        <stp>[TREASURY.xlsx]Sheet1!R196C9</stp>
        <tr r="I196" s="1"/>
      </tp>
      <tp t="s">
        <v>1/15/2012</v>
        <stp/>
        <stp>##V3_BDPV12</stp>
        <stp>912828QU Govt</stp>
        <stp>FIRST_CPN_DT</stp>
        <stp>[TREASURY.xlsx]Sheet1!R826C9</stp>
        <tr r="I826" s="1"/>
      </tp>
      <tp t="s">
        <v>12/31/2011</v>
        <stp/>
        <stp>##V3_BDPV12</stp>
        <stp>912828QR Govt</stp>
        <stp>FIRST_CPN_DT</stp>
        <stp>[TREASURY.xlsx]Sheet1!R866C9</stp>
        <tr r="I866" s="1"/>
      </tp>
      <tp t="s">
        <v>7/31/2011</v>
        <stp/>
        <stp>##V3_BDPV12</stp>
        <stp>912828PS Govt</stp>
        <stp>FIRST_CPN_DT</stp>
        <stp>[TREASURY.xlsx]Sheet1!R986C9</stp>
        <tr r="I986" s="1"/>
      </tp>
      <tp t="s">
        <v>1/31/2016</v>
        <stp/>
        <stp>##V3_BDPV12</stp>
        <stp>912828XQ Govt</stp>
        <stp>FIRST_CPN_DT</stp>
        <stp>[TREASURY.xlsx]Sheet1!R206C9</stp>
        <tr r="I206" s="1"/>
      </tp>
      <tp t="s">
        <v>10/31/2012</v>
        <stp/>
        <stp>##V3_BDPV12</stp>
        <stp>912828SS Govt</stp>
        <stp>FIRST_CPN_DT</stp>
        <stp>[TREASURY.xlsx]Sheet1!R996C9</stp>
        <tr r="I996" s="1"/>
      </tp>
      <tp t="s">
        <v>1/15/2019</v>
        <stp/>
        <stp>##V3_BDPV12</stp>
        <stp>912828Y2 Govt</stp>
        <stp>FIRST_CPN_DT</stp>
        <stp>[TREASURY.xlsx]Sheet1!R336C9</stp>
        <tr r="I336" s="1"/>
      </tp>
      <tp t="s">
        <v>11/30/2020</v>
        <stp/>
        <stp>##V3_BDPV12</stp>
        <stp>912828ZR Govt</stp>
        <stp>FIRST_CPN_DT</stp>
        <stp>[TREASURY.xlsx]Sheet1!R136C9</stp>
        <tr r="I136" s="1"/>
      </tp>
      <tp t="s">
        <v>1/31/2016</v>
        <stp/>
        <stp>##V3_BDPV12</stp>
        <stp>912828XM Govt</stp>
        <stp>FIRST_CPN_DT</stp>
        <stp>[TREASURY.xlsx]Sheet1!R536C9</stp>
        <tr r="I536" s="1"/>
      </tp>
      <tp t="s">
        <v>5/31/2017</v>
        <stp/>
        <stp>##V3_BDPV12</stp>
        <stp>912828U4 Govt</stp>
        <stp>FIRST_CPN_DT</stp>
        <stp>[TREASURY.xlsx]Sheet1!R876C9</stp>
        <tr r="I876" s="1"/>
      </tp>
      <tp t="s">
        <v>6/30/2013</v>
        <stp/>
        <stp>##V3_BDPV12</stp>
        <stp>912828UD Govt</stp>
        <stp>FIRST_CPN_DT</stp>
        <stp>[TREASURY.xlsx]Sheet1!R586C9</stp>
        <tr r="I586" s="1"/>
      </tp>
      <tp t="s">
        <v>1/31/2017</v>
        <stp/>
        <stp>##V3_BDPV12</stp>
        <stp>912828S7 Govt</stp>
        <stp>FIRST_CPN_DT</stp>
        <stp>[TREASURY.xlsx]Sheet1!R346C9</stp>
        <tr r="I346" s="1"/>
      </tp>
      <tp t="s">
        <v>11/30/2016</v>
        <stp/>
        <stp>##V3_BDPV12</stp>
        <stp>912828R6 Govt</stp>
        <stp>FIRST_CPN_DT</stp>
        <stp>[TREASURY.xlsx]Sheet1!R266C9</stp>
        <tr r="I266" s="1"/>
      </tp>
      <tp t="s">
        <v>6/30/2013</v>
        <stp/>
        <stp>##V3_BDPV12</stp>
        <stp>912828UE Govt</stp>
        <stp>FIRST_CPN_DT</stp>
        <stp>[TREASURY.xlsx]Sheet1!R446C9</stp>
        <tr r="I446" s="1"/>
      </tp>
      <tp t="s">
        <v>2/15/2014</v>
        <stp/>
        <stp>##V3_BDPV12</stp>
        <stp>912828VR Govt</stp>
        <stp>FIRST_CPN_DT</stp>
        <stp>[TREASURY.xlsx]Sheet1!R566C9</stp>
        <tr r="I566" s="1"/>
      </tp>
      <tp t="s">
        <v>10/31/2011</v>
        <stp/>
        <stp>##V3_BDPV12</stp>
        <stp>912828QF Govt</stp>
        <stp>FIRST_CPN_DT</stp>
        <stp>[TREASURY.xlsx]Sheet1!R576C9</stp>
        <tr r="I576" s="1"/>
      </tp>
      <tp t="s">
        <v>8/31/2017</v>
        <stp/>
        <stp>##V3_BDPV12</stp>
        <stp>912828W4 Govt</stp>
        <stp>FIRST_CPN_DT</stp>
        <stp>[TREASURY.xlsx]Sheet1!R296C9</stp>
        <tr r="I296" s="1"/>
      </tp>
      <tp t="s">
        <v>3/31/2012</v>
        <stp/>
        <stp>##V3_BDPV12</stp>
        <stp>912828RH Govt</stp>
        <stp>FIRST_CPN_DT</stp>
        <stp>[TREASURY.xlsx]Sheet1!R456C9</stp>
        <tr r="I456" s="1"/>
      </tp>
      <tp t="s">
        <v>9/30/2012</v>
        <stp/>
        <stp>##V3_BDPV12</stp>
        <stp>912828SM Govt</stp>
        <stp>FIRST_CPN_DT</stp>
        <stp>[TREASURY.xlsx]Sheet1!R516C9</stp>
        <tr r="I516" s="1"/>
      </tp>
      <tp t="s">
        <v>8/31/2012</v>
        <stp/>
        <stp>##V3_BDPV12</stp>
        <stp>912828SG Govt</stp>
        <stp>FIRST_CPN_DT</stp>
        <stp>[TREASURY.xlsx]Sheet1!R496C9</stp>
        <tr r="I496" s="1"/>
      </tp>
      <tp t="s">
        <v>1/31/2012</v>
        <stp/>
        <stp>##V3_BDPV12</stp>
        <stp>912828QW Govt</stp>
        <stp>FIRST_CPN_DT</stp>
        <stp>[TREASURY.xlsx]Sheet1!R646C9</stp>
        <tr r="I646" s="1"/>
      </tp>
      <tp t="s">
        <v>5/31/2017</v>
        <stp/>
        <stp>##V3_BDPV12</stp>
        <stp>912828U5 Govt</stp>
        <stp>FIRST_CPN_DT</stp>
        <stp>[TREASURY.xlsx]Sheet1!R246C9</stp>
        <tr r="I246" s="1"/>
      </tp>
      <tp t="s">
        <v>6/30/2018</v>
        <stp/>
        <stp>##V3_BDPV12</stp>
        <stp>9128283N Govt</stp>
        <stp>FIRST_CPN_DT</stp>
        <stp>[TREASURY.xlsx]Sheet1!R366C9</stp>
        <tr r="I366" s="1"/>
      </tp>
      <tp t="s">
        <v>5/31/2018</v>
        <stp/>
        <stp>##V3_BDPV12</stp>
        <stp>9128283J Govt</stp>
        <stp>FIRST_CPN_DT</stp>
        <stp>[TREASURY.xlsx]Sheet1!R216C9</stp>
        <tr r="I216" s="1"/>
      </tp>
      <tp t="s">
        <v>4/30/2018</v>
        <stp/>
        <stp>##V3_BDPV12</stp>
        <stp>9128283C Govt</stp>
        <stp>FIRST_CPN_DT</stp>
        <stp>[TREASURY.xlsx]Sheet1!R186C9</stp>
        <tr r="I186" s="1"/>
      </tp>
      <tp t="s">
        <v>3/31/2018</v>
        <stp/>
        <stp>##V3_BDPV12</stp>
        <stp>9128282W Govt</stp>
        <stp>FIRST_CPN_DT</stp>
        <stp>[TREASURY.xlsx]Sheet1!R166C9</stp>
        <tr r="I166" s="1"/>
      </tp>
      <tp t="s">
        <v>12/31/2019</v>
        <stp/>
        <stp>##V3_BDPV12</stp>
        <stp>9128287B Govt</stp>
        <stp>FIRST_CPN_DT</stp>
        <stp>[TREASURY.xlsx]Sheet1!R306C9</stp>
        <tr r="I306" s="1"/>
      </tp>
      <tp t="s">
        <v>4/15/2019</v>
        <stp/>
        <stp>##V3_BDPV12</stp>
        <stp>9128285F Govt</stp>
        <stp>FIRST_CPN_DT</stp>
        <stp>[TREASURY.xlsx]Sheet1!R106C9</stp>
        <tr r="I106" s="1"/>
      </tp>
      <tp t="s">
        <v>9/30/2019</v>
        <stp/>
        <stp>##V3_BDPV12</stp>
        <stp>9128286L Govt</stp>
        <stp>FIRST_CPN_DT</stp>
        <stp>[TREASURY.xlsx]Sheet1!R276C9</stp>
        <tr r="I276" s="1"/>
      </tp>
      <tp t="s">
        <v>2/28/2019</v>
        <stp/>
        <stp>##V3_BDPV12</stp>
        <stp>9128284X Govt</stp>
        <stp>FIRST_CPN_DT</stp>
        <stp>[TREASURY.xlsx]Sheet1!R256C9</stp>
        <tr r="I256" s="1"/>
      </tp>
      <tp t="s">
        <v>2/28/2019</v>
        <stp/>
        <stp>##V3_BDPV12</stp>
        <stp>9128284Y Govt</stp>
        <stp>FIRST_CPN_DT</stp>
        <stp>[TREASURY.xlsx]Sheet1!R376C9</stp>
        <tr r="I376" s="1"/>
      </tp>
      <tp t="s">
        <v>UNITED STATES</v>
        <stp/>
        <stp>##V3_BDPV12</stp>
        <stp>912827QF Govt</stp>
        <stp>COUNTRY_FULL_NAME</stp>
        <stp>[TREASURY.xlsx]Sheet1!R1495C8</stp>
        <tr r="H1495" s="1"/>
      </tp>
      <tp t="s">
        <v>UNITED STATES</v>
        <stp/>
        <stp>##V3_BDPV12</stp>
        <stp>912827PE Govt</stp>
        <stp>COUNTRY_FULL_NAME</stp>
        <stp>[TREASURY.xlsx]Sheet1!R1054C8</stp>
        <tr r="H1054" s="1"/>
      </tp>
      <tp t="s">
        <v>S/A</v>
        <stp/>
        <stp>##V3_BDPV12</stp>
        <stp>912827YH Govt</stp>
        <stp>COUPON_FREQUENCY_DESCRIPTION</stp>
        <stp>[TREASURY.xlsx]Sheet1!R1221C10</stp>
        <tr r="J1221" s="1"/>
      </tp>
      <tp t="s">
        <v>S/A</v>
        <stp/>
        <stp>##V3_BDPV12</stp>
        <stp>912827YL Govt</stp>
        <stp>COUPON_FREQUENCY_DESCRIPTION</stp>
        <stp>[TREASURY.xlsx]Sheet1!R1605C10</stp>
        <tr r="J1605" s="1"/>
      </tp>
      <tp t="s">
        <v>UNITED STATES</v>
        <stp/>
        <stp>##V3_BDPV12</stp>
        <stp>912827QC Govt</stp>
        <stp>COUNTRY_FULL_NAME</stp>
        <stp>[TREASURY.xlsx]Sheet1!R1055C8</stp>
        <tr r="H1055" s="1"/>
      </tp>
      <tp t="s">
        <v>S/A</v>
        <stp/>
        <stp>##V3_BDPV12</stp>
        <stp>912827YK Govt</stp>
        <stp>COUPON_FREQUENCY_DESCRIPTION</stp>
        <stp>[TREASURY.xlsx]Sheet1!R1222C10</stp>
        <tr r="J1222" s="1"/>
      </tp>
      <tp t="s">
        <v>UNITED STATES</v>
        <stp/>
        <stp>##V3_BDPV12</stp>
        <stp>912827SA Govt</stp>
        <stp>COUNTRY_FULL_NAME</stp>
        <stp>[TREASURY.xlsx]Sheet1!R1587C8</stp>
        <tr r="H1587" s="1"/>
      </tp>
      <tp t="s">
        <v>T 7 3/4 11/30/91</v>
        <stp/>
        <stp>##V3_BDPV12</stp>
        <stp>912827YF Govt</stp>
        <stp>SECURITY_NAME</stp>
        <stp>[TREASURY.xlsx]Sheet1!R1604C16</stp>
        <tr r="P1604" s="1"/>
      </tp>
      <tp t="s">
        <v>T 11 7/8 09/30/86</v>
        <stp/>
        <stp>##V3_BDPV12</stp>
        <stp>912827RF Govt</stp>
        <stp>SECURITY_NAME</stp>
        <stp>[TREASURY.xlsx]Sheet1!R1579C16</stp>
        <tr r="P1579" s="1"/>
      </tp>
      <tp t="s">
        <v>T 9 3/8 02/28/91</v>
        <stp/>
        <stp>##V3_BDPV12</stp>
        <stp>912827XF Govt</stp>
        <stp>SECURITY_NAME</stp>
        <stp>[TREASURY.xlsx]Sheet1!R1596C16</stp>
        <tr r="P1596" s="1"/>
      </tp>
      <tp t="s">
        <v>UNITED STATES</v>
        <stp/>
        <stp>##V3_BDPV12</stp>
        <stp>912827UL Govt</stp>
        <stp>COUNTRY_FULL_NAME</stp>
        <stp>[TREASURY.xlsx]Sheet1!R1201C8</stp>
        <tr r="H1201" s="1"/>
      </tp>
      <tp t="s">
        <v>T 7 1/4 11/15/96</v>
        <stp/>
        <stp>##V3_BDPV12</stp>
        <stp>912827UF Govt</stp>
        <stp>SECURITY_NAME</stp>
        <stp>[TREASURY.xlsx]Sheet1!R1404C16</stp>
        <tr r="P1404" s="1"/>
      </tp>
      <tp t="s">
        <v>T 6 3/8 06/30/02</v>
        <stp/>
        <stp>##V3_BDPV12</stp>
        <stp>9128276F Govt</stp>
        <stp>SECURITY_NAME</stp>
        <stp>[TREASURY.xlsx]Sheet1!R1466C16</stp>
        <tr r="P1466" s="1"/>
      </tp>
      <tp t="s">
        <v>T 11 3/8 02/15/89</v>
        <stp/>
        <stp>##V3_BDPV12</stp>
        <stp>912827QF Govt</stp>
        <stp>SECURITY_NAME</stp>
        <stp>[TREASURY.xlsx]Sheet1!R1495C16</stp>
        <tr r="P1495" s="1"/>
      </tp>
      <tp t="s">
        <v>T 4 3/4 01/31/12</v>
        <stp/>
        <stp>##V3_BDPV12</stp>
        <stp>912828GF Govt</stp>
        <stp>SECURITY_NAME</stp>
        <stp>[TREASURY.xlsx]Sheet1!R1434C16</stp>
        <tr r="P1434" s="1"/>
      </tp>
      <tp t="s">
        <v>T 4 08/31/07</v>
        <stp/>
        <stp>##V3_BDPV12</stp>
        <stp>912828EF Govt</stp>
        <stp>SECURITY_NAME</stp>
        <stp>[TREASURY.xlsx]Sheet1!R1431C16</stp>
        <tr r="P1431" s="1"/>
      </tp>
      <tp t="s">
        <v>UNITED STATES</v>
        <stp/>
        <stp>##V3_BDPV12</stp>
        <stp>912827PM Govt</stp>
        <stp>COUNTRY_FULL_NAME</stp>
        <stp>[TREASURY.xlsx]Sheet1!R1174C8</stp>
        <tr r="H1174" s="1"/>
      </tp>
      <tp t="s">
        <v>UNITED STATES</v>
        <stp/>
        <stp>##V3_BDPV12</stp>
        <stp>912827TM Govt</stp>
        <stp>COUNTRY_FULL_NAME</stp>
        <stp>[TREASURY.xlsx]Sheet1!R1400C8</stp>
        <tr r="H1400" s="1"/>
      </tp>
      <tp t="s">
        <v>T 5 7/8 01/31/99</v>
        <stp/>
        <stp>##V3_BDPV12</stp>
        <stp>9128272F Govt</stp>
        <stp>SECURITY_NAME</stp>
        <stp>[TREASURY.xlsx]Sheet1!R1351C16</stp>
        <tr r="P1351" s="1"/>
      </tp>
      <tp t="s">
        <v>T 5 7/8 08/31/99</v>
        <stp/>
        <stp>##V3_BDPV12</stp>
        <stp>9128273F Govt</stp>
        <stp>SECURITY_NAME</stp>
        <stp>[TREASURY.xlsx]Sheet1!R1355C16</stp>
        <tr r="P1355" s="1"/>
      </tp>
      <tp t="s">
        <v>T 8 7/8 02/15/96</v>
        <stp/>
        <stp>##V3_BDPV12</stp>
        <stp>912827TF Govt</stp>
        <stp>SECURITY_NAME</stp>
        <stp>[TREASURY.xlsx]Sheet1!R1399C16</stp>
        <tr r="P1399" s="1"/>
      </tp>
      <tp t="s">
        <v>S/A</v>
        <stp/>
        <stp>##V3_BDPV12</stp>
        <stp>912827YD Govt</stp>
        <stp>COUPON_FREQUENCY_DESCRIPTION</stp>
        <stp>[TREASURY.xlsx]Sheet1!R1603C10</stp>
        <tr r="J1603" s="1"/>
      </tp>
      <tp t="s">
        <v>T 8 1/8 08/31/92</v>
        <stp/>
        <stp>##V3_BDPV12</stp>
        <stp>912827ZF Govt</stp>
        <stp>SECURITY_NAME</stp>
        <stp>[TREASURY.xlsx]Sheet1!R1229C16</stp>
        <tr r="P1229" s="1"/>
      </tp>
      <tp t="s">
        <v>T 1 7/8 10/31/17</v>
        <stp/>
        <stp>##V3_BDPV12</stp>
        <stp>912828PF Govt</stp>
        <stp>SECURITY_NAME</stp>
        <stp>[TREASURY.xlsx]Sheet1!R1299C16</stp>
        <tr r="P1299" s="1"/>
      </tp>
      <tp t="s">
        <v>T 2 1/8 05/31/15</v>
        <stp/>
        <stp>##V3_BDPV12</stp>
        <stp>912828NF Govt</stp>
        <stp>SECURITY_NAME</stp>
        <stp>[TREASURY.xlsx]Sheet1!R1256C16</stp>
        <tr r="P1256" s="1"/>
      </tp>
      <tp t="s">
        <v>T 2 3/8 08/15/06</v>
        <stp/>
        <stp>##V3_BDPV12</stp>
        <stp>912828BF Govt</stp>
        <stp>SECURITY_NAME</stp>
        <stp>[TREASURY.xlsx]Sheet1!R1235C16</stp>
        <tr r="P1235" s="1"/>
      </tp>
      <tp t="s">
        <v>S/A</v>
        <stp/>
        <stp>##V3_BDPV12</stp>
        <stp>912827YB Govt</stp>
        <stp>COUPON_FREQUENCY_DESCRIPTION</stp>
        <stp>[TREASURY.xlsx]Sheet1!R1100C10</stp>
        <tr r="J1100" s="1"/>
      </tp>
      <tp t="s">
        <v>UNITED STATES</v>
        <stp/>
        <stp>##V3_BDPV12</stp>
        <stp>912828RK Govt</stp>
        <stp>COUNTRY_FULL_NAME</stp>
        <stp>[TREASURY.xlsx]Sheet1!R1266C8</stp>
        <tr r="H1266" s="1"/>
      </tp>
      <tp t="s">
        <v>T 1 1/8 06/15/18</v>
        <stp/>
        <stp>##V3_BDPV12</stp>
        <stp>912828XF Govt</stp>
        <stp>SECURITY_NAME</stp>
        <stp>[TREASURY.xlsx]Sheet1!R1151C16</stp>
        <tr r="P1151" s="1"/>
      </tp>
      <tp t="s">
        <v>S/A</v>
        <stp/>
        <stp>##V3_BDPV12</stp>
        <stp>912827YF Govt</stp>
        <stp>COUPON_FREQUENCY_DESCRIPTION</stp>
        <stp>[TREASURY.xlsx]Sheet1!R1604C10</stp>
        <tr r="J1604" s="1"/>
      </tp>
      <tp t="s">
        <v>T 3 1/2 11/15/06</v>
        <stp/>
        <stp>##V3_BDPV12</stp>
        <stp>9128277F Govt</stp>
        <stp>SECURITY_NAME</stp>
        <stp>[TREASURY.xlsx]Sheet1!R1027C16</stp>
        <tr r="P1027" s="1"/>
      </tp>
      <tp t="s">
        <v>T 12 08/15/13</v>
        <stp/>
        <stp>##V3_BDPV12</stp>
        <stp>912810DF Govt</stp>
        <stp>SECURITY_NAME</stp>
        <stp>[TREASURY.xlsx]Sheet1!R1312C16</stp>
        <tr r="P1312" s="1"/>
      </tp>
      <tp t="s">
        <v>T 9 1/8 05/31/87</v>
        <stp/>
        <stp>##V3_BDPV12</stp>
        <stp>912827SF Govt</stp>
        <stp>SECURITY_NAME</stp>
        <stp>[TREASURY.xlsx]Sheet1!R1065C16</stp>
        <tr r="P1065" s="1"/>
      </tp>
      <tp t="s">
        <v>T 13 3/4 05/31/84</v>
        <stp/>
        <stp>##V3_BDPV12</stp>
        <stp>912827NF Govt</stp>
        <stp>SECURITY_NAME</stp>
        <stp>[TREASURY.xlsx]Sheet1!R1049C16</stp>
        <tr r="P1049" s="1"/>
      </tp>
      <tp t="s">
        <v>T 7 3/4 08/31/89</v>
        <stp/>
        <stp>##V3_BDPV12</stp>
        <stp>912827VF Govt</stp>
        <stp>SECURITY_NAME</stp>
        <stp>[TREASURY.xlsx]Sheet1!R1086C16</stp>
        <tr r="P1086" s="1"/>
      </tp>
      <tp t="s">
        <v>T 8 1/8 05/31/90</v>
        <stp/>
        <stp>##V3_BDPV12</stp>
        <stp>912827WF Govt</stp>
        <stp>SECURITY_NAME</stp>
        <stp>[TREASURY.xlsx]Sheet1!R1090C16</stp>
        <tr r="P1090" s="1"/>
      </tp>
      <tp t="s">
        <v>S/A</v>
        <stp/>
        <stp>##V3_BDPV12</stp>
        <stp>912827YC Govt</stp>
        <stp>COUPON_FREQUENCY_DESCRIPTION</stp>
        <stp>[TREASURY.xlsx]Sheet1!R1220C10</stp>
        <tr r="J1220" s="1"/>
      </tp>
      <tp t="s">
        <v>UNITED STATES</v>
        <stp/>
        <stp>##V3_BDPV12</stp>
        <stp>912827TV Govt</stp>
        <stp>COUNTRY_FULL_NAME</stp>
        <stp>[TREASURY.xlsx]Sheet1!R1510C8</stp>
        <tr r="H1510" s="1"/>
      </tp>
      <tp t="s">
        <v>UNITED STATES</v>
        <stp/>
        <stp>##V3_BDPV12</stp>
        <stp>912827ST Govt</stp>
        <stp>COUNTRY_FULL_NAME</stp>
        <stp>[TREASURY.xlsx]Sheet1!R1067C8</stp>
        <tr r="H1067" s="1"/>
      </tp>
      <tp t="s">
        <v>UNITED STATES</v>
        <stp/>
        <stp>##V3_BDPV12</stp>
        <stp>912828UU Govt</stp>
        <stp>COUNTRY_FULL_NAME</stp>
        <stp>[TREASURY.xlsx]Sheet1!R1001C8</stp>
        <tr r="H1001" s="1"/>
      </tp>
      <tp t="s">
        <v>UNITED STATES</v>
        <stp/>
        <stp>##V3_BDPV12</stp>
        <stp>912827VU Govt</stp>
        <stp>COUNTRY_FULL_NAME</stp>
        <stp>[TREASURY.xlsx]Sheet1!R1412C8</stp>
        <tr r="H1412" s="1"/>
      </tp>
      <tp t="s">
        <v>UNITED STATES</v>
        <stp/>
        <stp>##V3_BDPV12</stp>
        <stp>912827SQ Govt</stp>
        <stp>COUNTRY_FULL_NAME</stp>
        <stp>[TREASURY.xlsx]Sheet1!R1187C8</stp>
        <tr r="H1187" s="1"/>
      </tp>
      <tp t="s">
        <v>UNITED STATES</v>
        <stp/>
        <stp>##V3_BDPV12</stp>
        <stp>912827WQ Govt</stp>
        <stp>COUNTRY_FULL_NAME</stp>
        <stp>[TREASURY.xlsx]Sheet1!R1093C8</stp>
        <tr r="H1093" s="1"/>
      </tp>
      <tp t="s">
        <v>S/A</v>
        <stp/>
        <stp>##V3_BDPV12</stp>
        <stp>912827YP Govt</stp>
        <stp>COUPON_FREQUENCY_DESCRIPTION</stp>
        <stp>[TREASURY.xlsx]Sheet1!R1606C10</stp>
        <tr r="J1606" s="1"/>
      </tp>
      <tp t="s">
        <v>S/A</v>
        <stp/>
        <stp>##V3_BDPV12</stp>
        <stp>912827YU Govt</stp>
        <stp>COUPON_FREQUENCY_DESCRIPTION</stp>
        <stp>[TREASURY.xlsx]Sheet1!R1224C10</stp>
        <tr r="J1224" s="1"/>
      </tp>
      <tp t="s">
        <v>S/A</v>
        <stp/>
        <stp>##V3_BDPV12</stp>
        <stp>912827YT Govt</stp>
        <stp>COUPON_FREQUENCY_DESCRIPTION</stp>
        <stp>[TREASURY.xlsx]Sheet1!R1101C10</stp>
        <tr r="J1101" s="1"/>
      </tp>
      <tp t="s">
        <v>UNITED STATES</v>
        <stp/>
        <stp>##V3_BDPV12</stp>
        <stp>912827WZ Govt</stp>
        <stp>COUNTRY_FULL_NAME</stp>
        <stp>[TREASURY.xlsx]Sheet1!R1423C8</stp>
        <tr r="H1423" s="1"/>
      </tp>
      <tp t="s">
        <v>S/A</v>
        <stp/>
        <stp>##V3_BDPV12</stp>
        <stp>912827YQ Govt</stp>
        <stp>COUPON_FREQUENCY_DESCRIPTION</stp>
        <stp>[TREASURY.xlsx]Sheet1!R1223C10</stp>
        <tr r="J1223" s="1"/>
      </tp>
      <tp t="s">
        <v>UNITED STATES</v>
        <stp/>
        <stp>##V3_BDPV12</stp>
        <stp>912827UX Govt</stp>
        <stp>COUNTRY_FULL_NAME</stp>
        <stp>[TREASURY.xlsx]Sheet1!R1081C8</stp>
        <tr r="H1081" s="1"/>
      </tp>
      <tp t="s">
        <v>UNITED STATES</v>
        <stp/>
        <stp>##V3_BDPV12</stp>
        <stp>912827WX Govt</stp>
        <stp>COUNTRY_FULL_NAME</stp>
        <stp>[TREASURY.xlsx]Sheet1!R1593C8</stp>
        <tr r="H1593" s="1"/>
      </tp>
      <tp t="s">
        <v>UNITED STATES</v>
        <stp/>
        <stp>##V3_BDPV12</stp>
        <stp>912827QX Govt</stp>
        <stp>COUNTRY_FULL_NAME</stp>
        <stp>[TREASURY.xlsx]Sheet1!R1575C8</stp>
        <tr r="H1575" s="1"/>
      </tp>
      <tp t="s">
        <v>S/A</v>
        <stp/>
        <stp>##V3_BDPV12</stp>
        <stp>912827YW Govt</stp>
        <stp>COUPON_FREQUENCY_DESCRIPTION</stp>
        <stp>[TREASURY.xlsx]Sheet1!R1607C10</stp>
        <tr r="J1607" s="1"/>
      </tp>
      <tp t="s">
        <v>UNITED STATES</v>
        <stp/>
        <stp>##V3_BDPV12</stp>
        <stp>912827QY Govt</stp>
        <stp>COUNTRY_FULL_NAME</stp>
        <stp>[TREASURY.xlsx]Sheet1!R1395C8</stp>
        <tr r="H1395" s="1"/>
      </tp>
      <tp t="s">
        <v>UNITED STATES</v>
        <stp/>
        <stp>##V3_BDPV12</stp>
        <stp>912827T7 Govt</stp>
        <stp>COUNTRY_FULL_NAME</stp>
        <stp>[TREASURY.xlsx]Sheet1!R1070C8</stp>
        <tr r="H1070" s="1"/>
      </tp>
      <tp t="s">
        <v>UNITED STATES</v>
        <stp/>
        <stp>##V3_BDPV12</stp>
        <stp>912827U7 Govt</stp>
        <stp>COUNTRY_FULL_NAME</stp>
        <stp>[TREASURY.xlsx]Sheet1!R1511C8</stp>
        <tr r="H1511" s="1"/>
      </tp>
      <tp t="s">
        <v>UNITED STATES</v>
        <stp/>
        <stp>##V3_BDPV12</stp>
        <stp>912827V2 Govt</stp>
        <stp>COUNTRY_FULL_NAME</stp>
        <stp>[TREASURY.xlsx]Sheet1!R1082C8</stp>
        <tr r="H1082" s="1"/>
      </tp>
      <tp t="s">
        <v>S/A</v>
        <stp/>
        <stp>##V3_BDPV12</stp>
        <stp>912827Y6 Govt</stp>
        <stp>COUPON_FREQUENCY_DESCRIPTION</stp>
        <stp>[TREASURY.xlsx]Sheet1!R1099C10</stp>
        <tr r="J1099" s="1"/>
      </tp>
      <tp t="s">
        <v>S/A</v>
        <stp/>
        <stp>##V3_BDPV12</stp>
        <stp>912827Y7 Govt</stp>
        <stp>COUPON_FREQUENCY_DESCRIPTION</stp>
        <stp>[TREASURY.xlsx]Sheet1!R1219C10</stp>
        <tr r="J1219" s="1"/>
      </tp>
      <tp t="s">
        <v>S/A</v>
        <stp/>
        <stp>##V3_BDPV12</stp>
        <stp>912827Y3 Govt</stp>
        <stp>COUPON_FREQUENCY_DESCRIPTION</stp>
        <stp>[TREASURY.xlsx]Sheet1!R1601C10</stp>
        <tr r="J1601" s="1"/>
      </tp>
      <tp t="s">
        <v>S/A</v>
        <stp/>
        <stp>##V3_BDPV12</stp>
        <stp>912827Y2 Govt</stp>
        <stp>COUPON_FREQUENCY_DESCRIPTION</stp>
        <stp>[TREASURY.xlsx]Sheet1!R1098C10</stp>
        <tr r="J1098" s="1"/>
      </tp>
      <tp t="s">
        <v>S/A</v>
        <stp/>
        <stp>##V3_BDPV12</stp>
        <stp>912827Y4 Govt</stp>
        <stp>COUPON_FREQUENCY_DESCRIPTION</stp>
        <stp>[TREASURY.xlsx]Sheet1!R1602C10</stp>
        <tr r="J1602" s="1"/>
      </tp>
      <tp t="s">
        <v>9/30/1985</v>
        <stp/>
        <stp>##V3_BDPV12</stp>
        <stp>912827RZ Govt</stp>
        <stp>FIRST_CPN_DT</stp>
        <stp>[TREASURY.xlsx]Sheet1!R1584C9</stp>
        <tr r="I1584" s="1"/>
      </tp>
      <tp t="s">
        <v>5/31/1985</v>
        <stp/>
        <stp>##V3_BDPV12</stp>
        <stp>912827RN Govt</stp>
        <stp>FIRST_CPN_DT</stp>
        <stp>[TREASURY.xlsx]Sheet1!R1064C9</stp>
        <tr r="I1064" s="1"/>
      </tp>
      <tp t="s">
        <v>11/15/1985</v>
        <stp/>
        <stp>##V3_BDPV12</stp>
        <stp>912827SE Govt</stp>
        <stp>FIRST_CPN_DT</stp>
        <stp>[TREASURY.xlsx]Sheet1!R1184C9</stp>
        <tr r="I1184" s="1"/>
      </tp>
      <tp t="s">
        <v>8/15/1995</v>
        <stp/>
        <stp>##V3_BDPV12</stp>
        <stp>912827S7 Govt</stp>
        <stp>FIRST_CPN_DT</stp>
        <stp>[TREASURY.xlsx]Sheet1!R1504C9</stp>
        <tr r="I1504" s="1"/>
      </tp>
      <tp t="s">
        <v>11/15/1983</v>
        <stp/>
        <stp>##V3_BDPV12</stp>
        <stp>912827PM Govt</stp>
        <stp>FIRST_CPN_DT</stp>
        <stp>[TREASURY.xlsx]Sheet1!R1174C9</stp>
        <tr r="I1174" s="1"/>
      </tp>
      <tp t="s">
        <v>8/31/1983</v>
        <stp/>
        <stp>##V3_BDPV12</stp>
        <stp>912827PE Govt</stp>
        <stp>FIRST_CPN_DT</stp>
        <stp>[TREASURY.xlsx]Sheet1!R1054C9</stp>
        <tr r="I1054" s="1"/>
      </tp>
      <tp t="s">
        <v>2/15/1985</v>
        <stp/>
        <stp>##V3_BDPV12</stp>
        <stp>912827QW Govt</stp>
        <stp>FIRST_CPN_DT</stp>
        <stp>[TREASURY.xlsx]Sheet1!R1394C9</stp>
        <tr r="I1394" s="1"/>
      </tp>
      <tp t="s">
        <v>4/30/1984</v>
        <stp/>
        <stp>##V3_BDPV12</stp>
        <stp>912827QB Govt</stp>
        <stp>FIRST_CPN_DT</stp>
        <stp>[TREASURY.xlsx]Sheet1!R1574C9</stp>
        <tr r="I1574" s="1"/>
      </tp>
      <tp t="s">
        <v>12/31/1994</v>
        <stp/>
        <stp>##V3_BDPV12</stp>
        <stp>912827Q3 Govt</stp>
        <stp>FIRST_CPN_DT</stp>
        <stp>[TREASURY.xlsx]Sheet1!R1494C9</stp>
        <tr r="I1494" s="1"/>
      </tp>
      <tp t="s">
        <v>10/31/2021</v>
        <stp/>
        <stp>##V3_BDPV12</stp>
        <stp>91282CBZ Govt</stp>
        <stp>FIRST_CPN_DT</stp>
        <stp>[TREASURY.xlsx]Sheet1!R126C9</stp>
        <tr r="I126" s="1"/>
      </tp>
      <tp t="s">
        <v>5/31/1988</v>
        <stp/>
        <stp>##V3_BDPV12</stp>
        <stp>912827VP Govt</stp>
        <stp>FIRST_CPN_DT</stp>
        <stp>[TREASURY.xlsx]Sheet1!R1204C9</stp>
        <tr r="I1204" s="1"/>
      </tp>
      <tp t="s">
        <v>4/30/1996</v>
        <stp/>
        <stp>##V3_BDPV12</stp>
        <stp>912827V6 Govt</stp>
        <stp>FIRST_CPN_DT</stp>
        <stp>[TREASURY.xlsx]Sheet1!R1084C9</stp>
        <tr r="I1084" s="1"/>
      </tp>
      <tp t="s">
        <v>7/31/1996</v>
        <stp/>
        <stp>##V3_BDPV12</stp>
        <stp>912827W5 Govt</stp>
        <stp>FIRST_CPN_DT</stp>
        <stp>[TREASURY.xlsx]Sheet1!R1414C9</stp>
        <tr r="I1414" s="1"/>
      </tp>
      <tp t="s">
        <v>ACT/ACT</v>
        <stp/>
        <stp>##V3_BDPV12</stp>
        <stp>912810SX Govt</stp>
        <stp>DAY_CNT_DES</stp>
        <stp>[TREASURY.xlsx]Sheet1!R8C17</stp>
        <tr r="Q8" s="1"/>
      </tp>
      <tp t="s">
        <v>11/30/1986</v>
        <stp/>
        <stp>##V3_BDPV12</stp>
        <stp>912827TR Govt</stp>
        <stp>FIRST_CPN_DT</stp>
        <stp>[TREASURY.xlsx]Sheet1!R1194C9</stp>
        <tr r="I1194" s="1"/>
      </tp>
      <tp t="s">
        <v>10/31/1986</v>
        <stp/>
        <stp>##V3_BDPV12</stp>
        <stp>912827TN Govt</stp>
        <stp>FIRST_CPN_DT</stp>
        <stp>[TREASURY.xlsx]Sheet1!R1074C9</stp>
        <tr r="I1074" s="1"/>
      </tp>
      <tp t="s">
        <v>5/15/1987</v>
        <stp/>
        <stp>##V3_BDPV12</stp>
        <stp>912827UF Govt</stp>
        <stp>FIRST_CPN_DT</stp>
        <stp>[TREASURY.xlsx]Sheet1!R1404C9</stp>
        <tr r="I1404" s="1"/>
      </tp>
      <tp t="s">
        <v>ACT/ACT</v>
        <stp/>
        <stp>##V3_BDPV12</stp>
        <stp>912810SZ Govt</stp>
        <stp>DAY_CNT_DES</stp>
        <stp>[TREASURY.xlsx]Sheet1!R3C17</stp>
        <tr r="Q3" s="1"/>
      </tp>
      <tp>
        <v>2.375</v>
        <stp/>
        <stp>##V3_BDPV12</stp>
        <stp>912810SX Govt</stp>
        <stp>CPN</stp>
        <stp>[TREASURY.xlsx]Sheet1!R8C3</stp>
        <tr r="C8" s="1"/>
      </tp>
      <tp t="s">
        <v>8/31/1991</v>
        <stp/>
        <stp>##V3_BDPV12</stp>
        <stp>912827ZZ Govt</stp>
        <stp>FIRST_CPN_DT</stp>
        <stp>[TREASURY.xlsx]Sheet1!R1614C9</stp>
        <tr r="I1614" s="1"/>
      </tp>
      <tp t="s">
        <v>8/15/1991</v>
        <stp/>
        <stp>##V3_BDPV12</stp>
        <stp>912827ZW Govt</stp>
        <stp>FIRST_CPN_DT</stp>
        <stp>[TREASURY.xlsx]Sheet1!R1104C9</stp>
        <tr r="I1104" s="1"/>
      </tp>
      <tp t="s">
        <v>10/31/1989</v>
        <stp/>
        <stp>##V3_BDPV12</stp>
        <stp>912827XL Govt</stp>
        <stp>FIRST_CPN_DT</stp>
        <stp>[TREASURY.xlsx]Sheet1!R1214C9</stp>
        <tr r="I1214" s="1"/>
      </tp>
      <tp t="s">
        <v>6/30/1989</v>
        <stp/>
        <stp>##V3_BDPV12</stp>
        <stp>912827XA Govt</stp>
        <stp>FIRST_CPN_DT</stp>
        <stp>[TREASURY.xlsx]Sheet1!R1594C9</stp>
        <tr r="I1594" s="1"/>
      </tp>
      <tp t="s">
        <v>9/30/1996</v>
        <stp/>
        <stp>##V3_BDPV12</stp>
        <stp>912827X3 Govt</stp>
        <stp>FIRST_CPN_DT</stp>
        <stp>[TREASURY.xlsx]Sheet1!R1094C9</stp>
        <tr r="I1094" s="1"/>
      </tp>
      <tp t="s">
        <v>10/31/1990</v>
        <stp/>
        <stp>##V3_BDPV12</stp>
        <stp>912827YU Govt</stp>
        <stp>FIRST_CPN_DT</stp>
        <stp>[TREASURY.xlsx]Sheet1!R1224C9</stp>
        <tr r="I1224" s="1"/>
      </tp>
      <tp t="s">
        <v>5/31/1990</v>
        <stp/>
        <stp>##V3_BDPV12</stp>
        <stp>912827YF Govt</stp>
        <stp>FIRST_CPN_DT</stp>
        <stp>[TREASURY.xlsx]Sheet1!R1604C9</stp>
        <tr r="I1604" s="1"/>
      </tp>
      <tp t="s">
        <v>11/15/1961</v>
        <stp/>
        <stp>##V3_BDPV12</stp>
        <stp>912810BG Govt</stp>
        <stp>FIRST_CPN_DT</stp>
        <stp>[TREASURY.xlsx]Sheet1!R1513C9</stp>
        <tr r="I1513" s="1"/>
      </tp>
      <tp t="s">
        <v>11/15/1980</v>
        <stp/>
        <stp>##V3_BDPV12</stp>
        <stp>912810CQ Govt</stp>
        <stp>FIRST_CPN_DT</stp>
        <stp>[TREASURY.xlsx]Sheet1!R1623C9</stp>
        <tr r="I1623" s="1"/>
      </tp>
      <tp t="s">
        <v>4/15/1992</v>
        <stp/>
        <stp>##V3_BDPV12</stp>
        <stp>912827C6 Govt</stp>
        <stp>FIRST_CPN_DT</stp>
        <stp>[TREASURY.xlsx]Sheet1!R1554C9</stp>
        <tr r="I1554" s="1"/>
      </tp>
      <tp t="s">
        <v>10/31/1991</v>
        <stp/>
        <stp>##V3_BDPV12</stp>
        <stp>912827A6 Govt</stp>
        <stp>FIRST_CPN_DT</stp>
        <stp>[TREASURY.xlsx]Sheet1!R1474C9</stp>
        <tr r="I1474" s="1"/>
      </tp>
      <tp t="s">
        <v>12/31/1992</v>
        <stp/>
        <stp>##V3_BDPV12</stp>
        <stp>912827F8 Govt</stp>
        <stp>FIRST_CPN_DT</stp>
        <stp>[TREASURY.xlsx]Sheet1!R1154C9</stp>
        <tr r="I1154" s="1"/>
      </tp>
      <tp t="s">
        <v>11/15/1992</v>
        <stp/>
        <stp>##V3_BDPV12</stp>
        <stp>912827F3 Govt</stp>
        <stp>FIRST_CPN_DT</stp>
        <stp>[TREASURY.xlsx]Sheet1!R1314C9</stp>
        <tr r="I1314" s="1"/>
      </tp>
      <tp t="s">
        <v>3/31/1993</v>
        <stp/>
        <stp>##V3_BDPV12</stp>
        <stp>912827G8 Govt</stp>
        <stp>FIRST_CPN_DT</stp>
        <stp>[TREASURY.xlsx]Sheet1!R1374C9</stp>
        <tr r="I1374" s="1"/>
      </tp>
      <tp t="s">
        <v>1/31/1993</v>
        <stp/>
        <stp>##V3_BDPV12</stp>
        <stp>912827G2 Govt</stp>
        <stp>FIRST_CPN_DT</stp>
        <stp>[TREASURY.xlsx]Sheet1!R1034C9</stp>
        <tr r="I1034" s="1"/>
      </tp>
      <tp t="s">
        <v>8/15/1983</v>
        <stp/>
        <stp>##V3_BDPV12</stp>
        <stp>912810DC Govt</stp>
        <stp>FIRST_CPN_DT</stp>
        <stp>[TREASURY.xlsx]Sheet1!R1443C9</stp>
        <tr r="I1443" s="1"/>
      </tp>
      <tp t="s">
        <v>6/30/1992</v>
        <stp/>
        <stp>##V3_BDPV12</stp>
        <stp>912827D5 Govt</stp>
        <stp>FIRST_CPN_DT</stp>
        <stp>[TREASURY.xlsx]Sheet1!R1484C9</stp>
        <tr r="I1484" s="1"/>
      </tp>
      <tp t="s">
        <v>4/15/1983</v>
        <stp/>
        <stp>##V3_BDPV12</stp>
        <stp>912827NS Govt</stp>
        <stp>FIRST_CPN_DT</stp>
        <stp>[TREASURY.xlsx]Sheet1!R1334C9</stp>
        <tr r="I1334" s="1"/>
      </tp>
      <tp t="s">
        <v>4/30/1983</v>
        <stp/>
        <stp>##V3_BDPV12</stp>
        <stp>912827NT Govt</stp>
        <stp>FIRST_CPN_DT</stp>
        <stp>[TREASURY.xlsx]Sheet1!R1384C9</stp>
        <tr r="I1384" s="1"/>
      </tp>
      <tp t="s">
        <v>12/31/1993</v>
        <stp/>
        <stp>##V3_BDPV12</stp>
        <stp>912827L3 Govt</stp>
        <stp>FIRST_CPN_DT</stp>
        <stp>[TREASURY.xlsx]Sheet1!R1564C9</stp>
        <tr r="I1564" s="1"/>
      </tp>
      <tp t="s">
        <v>1/31/1982</v>
        <stp/>
        <stp>##V3_BDPV12</stp>
        <stp>912827MC Govt</stp>
        <stp>FIRST_CPN_DT</stp>
        <stp>[TREASURY.xlsx]Sheet1!R1324C9</stp>
        <tr r="I1324" s="1"/>
      </tp>
      <tp t="s">
        <v>2/28/1994</v>
        <stp/>
        <stp>##V3_BDPV12</stp>
        <stp>912827M2 Govt</stp>
        <stp>FIRST_CPN_DT</stp>
        <stp>[TREASURY.xlsx]Sheet1!R1164C9</stp>
        <tr r="I1164" s="1"/>
      </tp>
      <tp t="s">
        <v>5/15/1994</v>
        <stp/>
        <stp>##V3_BDPV12</stp>
        <stp>912827M7 Govt</stp>
        <stp>FIRST_CPN_DT</stp>
        <stp>[TREASURY.xlsx]Sheet1!R1044C9</stp>
        <tr r="I1044" s="1"/>
      </tp>
      <tp>
        <v>0.375</v>
        <stp/>
        <stp>##V3_BDPV12</stp>
        <stp>91282CAL Govt</stp>
        <stp>CPN</stp>
        <stp>[TREASURY.xlsx]Sheet1!R142C3</stp>
        <tr r="C142" s="1"/>
      </tp>
      <tp>
        <v>2.875</v>
        <stp/>
        <stp>##V3_BDPV12</stp>
        <stp>9128285N Govt</stp>
        <stp>CPN</stp>
        <stp>[TREASURY.xlsx]Sheet1!R290C3</stp>
        <tr r="C290" s="1"/>
      </tp>
      <tp>
        <v>2</v>
        <stp/>
        <stp>##V3_BDPV12</stp>
        <stp>912828SF Govt</stp>
        <stp>CPN</stp>
        <stp>[TREASURY.xlsx]Sheet1!R138C3</stp>
        <tr r="C138" s="1"/>
      </tp>
      <tp>
        <v>1.625</v>
        <stp/>
        <stp>##V3_BDPV12</stp>
        <stp>912828TJ Govt</stp>
        <stp>CPN</stp>
        <stp>[TREASURY.xlsx]Sheet1!R194C3</stp>
        <tr r="C194" s="1"/>
      </tp>
      <tp>
        <v>1.5</v>
        <stp/>
        <stp>##V3_BDPV12</stp>
        <stp>912828YM Govt</stp>
        <stp>CPN</stp>
        <stp>[TREASURY.xlsx]Sheet1!R113C3</stp>
        <tr r="C113" s="1"/>
      </tp>
      <tp>
        <v>13.125</v>
        <stp/>
        <stp>##V3_BDPV12</stp>
        <stp>912827NL Govt</stp>
        <stp>CPN</stp>
        <stp>[TREASURY.xlsx]Sheet1!R902C3</stp>
        <tr r="C902" s="1"/>
      </tp>
      <tp>
        <v>1.5</v>
        <stp/>
        <stp>##V3_BDPV12</stp>
        <stp>912828SN Govt</stp>
        <stp>CPN</stp>
        <stp>[TREASURY.xlsx]Sheet1!R670C3</stp>
        <tr r="C670" s="1"/>
      </tp>
      <tp>
        <v>0.875</v>
        <stp/>
        <stp>##V3_BDPV12</stp>
        <stp>912828XK Govt</stp>
        <stp>CPN</stp>
        <stp>[TREASURY.xlsx]Sheet1!R625C3</stp>
        <tr r="C625" s="1"/>
      </tp>
      <tp>
        <v>11.875</v>
        <stp/>
        <stp>##V3_BDPV12</stp>
        <stp>912827KJ Govt</stp>
        <stp>CPN</stp>
        <stp>[TREASURY.xlsx]Sheet1!R884C3</stp>
        <tr r="C884" s="1"/>
      </tp>
      <tp>
        <v>3.125</v>
        <stp/>
        <stp>##V3_BDPV12</stp>
        <stp>912828CG Govt</stp>
        <stp>CPN</stp>
        <stp>[TREASURY.xlsx]Sheet1!R789C3</stp>
        <tr r="C789" s="1"/>
      </tp>
      <tp>
        <v>3.125</v>
        <stp/>
        <stp>##V3_BDPV12</stp>
        <stp>912828BM Govt</stp>
        <stp>CPN</stp>
        <stp>[TREASURY.xlsx]Sheet1!R453C3</stp>
        <tr r="C453" s="1"/>
      </tp>
      <tp>
        <v>2.75</v>
        <stp/>
        <stp>##V3_BDPV12</stp>
        <stp>912828CM Govt</stp>
        <stp>CPN</stp>
        <stp>[TREASURY.xlsx]Sheet1!R493C3</stp>
        <tr r="C493" s="1"/>
      </tp>
      <tp>
        <v>1.375</v>
        <stp/>
        <stp>##V3_BDPV12</stp>
        <stp>912828RH Govt</stp>
        <stp>CPN</stp>
        <stp>[TREASURY.xlsx]Sheet1!R456C3</stp>
        <tr r="C456" s="1"/>
      </tp>
      <tp>
        <v>3.625</v>
        <stp/>
        <stp>##V3_BDPV12</stp>
        <stp>912828HM Govt</stp>
        <stp>CPN</stp>
        <stp>[TREASURY.xlsx]Sheet1!R573C3</stp>
        <tr r="C573" s="1"/>
      </tp>
      <tp>
        <v>3.375</v>
        <stp/>
        <stp>##V3_BDPV12</stp>
        <stp>912828HK Govt</stp>
        <stp>CPN</stp>
        <stp>[TREASURY.xlsx]Sheet1!R525C3</stp>
        <tr r="C525" s="1"/>
      </tp>
      <tp>
        <v>1</v>
        <stp/>
        <stp>##V3_BDPV12</stp>
        <stp>912828RM Govt</stp>
        <stp>CPN</stp>
        <stp>[TREASURY.xlsx]Sheet1!R563C3</stp>
        <tr r="C563" s="1"/>
      </tp>
      <tp>
        <v>0.25</v>
        <stp/>
        <stp>##V3_BDPV12</stp>
        <stp>912828TK Govt</stp>
        <stp>CPN</stp>
        <stp>[TREASURY.xlsx]Sheet1!R565C3</stp>
        <tr r="C565" s="1"/>
      </tp>
      <tp>
        <v>1.9136210334382266</v>
        <stp/>
        <stp>##V3_BDPV12</stp>
        <stp>912810QN Govt</stp>
        <stp>YLD_YTM_BID</stp>
        <stp>[TREASURY.xlsx]Sheet1!R291C4</stp>
        <tr r="D291" s="1"/>
      </tp>
      <tp>
        <v>2.125</v>
        <stp/>
        <stp>##V3_BDPV12</stp>
        <stp>912828PM Govt</stp>
        <stp>CPN</stp>
        <stp>[TREASURY.xlsx]Sheet1!R593C3</stp>
        <tr r="C593" s="1"/>
      </tp>
      <tp>
        <v>5.625</v>
        <stp/>
        <stp>##V3_BDPV12</stp>
        <stp>9128274F Govt</stp>
        <stp>CPN</stp>
        <stp>[TREASURY.xlsx]Sheet1!R578C3</stp>
        <tr r="C578" s="1"/>
      </tp>
      <tp>
        <v>0.25</v>
        <stp/>
        <stp>##V3_BDPV12</stp>
        <stp>912828RG Govt</stp>
        <stp>CPN</stp>
        <stp>[TREASURY.xlsx]Sheet1!R869C3</stp>
        <tr r="C869" s="1"/>
      </tp>
      <tp>
        <v>0.625</v>
        <stp/>
        <stp>##V3_BDPV12</stp>
        <stp>912828TM Govt</stp>
        <stp>CPN</stp>
        <stp>[TREASURY.xlsx]Sheet1!R873C3</stp>
        <tr r="C873" s="1"/>
      </tp>
      <tp>
        <v>7.75</v>
        <stp/>
        <stp>##V3_BDPV12</stp>
        <stp>912827ZL Govt</stp>
        <stp>CPN</stp>
        <stp>[TREASURY.xlsx]Sheet1!R782C3</stp>
        <tr r="C782" s="1"/>
      </tp>
      <tp>
        <v>1</v>
        <stp/>
        <stp>##V3_BDPV12</stp>
        <stp>912828RF Govt</stp>
        <stp>CPN</stp>
        <stp>[TREASURY.xlsx]Sheet1!R828C3</stp>
        <tr r="C828" s="1"/>
      </tp>
      <tp>
        <v>1.625</v>
        <stp/>
        <stp>##V3_BDPV12</stp>
        <stp>912828BN Govt</stp>
        <stp>CPN</stp>
        <stp>[TREASURY.xlsx]Sheet1!R960C3</stp>
        <tr r="C960" s="1"/>
      </tp>
      <tp>
        <v>3.5</v>
        <stp/>
        <stp>##V3_BDPV12</stp>
        <stp>912828DL Govt</stp>
        <stp>CPN</stp>
        <stp>[TREASURY.xlsx]Sheet1!R962C3</stp>
        <tr r="C962" s="1"/>
      </tp>
      <tp>
        <v>2.25</v>
        <stp/>
        <stp>##V3_BDPV12</stp>
        <stp>912828MH Govt</stp>
        <stp>CPN</stp>
        <stp>[TREASURY.xlsx]Sheet1!R976C3</stp>
        <tr r="C976" s="1"/>
      </tp>
      <tp>
        <v>1.1551306712725513</v>
        <stp/>
        <stp>##V3_BDPV12</stp>
        <stp>91282CAH Govt</stp>
        <stp>YLD_YTM_BID</stp>
        <stp>[TREASURY.xlsx]Sheet1!R167C4</stp>
        <tr r="D167" s="1"/>
      </tp>
      <tp t="s">
        <v>#N/A N/A</v>
        <stp/>
        <stp>##V3_BDPV12</stp>
        <stp>912828PL Govt</stp>
        <stp>YLD_YTM_BID</stp>
        <stp>[TREASURY.xlsx]Sheet1!R983C4</stp>
        <tr r="D983" s="1"/>
      </tp>
      <tp t="s">
        <v>#N/A N/A</v>
        <stp/>
        <stp>##V3_BDPV12</stp>
        <stp>912828FK Govt</stp>
        <stp>YLD_YTM_BID</stp>
        <stp>[TREASURY.xlsx]Sheet1!R844C4</stp>
        <tr r="D844" s="1"/>
      </tp>
      <tp t="s">
        <v>#N/A N/A</v>
        <stp/>
        <stp>##V3_BDPV12</stp>
        <stp>912828JK Govt</stp>
        <stp>YLD_YTM_BID</stp>
        <stp>[TREASURY.xlsx]Sheet1!R854C4</stp>
        <tr r="D854" s="1"/>
      </tp>
      <tp t="s">
        <v>#N/A N/A</v>
        <stp/>
        <stp>##V3_BDPV12</stp>
        <stp>912827NM Govt</stp>
        <stp>YLD_YTM_BID</stp>
        <stp>[TREASURY.xlsx]Sheet1!R732C4</stp>
        <tr r="D732" s="1"/>
      </tp>
      <tp t="s">
        <v>#N/A N/A</v>
        <stp/>
        <stp>##V3_BDPV12</stp>
        <stp>912828NL Govt</stp>
        <stp>YLD_YTM_BID</stp>
        <stp>[TREASURY.xlsx]Sheet1!R863C4</stp>
        <tr r="D863" s="1"/>
      </tp>
      <tp t="s">
        <v>#N/A N/A</v>
        <stp/>
        <stp>##V3_BDPV12</stp>
        <stp>912827UJ Govt</stp>
        <stp>YLD_YTM_BID</stp>
        <stp>[TREASURY.xlsx]Sheet1!R755C4</stp>
        <tr r="D755" s="1"/>
      </tp>
      <tp t="s">
        <v>#N/A N/A</v>
        <stp/>
        <stp>##V3_BDPV12</stp>
        <stp>912827YJ Govt</stp>
        <stp>YLD_YTM_BID</stp>
        <stp>[TREASURY.xlsx]Sheet1!R775C4</stp>
        <tr r="D775" s="1"/>
      </tp>
      <tp t="s">
        <v>#N/A N/A</v>
        <stp/>
        <stp>##V3_BDPV12</stp>
        <stp>912828FM Govt</stp>
        <stp>YLD_YTM_BID</stp>
        <stp>[TREASURY.xlsx]Sheet1!R532C4</stp>
        <tr r="D532" s="1"/>
      </tp>
      <tp t="s">
        <v>#N/A N/A</v>
        <stp/>
        <stp>##V3_BDPV12</stp>
        <stp>912828BL Govt</stp>
        <stp>YLD_YTM_BID</stp>
        <stp>[TREASURY.xlsx]Sheet1!R513C4</stp>
        <tr r="D513" s="1"/>
      </tp>
      <tp t="s">
        <v>#N/A N/A</v>
        <stp/>
        <stp>##V3_BDPV12</stp>
        <stp>912828LJ Govt</stp>
        <stp>YLD_YTM_BID</stp>
        <stp>[TREASURY.xlsx]Sheet1!R485C4</stp>
        <tr r="D485" s="1"/>
      </tp>
      <tp t="s">
        <v>#N/A N/A</v>
        <stp/>
        <stp>##V3_BDPV12</stp>
        <stp>912828UM Govt</stp>
        <stp>YLD_YTM_BID</stp>
        <stp>[TREASURY.xlsx]Sheet1!R472C4</stp>
        <tr r="D472" s="1"/>
      </tp>
      <tp>
        <v>4.375</v>
        <stp/>
        <stp>##V3_BDPV12</stp>
        <stp>912810QH Govt</stp>
        <stp>CPN</stp>
        <stp>[TREASURY.xlsx]Sheet1!R316C3</stp>
        <tr r="C316" s="1"/>
      </tp>
      <tp>
        <v>2.875</v>
        <stp/>
        <stp>##V3_BDPV12</stp>
        <stp>912810SH Govt</stp>
        <stp>CPN</stp>
        <stp>[TREASURY.xlsx]Sheet1!R156C3</stp>
        <tr r="C156" s="1"/>
      </tp>
      <tp>
        <v>0.14173470959789825</v>
        <stp/>
        <stp>##V3_BDPV12</stp>
        <stp>9128285L Govt</stp>
        <stp>YLD_YTM_BID</stp>
        <stp>[TREASURY.xlsx]Sheet1!R193C4</stp>
        <tr r="D193" s="1"/>
      </tp>
      <tp t="s">
        <v>#N/A N/A</v>
        <stp/>
        <stp>##V3_BDPV12</stp>
        <stp>9128287F Govt</stp>
        <stp>YLD_YTM_BID</stp>
        <stp>[TREASURY.xlsx]Sheet1!R329C4</stp>
        <tr r="D329" s="1"/>
      </tp>
      <tp t="s">
        <v>#N/A N/A</v>
        <stp/>
        <stp>##V3_BDPV12</stp>
        <stp>9128285G Govt</stp>
        <stp>YLD_YTM_BID</stp>
        <stp>[TREASURY.xlsx]Sheet1!R368C4</stp>
        <tr r="D368" s="1"/>
      </tp>
      <tp t="s">
        <v>8/15/1994</v>
        <stp/>
        <stp>##V3_BDPV12</stp>
        <stp>912827N8 Govt</stp>
        <stp>FIRST_CPN_DT</stp>
        <stp>[TREASURY.xlsx]Sheet1!R729C9</stp>
        <tr r="I729" s="1"/>
      </tp>
      <tp t="s">
        <v>4/30/1994</v>
        <stp/>
        <stp>##V3_BDPV12</stp>
        <stp>912827M6 Govt</stp>
        <stp>FIRST_CPN_DT</stp>
        <stp>[TREASURY.xlsx]Sheet1!R719C9</stp>
        <tr r="I719" s="1"/>
      </tp>
      <tp t="s">
        <v>11/15/1980</v>
        <stp/>
        <stp>##V3_BDPV12</stp>
        <stp>912827KM Govt</stp>
        <stp>FIRST_CPN_DT</stp>
        <stp>[TREASURY.xlsx]Sheet1!R709C9</stp>
        <tr r="I709" s="1"/>
      </tp>
      <tp t="s">
        <v>9/30/1980</v>
        <stp/>
        <stp>##V3_BDPV12</stp>
        <stp>912827KN Govt</stp>
        <stp>FIRST_CPN_DT</stp>
        <stp>[TREASURY.xlsx]Sheet1!R569C9</stp>
        <tr r="I569" s="1"/>
      </tp>
      <tp t="s">
        <v>8/31/1992</v>
        <stp/>
        <stp>##V3_BDPV12</stp>
        <stp>912827E5 Govt</stp>
        <stp>FIRST_CPN_DT</stp>
        <stp>[TREASURY.xlsx]Sheet1!R579C9</stp>
        <tr r="I579" s="1"/>
      </tp>
      <tp t="s">
        <v>5/15/1981</v>
        <stp/>
        <stp>##V3_BDPV12</stp>
        <stp>912827LE Govt</stp>
        <stp>FIRST_CPN_DT</stp>
        <stp>[TREASURY.xlsx]Sheet1!R889C9</stp>
        <tr r="I889" s="1"/>
      </tp>
      <tp t="s">
        <v>5/31/1982</v>
        <stp/>
        <stp>##V3_BDPV12</stp>
        <stp>912827MP Govt</stp>
        <stp>FIRST_CPN_DT</stp>
        <stp>[TREASURY.xlsx]Sheet1!R899C9</stp>
        <tr r="I899" s="1"/>
      </tp>
      <tp t="s">
        <v>6/30/1985</v>
        <stp/>
        <stp>##V3_BDPV12</stp>
        <stp>912827RR Govt</stp>
        <stp>FIRST_CPN_DT</stp>
        <stp>[TREASURY.xlsx]Sheet1!R829C9</stp>
        <tr r="I829" s="1"/>
      </tp>
      <tp t="s">
        <v>5/15/1995</v>
        <stp/>
        <stp>##V3_BDPV12</stp>
        <stp>912827R8 Govt</stp>
        <stp>FIRST_CPN_DT</stp>
        <stp>[TREASURY.xlsx]Sheet1!R909C9</stp>
        <tr r="I909" s="1"/>
      </tp>
      <tp t="s">
        <v>1/31/1991</v>
        <stp/>
        <stp>##V3_BDPV12</stp>
        <stp>912827ZC Govt</stp>
        <stp>FIRST_CPN_DT</stp>
        <stp>[TREASURY.xlsx]Sheet1!R779C9</stp>
        <tr r="I779" s="1"/>
      </tp>
      <tp t="s">
        <v>10/31/1995</v>
        <stp/>
        <stp>##V3_BDPV12</stp>
        <stp>912827T5 Govt</stp>
        <stp>FIRST_CPN_DT</stp>
        <stp>[TREASURY.xlsx]Sheet1!R919C9</stp>
        <tr r="I919" s="1"/>
      </tp>
      <tp t="s">
        <v>6/30/1996</v>
        <stp/>
        <stp>##V3_BDPV12</stp>
        <stp>912827W4 Govt</stp>
        <stp>FIRST_CPN_DT</stp>
        <stp>[TREASURY.xlsx]Sheet1!R929C9</stp>
        <tr r="I929" s="1"/>
      </tp>
      <tp t="s">
        <v>9/30/1996</v>
        <stp/>
        <stp>##V3_BDPV12</stp>
        <stp>912827X4 Govt</stp>
        <stp>FIRST_CPN_DT</stp>
        <stp>[TREASURY.xlsx]Sheet1!R769C9</stp>
        <tr r="I769" s="1"/>
      </tp>
      <tp t="s">
        <v>2/15/1991</v>
        <stp/>
        <stp>##V3_BDPV12</stp>
        <stp>912827YY Govt</stp>
        <stp>FIRST_CPN_DT</stp>
        <stp>[TREASURY.xlsx]Sheet1!R949C9</stp>
        <tr r="I949" s="1"/>
      </tp>
      <tp t="s">
        <v>12/31/1987</v>
        <stp/>
        <stp>##V3_BDPV12</stp>
        <stp>912827VA Govt</stp>
        <stp>FIRST_CPN_DT</stp>
        <stp>[TREASURY.xlsx]Sheet1!R759C9</stp>
        <tr r="I759" s="1"/>
      </tp>
      <tp t="s">
        <v>2/28/1990</v>
        <stp/>
        <stp>##V3_BDPV12</stp>
        <stp>912827XX Govt</stp>
        <stp>FIRST_CPN_DT</stp>
        <stp>[TREASURY.xlsx]Sheet1!R939C9</stp>
        <tr r="I939" s="1"/>
      </tp>
      <tp t="s">
        <v>9/30/1983</v>
        <stp/>
        <stp>##V3_BDPV12</stp>
        <stp>912827PH Govt</stp>
        <stp>FIRST_CPN_DT</stp>
        <stp>[TREASURY.xlsx]Sheet1!R499C9</stp>
        <tr r="I499" s="1"/>
      </tp>
      <tp t="s">
        <v>5/15/1986</v>
        <stp/>
        <stp>##V3_BDPV12</stp>
        <stp>912827SX Govt</stp>
        <stp>FIRST_CPN_DT</stp>
        <stp>[TREASURY.xlsx]Sheet1!R749C9</stp>
        <tr r="I749" s="1"/>
      </tp>
      <tp t="s">
        <v>2/29/1984</v>
        <stp/>
        <stp>##V3_BDPV12</stp>
        <stp>912827PW Govt</stp>
        <stp>FIRST_CPN_DT</stp>
        <stp>[TREASURY.xlsx]Sheet1!R739C9</stp>
        <tr r="I739" s="1"/>
      </tp>
      <tp t="s">
        <v>2/28/2003</v>
        <stp/>
        <stp>##V3_BDPV12</stp>
        <stp>912828AK Govt</stp>
        <stp>FIRST_CPN_DT</stp>
        <stp>[TREASURY.xlsx]Sheet1!R959C9</stp>
        <tr r="I959" s="1"/>
      </tp>
      <tp t="s">
        <v>9/30/2010</v>
        <stp/>
        <stp>##V3_BDPV12</stp>
        <stp>912828MW Govt</stp>
        <stp>FIRST_CPN_DT</stp>
        <stp>[TREASURY.xlsx]Sheet1!R599C9</stp>
        <tr r="I599" s="1"/>
      </tp>
      <tp t="s">
        <v>2/15/2016</v>
        <stp/>
        <stp>##V3_BDPV12</stp>
        <stp>912828K8 Govt</stp>
        <stp>FIRST_CPN_DT</stp>
        <stp>[TREASURY.xlsx]Sheet1!R369C9</stp>
        <tr r="I369" s="1"/>
      </tp>
      <tp t="s">
        <v>3/31/2010</v>
        <stp/>
        <stp>##V3_BDPV12</stp>
        <stp>912828LW Govt</stp>
        <stp>FIRST_CPN_DT</stp>
        <stp>[TREASURY.xlsx]Sheet1!R629C9</stp>
        <tr r="I629" s="1"/>
      </tp>
      <tp t="s">
        <v>3/15/2016</v>
        <stp/>
        <stp>##V3_BDPV12</stp>
        <stp>912828L4 Govt</stp>
        <stp>FIRST_CPN_DT</stp>
        <stp>[TREASURY.xlsx]Sheet1!R669C9</stp>
        <tr r="I669" s="1"/>
      </tp>
      <tp t="s">
        <v>7/31/2015</v>
        <stp/>
        <stp>##V3_BDPV12</stp>
        <stp>912828H5 Govt</stp>
        <stp>FIRST_CPN_DT</stp>
        <stp>[TREASURY.xlsx]Sheet1!R419C9</stp>
        <tr r="I419" s="1"/>
      </tp>
      <tp t="s">
        <v>3/15/2015</v>
        <stp/>
        <stp>##V3_BDPV12</stp>
        <stp>912828D9 Govt</stp>
        <stp>FIRST_CPN_DT</stp>
        <stp>[TREASURY.xlsx]Sheet1!R839C9</stp>
        <tr r="I839" s="1"/>
      </tp>
      <tp t="s">
        <v>6/30/2016</v>
        <stp/>
        <stp>##V3_BDPV12</stp>
        <stp>912828N3 Govt</stp>
        <stp>FIRST_CPN_DT</stp>
        <stp>[TREASURY.xlsx]Sheet1!R129C9</stp>
        <tr r="I129" s="1"/>
      </tp>
      <tp t="s">
        <v>2/29/2008</v>
        <stp/>
        <stp>##V3_BDPV12</stp>
        <stp>912828HB Govt</stp>
        <stp>FIRST_CPN_DT</stp>
        <stp>[TREASURY.xlsx]Sheet1!R849C9</stp>
        <tr r="I849" s="1"/>
      </tp>
      <tp t="s">
        <v>10/31/2008</v>
        <stp/>
        <stp>##V3_BDPV12</stp>
        <stp>912828HX Govt</stp>
        <stp>FIRST_CPN_DT</stp>
        <stp>[TREASURY.xlsx]Sheet1!R809C9</stp>
        <tr r="I809" s="1"/>
      </tp>
      <tp t="s">
        <v>9/30/2014</v>
        <stp/>
        <stp>##V3_BDPV12</stp>
        <stp>912828C6 Govt</stp>
        <stp>FIRST_CPN_DT</stp>
        <stp>[TREASURY.xlsx]Sheet1!R349C9</stp>
        <tr r="I349" s="1"/>
      </tp>
      <tp t="s">
        <v>12/31/2006</v>
        <stp/>
        <stp>##V3_BDPV12</stp>
        <stp>912828FJ Govt</stp>
        <stp>FIRST_CPN_DT</stp>
        <stp>[TREASURY.xlsx]Sheet1!R799C9</stp>
        <tr r="I799" s="1"/>
      </tp>
      <tp t="s">
        <v>3/31/2008</v>
        <stp/>
        <stp>##V3_BDPV12</stp>
        <stp>912828HD Govt</stp>
        <stp>FIRST_CPN_DT</stp>
        <stp>[TREASURY.xlsx]Sheet1!R969C9</stp>
        <tr r="I969" s="1"/>
      </tp>
      <tp t="s">
        <v>10/31/2014</v>
        <stp/>
        <stp>##V3_BDPV12</stp>
        <stp>912828D2 Govt</stp>
        <stp>FIRST_CPN_DT</stp>
        <stp>[TREASURY.xlsx]Sheet1!R619C9</stp>
        <tr r="I619" s="1"/>
      </tp>
      <tp t="s">
        <v>5/15/2006</v>
        <stp/>
        <stp>##V3_BDPV12</stp>
        <stp>912828EN Govt</stp>
        <stp>FIRST_CPN_DT</stp>
        <stp>[TREASURY.xlsx]Sheet1!R649C9</stp>
        <tr r="I649" s="1"/>
      </tp>
      <tp t="s">
        <v>9/30/2007</v>
        <stp/>
        <stp>##V3_BDPV12</stp>
        <stp>912828GM Govt</stp>
        <stp>FIRST_CPN_DT</stp>
        <stp>[TREASURY.xlsx]Sheet1!R379C9</stp>
        <tr r="I379" s="1"/>
      </tp>
      <tp t="s">
        <v>11/15/2004</v>
        <stp/>
        <stp>##V3_BDPV12</stp>
        <stp>912828CG Govt</stp>
        <stp>FIRST_CPN_DT</stp>
        <stp>[TREASURY.xlsx]Sheet1!R789C9</stp>
        <tr r="I789" s="1"/>
      </tp>
      <tp t="s">
        <v>6/15/2010</v>
        <stp/>
        <stp>##V3_BDPV12</stp>
        <stp>912828MB Govt</stp>
        <stp>FIRST_CPN_DT</stp>
        <stp>[TREASURY.xlsx]Sheet1!R819C9</stp>
        <tr r="I819" s="1"/>
      </tp>
      <tp t="s">
        <v>6/30/2010</v>
        <stp/>
        <stp>##V3_BDPV12</stp>
        <stp>912828MD Govt</stp>
        <stp>FIRST_CPN_DT</stp>
        <stp>[TREASURY.xlsx]Sheet1!R859C9</stp>
        <tr r="I859" s="1"/>
      </tp>
      <tp t="s">
        <v>4/15/2005</v>
        <stp/>
        <stp>##V3_BDPV12</stp>
        <stp>912828CX Govt</stp>
        <stp>FIRST_CPN_DT</stp>
        <stp>[TREASURY.xlsx]Sheet1!R659C9</stp>
        <tr r="I659" s="1"/>
      </tp>
      <tp t="s">
        <v>6/30/2015</v>
        <stp/>
        <stp>##V3_BDPV12</stp>
        <stp>912828G8 Govt</stp>
        <stp>FIRST_CPN_DT</stp>
        <stp>[TREASURY.xlsx]Sheet1!R209C9</stp>
        <tr r="I209" s="1"/>
      </tp>
      <tp t="s">
        <v>11/15/2004</v>
        <stp/>
        <stp>##V3_BDPV12</stp>
        <stp>912828CH Govt</stp>
        <stp>FIRST_CPN_DT</stp>
        <stp>[TREASURY.xlsx]Sheet1!R559C9</stp>
        <tr r="I559" s="1"/>
      </tp>
      <tp t="s">
        <v>12/31/2010</v>
        <stp/>
        <stp>##V3_BDPV12</stp>
        <stp>912828NS Govt</stp>
        <stp>FIRST_CPN_DT</stp>
        <stp>[TREASURY.xlsx]Sheet1!R979C9</stp>
        <tr r="I979" s="1"/>
      </tp>
      <tp t="s">
        <v>4/30/2015</v>
        <stp/>
        <stp>##V3_BDPV12</stp>
        <stp>912828F9 Govt</stp>
        <stp>FIRST_CPN_DT</stp>
        <stp>[TREASURY.xlsx]Sheet1!R199C9</stp>
        <tr r="I199" s="1"/>
      </tp>
      <tp t="s">
        <v>10/31/2011</v>
        <stp/>
        <stp>##V3_BDPV12</stp>
        <stp>912828QE Govt</stp>
        <stp>FIRST_CPN_DT</stp>
        <stp>[TREASURY.xlsx]Sheet1!R989C9</stp>
        <tr r="I989" s="1"/>
      </tp>
      <tp t="s">
        <v>5/31/2020</v>
        <stp/>
        <stp>##V3_BDPV12</stp>
        <stp>912828YV Govt</stp>
        <stp>FIRST_CPN_DT</stp>
        <stp>[TREASURY.xlsx]Sheet1!R139C9</stp>
        <tr r="I139" s="1"/>
      </tp>
      <tp t="s">
        <v>4/30/2020</v>
        <stp/>
        <stp>##V3_BDPV12</stp>
        <stp>912828YP Govt</stp>
        <stp>FIRST_CPN_DT</stp>
        <stp>[TREASURY.xlsx]Sheet1!R149C9</stp>
        <tr r="I149" s="1"/>
      </tp>
      <tp t="s">
        <v>11/30/2015</v>
        <stp/>
        <stp>##V3_BDPV12</stp>
        <stp>912828XD Govt</stp>
        <stp>FIRST_CPN_DT</stp>
        <stp>[TREASURY.xlsx]Sheet1!R189C9</stp>
        <tr r="I189" s="1"/>
      </tp>
      <tp t="s">
        <v>3/15/2012</v>
        <stp/>
        <stp>##V3_BDPV12</stp>
        <stp>912828RG Govt</stp>
        <stp>FIRST_CPN_DT</stp>
        <stp>[TREASURY.xlsx]Sheet1!R869C9</stp>
        <tr r="I869" s="1"/>
      </tp>
      <tp t="s">
        <v>12/31/2018</v>
        <stp/>
        <stp>##V3_BDPV12</stp>
        <stp>912828XZ Govt</stp>
        <stp>FIRST_CPN_DT</stp>
        <stp>[TREASURY.xlsx]Sheet1!R279C9</stp>
        <tr r="I279" s="1"/>
      </tp>
      <tp t="s">
        <v>12/31/2017</v>
        <stp/>
        <stp>##V3_BDPV12</stp>
        <stp>912828XX Govt</stp>
        <stp>FIRST_CPN_DT</stp>
        <stp>[TREASURY.xlsx]Sheet1!R249C9</stp>
        <tr r="I249" s="1"/>
      </tp>
      <tp t="s">
        <v>12/31/2020</v>
        <stp/>
        <stp>##V3_BDPV12</stp>
        <stp>912828ZV Govt</stp>
        <stp>FIRST_CPN_DT</stp>
        <stp>[TREASURY.xlsx]Sheet1!R159C9</stp>
        <tr r="I159" s="1"/>
      </tp>
      <tp t="s">
        <v>7/31/2020</v>
        <stp/>
        <stp>##V3_BDPV12</stp>
        <stp>912828Z7 Govt</stp>
        <stp>FIRST_CPN_DT</stp>
        <stp>[TREASURY.xlsx]Sheet1!R169C9</stp>
        <tr r="I169" s="1"/>
      </tp>
      <tp t="s">
        <v>7/31/2013</v>
        <stp/>
        <stp>##V3_BDPV12</stp>
        <stp>912828UJ Govt</stp>
        <stp>FIRST_CPN_DT</stp>
        <stp>[TREASURY.xlsx]Sheet1!R999C9</stp>
        <tr r="I999" s="1"/>
      </tp>
      <tp t="s">
        <v>1/31/2019</v>
        <stp/>
        <stp>##V3_BDPV12</stp>
        <stp>912828Y4 Govt</stp>
        <stp>FIRST_CPN_DT</stp>
        <stp>[TREASURY.xlsx]Sheet1!R589C9</stp>
        <tr r="I589" s="1"/>
      </tp>
      <tp t="s">
        <v>1/31/2014</v>
        <stp/>
        <stp>##V3_BDPV12</stp>
        <stp>912828VN Govt</stp>
        <stp>FIRST_CPN_DT</stp>
        <stp>[TREASURY.xlsx]Sheet1!R879C9</stp>
        <tr r="I879" s="1"/>
      </tp>
      <tp t="s">
        <v>12/15/2017</v>
        <stp/>
        <stp>##V3_BDPV12</stp>
        <stp>912828XU Govt</stp>
        <stp>FIRST_CPN_DT</stp>
        <stp>[TREASURY.xlsx]Sheet1!R639C9</stp>
        <tr r="I639" s="1"/>
      </tp>
      <tp t="s">
        <v>2/28/2013</v>
        <stp/>
        <stp>##V3_BDPV12</stp>
        <stp>912828TL Govt</stp>
        <stp>FIRST_CPN_DT</stp>
        <stp>[TREASURY.xlsx]Sheet1!R409C9</stp>
        <tr r="I409" s="1"/>
      </tp>
      <tp t="s">
        <v>4/30/2013</v>
        <stp/>
        <stp>##V3_BDPV12</stp>
        <stp>912828TU Govt</stp>
        <stp>FIRST_CPN_DT</stp>
        <stp>[TREASURY.xlsx]Sheet1!R539C9</stp>
        <tr r="I539" s="1"/>
      </tp>
      <tp t="s">
        <v>8/15/2017</v>
        <stp/>
        <stp>##V3_BDPV12</stp>
        <stp>912828W2 Govt</stp>
        <stp>FIRST_CPN_DT</stp>
        <stp>[TREASURY.xlsx]Sheet1!R679C9</stp>
        <tr r="I679" s="1"/>
      </tp>
      <tp t="s">
        <v>1/31/2014</v>
        <stp/>
        <stp>##V3_BDPV12</stp>
        <stp>912828VP Govt</stp>
        <stp>FIRST_CPN_DT</stp>
        <stp>[TREASURY.xlsx]Sheet1!R479C9</stp>
        <tr r="I479" s="1"/>
      </tp>
      <tp t="s">
        <v>5/15/2012</v>
        <stp/>
        <stp>##V3_BDPV12</stp>
        <stp>912828RR Govt</stp>
        <stp>FIRST_CPN_DT</stp>
        <stp>[TREASURY.xlsx]Sheet1!R119C9</stp>
        <tr r="I119" s="1"/>
      </tp>
      <tp t="s">
        <v>8/31/2016</v>
        <stp/>
        <stp>##V3_BDPV12</stp>
        <stp>912828P8 Govt</stp>
        <stp>FIRST_CPN_DT</stp>
        <stp>[TREASURY.xlsx]Sheet1!R389C9</stp>
        <tr r="I389" s="1"/>
      </tp>
      <tp t="s">
        <v>8/31/2016</v>
        <stp/>
        <stp>##V3_BDPV12</stp>
        <stp>912828P7 Govt</stp>
        <stp>FIRST_CPN_DT</stp>
        <stp>[TREASURY.xlsx]Sheet1!R309C9</stp>
        <tr r="I309" s="1"/>
      </tp>
      <tp t="s">
        <v>9/30/2011</v>
        <stp/>
        <stp>##V3_BDPV12</stp>
        <stp>912828QA Govt</stp>
        <stp>FIRST_CPN_DT</stp>
        <stp>[TREASURY.xlsx]Sheet1!R509C9</stp>
        <tr r="I509" s="1"/>
      </tp>
      <tp t="s">
        <v>1/31/2012</v>
        <stp/>
        <stp>##V3_BDPV12</stp>
        <stp>912828QX Govt</stp>
        <stp>FIRST_CPN_DT</stp>
        <stp>[TREASURY.xlsx]Sheet1!R519C9</stp>
        <tr r="I519" s="1"/>
      </tp>
      <tp t="s">
        <v>1/31/2015</v>
        <stp/>
        <stp>##V3_BDPV12</stp>
        <stp>912828WY Govt</stp>
        <stp>FIRST_CPN_DT</stp>
        <stp>[TREASURY.xlsx]Sheet1!R359C9</stp>
        <tr r="I359" s="1"/>
      </tp>
      <tp t="s">
        <v>12/15/2016</v>
        <stp/>
        <stp>##V3_BDPV12</stp>
        <stp>912828R8 Govt</stp>
        <stp>FIRST_CPN_DT</stp>
        <stp>[TREASURY.xlsx]Sheet1!R689C9</stp>
        <tr r="I689" s="1"/>
      </tp>
      <tp t="s">
        <v>11/30/2011</v>
        <stp/>
        <stp>##V3_BDPV12</stp>
        <stp>912828QZ Govt</stp>
        <stp>FIRST_CPN_DT</stp>
        <stp>[TREASURY.xlsx]Sheet1!R449C9</stp>
        <tr r="I449" s="1"/>
      </tp>
      <tp t="s">
        <v>2/15/2012</v>
        <stp/>
        <stp>##V3_BDPV12</stp>
        <stp>912828RB Govt</stp>
        <stp>FIRST_CPN_DT</stp>
        <stp>[TREASURY.xlsx]Sheet1!R459C9</stp>
        <tr r="I459" s="1"/>
      </tp>
      <tp t="s">
        <v>8/31/2012</v>
        <stp/>
        <stp>##V3_BDPV12</stp>
        <stp>912828SJ Govt</stp>
        <stp>FIRST_CPN_DT</stp>
        <stp>[TREASURY.xlsx]Sheet1!R489C9</stp>
        <tr r="I489" s="1"/>
      </tp>
      <tp t="s">
        <v>4/30/2012</v>
        <stp/>
        <stp>##V3_BDPV12</stp>
        <stp>912828RP Govt</stp>
        <stp>FIRST_CPN_DT</stp>
        <stp>[TREASURY.xlsx]Sheet1!R549C9</stp>
        <tr r="I549" s="1"/>
      </tp>
      <tp t="s">
        <v>6/30/2019</v>
        <stp/>
        <stp>##V3_BDPV12</stp>
        <stp>9128285S Govt</stp>
        <stp>FIRST_CPN_DT</stp>
        <stp>[TREASURY.xlsx]Sheet1!R429C9</stp>
        <tr r="I429" s="1"/>
      </tp>
      <tp t="s">
        <v>12/31/2019</v>
        <stp/>
        <stp>##V3_BDPV12</stp>
        <stp>9128287A Govt</stp>
        <stp>FIRST_CPN_DT</stp>
        <stp>[TREASURY.xlsx]Sheet1!R339C9</stp>
        <tr r="I339" s="1"/>
      </tp>
      <tp t="s">
        <v>1/31/2020</v>
        <stp/>
        <stp>##V3_BDPV12</stp>
        <stp>9128287F Govt</stp>
        <stp>FIRST_CPN_DT</stp>
        <stp>[TREASURY.xlsx]Sheet1!R329C9</stp>
        <tr r="I329" s="1"/>
      </tp>
      <tp t="s">
        <v>7/15/2019</v>
        <stp/>
        <stp>##V3_BDPV12</stp>
        <stp>9128285V Govt</stp>
        <stp>FIRST_CPN_DT</stp>
        <stp>[TREASURY.xlsx]Sheet1!R179C9</stp>
        <tr r="I179" s="1"/>
      </tp>
      <tp t="s">
        <v>1/15/2020</v>
        <stp/>
        <stp>##V3_BDPV12</stp>
        <stp>9128287C Govt</stp>
        <stp>FIRST_CPN_DT</stp>
        <stp>[TREASURY.xlsx]Sheet1!R219C9</stp>
        <tr r="I219" s="1"/>
      </tp>
      <tp t="s">
        <v>2/28/2017</v>
        <stp/>
        <stp>##V3_BDPV12</stp>
        <stp>9128282C Govt</stp>
        <stp>FIRST_CPN_DT</stp>
        <stp>[TREASURY.xlsx]Sheet1!R439C9</stp>
        <tr r="I439" s="1"/>
      </tp>
      <tp t="s">
        <v>10/31/2018</v>
        <stp/>
        <stp>##V3_BDPV12</stp>
        <stp>9128284L Govt</stp>
        <stp>FIRST_CPN_DT</stp>
        <stp>[TREASURY.xlsx]Sheet1!R299C9</stp>
        <tr r="I299" s="1"/>
      </tp>
      <tp t="s">
        <v>2/15/2018</v>
        <stp/>
        <stp>##V3_BDPV12</stp>
        <stp>9128282Q Govt</stp>
        <stp>FIRST_CPN_DT</stp>
        <stp>[TREASURY.xlsx]Sheet1!R469C9</stp>
        <tr r="I469" s="1"/>
      </tp>
      <tp t="s">
        <v>4/30/2019</v>
        <stp/>
        <stp>##V3_BDPV12</stp>
        <stp>9128285K Govt</stp>
        <stp>FIRST_CPN_DT</stp>
        <stp>[TREASURY.xlsx]Sheet1!R229C9</stp>
        <tr r="I229" s="1"/>
      </tp>
      <tp t="s">
        <v>6/30/2019</v>
        <stp/>
        <stp>##V3_BDPV12</stp>
        <stp>9128285T Govt</stp>
        <stp>FIRST_CPN_DT</stp>
        <stp>[TREASURY.xlsx]Sheet1!R239C9</stp>
        <tr r="I239" s="1"/>
      </tp>
      <tp t="s">
        <v>UNITED STATES</v>
        <stp/>
        <stp>##V3_BDPV12</stp>
        <stp>912827RF Govt</stp>
        <stp>COUNTRY_FULL_NAME</stp>
        <stp>[TREASURY.xlsx]Sheet1!R1579C8</stp>
        <tr r="H1579" s="1"/>
      </tp>
      <tp t="s">
        <v>UNITED STATES</v>
        <stp/>
        <stp>##V3_BDPV12</stp>
        <stp>912827SG Govt</stp>
        <stp>COUNTRY_FULL_NAME</stp>
        <stp>[TREASURY.xlsx]Sheet1!R1588C8</stp>
        <tr r="H1588" s="1"/>
      </tp>
      <tp t="s">
        <v>S/A</v>
        <stp/>
        <stp>##V3_BDPV12</stp>
        <stp>912827VL Govt</stp>
        <stp>COUPON_FREQUENCY_DESCRIPTION</stp>
        <stp>[TREASURY.xlsx]Sheet1!R1087C10</stp>
        <tr r="J1087" s="1"/>
      </tp>
      <tp t="s">
        <v>S/A</v>
        <stp/>
        <stp>##V3_BDPV12</stp>
        <stp>912827VM Govt</stp>
        <stp>COUPON_FREQUENCY_DESCRIPTION</stp>
        <stp>[TREASURY.xlsx]Sheet1!R1088C10</stp>
        <tr r="J1088" s="1"/>
      </tp>
      <tp t="s">
        <v>S/A</v>
        <stp/>
        <stp>##V3_BDPV12</stp>
        <stp>912828VK Govt</stp>
        <stp>COUPON_FREQUENCY_DESCRIPTION</stp>
        <stp>[TREASURY.xlsx]Sheet1!R1148C10</stp>
        <tr r="J1148" s="1"/>
      </tp>
      <tp t="s">
        <v>S/A</v>
        <stp/>
        <stp>##V3_BDPV12</stp>
        <stp>912827VJ Govt</stp>
        <stp>COUPON_FREQUENCY_DESCRIPTION</stp>
        <stp>[TREASURY.xlsx]Sheet1!R1203C10</stp>
        <tr r="J1203" s="1"/>
      </tp>
      <tp t="s">
        <v>S/A</v>
        <stp/>
        <stp>##V3_BDPV12</stp>
        <stp>912827VF Govt</stp>
        <stp>COUPON_FREQUENCY_DESCRIPTION</stp>
        <stp>[TREASURY.xlsx]Sheet1!R1086C10</stp>
        <tr r="J1086" s="1"/>
      </tp>
      <tp t="s">
        <v>S/A</v>
        <stp/>
        <stp>##V3_BDPV12</stp>
        <stp>912827VB Govt</stp>
        <stp>COUPON_FREQUENCY_DESCRIPTION</stp>
        <stp>[TREASURY.xlsx]Sheet1!R1411C10</stp>
        <tr r="J1411" s="1"/>
      </tp>
      <tp t="s">
        <v>S/A</v>
        <stp/>
        <stp>##V3_BDPV12</stp>
        <stp>912827VD Govt</stp>
        <stp>COUPON_FREQUENCY_DESCRIPTION</stp>
        <stp>[TREASURY.xlsx]Sheet1!R1085C10</stp>
        <tr r="J1085" s="1"/>
      </tp>
      <tp t="s">
        <v>S/A</v>
        <stp/>
        <stp>##V3_BDPV12</stp>
        <stp>912828VD Govt</stp>
        <stp>COUPON_FREQUENCY_DESCRIPTION</stp>
        <stp>[TREASURY.xlsx]Sheet1!R1147C10</stp>
        <tr r="J1147" s="1"/>
      </tp>
      <tp t="s">
        <v>UNITED STATES</v>
        <stp/>
        <stp>##V3_BDPV12</stp>
        <stp>912827YK Govt</stp>
        <stp>COUNTRY_FULL_NAME</stp>
        <stp>[TREASURY.xlsx]Sheet1!R1222C8</stp>
        <tr r="H1222" s="1"/>
      </tp>
      <tp t="s">
        <v>UNITED STATES</v>
        <stp/>
        <stp>##V3_BDPV12</stp>
        <stp>912827ZV Govt</stp>
        <stp>COUNTRY_FULL_NAME</stp>
        <stp>[TREASURY.xlsx]Sheet1!R1231C8</stp>
        <tr r="H1231" s="1"/>
      </tp>
      <tp t="s">
        <v>S/A</v>
        <stp/>
        <stp>##V3_BDPV12</stp>
        <stp>912827VZ Govt</stp>
        <stp>COUPON_FREQUENCY_DESCRIPTION</stp>
        <stp>[TREASURY.xlsx]Sheet1!R1089C10</stp>
        <tr r="J1089" s="1"/>
      </tp>
      <tp t="s">
        <v>UNITED STATES</v>
        <stp/>
        <stp>##V3_BDPV12</stp>
        <stp>912827SS Govt</stp>
        <stp>COUNTRY_FULL_NAME</stp>
        <stp>[TREASURY.xlsx]Sheet1!R1188C8</stp>
        <tr r="H1188" s="1"/>
      </tp>
      <tp t="s">
        <v>S/A</v>
        <stp/>
        <stp>##V3_BDPV12</stp>
        <stp>912828VY Govt</stp>
        <stp>COUPON_FREQUENCY_DESCRIPTION</stp>
        <stp>[TREASURY.xlsx]Sheet1!R1004C10</stp>
        <tr r="J1004" s="1"/>
      </tp>
      <tp t="s">
        <v>UNITED STATES</v>
        <stp/>
        <stp>##V3_BDPV12</stp>
        <stp>912827ZQ Govt</stp>
        <stp>COUNTRY_FULL_NAME</stp>
        <stp>[TREASURY.xlsx]Sheet1!R1611C8</stp>
        <tr r="H1611" s="1"/>
      </tp>
      <tp t="s">
        <v>S/A</v>
        <stp/>
        <stp>##V3_BDPV12</stp>
        <stp>912828VW Govt</stp>
        <stp>COUPON_FREQUENCY_DESCRIPTION</stp>
        <stp>[TREASURY.xlsx]Sheet1!R1149C10</stp>
        <tr r="J1149" s="1"/>
      </tp>
      <tp t="s">
        <v>S/A</v>
        <stp/>
        <stp>##V3_BDPV12</stp>
        <stp>912828VV Govt</stp>
        <stp>COUPON_FREQUENCY_DESCRIPTION</stp>
        <stp>[TREASURY.xlsx]Sheet1!R1305C10</stp>
        <tr r="J1305" s="1"/>
      </tp>
      <tp t="s">
        <v>S/A</v>
        <stp/>
        <stp>##V3_BDPV12</stp>
        <stp>912828VU Govt</stp>
        <stp>COUPON_FREQUENCY_DESCRIPTION</stp>
        <stp>[TREASURY.xlsx]Sheet1!R1003C10</stp>
        <tr r="J1003" s="1"/>
      </tp>
      <tp t="s">
        <v>S/A</v>
        <stp/>
        <stp>##V3_BDPV12</stp>
        <stp>912827VP Govt</stp>
        <stp>COUPON_FREQUENCY_DESCRIPTION</stp>
        <stp>[TREASURY.xlsx]Sheet1!R1204C10</stp>
        <tr r="J1204" s="1"/>
      </tp>
      <tp t="s">
        <v>UNITED STATES</v>
        <stp/>
        <stp>##V3_BDPV12</stp>
        <stp>912827SZ Govt</stp>
        <stp>COUNTRY_FULL_NAME</stp>
        <stp>[TREASURY.xlsx]Sheet1!R1068C8</stp>
        <tr r="H1068" s="1"/>
      </tp>
      <tp t="s">
        <v>S/A</v>
        <stp/>
        <stp>##V3_BDPV12</stp>
        <stp>912827VW Govt</stp>
        <stp>COUPON_FREQUENCY_DESCRIPTION</stp>
        <stp>[TREASURY.xlsx]Sheet1!R1413C10</stp>
        <tr r="J1413" s="1"/>
      </tp>
      <tp t="s">
        <v>S/A</v>
        <stp/>
        <stp>##V3_BDPV12</stp>
        <stp>912827VU Govt</stp>
        <stp>COUPON_FREQUENCY_DESCRIPTION</stp>
        <stp>[TREASURY.xlsx]Sheet1!R1412C10</stp>
        <tr r="J1412" s="1"/>
      </tp>
      <tp t="s">
        <v>S/A</v>
        <stp/>
        <stp>##V3_BDPV12</stp>
        <stp>912827VS Govt</stp>
        <stp>COUPON_FREQUENCY_DESCRIPTION</stp>
        <stp>[TREASURY.xlsx]Sheet1!R1205C10</stp>
        <tr r="J1205" s="1"/>
      </tp>
      <tp t="s">
        <v>#N/A Field Not Applicable</v>
        <stp/>
        <stp>##V3_BDPV12</stp>
        <stp>9128287F Govt</stp>
        <stp>IDX_RATIO</stp>
        <stp>[TREASURY.xlsx]Sheet1!R329C20</stp>
        <tr r="T329" s="1"/>
      </tp>
      <tp t="s">
        <v>UNITED STATES</v>
        <stp/>
        <stp>##V3_BDPV12</stp>
        <stp>912827R4 Govt</stp>
        <stp>COUNTRY_FULL_NAME</stp>
        <stp>[TREASURY.xlsx]Sheet1!R1499C8</stp>
        <tr r="H1499" s="1"/>
      </tp>
      <tp t="s">
        <v>UNITED STATES</v>
        <stp/>
        <stp>##V3_BDPV12</stp>
        <stp>912827Y4 Govt</stp>
        <stp>COUNTRY_FULL_NAME</stp>
        <stp>[TREASURY.xlsx]Sheet1!R1602C8</stp>
        <tr r="H1602" s="1"/>
      </tp>
      <tp t="s">
        <v>#N/A Field Not Applicable</v>
        <stp/>
        <stp>##V3_BDPV12</stp>
        <stp>9128277B Govt</stp>
        <stp>IDX_RATIO</stp>
        <stp>[TREASURY.xlsx]Sheet1!R354C20</stp>
        <tr r="T354" s="1"/>
      </tp>
      <tp t="s">
        <v>#N/A Field Not Applicable</v>
        <stp/>
        <stp>##V3_BDPV12</stp>
        <stp>9128287B Govt</stp>
        <stp>IDX_RATIO</stp>
        <stp>[TREASURY.xlsx]Sheet1!R306C20</stp>
        <tr r="T306" s="1"/>
      </tp>
      <tp t="s">
        <v>#N/A Field Not Applicable</v>
        <stp/>
        <stp>##V3_BDPV12</stp>
        <stp>9128287C Govt</stp>
        <stp>IDX_RATIO</stp>
        <stp>[TREASURY.xlsx]Sheet1!R219C20</stp>
        <tr r="T219" s="1"/>
      </tp>
      <tp t="s">
        <v>#N/A Field Not Applicable</v>
        <stp/>
        <stp>##V3_BDPV12</stp>
        <stp>9128287A Govt</stp>
        <stp>IDX_RATIO</stp>
        <stp>[TREASURY.xlsx]Sheet1!R339C20</stp>
        <tr r="T339" s="1"/>
      </tp>
      <tp t="s">
        <v>S/A</v>
        <stp/>
        <stp>##V3_BDPV12</stp>
        <stp>912827V3 Govt</stp>
        <stp>COUPON_FREQUENCY_DESCRIPTION</stp>
        <stp>[TREASURY.xlsx]Sheet1!R1591C10</stp>
        <tr r="J1591" s="1"/>
      </tp>
      <tp t="s">
        <v>S/A</v>
        <stp/>
        <stp>##V3_BDPV12</stp>
        <stp>912827V6 Govt</stp>
        <stp>COUPON_FREQUENCY_DESCRIPTION</stp>
        <stp>[TREASURY.xlsx]Sheet1!R1084C10</stp>
        <tr r="J1084" s="1"/>
      </tp>
      <tp t="s">
        <v>S/A</v>
        <stp/>
        <stp>##V3_BDPV12</stp>
        <stp>912827V5 Govt</stp>
        <stp>COUPON_FREQUENCY_DESCRIPTION</stp>
        <stp>[TREASURY.xlsx]Sheet1!R1083C10</stp>
        <tr r="J1083" s="1"/>
      </tp>
      <tp t="s">
        <v>#N/A Field Not Applicable</v>
        <stp/>
        <stp>##V3_BDPV12</stp>
        <stp>9128277K Govt</stp>
        <stp>IDX_RATIO</stp>
        <stp>[TREASURY.xlsx]Sheet1!R528C20</stp>
        <tr r="T528" s="1"/>
      </tp>
      <tp t="s">
        <v>S/A</v>
        <stp/>
        <stp>##V3_BDPV12</stp>
        <stp>912827V2 Govt</stp>
        <stp>COUPON_FREQUENCY_DESCRIPTION</stp>
        <stp>[TREASURY.xlsx]Sheet1!R1082C10</stp>
        <tr r="J1082" s="1"/>
      </tp>
      <tp t="s">
        <v>S/A</v>
        <stp/>
        <stp>##V3_BDPV12</stp>
        <stp>912827V7 Govt</stp>
        <stp>COUPON_FREQUENCY_DESCRIPTION</stp>
        <stp>[TREASURY.xlsx]Sheet1!R1410C10</stp>
        <tr r="J1410" s="1"/>
      </tp>
      <tp t="s">
        <v>UNITED STATES</v>
        <stp/>
        <stp>##V3_BDPV12</stp>
        <stp>912827X8 Govt</stp>
        <stp>COUNTRY_FULL_NAME</stp>
        <stp>[TREASURY.xlsx]Sheet1!R1213C8</stp>
        <tr r="H1213" s="1"/>
      </tp>
      <tp t="s">
        <v>11/15/2016</v>
        <stp/>
        <stp>##V3_BDPV12</stp>
        <stp>912828R4 Govt</stp>
        <stp>FIRST_CPN_DT</stp>
        <stp>[TREASURY.xlsx]Sheet1!R1264C9</stp>
        <tr r="I1264" s="1"/>
      </tp>
      <tp t="s">
        <v>11/30/2016</v>
        <stp/>
        <stp>##V3_BDPV12</stp>
        <stp>912828R5 Govt</stp>
        <stp>FIRST_CPN_DT</stp>
        <stp>[TREASURY.xlsx]Sheet1!R1284C9</stp>
        <tr r="I1284" s="1"/>
      </tp>
      <tp t="s">
        <v>5/15/2021</v>
        <stp/>
        <stp>##V3_BDPV12</stp>
        <stp>91282CAW Govt</stp>
        <stp>FIRST_CPN_DT</stp>
        <stp>[TREASURY.xlsx]Sheet1!R109C9</stp>
        <tr r="I109" s="1"/>
      </tp>
      <tp t="s">
        <v>3/31/2014</v>
        <stp/>
        <stp>##V3_BDPV12</stp>
        <stp>912828VY Govt</stp>
        <stp>FIRST_CPN_DT</stp>
        <stp>[TREASURY.xlsx]Sheet1!R1004C9</stp>
        <tr r="I1004" s="1"/>
      </tp>
      <tp t="s">
        <v>4/15/2013</v>
        <stp/>
        <stp>##V3_BDPV12</stp>
        <stp>912828TT Govt</stp>
        <stp>FIRST_CPN_DT</stp>
        <stp>[TREASURY.xlsx]Sheet1!R1134C9</stp>
        <tr r="I1134" s="1"/>
      </tp>
      <tp t="s">
        <v>4/30/2017</v>
        <stp/>
        <stp>##V3_BDPV12</stp>
        <stp>912828T8 Govt</stp>
        <stp>FIRST_CPN_DT</stp>
        <stp>[TREASURY.xlsx]Sheet1!R1304C9</stp>
        <tr r="I1304" s="1"/>
      </tp>
      <tp t="s">
        <v>6/15/2013</v>
        <stp/>
        <stp>##V3_BDPV12</stp>
        <stp>912828UC Govt</stp>
        <stp>FIRST_CPN_DT</stp>
        <stp>[TREASURY.xlsx]Sheet1!R1144C9</stp>
        <tr r="I1144" s="1"/>
      </tp>
      <tp t="s">
        <v>5/15/2003</v>
        <stp/>
        <stp>##V3_BDPV12</stp>
        <stp>912828AP Govt</stp>
        <stp>FIRST_CPN_DT</stp>
        <stp>[TREASURY.xlsx]Sheet1!R1424C9</stp>
        <tr r="I1424" s="1"/>
      </tp>
      <tp t="s">
        <v>11/15/2002</v>
        <stp/>
        <stp>##V3_BDPV12</stp>
        <stp>912828AC Govt</stp>
        <stp>FIRST_CPN_DT</stp>
        <stp>[TREASURY.xlsx]Sheet1!R1234C9</stp>
        <tr r="I1234" s="1"/>
      </tp>
      <tp t="s">
        <v>11/15/2006</v>
        <stp/>
        <stp>##V3_BDPV12</stp>
        <stp>912828FE Govt</stp>
        <stp>FIRST_CPN_DT</stp>
        <stp>[TREASURY.xlsx]Sheet1!R1274C9</stp>
        <tr r="I1274" s="1"/>
      </tp>
      <tp t="s">
        <v>7/31/2007</v>
        <stp/>
        <stp>##V3_BDPV12</stp>
        <stp>912828GF Govt</stp>
        <stp>FIRST_CPN_DT</stp>
        <stp>[TREASURY.xlsx]Sheet1!R1434C9</stp>
        <tr r="I1434" s="1"/>
      </tp>
      <tp t="s">
        <v>3/31/2006</v>
        <stp/>
        <stp>##V3_BDPV12</stp>
        <stp>912828EH Govt</stp>
        <stp>FIRST_CPN_DT</stp>
        <stp>[TREASURY.xlsx]Sheet1!R1114C9</stp>
        <tr r="I1114" s="1"/>
      </tp>
      <tp t="s">
        <v>10/15/2009</v>
        <stp/>
        <stp>##V3_BDPV12</stp>
        <stp>912828KK Govt</stp>
        <stp>FIRST_CPN_DT</stp>
        <stp>[TREASURY.xlsx]Sheet1!R1124C9</stp>
        <tr r="I1124" s="1"/>
      </tp>
      <tp t="s">
        <v>7/31/2008</v>
        <stp/>
        <stp>##V3_BDPV12</stp>
        <stp>912828HQ Govt</stp>
        <stp>FIRST_CPN_DT</stp>
        <stp>[TREASURY.xlsx]Sheet1!R1244C9</stp>
        <tr r="I1244" s="1"/>
      </tp>
      <tp t="s">
        <v>2/28/2011</v>
        <stp/>
        <stp>##V3_BDPV12</stp>
        <stp>912828NW Govt</stp>
        <stp>FIRST_CPN_DT</stp>
        <stp>[TREASURY.xlsx]Sheet1!R1294C9</stp>
        <tr r="I1294" s="1"/>
      </tp>
      <tp t="s">
        <v>9/15/2010</v>
        <stp/>
        <stp>##V3_BDPV12</stp>
        <stp>912828MT Govt</stp>
        <stp>FIRST_CPN_DT</stp>
        <stp>[TREASURY.xlsx]Sheet1!R1254C9</stp>
        <tr r="I1254" s="1"/>
      </tp>
      <tp t="s">
        <v>4/15/2018</v>
        <stp/>
        <stp>##V3_BDPV12</stp>
        <stp>9128282Z Govt</stp>
        <stp>FIRST_CPN_DT</stp>
        <stp>[TREASURY.xlsx]Sheet1!R1615C9</stp>
        <tr r="I1615" s="1"/>
      </tp>
      <tp t="s">
        <v>3/15/2017</v>
        <stp/>
        <stp>##V3_BDPV12</stp>
        <stp>9128282G Govt</stp>
        <stp>FIRST_CPN_DT</stp>
        <stp>[TREASURY.xlsx]Sheet1!R1105C9</stp>
        <tr r="I1105" s="1"/>
      </tp>
      <tp>
        <v>0.5</v>
        <stp/>
        <stp>##V3_BDPV12</stp>
        <stp>91282CAH Govt</stp>
        <stp>CPN</stp>
        <stp>[TREASURY.xlsx]Sheet1!R167C3</stp>
        <tr r="C167" s="1"/>
      </tp>
      <tp>
        <v>1.75</v>
        <stp/>
        <stp>##V3_BDPV12</stp>
        <stp>9128287F Govt</stp>
        <stp>CPN</stp>
        <stp>[TREASURY.xlsx]Sheet1!R329C3</stp>
        <tr r="C329" s="1"/>
      </tp>
      <tp>
        <v>2.875</v>
        <stp/>
        <stp>##V3_BDPV12</stp>
        <stp>9128285G Govt</stp>
        <stp>CPN</stp>
        <stp>[TREASURY.xlsx]Sheet1!R368C3</stp>
        <tr r="C368" s="1"/>
      </tp>
      <tp>
        <v>2.875</v>
        <stp/>
        <stp>##V3_BDPV12</stp>
        <stp>9128285L Govt</stp>
        <stp>CPN</stp>
        <stp>[TREASURY.xlsx]Sheet1!R193C3</stp>
        <tr r="C193" s="1"/>
      </tp>
      <tp>
        <v>2.081018976117599</v>
        <stp/>
        <stp>##V3_BDPV12</stp>
        <stp>912810SH Govt</stp>
        <stp>YLD_YTM_BID</stp>
        <stp>[TREASURY.xlsx]Sheet1!R156C4</stp>
        <tr r="D156" s="1"/>
      </tp>
      <tp>
        <v>3.625</v>
        <stp/>
        <stp>##V3_BDPV12</stp>
        <stp>912828LJ Govt</stp>
        <stp>CPN</stp>
        <stp>[TREASURY.xlsx]Sheet1!R485C3</stp>
        <tr r="C485" s="1"/>
      </tp>
      <tp>
        <v>0.375</v>
        <stp/>
        <stp>##V3_BDPV12</stp>
        <stp>912828UM Govt</stp>
        <stp>CPN</stp>
        <stp>[TREASURY.xlsx]Sheet1!R472C3</stp>
        <tr r="C472" s="1"/>
      </tp>
      <tp>
        <v>1.8958919073502907</v>
        <stp/>
        <stp>##V3_BDPV12</stp>
        <stp>912810QH Govt</stp>
        <stp>YLD_YTM_BID</stp>
        <stp>[TREASURY.xlsx]Sheet1!R316C4</stp>
        <tr r="D316" s="1"/>
      </tp>
      <tp>
        <v>5</v>
        <stp/>
        <stp>##V3_BDPV12</stp>
        <stp>912828FM Govt</stp>
        <stp>CPN</stp>
        <stp>[TREASURY.xlsx]Sheet1!R532C3</stp>
        <tr r="C532" s="1"/>
      </tp>
      <tp>
        <v>1.625</v>
        <stp/>
        <stp>##V3_BDPV12</stp>
        <stp>912828BL Govt</stp>
        <stp>CPN</stp>
        <stp>[TREASURY.xlsx]Sheet1!R513C3</stp>
        <tr r="C513" s="1"/>
      </tp>
      <tp>
        <v>5.125</v>
        <stp/>
        <stp>##V3_BDPV12</stp>
        <stp>912828FK Govt</stp>
        <stp>CPN</stp>
        <stp>[TREASURY.xlsx]Sheet1!R844C3</stp>
        <tr r="C844" s="1"/>
      </tp>
      <tp>
        <v>3.125</v>
        <stp/>
        <stp>##V3_BDPV12</stp>
        <stp>912828JK Govt</stp>
        <stp>CPN</stp>
        <stp>[TREASURY.xlsx]Sheet1!R854C3</stp>
        <tr r="C854" s="1"/>
      </tp>
      <tp>
        <v>13.125</v>
        <stp/>
        <stp>##V3_BDPV12</stp>
        <stp>912827NM Govt</stp>
        <stp>CPN</stp>
        <stp>[TREASURY.xlsx]Sheet1!R732C3</stp>
        <tr r="C732" s="1"/>
      </tp>
      <tp>
        <v>1.875</v>
        <stp/>
        <stp>##V3_BDPV12</stp>
        <stp>912828NL Govt</stp>
        <stp>CPN</stp>
        <stp>[TREASURY.xlsx]Sheet1!R863C3</stp>
        <tr r="C863" s="1"/>
      </tp>
      <tp>
        <v>6.25</v>
        <stp/>
        <stp>##V3_BDPV12</stp>
        <stp>912827UJ Govt</stp>
        <stp>CPN</stp>
        <stp>[TREASURY.xlsx]Sheet1!R755C3</stp>
        <tr r="C755" s="1"/>
      </tp>
      <tp>
        <v>7.625</v>
        <stp/>
        <stp>##V3_BDPV12</stp>
        <stp>912827YJ Govt</stp>
        <stp>CPN</stp>
        <stp>[TREASURY.xlsx]Sheet1!R775C3</stp>
        <tr r="C775" s="1"/>
      </tp>
      <tp>
        <v>0.75</v>
        <stp/>
        <stp>##V3_BDPV12</stp>
        <stp>912828PL Govt</stp>
        <stp>CPN</stp>
        <stp>[TREASURY.xlsx]Sheet1!R983C3</stp>
        <tr r="C983" s="1"/>
      </tp>
      <tp>
        <v>1.1610915545196727</v>
        <stp/>
        <stp>##V3_BDPV12</stp>
        <stp>91282CAL Govt</stp>
        <stp>YLD_YTM_BID</stp>
        <stp>[TREASURY.xlsx]Sheet1!R142C4</stp>
        <tr r="D142" s="1"/>
      </tp>
      <tp t="s">
        <v>#N/A N/A</v>
        <stp/>
        <stp>##V3_BDPV12</stp>
        <stp>912828BN Govt</stp>
        <stp>YLD_YTM_BID</stp>
        <stp>[TREASURY.xlsx]Sheet1!R960C4</stp>
        <tr r="D960" s="1"/>
      </tp>
      <tp t="s">
        <v>#N/A N/A</v>
        <stp/>
        <stp>##V3_BDPV12</stp>
        <stp>912828DL Govt</stp>
        <stp>YLD_YTM_BID</stp>
        <stp>[TREASURY.xlsx]Sheet1!R962C4</stp>
        <tr r="D962" s="1"/>
      </tp>
      <tp t="s">
        <v>#N/A N/A</v>
        <stp/>
        <stp>##V3_BDPV12</stp>
        <stp>912828MH Govt</stp>
        <stp>YLD_YTM_BID</stp>
        <stp>[TREASURY.xlsx]Sheet1!R976C4</stp>
        <tr r="D976" s="1"/>
      </tp>
      <tp t="s">
        <v>#N/A N/A</v>
        <stp/>
        <stp>##V3_BDPV12</stp>
        <stp>912828RG Govt</stp>
        <stp>YLD_YTM_BID</stp>
        <stp>[TREASURY.xlsx]Sheet1!R869C4</stp>
        <tr r="D869" s="1"/>
      </tp>
      <tp t="s">
        <v>#N/A N/A</v>
        <stp/>
        <stp>##V3_BDPV12</stp>
        <stp>912827ZL Govt</stp>
        <stp>YLD_YTM_BID</stp>
        <stp>[TREASURY.xlsx]Sheet1!R782C4</stp>
        <tr r="D782" s="1"/>
      </tp>
      <tp t="s">
        <v>#N/A N/A</v>
        <stp/>
        <stp>##V3_BDPV12</stp>
        <stp>912828TM Govt</stp>
        <stp>YLD_YTM_BID</stp>
        <stp>[TREASURY.xlsx]Sheet1!R873C4</stp>
        <tr r="D873" s="1"/>
      </tp>
      <tp t="s">
        <v>#N/A N/A</v>
        <stp/>
        <stp>##V3_BDPV12</stp>
        <stp>912828RF Govt</stp>
        <stp>YLD_YTM_BID</stp>
        <stp>[TREASURY.xlsx]Sheet1!R828C4</stp>
        <tr r="D828" s="1"/>
      </tp>
      <tp t="s">
        <v>#N/A N/A</v>
        <stp/>
        <stp>##V3_BDPV12</stp>
        <stp>9128274F Govt</stp>
        <stp>YLD_YTM_BID</stp>
        <stp>[TREASURY.xlsx]Sheet1!R578C4</stp>
        <tr r="D578" s="1"/>
      </tp>
      <tp t="s">
        <v>#N/A N/A</v>
        <stp/>
        <stp>##V3_BDPV12</stp>
        <stp>912828HM Govt</stp>
        <stp>YLD_YTM_BID</stp>
        <stp>[TREASURY.xlsx]Sheet1!R573C4</stp>
        <tr r="D573" s="1"/>
      </tp>
      <tp t="s">
        <v>#N/A N/A</v>
        <stp/>
        <stp>##V3_BDPV12</stp>
        <stp>912828HK Govt</stp>
        <stp>YLD_YTM_BID</stp>
        <stp>[TREASURY.xlsx]Sheet1!R525C4</stp>
        <tr r="D525" s="1"/>
      </tp>
      <tp t="s">
        <v>#N/A N/A</v>
        <stp/>
        <stp>##V3_BDPV12</stp>
        <stp>912828RM Govt</stp>
        <stp>YLD_YTM_BID</stp>
        <stp>[TREASURY.xlsx]Sheet1!R563C4</stp>
        <tr r="D563" s="1"/>
      </tp>
      <tp t="s">
        <v>#N/A N/A</v>
        <stp/>
        <stp>##V3_BDPV12</stp>
        <stp>912828TK Govt</stp>
        <stp>YLD_YTM_BID</stp>
        <stp>[TREASURY.xlsx]Sheet1!R565C4</stp>
        <tr r="D565" s="1"/>
      </tp>
      <tp>
        <v>4.75</v>
        <stp/>
        <stp>##V3_BDPV12</stp>
        <stp>912810QN Govt</stp>
        <stp>CPN</stp>
        <stp>[TREASURY.xlsx]Sheet1!R291C3</stp>
        <tr r="C291" s="1"/>
      </tp>
      <tp t="s">
        <v>#N/A N/A</v>
        <stp/>
        <stp>##V3_BDPV12</stp>
        <stp>912828PM Govt</stp>
        <stp>YLD_YTM_BID</stp>
        <stp>[TREASURY.xlsx]Sheet1!R593C4</stp>
        <tr r="D593" s="1"/>
      </tp>
      <tp t="s">
        <v>#N/A N/A</v>
        <stp/>
        <stp>##V3_BDPV12</stp>
        <stp>912828BM Govt</stp>
        <stp>YLD_YTM_BID</stp>
        <stp>[TREASURY.xlsx]Sheet1!R453C4</stp>
        <tr r="D453" s="1"/>
      </tp>
      <tp t="s">
        <v>#N/A N/A</v>
        <stp/>
        <stp>##V3_BDPV12</stp>
        <stp>912828CM Govt</stp>
        <stp>YLD_YTM_BID</stp>
        <stp>[TREASURY.xlsx]Sheet1!R493C4</stp>
        <tr r="D493" s="1"/>
      </tp>
      <tp t="s">
        <v>#N/A N/A</v>
        <stp/>
        <stp>##V3_BDPV12</stp>
        <stp>912828RH Govt</stp>
        <stp>YLD_YTM_BID</stp>
        <stp>[TREASURY.xlsx]Sheet1!R456C4</stp>
        <tr r="D456" s="1"/>
      </tp>
      <tp t="s">
        <v>#N/A N/A</v>
        <stp/>
        <stp>##V3_BDPV12</stp>
        <stp>912827KJ Govt</stp>
        <stp>YLD_YTM_BID</stp>
        <stp>[TREASURY.xlsx]Sheet1!R884C4</stp>
        <tr r="D884" s="1"/>
      </tp>
      <tp t="s">
        <v>#N/A N/A</v>
        <stp/>
        <stp>##V3_BDPV12</stp>
        <stp>912828CG Govt</stp>
        <stp>YLD_YTM_BID</stp>
        <stp>[TREASURY.xlsx]Sheet1!R789C4</stp>
        <tr r="D789" s="1"/>
      </tp>
      <tp t="s">
        <v>#N/A N/A</v>
        <stp/>
        <stp>##V3_BDPV12</stp>
        <stp>912827NL Govt</stp>
        <stp>YLD_YTM_BID</stp>
        <stp>[TREASURY.xlsx]Sheet1!R902C4</stp>
        <tr r="D902" s="1"/>
      </tp>
      <tp t="s">
        <v>#N/A N/A</v>
        <stp/>
        <stp>##V3_BDPV12</stp>
        <stp>912828SN Govt</stp>
        <stp>YLD_YTM_BID</stp>
        <stp>[TREASURY.xlsx]Sheet1!R670C4</stp>
        <tr r="D670" s="1"/>
      </tp>
      <tp t="s">
        <v>#N/A N/A</v>
        <stp/>
        <stp>##V3_BDPV12</stp>
        <stp>912828XK Govt</stp>
        <stp>YLD_YTM_BID</stp>
        <stp>[TREASURY.xlsx]Sheet1!R625C4</stp>
        <tr r="D625" s="1"/>
      </tp>
      <tp>
        <v>6.095691966541409E-2</v>
        <stp/>
        <stp>##V3_BDPV12</stp>
        <stp>912828SF Govt</stp>
        <stp>YLD_YTM_BID</stp>
        <stp>[TREASURY.xlsx]Sheet1!R138C4</stp>
        <tr r="D138" s="1"/>
      </tp>
      <tp>
        <v>9.0978730299394753E-2</v>
        <stp/>
        <stp>##V3_BDPV12</stp>
        <stp>912828TJ Govt</stp>
        <stp>YLD_YTM_BID</stp>
        <stp>[TREASURY.xlsx]Sheet1!R194C4</stp>
        <tr r="D194" s="1"/>
      </tp>
      <tp>
        <v>0.54345669411042608</v>
        <stp/>
        <stp>##V3_BDPV12</stp>
        <stp>912828YM Govt</stp>
        <stp>YLD_YTM_BID</stp>
        <stp>[TREASURY.xlsx]Sheet1!R113C4</stp>
        <tr r="D113" s="1"/>
      </tp>
      <tp>
        <v>0.81649148864180066</v>
        <stp/>
        <stp>##V3_BDPV12</stp>
        <stp>9128285N Govt</stp>
        <stp>YLD_YTM_BID</stp>
        <stp>[TREASURY.xlsx]Sheet1!R290C4</stp>
        <tr r="D290" s="1"/>
      </tp>
      <tp t="s">
        <v>7/31/1994</v>
        <stp/>
        <stp>##V3_BDPV12</stp>
        <stp>912827N6 Govt</stp>
        <stp>FIRST_CPN_DT</stp>
        <stp>[TREASURY.xlsx]Sheet1!R728C9</stp>
        <tr r="I728" s="1"/>
      </tp>
      <tp t="s">
        <v>4/30/1994</v>
        <stp/>
        <stp>##V3_BDPV12</stp>
        <stp>912827M5 Govt</stp>
        <stp>FIRST_CPN_DT</stp>
        <stp>[TREASURY.xlsx]Sheet1!R718C9</stp>
        <tr r="I718" s="1"/>
      </tp>
      <tp t="s">
        <v>11/15/1980</v>
        <stp/>
        <stp>##V3_BDPV12</stp>
        <stp>912827KK Govt</stp>
        <stp>FIRST_CPN_DT</stp>
        <stp>[TREASURY.xlsx]Sheet1!R708C9</stp>
        <tr r="I708" s="1"/>
      </tp>
      <tp t="s">
        <v>11/15/1980</v>
        <stp/>
        <stp>##V3_BDPV12</stp>
        <stp>912827KC Govt</stp>
        <stp>FIRST_CPN_DT</stp>
        <stp>[TREASURY.xlsx]Sheet1!R608C9</stp>
        <tr r="I608" s="1"/>
      </tp>
      <tp t="s">
        <v>11/30/1980</v>
        <stp/>
        <stp>##V3_BDPV12</stp>
        <stp>912827KS Govt</stp>
        <stp>FIRST_CPN_DT</stp>
        <stp>[TREASURY.xlsx]Sheet1!R668C9</stp>
        <tr r="I668" s="1"/>
      </tp>
      <tp t="s">
        <v>10/15/1993</v>
        <stp/>
        <stp>##V3_BDPV12</stp>
        <stp>912827K4 Govt</stp>
        <stp>FIRST_CPN_DT</stp>
        <stp>[TREASURY.xlsx]Sheet1!R568C9</stp>
        <tr r="I568" s="1"/>
      </tp>
      <tp t="s">
        <v>3/31/1981</v>
        <stp/>
        <stp>##V3_BDPV12</stp>
        <stp>912827LC Govt</stp>
        <stp>FIRST_CPN_DT</stp>
        <stp>[TREASURY.xlsx]Sheet1!R888C9</stp>
        <tr r="I888" s="1"/>
      </tp>
      <tp t="s">
        <v>4/15/1982</v>
        <stp/>
        <stp>##V3_BDPV12</stp>
        <stp>912827MK Govt</stp>
        <stp>FIRST_CPN_DT</stp>
        <stp>[TREASURY.xlsx]Sheet1!R898C9</stp>
        <tr r="I898" s="1"/>
      </tp>
      <tp t="s">
        <v>10/15/1984</v>
        <stp/>
        <stp>##V3_BDPV12</stp>
        <stp>912827QR Govt</stp>
        <stp>FIRST_CPN_DT</stp>
        <stp>[TREASURY.xlsx]Sheet1!R908C9</stp>
        <tr r="I908" s="1"/>
      </tp>
      <tp t="s">
        <v>4/15/1986</v>
        <stp/>
        <stp>##V3_BDPV12</stp>
        <stp>912827SV Govt</stp>
        <stp>FIRST_CPN_DT</stp>
        <stp>[TREASURY.xlsx]Sheet1!R918C9</stp>
        <tr r="I918" s="1"/>
      </tp>
      <tp t="s">
        <v>5/15/1997</v>
        <stp/>
        <stp>##V3_BDPV12</stp>
        <stp>912827Z9 Govt</stp>
        <stp>FIRST_CPN_DT</stp>
        <stp>[TREASURY.xlsx]Sheet1!R778C9</stp>
        <tr r="I778" s="1"/>
      </tp>
      <tp t="s">
        <v>6/30/1996</v>
        <stp/>
        <stp>##V3_BDPV12</stp>
        <stp>912827W3 Govt</stp>
        <stp>FIRST_CPN_DT</stp>
        <stp>[TREASURY.xlsx]Sheet1!R928C9</stp>
        <tr r="I928" s="1"/>
      </tp>
      <tp t="s">
        <v>10/31/1988</v>
        <stp/>
        <stp>##V3_BDPV12</stp>
        <stp>912827WC Govt</stp>
        <stp>FIRST_CPN_DT</stp>
        <stp>[TREASURY.xlsx]Sheet1!R768C9</stp>
        <tr r="I768" s="1"/>
      </tp>
      <tp t="s">
        <v>11/30/1990</v>
        <stp/>
        <stp>##V3_BDPV12</stp>
        <stp>912827YX Govt</stp>
        <stp>FIRST_CPN_DT</stp>
        <stp>[TREASURY.xlsx]Sheet1!R948C9</stp>
        <tr r="I948" s="1"/>
      </tp>
      <tp t="s">
        <v>12/31/1989</v>
        <stp/>
        <stp>##V3_BDPV12</stp>
        <stp>912827XS Govt</stp>
        <stp>FIRST_CPN_DT</stp>
        <stp>[TREASURY.xlsx]Sheet1!R938C9</stp>
        <tr r="I938" s="1"/>
      </tp>
      <tp t="s">
        <v>5/15/1996</v>
        <stp/>
        <stp>##V3_BDPV12</stp>
        <stp>912827V8 Govt</stp>
        <stp>FIRST_CPN_DT</stp>
        <stp>[TREASURY.xlsx]Sheet1!R758C9</stp>
        <tr r="I758" s="1"/>
      </tp>
      <tp t="s">
        <v>1/31/1986</v>
        <stp/>
        <stp>##V3_BDPV12</stp>
        <stp>912827SM Govt</stp>
        <stp>FIRST_CPN_DT</stp>
        <stp>[TREASURY.xlsx]Sheet1!R748C9</stp>
        <tr r="I748" s="1"/>
      </tp>
      <tp t="s">
        <v>11/15/1983</v>
        <stp/>
        <stp>##V3_BDPV12</stp>
        <stp>912827PL Govt</stp>
        <stp>FIRST_CPN_DT</stp>
        <stp>[TREASURY.xlsx]Sheet1!R738C9</stp>
        <tr r="I738" s="1"/>
      </tp>
      <tp t="s">
        <v>11/15/1998</v>
        <stp/>
        <stp>##V3_BDPV12</stp>
        <stp>9128274F Govt</stp>
        <stp>FIRST_CPN_DT</stp>
        <stp>[TREASURY.xlsx]Sheet1!R578C9</stp>
        <tr r="I578" s="1"/>
      </tp>
      <tp t="s">
        <v>8/15/2000</v>
        <stp/>
        <stp>##V3_BDPV12</stp>
        <stp>9128275Z Govt</stp>
        <stp>FIRST_CPN_DT</stp>
        <stp>[TREASURY.xlsx]Sheet1!R428C9</stp>
        <tr r="I428" s="1"/>
      </tp>
      <tp t="s">
        <v>2/15/2001</v>
        <stp/>
        <stp>##V3_BDPV12</stp>
        <stp>9128276J Govt</stp>
        <stp>FIRST_CPN_DT</stp>
        <stp>[TREASURY.xlsx]Sheet1!R438C9</stp>
        <tr r="I438" s="1"/>
      </tp>
      <tp t="s">
        <v>7/31/2002</v>
        <stp/>
        <stp>##V3_BDPV12</stp>
        <stp>9128277K Govt</stp>
        <stp>FIRST_CPN_DT</stp>
        <stp>[TREASURY.xlsx]Sheet1!R528C9</stp>
        <tr r="I528" s="1"/>
      </tp>
      <tp t="s">
        <v>10/31/2002</v>
        <stp/>
        <stp>##V3_BDPV12</stp>
        <stp>912828AB Govt</stp>
        <stp>FIRST_CPN_DT</stp>
        <stp>[TREASURY.xlsx]Sheet1!R958C9</stp>
        <tr r="I958" s="1"/>
      </tp>
      <tp t="s">
        <v>7/15/2009</v>
        <stp/>
        <stp>##V3_BDPV12</stp>
        <stp>912828KB Govt</stp>
        <stp>FIRST_CPN_DT</stp>
        <stp>[TREASURY.xlsx]Sheet1!R398C9</stp>
        <tr r="I398" s="1"/>
      </tp>
      <tp t="s">
        <v>7/31/2010</v>
        <stp/>
        <stp>##V3_BDPV12</stp>
        <stp>912828MK Govt</stp>
        <stp>FIRST_CPN_DT</stp>
        <stp>[TREASURY.xlsx]Sheet1!R538C9</stp>
        <tr r="I538" s="1"/>
      </tp>
      <tp t="s">
        <v>1/15/2010</v>
        <stp/>
        <stp>##V3_BDPV12</stp>
        <stp>912828LB Govt</stp>
        <stp>FIRST_CPN_DT</stp>
        <stp>[TREASURY.xlsx]Sheet1!R558C9</stp>
        <tr r="I558" s="1"/>
      </tp>
      <tp t="s">
        <v>8/31/2015</v>
        <stp/>
        <stp>##V3_BDPV12</stp>
        <stp>912828J4 Govt</stp>
        <stp>FIRST_CPN_DT</stp>
        <stp>[TREASURY.xlsx]Sheet1!R308C9</stp>
        <tr r="I308" s="1"/>
      </tp>
      <tp t="s">
        <v>9/15/2014</v>
        <stp/>
        <stp>##V3_BDPV12</stp>
        <stp>912828C3 Govt</stp>
        <stp>FIRST_CPN_DT</stp>
        <stp>[TREASURY.xlsx]Sheet1!R838C9</stp>
        <tr r="I838" s="1"/>
      </tp>
      <tp t="s">
        <v>10/31/2010</v>
        <stp/>
        <stp>##V3_BDPV12</stp>
        <stp>912828NB Govt</stp>
        <stp>FIRST_CPN_DT</stp>
        <stp>[TREASURY.xlsx]Sheet1!R388C9</stp>
        <tr r="I388" s="1"/>
      </tp>
      <tp t="s">
        <v>7/31/2009</v>
        <stp/>
        <stp>##V3_BDPV12</stp>
        <stp>912828JZ Govt</stp>
        <stp>FIRST_CPN_DT</stp>
        <stp>[TREASURY.xlsx]Sheet1!R478C9</stp>
        <tr r="I478" s="1"/>
      </tp>
      <tp t="s">
        <v>10/31/2015</v>
        <stp/>
        <stp>##V3_BDPV12</stp>
        <stp>912828K5 Govt</stp>
        <stp>FIRST_CPN_DT</stp>
        <stp>[TREASURY.xlsx]Sheet1!R518C9</stp>
        <tr r="I518" s="1"/>
      </tp>
      <tp t="s">
        <v>11/30/2008</v>
        <stp/>
        <stp>##V3_BDPV12</stp>
        <stp>912828JB Govt</stp>
        <stp>FIRST_CPN_DT</stp>
        <stp>[TREASURY.xlsx]Sheet1!R598C9</stp>
        <tr r="I598" s="1"/>
      </tp>
      <tp t="s">
        <v>8/31/2009</v>
        <stp/>
        <stp>##V3_BDPV12</stp>
        <stp>912828KS Govt</stp>
        <stp>FIRST_CPN_DT</stp>
        <stp>[TREASURY.xlsx]Sheet1!R418C9</stp>
        <tr r="I418" s="1"/>
      </tp>
      <tp t="s">
        <v>11/30/2007</v>
        <stp/>
        <stp>##V3_BDPV12</stp>
        <stp>912828GU Govt</stp>
        <stp>FIRST_CPN_DT</stp>
        <stp>[TREASURY.xlsx]Sheet1!R848C9</stp>
        <tr r="I848" s="1"/>
      </tp>
      <tp t="s">
        <v>4/30/2016</v>
        <stp/>
        <stp>##V3_BDPV12</stp>
        <stp>912828L9 Govt</stp>
        <stp>FIRST_CPN_DT</stp>
        <stp>[TREASURY.xlsx]Sheet1!R358C9</stp>
        <tr r="I358" s="1"/>
      </tp>
      <tp t="s">
        <v>9/30/2008</v>
        <stp/>
        <stp>##V3_BDPV12</stp>
        <stp>912828HU Govt</stp>
        <stp>FIRST_CPN_DT</stp>
        <stp>[TREASURY.xlsx]Sheet1!R808C9</stp>
        <tr r="I808" s="1"/>
      </tp>
      <tp t="s">
        <v>10/31/2006</v>
        <stp/>
        <stp>##V3_BDPV12</stp>
        <stp>912828FC Govt</stp>
        <stp>FIRST_CPN_DT</stp>
        <stp>[TREASURY.xlsx]Sheet1!R798C9</stp>
        <tr r="I798" s="1"/>
      </tp>
      <tp t="s">
        <v>7/15/2015</v>
        <stp/>
        <stp>##V3_BDPV12</stp>
        <stp>912828H3 Govt</stp>
        <stp>FIRST_CPN_DT</stp>
        <stp>[TREASURY.xlsx]Sheet1!R968C9</stp>
        <tr r="I968" s="1"/>
      </tp>
      <tp t="s">
        <v>5/31/2004</v>
        <stp/>
        <stp>##V3_BDPV12</stp>
        <stp>912828BS Govt</stp>
        <stp>FIRST_CPN_DT</stp>
        <stp>[TREASURY.xlsx]Sheet1!R628C9</stp>
        <tr r="I628" s="1"/>
      </tp>
      <tp t="s">
        <v>4/30/2010</v>
        <stp/>
        <stp>##V3_BDPV12</stp>
        <stp>912828LS Govt</stp>
        <stp>FIRST_CPN_DT</stp>
        <stp>[TREASURY.xlsx]Sheet1!R858C9</stp>
        <tr r="I858" s="1"/>
      </tp>
      <tp t="s">
        <v>5/15/2004</v>
        <stp/>
        <stp>##V3_BDPV12</stp>
        <stp>912828BP Govt</stp>
        <stp>FIRST_CPN_DT</stp>
        <stp>[TREASURY.xlsx]Sheet1!R648C9</stp>
        <tr r="I648" s="1"/>
      </tp>
      <tp t="s">
        <v>4/30/2010</v>
        <stp/>
        <stp>##V3_BDPV12</stp>
        <stp>912828LU Govt</stp>
        <stp>FIRST_CPN_DT</stp>
        <stp>[TREASURY.xlsx]Sheet1!R818C9</stp>
        <tr r="I818" s="1"/>
      </tp>
      <tp t="s">
        <v>10/31/2014</v>
        <stp/>
        <stp>##V3_BDPV12</stp>
        <stp>912828C8 Govt</stp>
        <stp>FIRST_CPN_DT</stp>
        <stp>[TREASURY.xlsx]Sheet1!R788C9</stp>
        <tr r="I788" s="1"/>
      </tp>
      <tp t="s">
        <v>8/31/2014</v>
        <stp/>
        <stp>##V3_BDPV12</stp>
        <stp>912828C2 Govt</stp>
        <stp>FIRST_CPN_DT</stp>
        <stp>[TREASURY.xlsx]Sheet1!R688C9</stp>
        <tr r="I688" s="1"/>
      </tp>
      <tp t="s">
        <v>11/15/2003</v>
        <stp/>
        <stp>##V3_BDPV12</stp>
        <stp>912828BA Govt</stp>
        <stp>FIRST_CPN_DT</stp>
        <stp>[TREASURY.xlsx]Sheet1!R408C9</stp>
        <tr r="I408" s="1"/>
      </tp>
      <tp t="s">
        <v>3/15/2005</v>
        <stp/>
        <stp>##V3_BDPV12</stp>
        <stp>912828CV Govt</stp>
        <stp>FIRST_CPN_DT</stp>
        <stp>[TREASURY.xlsx]Sheet1!R508C9</stp>
        <tr r="I508" s="1"/>
      </tp>
      <tp t="s">
        <v>7/31/2014</v>
        <stp/>
        <stp>##V3_BDPV12</stp>
        <stp>912828B4 Govt</stp>
        <stp>FIRST_CPN_DT</stp>
        <stp>[TREASURY.xlsx]Sheet1!R458C9</stp>
        <tr r="I458" s="1"/>
      </tp>
      <tp t="s">
        <v>12/31/2010</v>
        <stp/>
        <stp>##V3_BDPV12</stp>
        <stp>912828NK Govt</stp>
        <stp>FIRST_CPN_DT</stp>
        <stp>[TREASURY.xlsx]Sheet1!R978C9</stp>
        <tr r="I978" s="1"/>
      </tp>
      <tp t="s">
        <v>6/30/2003</v>
        <stp/>
        <stp>##V3_BDPV12</stp>
        <stp>912828AR Govt</stp>
        <stp>FIRST_CPN_DT</stp>
        <stp>[TREASURY.xlsx]Sheet1!R658C9</stp>
        <tr r="I658" s="1"/>
      </tp>
      <tp t="s">
        <v>2/29/2020</v>
        <stp/>
        <stp>##V3_BDPV12</stp>
        <stp>912828YD Govt</stp>
        <stp>FIRST_CPN_DT</stp>
        <stp>[TREASURY.xlsx]Sheet1!R178C9</stp>
        <tr r="I178" s="1"/>
      </tp>
      <tp t="s">
        <v>9/30/2011</v>
        <stp/>
        <stp>##V3_BDPV12</stp>
        <stp>912828QB Govt</stp>
        <stp>FIRST_CPN_DT</stp>
        <stp>[TREASURY.xlsx]Sheet1!R988C9</stp>
        <tr r="I988" s="1"/>
      </tp>
      <tp t="s">
        <v>5/31/2020</v>
        <stp/>
        <stp>##V3_BDPV12</stp>
        <stp>912828YT Govt</stp>
        <stp>FIRST_CPN_DT</stp>
        <stp>[TREASURY.xlsx]Sheet1!R198C9</stp>
        <tr r="I198" s="1"/>
      </tp>
      <tp t="s">
        <v>6/30/2020</v>
        <stp/>
        <stp>##V3_BDPV12</stp>
        <stp>912828YY Govt</stp>
        <stp>FIRST_CPN_DT</stp>
        <stp>[TREASURY.xlsx]Sheet1!R158C9</stp>
        <tr r="I158" s="1"/>
      </tp>
      <tp t="s">
        <v>2/29/2012</v>
        <stp/>
        <stp>##V3_BDPV12</stp>
        <stp>912828RE Govt</stp>
        <stp>FIRST_CPN_DT</stp>
        <stp>[TREASURY.xlsx]Sheet1!R868C9</stp>
        <tr r="I868" s="1"/>
      </tp>
      <tp t="s">
        <v>2/29/2012</v>
        <stp/>
        <stp>##V3_BDPV12</stp>
        <stp>912828RF Govt</stp>
        <stp>FIRST_CPN_DT</stp>
        <stp>[TREASURY.xlsx]Sheet1!R828C9</stp>
        <tr r="I828" s="1"/>
      </tp>
      <tp t="s">
        <v>8/31/2020</v>
        <stp/>
        <stp>##V3_BDPV12</stp>
        <stp>912828ZB Govt</stp>
        <stp>FIRST_CPN_DT</stp>
        <stp>[TREASURY.xlsx]Sheet1!R148C9</stp>
        <tr r="I148" s="1"/>
      </tp>
      <tp t="s">
        <v>1/31/2020</v>
        <stp/>
        <stp>##V3_BDPV12</stp>
        <stp>912828Y8 Govt</stp>
        <stp>FIRST_CPN_DT</stp>
        <stp>[TREASURY.xlsx]Sheet1!R208C9</stp>
        <tr r="I208" s="1"/>
      </tp>
      <tp t="s">
        <v>11/30/2015</v>
        <stp/>
        <stp>##V3_BDPV12</stp>
        <stp>912828XE Govt</stp>
        <stp>FIRST_CPN_DT</stp>
        <stp>[TREASURY.xlsx]Sheet1!R448C9</stp>
        <tr r="I448" s="1"/>
      </tp>
      <tp t="s">
        <v>12/31/2015</v>
        <stp/>
        <stp>##V3_BDPV12</stp>
        <stp>912828XH Govt</stp>
        <stp>FIRST_CPN_DT</stp>
        <stp>[TREASURY.xlsx]Sheet1!R468C9</stp>
        <tr r="I468" s="1"/>
      </tp>
      <tp t="s">
        <v>3/15/2013</v>
        <stp/>
        <stp>##V3_BDPV12</stp>
        <stp>912828TP Govt</stp>
        <stp>FIRST_CPN_DT</stp>
        <stp>[TREASURY.xlsx]Sheet1!R998C9</stp>
        <tr r="I998" s="1"/>
      </tp>
      <tp t="s">
        <v>1/31/2016</v>
        <stp/>
        <stp>##V3_BDPV12</stp>
        <stp>912828XP Govt</stp>
        <stp>FIRST_CPN_DT</stp>
        <stp>[TREASURY.xlsx]Sheet1!R588C9</stp>
        <tr r="I588" s="1"/>
      </tp>
      <tp t="s">
        <v>1/15/2014</v>
        <stp/>
        <stp>##V3_BDPV12</stp>
        <stp>912828VL Govt</stp>
        <stp>FIRST_CPN_DT</stp>
        <stp>[TREASURY.xlsx]Sheet1!R878C9</stp>
        <tr r="I878" s="1"/>
      </tp>
      <tp t="s">
        <v>10/31/2013</v>
        <stp/>
        <stp>##V3_BDPV12</stp>
        <stp>912828VA Govt</stp>
        <stp>FIRST_CPN_DT</stp>
        <stp>[TREASURY.xlsx]Sheet1!R638C9</stp>
        <tr r="I638" s="1"/>
      </tp>
      <tp t="s">
        <v>4/30/2013</v>
        <stp/>
        <stp>##V3_BDPV12</stp>
        <stp>912828TV Govt</stp>
        <stp>FIRST_CPN_DT</stp>
        <stp>[TREASURY.xlsx]Sheet1!R498C9</stp>
        <tr r="I498" s="1"/>
      </tp>
      <tp t="s">
        <v>8/15/2012</v>
        <stp/>
        <stp>##V3_BDPV12</stp>
        <stp>912828SF Govt</stp>
        <stp>FIRST_CPN_DT</stp>
        <stp>[TREASURY.xlsx]Sheet1!R138C9</stp>
        <tr r="I138" s="1"/>
      </tp>
      <tp t="s">
        <v>10/31/2016</v>
        <stp/>
        <stp>##V3_BDPV12</stp>
        <stp>912828Q7 Govt</stp>
        <stp>FIRST_CPN_DT</stp>
        <stp>[TREASURY.xlsx]Sheet1!R378C9</stp>
        <tr r="I378" s="1"/>
      </tp>
      <tp t="s">
        <v>12/15/2014</v>
        <stp/>
        <stp>##V3_BDPV12</stp>
        <stp>912828WP Govt</stp>
        <stp>FIRST_CPN_DT</stp>
        <stp>[TREASURY.xlsx]Sheet1!R488C9</stp>
        <tr r="I488" s="1"/>
      </tp>
      <tp t="s">
        <v>6/30/2017</v>
        <stp/>
        <stp>##V3_BDPV12</stp>
        <stp>912828U9 Govt</stp>
        <stp>FIRST_CPN_DT</stp>
        <stp>[TREASURY.xlsx]Sheet1!R678C9</stp>
        <tr r="I678" s="1"/>
      </tp>
      <tp t="s">
        <v>11/30/2014</v>
        <stp/>
        <stp>##V3_BDPV12</stp>
        <stp>912828WN Govt</stp>
        <stp>FIRST_CPN_DT</stp>
        <stp>[TREASURY.xlsx]Sheet1!R338C9</stp>
        <tr r="I338" s="1"/>
      </tp>
      <tp t="s">
        <v>4/30/2011</v>
        <stp/>
        <stp>##V3_BDPV12</stp>
        <stp>912828PE Govt</stp>
        <stp>FIRST_CPN_DT</stp>
        <stp>[TREASURY.xlsx]Sheet1!R548C9</stp>
        <tr r="I548" s="1"/>
      </tp>
      <tp t="s">
        <v>8/15/2012</v>
        <stp/>
        <stp>##V3_BDPV12</stp>
        <stp>912828SE Govt</stp>
        <stp>FIRST_CPN_DT</stp>
        <stp>[TREASURY.xlsx]Sheet1!R618C9</stp>
        <tr r="I618" s="1"/>
      </tp>
      <tp t="s">
        <v>5/15/2013</v>
        <stp/>
        <stp>##V3_BDPV12</stp>
        <stp>912828TY Govt</stp>
        <stp>FIRST_CPN_DT</stp>
        <stp>[TREASURY.xlsx]Sheet1!R118C9</stp>
        <tr r="I118" s="1"/>
      </tp>
      <tp t="s">
        <v>5/15/2014</v>
        <stp/>
        <stp>##V3_BDPV12</stp>
        <stp>912828WE Govt</stp>
        <stp>FIRST_CPN_DT</stp>
        <stp>[TREASURY.xlsx]Sheet1!R108C9</stp>
        <tr r="I108" s="1"/>
      </tp>
      <tp t="s">
        <v>11/15/2013</v>
        <stp/>
        <stp>##V3_BDPV12</stp>
        <stp>912828VB Govt</stp>
        <stp>FIRST_CPN_DT</stp>
        <stp>[TREASURY.xlsx]Sheet1!R168C9</stp>
        <tr r="I168" s="1"/>
      </tp>
      <tp t="s">
        <v>1/31/2018</v>
        <stp/>
        <stp>##V3_BDPV12</stp>
        <stp>9128282N Govt</stp>
        <stp>FIRST_CPN_DT</stp>
        <stp>[TREASURY.xlsx]Sheet1!R258C9</stp>
        <tr r="I258" s="1"/>
      </tp>
      <tp t="s">
        <v>7/31/2018</v>
        <stp/>
        <stp>##V3_BDPV12</stp>
        <stp>9128283U Govt</stp>
        <stp>FIRST_CPN_DT</stp>
        <stp>[TREASURY.xlsx]Sheet1!R268C9</stp>
        <tr r="I268" s="1"/>
      </tp>
      <tp t="s">
        <v>9/15/2019</v>
        <stp/>
        <stp>##V3_BDPV12</stp>
        <stp>9128286H Govt</stp>
        <stp>FIRST_CPN_DT</stp>
        <stp>[TREASURY.xlsx]Sheet1!R228C9</stp>
        <tr r="I228" s="1"/>
      </tp>
      <tp t="s">
        <v>10/15/2019</v>
        <stp/>
        <stp>##V3_BDPV12</stp>
        <stp>9128286M Govt</stp>
        <stp>FIRST_CPN_DT</stp>
        <stp>[TREASURY.xlsx]Sheet1!R218C9</stp>
        <tr r="I218" s="1"/>
      </tp>
      <tp t="s">
        <v>8/31/2019</v>
        <stp/>
        <stp>##V3_BDPV12</stp>
        <stp>9128286D Govt</stp>
        <stp>FIRST_CPN_DT</stp>
        <stp>[TREASURY.xlsx]Sheet1!R348C9</stp>
        <tr r="I348" s="1"/>
      </tp>
      <tp t="s">
        <v>12/31/2018</v>
        <stp/>
        <stp>##V3_BDPV12</stp>
        <stp>9128284U Govt</stp>
        <stp>FIRST_CPN_DT</stp>
        <stp>[TREASURY.xlsx]Sheet1!R128C9</stp>
        <tr r="I128" s="1"/>
      </tp>
      <tp t="s">
        <v>4/30/2019</v>
        <stp/>
        <stp>##V3_BDPV12</stp>
        <stp>9128285G Govt</stp>
        <stp>FIRST_CPN_DT</stp>
        <stp>[TREASURY.xlsx]Sheet1!R368C9</stp>
        <tr r="I368" s="1"/>
      </tp>
      <tp t="s">
        <v>8/31/2018</v>
        <stp/>
        <stp>##V3_BDPV12</stp>
        <stp>9128284A Govt</stp>
        <stp>FIRST_CPN_DT</stp>
        <stp>[TREASURY.xlsx]Sheet1!R288C9</stp>
        <tr r="I288" s="1"/>
      </tp>
      <tp t="s">
        <v>4/30/2019</v>
        <stp/>
        <stp>##V3_BDPV12</stp>
        <stp>9128285J Govt</stp>
        <stp>FIRST_CPN_DT</stp>
        <stp>[TREASURY.xlsx]Sheet1!R248C9</stp>
        <tr r="I248" s="1"/>
      </tp>
      <tp t="s">
        <v>S/A</v>
        <stp/>
        <stp>##V3_BDPV12</stp>
        <stp>912827WN Govt</stp>
        <stp>COUPON_FREQUENCY_DESCRIPTION</stp>
        <stp>[TREASURY.xlsx]Sheet1!R1092C10</stp>
        <tr r="J1092" s="1"/>
      </tp>
      <tp t="s">
        <v>S/A</v>
        <stp/>
        <stp>##V3_BDPV12</stp>
        <stp>912827WL Govt</stp>
        <stp>COUPON_FREQUENCY_DESCRIPTION</stp>
        <stp>[TREASURY.xlsx]Sheet1!R1208C10</stp>
        <tr r="J1208" s="1"/>
      </tp>
      <tp t="s">
        <v>S/A</v>
        <stp/>
        <stp>##V3_BDPV12</stp>
        <stp>912827WH Govt</stp>
        <stp>COUPON_FREQUENCY_DESCRIPTION</stp>
        <stp>[TREASURY.xlsx]Sheet1!R1417C10</stp>
        <tr r="J1417" s="1"/>
      </tp>
      <tp t="s">
        <v>UNITED STATES</v>
        <stp/>
        <stp>##V3_BDPV12</stp>
        <stp>912827ZD Govt</stp>
        <stp>COUNTRY_FULL_NAME</stp>
        <stp>[TREASURY.xlsx]Sheet1!R1610C8</stp>
        <tr r="H1610" s="1"/>
      </tp>
      <tp t="s">
        <v>UNITED STATES</v>
        <stp/>
        <stp>##V3_BDPV12</stp>
        <stp>912827YD Govt</stp>
        <stp>COUNTRY_FULL_NAME</stp>
        <stp>[TREASURY.xlsx]Sheet1!R1603C8</stp>
        <tr r="H1603" s="1"/>
      </tp>
      <tp t="s">
        <v>S/A</v>
        <stp/>
        <stp>##V3_BDPV12</stp>
        <stp>912828WL Govt</stp>
        <stp>COUPON_FREQUENCY_DESCRIPTION</stp>
        <stp>[TREASURY.xlsx]Sheet1!R1150C10</stp>
        <tr r="J1150" s="1"/>
      </tp>
      <tp t="s">
        <v>S/A</v>
        <stp/>
        <stp>##V3_BDPV12</stp>
        <stp>912828WH Govt</stp>
        <stp>COUPON_FREQUENCY_DESCRIPTION</stp>
        <stp>[TREASURY.xlsx]Sheet1!R1306C10</stp>
        <tr r="J1306" s="1"/>
      </tp>
      <tp t="s">
        <v>S/A</v>
        <stp/>
        <stp>##V3_BDPV12</stp>
        <stp>912827WJ Govt</stp>
        <stp>COUPON_FREQUENCY_DESCRIPTION</stp>
        <stp>[TREASURY.xlsx]Sheet1!R1207C10</stp>
        <tr r="J1207" s="1"/>
      </tp>
      <tp t="s">
        <v>S/A</v>
        <stp/>
        <stp>##V3_BDPV12</stp>
        <stp>912827WM Govt</stp>
        <stp>COUPON_FREQUENCY_DESCRIPTION</stp>
        <stp>[TREASURY.xlsx]Sheet1!R1418C10</stp>
        <tr r="J1418" s="1"/>
      </tp>
      <tp t="s">
        <v>S/A</v>
        <stp/>
        <stp>##V3_BDPV12</stp>
        <stp>912827WF Govt</stp>
        <stp>COUPON_FREQUENCY_DESCRIPTION</stp>
        <stp>[TREASURY.xlsx]Sheet1!R1090C10</stp>
        <tr r="J1090" s="1"/>
      </tp>
      <tp t="s">
        <v>S/A</v>
        <stp/>
        <stp>##V3_BDPV12</stp>
        <stp>912827WG Govt</stp>
        <stp>COUPON_FREQUENCY_DESCRIPTION</stp>
        <stp>[TREASURY.xlsx]Sheet1!R1091C10</stp>
        <tr r="J1091" s="1"/>
      </tp>
      <tp t="s">
        <v>T 5 3/4 09/30/99</v>
        <stp/>
        <stp>##V3_BDPV12</stp>
        <stp>9128273H Govt</stp>
        <stp>SECURITY_NAME</stp>
        <stp>[TREASURY.xlsx]Sheet1!R1527C16</stp>
        <tr r="P1527" s="1"/>
      </tp>
      <tp t="s">
        <v>T 6 1/4 07/31/02</v>
        <stp/>
        <stp>##V3_BDPV12</stp>
        <stp>9128276H Govt</stp>
        <stp>SECURITY_NAME</stp>
        <stp>[TREASURY.xlsx]Sheet1!R1537C16</stp>
        <tr r="P1537" s="1"/>
      </tp>
      <tp t="s">
        <v>T 11 3/8 09/30/88</v>
        <stp/>
        <stp>##V3_BDPV12</stp>
        <stp>912827RH Govt</stp>
        <stp>SECURITY_NAME</stp>
        <stp>[TREASURY.xlsx]Sheet1!R1502C16</stp>
        <tr r="P1502" s="1"/>
      </tp>
      <tp t="s">
        <v>T 13 1/2 02/15/86</v>
        <stp/>
        <stp>##V3_BDPV12</stp>
        <stp>912827LH Govt</stp>
        <stp>SECURITY_NAME</stp>
        <stp>[TREASURY.xlsx]Sheet1!R1566C16</stp>
        <tr r="P1566" s="1"/>
      </tp>
      <tp t="s">
        <v>T 12 3/8 05/15/04</v>
        <stp/>
        <stp>##V3_BDPV12</stp>
        <stp>912810DH Govt</stp>
        <stp>SECURITY_NAME</stp>
        <stp>[TREASURY.xlsx]Sheet1!R1619C16</stp>
        <tr r="P1619" s="1"/>
      </tp>
      <tp t="s">
        <v>T 8 06/30/90</v>
        <stp/>
        <stp>##V3_BDPV12</stp>
        <stp>912827WH Govt</stp>
        <stp>SECURITY_NAME</stp>
        <stp>[TREASURY.xlsx]Sheet1!R1417C16</stp>
        <tr r="P1417" s="1"/>
      </tp>
      <tp t="s">
        <v>T 5 1/2 05/31/03</v>
        <stp/>
        <stp>##V3_BDPV12</stp>
        <stp>9128274H Govt</stp>
        <stp>SECURITY_NAME</stp>
        <stp>[TREASURY.xlsx]Sheet1!R1460C16</stp>
        <tr r="P1460" s="1"/>
      </tp>
      <tp t="s">
        <v>T 5 7/8 02/15/00</v>
        <stp/>
        <stp>##V3_BDPV12</stp>
        <stp>9128272H Govt</stp>
        <stp>SECURITY_NAME</stp>
        <stp>[TREASURY.xlsx]Sheet1!R1450C16</stp>
        <tr r="P1450" s="1"/>
      </tp>
      <tp t="s">
        <v>T 4 5/8 02/15/17</v>
        <stp/>
        <stp>##V3_BDPV12</stp>
        <stp>912828GH Govt</stp>
        <stp>SECURITY_NAME</stp>
        <stp>[TREASURY.xlsx]Sheet1!R1435C16</stp>
        <tr r="P1435" s="1"/>
      </tp>
      <tp t="s">
        <v>UNITED STATES</v>
        <stp/>
        <stp>##V3_BDPV12</stp>
        <stp>912827ZM Govt</stp>
        <stp>COUNTRY_FULL_NAME</stp>
        <stp>[TREASURY.xlsx]Sheet1!R1230C8</stp>
        <tr r="H1230" s="1"/>
      </tp>
      <tp t="s">
        <v>T 14 3/8 06/30/84</v>
        <stp/>
        <stp>##V3_BDPV12</stp>
        <stp>912827NH Govt</stp>
        <stp>SECURITY_NAME</stp>
        <stp>[TREASURY.xlsx]Sheet1!R1333C16</stp>
        <tr r="P1333" s="1"/>
      </tp>
      <tp t="s">
        <v>T 5 1/4 05/31/01</v>
        <stp/>
        <stp>##V3_BDPV12</stp>
        <stp>9128275H Govt</stp>
        <stp>SECURITY_NAME</stp>
        <stp>[TREASURY.xlsx]Sheet1!R1370C16</stp>
        <tr r="P1370" s="1"/>
      </tp>
      <tp t="s">
        <v>T 0 7/8 05/15/17</v>
        <stp/>
        <stp>##V3_BDPV12</stp>
        <stp>912828WH Govt</stp>
        <stp>SECURITY_NAME</stp>
        <stp>[TREASURY.xlsx]Sheet1!R1306C16</stp>
        <tr r="P1306" s="1"/>
      </tp>
      <tp t="s">
        <v>S/A</v>
        <stp/>
        <stp>##V3_BDPV12</stp>
        <stp>912828WC Govt</stp>
        <stp>COUPON_FREQUENCY_DESCRIPTION</stp>
        <stp>[TREASURY.xlsx]Sheet1!R1139C10</stp>
        <tr r="J1139" s="1"/>
      </tp>
      <tp t="s">
        <v>UNITED STATES</v>
        <stp/>
        <stp>##V3_BDPV12</stp>
        <stp>912828XJ Govt</stp>
        <stp>COUNTRY_FULL_NAME</stp>
        <stp>[TREASURY.xlsx]Sheet1!R1152C8</stp>
        <tr r="H1152" s="1"/>
      </tp>
      <tp t="s">
        <v>T 7 5/8 12/31/91</v>
        <stp/>
        <stp>##V3_BDPV12</stp>
        <stp>912827YH Govt</stp>
        <stp>SECURITY_NAME</stp>
        <stp>[TREASURY.xlsx]Sheet1!R1221C16</stp>
        <tr r="P1221" s="1"/>
      </tp>
      <tp t="s">
        <v>S/A</v>
        <stp/>
        <stp>##V3_BDPV12</stp>
        <stp>912827WA Govt</stp>
        <stp>COUPON_FREQUENCY_DESCRIPTION</stp>
        <stp>[TREASURY.xlsx]Sheet1!R1206C10</stp>
        <tr r="J1206" s="1"/>
      </tp>
      <tp t="s">
        <v>UNITED STATES</v>
        <stp/>
        <stp>##V3_BDPV12</stp>
        <stp>912827SK Govt</stp>
        <stp>COUNTRY_FULL_NAME</stp>
        <stp>[TREASURY.xlsx]Sheet1!R1589C8</stp>
        <tr r="H1589" s="1"/>
      </tp>
      <tp t="s">
        <v>T 8 02/29/88</v>
        <stp/>
        <stp>##V3_BDPV12</stp>
        <stp>912827TH Govt</stp>
        <stp>SECURITY_NAME</stp>
        <stp>[TREASURY.xlsx]Sheet1!R1192C16</stp>
        <tr r="P1192" s="1"/>
      </tp>
      <tp t="s">
        <v>T 4 09/30/07</v>
        <stp/>
        <stp>##V3_BDPV12</stp>
        <stp>912828EH Govt</stp>
        <stp>SECURITY_NAME</stp>
        <stp>[TREASURY.xlsx]Sheet1!R1114C16</stp>
        <tr r="P1114" s="1"/>
      </tp>
      <tp t="s">
        <v>T 3 1/4 08/15/07</v>
        <stp/>
        <stp>##V3_BDPV12</stp>
        <stp>912828AH Govt</stp>
        <stp>SECURITY_NAME</stp>
        <stp>[TREASURY.xlsx]Sheet1!R1107C16</stp>
        <tr r="P1107" s="1"/>
      </tp>
      <tp t="s">
        <v>T 1 3/4 08/15/12</v>
        <stp/>
        <stp>##V3_BDPV12</stp>
        <stp>912828LH Govt</stp>
        <stp>SECURITY_NAME</stp>
        <stp>[TREASURY.xlsx]Sheet1!R1128C16</stp>
        <tr r="P1128" s="1"/>
      </tp>
      <tp t="s">
        <v>T 0 7/8 03/31/11</v>
        <stp/>
        <stp>##V3_BDPV12</stp>
        <stp>912828KH Govt</stp>
        <stp>SECURITY_NAME</stp>
        <stp>[TREASURY.xlsx]Sheet1!R1123C16</stp>
        <tr r="P1123" s="1"/>
      </tp>
      <tp t="s">
        <v>T 3 1/4 12/31/03</v>
        <stp/>
        <stp>##V3_BDPV12</stp>
        <stp>9128277H Govt</stp>
        <stp>SECURITY_NAME</stp>
        <stp>[TREASURY.xlsx]Sheet1!R1028C16</stp>
        <tr r="P1028" s="1"/>
      </tp>
      <tp t="s">
        <v>T 6 5/8 02/15/92</v>
        <stp/>
        <stp>##V3_BDPV12</stp>
        <stp>912827UH Govt</stp>
        <stp>SECURITY_NAME</stp>
        <stp>[TREASURY.xlsx]Sheet1!R1078C16</stp>
        <tr r="P1078" s="1"/>
      </tp>
      <tp t="s">
        <v>T 11 1/4 12/31/87</v>
        <stp/>
        <stp>##V3_BDPV12</stp>
        <stp>912827QH Govt</stp>
        <stp>SECURITY_NAME</stp>
        <stp>[TREASURY.xlsx]Sheet1!R1057C16</stp>
        <tr r="P1057" s="1"/>
      </tp>
      <tp t="s">
        <v>S/A</v>
        <stp/>
        <stp>##V3_BDPV12</stp>
        <stp>912828WA Govt</stp>
        <stp>COUPON_FREQUENCY_DESCRIPTION</stp>
        <stp>[TREASURY.xlsx]Sheet1!R1005C10</stp>
        <tr r="J1005" s="1"/>
      </tp>
      <tp t="s">
        <v>S/A</v>
        <stp/>
        <stp>##V3_BDPV12</stp>
        <stp>912827WZ Govt</stp>
        <stp>COUPON_FREQUENCY_DESCRIPTION</stp>
        <stp>[TREASURY.xlsx]Sheet1!R1423C10</stp>
        <tr r="J1423" s="1"/>
      </tp>
      <tp t="s">
        <v>UNITED STATES</v>
        <stp/>
        <stp>##V3_BDPV12</stp>
        <stp>912827SW Govt</stp>
        <stp>COUNTRY_FULL_NAME</stp>
        <stp>[TREASURY.xlsx]Sheet1!R1189C8</stp>
        <tr r="H1189" s="1"/>
      </tp>
      <tp t="s">
        <v>S/A</v>
        <stp/>
        <stp>##V3_BDPV12</stp>
        <stp>912827WX Govt</stp>
        <stp>COUPON_FREQUENCY_DESCRIPTION</stp>
        <stp>[TREASURY.xlsx]Sheet1!R1593C10</stp>
        <tr r="J1593" s="1"/>
      </tp>
      <tp t="s">
        <v>S/A</v>
        <stp/>
        <stp>##V3_BDPV12</stp>
        <stp>912827WY Govt</stp>
        <stp>COUPON_FREQUENCY_DESCRIPTION</stp>
        <stp>[TREASURY.xlsx]Sheet1!R1210C10</stp>
        <tr r="J1210" s="1"/>
      </tp>
      <tp t="s">
        <v>UNITED STATES</v>
        <stp/>
        <stp>##V3_BDPV12</stp>
        <stp>912827YQ Govt</stp>
        <stp>COUNTRY_FULL_NAME</stp>
        <stp>[TREASURY.xlsx]Sheet1!R1223C8</stp>
        <tr r="H1223" s="1"/>
      </tp>
      <tp t="s">
        <v>S/A</v>
        <stp/>
        <stp>##V3_BDPV12</stp>
        <stp>912827WS Govt</stp>
        <stp>COUPON_FREQUENCY_DESCRIPTION</stp>
        <stp>[TREASURY.xlsx]Sheet1!R1420C10</stp>
        <tr r="J1420" s="1"/>
      </tp>
      <tp t="s">
        <v>S/A</v>
        <stp/>
        <stp>##V3_BDPV12</stp>
        <stp>912827WP Govt</stp>
        <stp>COUPON_FREQUENCY_DESCRIPTION</stp>
        <stp>[TREASURY.xlsx]Sheet1!R1419C10</stp>
        <tr r="J1419" s="1"/>
      </tp>
      <tp t="s">
        <v>S/A</v>
        <stp/>
        <stp>##V3_BDPV12</stp>
        <stp>912827WV Govt</stp>
        <stp>COUPON_FREQUENCY_DESCRIPTION</stp>
        <stp>[TREASURY.xlsx]Sheet1!R1209C10</stp>
        <tr r="J1209" s="1"/>
      </tp>
      <tp t="s">
        <v>S/A</v>
        <stp/>
        <stp>##V3_BDPV12</stp>
        <stp>912828WT Govt</stp>
        <stp>COUPON_FREQUENCY_DESCRIPTION</stp>
        <stp>[TREASURY.xlsx]Sheet1!R1007C10</stp>
        <tr r="J1007" s="1"/>
      </tp>
      <tp t="s">
        <v>S/A</v>
        <stp/>
        <stp>##V3_BDPV12</stp>
        <stp>912827WW Govt</stp>
        <stp>COUPON_FREQUENCY_DESCRIPTION</stp>
        <stp>[TREASURY.xlsx]Sheet1!R1592C10</stp>
        <tr r="J1592" s="1"/>
      </tp>
      <tp t="s">
        <v>UNITED STATES</v>
        <stp/>
        <stp>##V3_BDPV12</stp>
        <stp>912828RZ Govt</stp>
        <stp>COUNTRY_FULL_NAME</stp>
        <stp>[TREASURY.xlsx]Sheet1!R1268C8</stp>
        <tr r="H1268" s="1"/>
      </tp>
      <tp t="s">
        <v>S/A</v>
        <stp/>
        <stp>##V3_BDPV12</stp>
        <stp>912827WT Govt</stp>
        <stp>COUPON_FREQUENCY_DESCRIPTION</stp>
        <stp>[TREASURY.xlsx]Sheet1!R1421C10</stp>
        <tr r="J1421" s="1"/>
      </tp>
      <tp t="s">
        <v>S/A</v>
        <stp/>
        <stp>##V3_BDPV12</stp>
        <stp>912827WQ Govt</stp>
        <stp>COUPON_FREQUENCY_DESCRIPTION</stp>
        <stp>[TREASURY.xlsx]Sheet1!R1093C10</stp>
        <tr r="J1093" s="1"/>
      </tp>
      <tp t="s">
        <v>S/A</v>
        <stp/>
        <stp>##V3_BDPV12</stp>
        <stp>912827WU Govt</stp>
        <stp>COUPON_FREQUENCY_DESCRIPTION</stp>
        <stp>[TREASURY.xlsx]Sheet1!R1422C10</stp>
        <tr r="J1422" s="1"/>
      </tp>
      <tp t="s">
        <v>S/A</v>
        <stp/>
        <stp>##V3_BDPV12</stp>
        <stp>912828WQ Govt</stp>
        <stp>COUPON_FREQUENCY_DESCRIPTION</stp>
        <stp>[TREASURY.xlsx]Sheet1!R1006C10</stp>
        <tr r="J1006" s="1"/>
      </tp>
      <tp t="s">
        <v>#N/A Field Not Applicable</v>
        <stp/>
        <stp>##V3_BDPV12</stp>
        <stp>9128276P Govt</stp>
        <stp>IDX_RATIO</stp>
        <stp>[TREASURY.xlsx]Sheet1!R441C20</stp>
        <tr r="T441" s="1"/>
      </tp>
      <tp t="s">
        <v>#N/A Field Not Applicable</v>
        <stp/>
        <stp>##V3_BDPV12</stp>
        <stp>9128286U Govt</stp>
        <stp>IDX_RATIO</stp>
        <stp>[TREASURY.xlsx]Sheet1!R233C20</stp>
        <tr r="T233" s="1"/>
      </tp>
      <tp t="s">
        <v>#N/A Field Not Applicable</v>
        <stp/>
        <stp>##V3_BDPV12</stp>
        <stp>9128286R Govt</stp>
        <stp>IDX_RATIO</stp>
        <stp>[TREASURY.xlsx]Sheet1!R201C20</stp>
        <tr r="T201" s="1"/>
      </tp>
      <tp t="s">
        <v>#N/A Field Not Applicable</v>
        <stp/>
        <stp>##V3_BDPV12</stp>
        <stp>9128286S Govt</stp>
        <stp>IDX_RATIO</stp>
        <stp>[TREASURY.xlsx]Sheet1!R322C20</stp>
        <tr r="T322" s="1"/>
      </tp>
      <tp t="s">
        <v>#N/A Field Not Applicable</v>
        <stp/>
        <stp>##V3_BDPV12</stp>
        <stp>9128286V Govt</stp>
        <stp>IDX_RATIO</stp>
        <stp>[TREASURY.xlsx]Sheet1!R523C20</stp>
        <tr r="T523" s="1"/>
      </tp>
      <tp t="s">
        <v>#N/A Field Not Applicable</v>
        <stp/>
        <stp>##V3_BDPV12</stp>
        <stp>9128286Z Govt</stp>
        <stp>IDX_RATIO</stp>
        <stp>[TREASURY.xlsx]Sheet1!R200C20</stp>
        <tr r="T200" s="1"/>
      </tp>
      <tp t="s">
        <v>#N/A Field Not Applicable</v>
        <stp/>
        <stp>##V3_BDPV12</stp>
        <stp>9128286Y Govt</stp>
        <stp>IDX_RATIO</stp>
        <stp>[TREASURY.xlsx]Sheet1!R241C20</stp>
        <tr r="T241" s="1"/>
      </tp>
      <tp t="s">
        <v>#N/A Field Not Applicable</v>
        <stp/>
        <stp>##V3_BDPV12</stp>
        <stp>9128286X Govt</stp>
        <stp>IDX_RATIO</stp>
        <stp>[TREASURY.xlsx]Sheet1!R264C20</stp>
        <tr r="T264" s="1"/>
      </tp>
      <tp t="s">
        <v>#N/A Field Not Applicable</v>
        <stp/>
        <stp>##V3_BDPV12</stp>
        <stp>9128286G Govt</stp>
        <stp>IDX_RATIO</stp>
        <stp>[TREASURY.xlsx]Sheet1!R240C20</stp>
        <tr r="T240" s="1"/>
      </tp>
      <tp t="s">
        <v>UNITED STATES</v>
        <stp/>
        <stp>##V3_BDPV12</stp>
        <stp>912827X6 Govt</stp>
        <stp>COUNTRY_FULL_NAME</stp>
        <stp>[TREASURY.xlsx]Sheet1!R1212C8</stp>
        <tr r="H1212" s="1"/>
      </tp>
      <tp t="s">
        <v>#N/A Field Not Applicable</v>
        <stp/>
        <stp>##V3_BDPV12</stp>
        <stp>9128286F Govt</stp>
        <stp>IDX_RATIO</stp>
        <stp>[TREASURY.xlsx]Sheet1!R225C20</stp>
        <tr r="T225" s="1"/>
      </tp>
      <tp t="s">
        <v>#N/A Field Not Applicable</v>
        <stp/>
        <stp>##V3_BDPV12</stp>
        <stp>9128286D Govt</stp>
        <stp>IDX_RATIO</stp>
        <stp>[TREASURY.xlsx]Sheet1!R348C20</stp>
        <tr r="T348" s="1"/>
      </tp>
      <tp t="s">
        <v>#N/A Field Not Applicable</v>
        <stp/>
        <stp>##V3_BDPV12</stp>
        <stp>9128286C Govt</stp>
        <stp>IDX_RATIO</stp>
        <stp>[TREASURY.xlsx]Sheet1!R272C20</stp>
        <tr r="T272" s="1"/>
      </tp>
      <tp t="s">
        <v>#N/A Field Not Applicable</v>
        <stp/>
        <stp>##V3_BDPV12</stp>
        <stp>9128286A Govt</stp>
        <stp>IDX_RATIO</stp>
        <stp>[TREASURY.xlsx]Sheet1!R265C20</stp>
        <tr r="T265" s="1"/>
      </tp>
      <tp t="s">
        <v>#N/A Field Not Applicable</v>
        <stp/>
        <stp>##V3_BDPV12</stp>
        <stp>9128286M Govt</stp>
        <stp>IDX_RATIO</stp>
        <stp>[TREASURY.xlsx]Sheet1!R218C20</stp>
        <tr r="T218" s="1"/>
      </tp>
      <tp t="s">
        <v>#N/A Field Not Applicable</v>
        <stp/>
        <stp>##V3_BDPV12</stp>
        <stp>9128286L Govt</stp>
        <stp>IDX_RATIO</stp>
        <stp>[TREASURY.xlsx]Sheet1!R276C20</stp>
        <tr r="T276" s="1"/>
      </tp>
      <tp t="s">
        <v>#N/A Field Not Applicable</v>
        <stp/>
        <stp>##V3_BDPV12</stp>
        <stp>9128276J Govt</stp>
        <stp>IDX_RATIO</stp>
        <stp>[TREASURY.xlsx]Sheet1!R438C20</stp>
        <tr r="T438" s="1"/>
      </tp>
      <tp t="s">
        <v>S/A</v>
        <stp/>
        <stp>##V3_BDPV12</stp>
        <stp>912827W6 Govt</stp>
        <stp>COUPON_FREQUENCY_DESCRIPTION</stp>
        <stp>[TREASURY.xlsx]Sheet1!R1415C10</stp>
        <tr r="J1415" s="1"/>
      </tp>
      <tp t="s">
        <v>S/A</v>
        <stp/>
        <stp>##V3_BDPV12</stp>
        <stp>912827W7 Govt</stp>
        <stp>COUPON_FREQUENCY_DESCRIPTION</stp>
        <stp>[TREASURY.xlsx]Sheet1!R1416C10</stp>
        <tr r="J1416" s="1"/>
      </tp>
      <tp t="s">
        <v>S/A</v>
        <stp/>
        <stp>##V3_BDPV12</stp>
        <stp>912827W5 Govt</stp>
        <stp>COUPON_FREQUENCY_DESCRIPTION</stp>
        <stp>[TREASURY.xlsx]Sheet1!R1414C10</stp>
        <tr r="J1414" s="1"/>
      </tp>
      <tp t="s">
        <v>UNITED STATES</v>
        <stp/>
        <stp>##V3_BDPV12</stp>
        <stp>912827R9 Govt</stp>
        <stp>COUNTRY_FULL_NAME</stp>
        <stp>[TREASURY.xlsx]Sheet1!R1578C8</stp>
        <tr r="H1578" s="1"/>
      </tp>
      <tp t="s">
        <v>#N/A Field Not Applicable</v>
        <stp/>
        <stp>##V3_BDPV12</stp>
        <stp>9128286H Govt</stp>
        <stp>IDX_RATIO</stp>
        <stp>[TREASURY.xlsx]Sheet1!R228C20</stp>
        <tr r="T228" s="1"/>
      </tp>
      <tp t="s">
        <v>2/29/2012</v>
        <stp/>
        <stp>##V3_BDPV12</stp>
        <stp>912828RD Govt</stp>
        <stp>FIRST_CPN_DT</stp>
        <stp>[TREASURY.xlsx]Sheet1!R1265C9</stp>
        <tr r="I1265" s="1"/>
      </tp>
      <tp t="s">
        <v>2/28/2014</v>
        <stp/>
        <stp>##V3_BDPV12</stp>
        <stp>912828VV Govt</stp>
        <stp>FIRST_CPN_DT</stp>
        <stp>[TREASURY.xlsx]Sheet1!R1305C9</stp>
        <tr r="I1305" s="1"/>
      </tp>
      <tp t="s">
        <v>4/15/2014</v>
        <stp/>
        <stp>##V3_BDPV12</stp>
        <stp>912828WA Govt</stp>
        <stp>FIRST_CPN_DT</stp>
        <stp>[TREASURY.xlsx]Sheet1!R1005C9</stp>
        <tr r="I1005" s="1"/>
      </tp>
      <tp t="s">
        <v>8/31/2013</v>
        <stp/>
        <stp>##V3_BDPV12</stp>
        <stp>912828UP Govt</stp>
        <stp>FIRST_CPN_DT</stp>
        <stp>[TREASURY.xlsx]Sheet1!R1145C9</stp>
        <tr r="I1145" s="1"/>
      </tp>
      <tp t="s">
        <v>7/15/2013</v>
        <stp/>
        <stp>##V3_BDPV12</stp>
        <stp>912828UG Govt</stp>
        <stp>FIRST_CPN_DT</stp>
        <stp>[TREASURY.xlsx]Sheet1!R1135C9</stp>
        <tr r="I1135" s="1"/>
      </tp>
      <tp t="s">
        <v>1/31/2004</v>
        <stp/>
        <stp>##V3_BDPV12</stp>
        <stp>912828BE Govt</stp>
        <stp>FIRST_CPN_DT</stp>
        <stp>[TREASURY.xlsx]Sheet1!R1425C9</stp>
        <tr r="I1425" s="1"/>
      </tp>
      <tp t="s">
        <v>2/15/2004</v>
        <stp/>
        <stp>##V3_BDPV12</stp>
        <stp>912828BF Govt</stp>
        <stp>FIRST_CPN_DT</stp>
        <stp>[TREASURY.xlsx]Sheet1!R1235C9</stp>
        <tr r="I1235" s="1"/>
      </tp>
      <tp t="s">
        <v>1/31/2007</v>
        <stp/>
        <stp>##V3_BDPV12</stp>
        <stp>912828FN Govt</stp>
        <stp>FIRST_CPN_DT</stp>
        <stp>[TREASURY.xlsx]Sheet1!R1275C9</stp>
        <tr r="I1275" s="1"/>
      </tp>
      <tp t="s">
        <v>8/15/2007</v>
        <stp/>
        <stp>##V3_BDPV12</stp>
        <stp>912828GH Govt</stp>
        <stp>FIRST_CPN_DT</stp>
        <stp>[TREASURY.xlsx]Sheet1!R1435C9</stp>
        <tr r="I1435" s="1"/>
      </tp>
      <tp t="s">
        <v>5/15/2006</v>
        <stp/>
        <stp>##V3_BDPV12</stp>
        <stp>912828EM Govt</stp>
        <stp>FIRST_CPN_DT</stp>
        <stp>[TREASURY.xlsx]Sheet1!R1115C9</stp>
        <tr r="I1115" s="1"/>
      </tp>
      <tp t="s">
        <v>11/30/2008</v>
        <stp/>
        <stp>##V3_BDPV12</stp>
        <stp>912828JA Govt</stp>
        <stp>FIRST_CPN_DT</stp>
        <stp>[TREASURY.xlsx]Sheet1!R1285C9</stp>
        <tr r="I1285" s="1"/>
      </tp>
      <tp t="s">
        <v>11/15/2009</v>
        <stp/>
        <stp>##V3_BDPV12</stp>
        <stp>912828KP Govt</stp>
        <stp>FIRST_CPN_DT</stp>
        <stp>[TREASURY.xlsx]Sheet1!R1125C9</stp>
        <tr r="I1125" s="1"/>
      </tp>
      <tp t="s">
        <v>8/31/2008</v>
        <stp/>
        <stp>##V3_BDPV12</stp>
        <stp>912828HS Govt</stp>
        <stp>FIRST_CPN_DT</stp>
        <stp>[TREASURY.xlsx]Sheet1!R1245C9</stp>
        <tr r="I1245" s="1"/>
      </tp>
      <tp t="s">
        <v>3/31/2011</v>
        <stp/>
        <stp>##V3_BDPV12</stp>
        <stp>912828NZ Govt</stp>
        <stp>FIRST_CPN_DT</stp>
        <stp>[TREASURY.xlsx]Sheet1!R1295C9</stp>
        <tr r="I1295" s="1"/>
      </tp>
      <tp t="s">
        <v>10/31/2010</v>
        <stp/>
        <stp>##V3_BDPV12</stp>
        <stp>912828MZ Govt</stp>
        <stp>FIRST_CPN_DT</stp>
        <stp>[TREASURY.xlsx]Sheet1!R1255C9</stp>
        <tr r="I1255" s="1"/>
      </tp>
      <tp t="s">
        <v>9/30/1997</v>
        <stp/>
        <stp>##V3_BDPV12</stp>
        <stp>9128272P Govt</stp>
        <stp>FIRST_CPN_DT</stp>
        <stp>[TREASURY.xlsx]Sheet1!R1519C9</stp>
        <tr r="I1519" s="1"/>
      </tp>
      <tp t="s">
        <v>5/31/1997</v>
        <stp/>
        <stp>##V3_BDPV12</stp>
        <stp>9128272C Govt</stp>
        <stp>FIRST_CPN_DT</stp>
        <stp>[TREASURY.xlsx]Sheet1!R1449C9</stp>
        <tr r="I1449" s="1"/>
      </tp>
      <tp t="s">
        <v>6/30/1997</v>
        <stp/>
        <stp>##V3_BDPV12</stp>
        <stp>9128272E Govt</stp>
        <stp>FIRST_CPN_DT</stp>
        <stp>[TREASURY.xlsx]Sheet1!R1009C9</stp>
        <tr r="I1009" s="1"/>
      </tp>
      <tp t="s">
        <v>6/30/1998</v>
        <stp/>
        <stp>##V3_BDPV12</stp>
        <stp>9128273R Govt</stp>
        <stp>FIRST_CPN_DT</stp>
        <stp>[TREASURY.xlsx]Sheet1!R1359C9</stp>
        <tr r="I1359" s="1"/>
      </tp>
      <tp t="s">
        <v>4/30/1998</v>
        <stp/>
        <stp>##V3_BDPV12</stp>
        <stp>9128273L Govt</stp>
        <stp>FIRST_CPN_DT</stp>
        <stp>[TREASURY.xlsx]Sheet1!R1529C9</stp>
        <tr r="I1529" s="1"/>
      </tp>
      <tp t="s">
        <v>11/15/2001</v>
        <stp/>
        <stp>##V3_BDPV12</stp>
        <stp>9128276X Govt</stp>
        <stp>FIRST_CPN_DT</stp>
        <stp>[TREASURY.xlsx]Sheet1!R1469C9</stp>
        <tr r="I1469" s="1"/>
      </tp>
      <tp t="s">
        <v>6/30/2001</v>
        <stp/>
        <stp>##V3_BDPV12</stp>
        <stp>9128276Q Govt</stp>
        <stp>FIRST_CPN_DT</stp>
        <stp>[TREASURY.xlsx]Sheet1!R1539C9</stp>
        <tr r="I1539" s="1"/>
      </tp>
      <tp t="s">
        <v>9/15/2018</v>
        <stp/>
        <stp>##V3_BDPV12</stp>
        <stp>9128284B Govt</stp>
        <stp>FIRST_CPN_DT</stp>
        <stp>[TREASURY.xlsx]Sheet1!R1106C9</stp>
        <tr r="I1106" s="1"/>
      </tp>
      <tp t="s">
        <v>10/31/1998</v>
        <stp/>
        <stp>##V3_BDPV12</stp>
        <stp>9128274D Govt</stp>
        <stp>FIRST_CPN_DT</stp>
        <stp>[TREASURY.xlsx]Sheet1!R1459C9</stp>
        <tr r="I1459" s="1"/>
      </tp>
      <tp t="s">
        <v>5/15/2000</v>
        <stp/>
        <stp>##V3_BDPV12</stp>
        <stp>9128275S Govt</stp>
        <stp>FIRST_CPN_DT</stp>
        <stp>[TREASURY.xlsx]Sheet1!R1019C9</stp>
        <tr r="I1019" s="1"/>
      </tp>
      <tp t="s">
        <v>11/15/1999</v>
        <stp/>
        <stp>##V3_BDPV12</stp>
        <stp>9128275G Govt</stp>
        <stp>FIRST_CPN_DT</stp>
        <stp>[TREASURY.xlsx]Sheet1!R1369C9</stp>
        <tr r="I1369" s="1"/>
      </tp>
      <tp>
        <v>2.125</v>
        <stp/>
        <stp>##V3_BDPV12</stp>
        <stp>9128283J Govt</stp>
        <stp>CPN</stp>
        <stp>[TREASURY.xlsx]Sheet1!R216C3</stp>
        <tr r="C216" s="1"/>
      </tp>
      <tp>
        <v>1.875</v>
        <stp/>
        <stp>##V3_BDPV12</stp>
        <stp>9128283L Govt</stp>
        <stp>CPN</stp>
        <stp>[TREASURY.xlsx]Sheet1!R350C3</stp>
        <tr r="C350" s="1"/>
      </tp>
      <tp>
        <v>2.5</v>
        <stp/>
        <stp>##V3_BDPV12</stp>
        <stp>9128286D Govt</stp>
        <stp>CPN</stp>
        <stp>[TREASURY.xlsx]Sheet1!R348C3</stp>
        <tr r="C348" s="1"/>
      </tp>
      <tp>
        <v>1.375</v>
        <stp/>
        <stp>##V3_BDPV12</stp>
        <stp>912828YD Govt</stp>
        <stp>CPN</stp>
        <stp>[TREASURY.xlsx]Sheet1!R178C3</stp>
        <tr r="C178" s="1"/>
      </tp>
      <tp>
        <v>8.5</v>
        <stp/>
        <stp>##V3_BDPV12</stp>
        <stp>912827VH Govt</stp>
        <stp>CPN</stp>
        <stp>[TREASURY.xlsx]Sheet1!R924C3</stp>
        <tr r="C924" s="1"/>
      </tp>
      <tp>
        <v>9.625</v>
        <stp/>
        <stp>##V3_BDPV12</stp>
        <stp>912827XJ Govt</stp>
        <stp>CPN</stp>
        <stp>[TREASURY.xlsx]Sheet1!R936C3</stp>
        <tr r="C936" s="1"/>
      </tp>
      <tp>
        <v>13.25</v>
        <stp/>
        <stp>##V3_BDPV12</stp>
        <stp>912827LE Govt</stp>
        <stp>CPN</stp>
        <stp>[TREASURY.xlsx]Sheet1!R889C3</stp>
        <tr r="C889" s="1"/>
      </tp>
      <tp>
        <v>1.75</v>
        <stp/>
        <stp>##V3_BDPV12</stp>
        <stp>9128283H Govt</stp>
        <stp>CPN</stp>
        <stp>[TREASURY.xlsx]Sheet1!R784C3</stp>
        <tr r="C784" s="1"/>
      </tp>
      <tp>
        <v>0.375</v>
        <stp/>
        <stp>##V3_BDPV12</stp>
        <stp>912828PH Govt</stp>
        <stp>CPN</stp>
        <stp>[TREASURY.xlsx]Sheet1!R464C3</stp>
        <tr r="C464" s="1"/>
      </tp>
      <tp>
        <v>1.9229932915956032</v>
        <stp/>
        <stp>##V3_BDPV12</stp>
        <stp>912810QL Govt</stp>
        <stp>YLD_YTM_BID</stp>
        <stp>[TREASURY.xlsx]Sheet1!R321C4</stp>
        <tr r="D321" s="1"/>
      </tp>
      <tp>
        <v>1.0589096996965441</v>
        <stp/>
        <stp>##V3_BDPV12</stp>
        <stp>912810EL Govt</stp>
        <stp>YLD_YTM_BID</stp>
        <stp>[TREASURY.xlsx]Sheet1!R211C4</stp>
        <tr r="D211" s="1"/>
      </tp>
      <tp>
        <v>1.3240234894932732</v>
        <stp/>
        <stp>##V3_BDPV12</stp>
        <stp>912810FJ Govt</stp>
        <stp>YLD_YTM_BID</stp>
        <stp>[TREASURY.xlsx]Sheet1!R267C4</stp>
        <tr r="D267" s="1"/>
      </tp>
      <tp>
        <v>2.0769430653812737</v>
        <stp/>
        <stp>##V3_BDPV12</stp>
        <stp>912810RN Govt</stp>
        <stp>YLD_YTM_BID</stp>
        <stp>[TREASURY.xlsx]Sheet1!R293C4</stp>
        <tr r="D293" s="1"/>
      </tp>
      <tp>
        <v>16</v>
        <stp/>
        <stp>##V3_BDPV12</stp>
        <stp>912827MH Govt</stp>
        <stp>CPN</stp>
        <stp>[TREASURY.xlsx]Sheet1!R544C3</stp>
        <tr r="C544" s="1"/>
      </tp>
      <tp>
        <v>0.75</v>
        <stp/>
        <stp>##V3_BDPV12</stp>
        <stp>912828MM Govt</stp>
        <stp>CPN</stp>
        <stp>[TREASURY.xlsx]Sheet1!R821C3</stp>
        <tr r="C821" s="1"/>
      </tp>
      <tp>
        <v>1.375</v>
        <stp/>
        <stp>##V3_BDPV12</stp>
        <stp>912828MN Govt</stp>
        <stp>CPN</stp>
        <stp>[TREASURY.xlsx]Sheet1!R822C3</stp>
        <tr r="C822" s="1"/>
      </tp>
      <tp>
        <v>8.125</v>
        <stp/>
        <stp>##V3_BDPV12</stp>
        <stp>912827ZH Govt</stp>
        <stp>CPN</stp>
        <stp>[TREASURY.xlsx]Sheet1!R634C3</stp>
        <tr r="C634" s="1"/>
      </tp>
      <tp>
        <v>0.625</v>
        <stp/>
        <stp>##V3_BDPV12</stp>
        <stp>912828QE Govt</stp>
        <stp>CPN</stp>
        <stp>[TREASURY.xlsx]Sheet1!R989C3</stp>
        <tr r="C989" s="1"/>
      </tp>
      <tp>
        <v>1.375</v>
        <stp/>
        <stp>##V3_BDPV12</stp>
        <stp>9128282K Govt</stp>
        <stp>CPN</stp>
        <stp>[TREASURY.xlsx]Sheet1!R957C3</stp>
        <tr r="C957" s="1"/>
      </tp>
      <tp t="s">
        <v>#N/A N/A</v>
        <stp/>
        <stp>##V3_BDPV12</stp>
        <stp>912828DN Govt</stp>
        <stp>YLD_YTM_BID</stp>
        <stp>[TREASURY.xlsx]Sheet1!R963C4</stp>
        <tr r="D963" s="1"/>
      </tp>
      <tp t="s">
        <v>#N/A N/A</v>
        <stp/>
        <stp>##V3_BDPV12</stp>
        <stp>912828HD Govt</stp>
        <stp>YLD_YTM_BID</stp>
        <stp>[TREASURY.xlsx]Sheet1!R969C4</stp>
        <tr r="D969" s="1"/>
      </tp>
      <tp t="s">
        <v>#N/A N/A</v>
        <stp/>
        <stp>##V3_BDPV12</stp>
        <stp>912828JM Govt</stp>
        <stp>YLD_YTM_BID</stp>
        <stp>[TREASURY.xlsx]Sheet1!R810C4</stp>
        <tr r="D810" s="1"/>
      </tp>
      <tp t="s">
        <v>#N/A N/A</v>
        <stp/>
        <stp>##V3_BDPV12</stp>
        <stp>912828HJ Govt</stp>
        <stp>YLD_YTM_BID</stp>
        <stp>[TREASURY.xlsx]Sheet1!R807C4</stp>
        <tr r="D807" s="1"/>
      </tp>
      <tp t="s">
        <v>#N/A N/A</v>
        <stp/>
        <stp>##V3_BDPV12</stp>
        <stp>912828MD Govt</stp>
        <stp>YLD_YTM_BID</stp>
        <stp>[TREASURY.xlsx]Sheet1!R859C4</stp>
        <tr r="D859" s="1"/>
      </tp>
      <tp t="s">
        <v>#N/A N/A</v>
        <stp/>
        <stp>##V3_BDPV12</stp>
        <stp>912828RE Govt</stp>
        <stp>YLD_YTM_BID</stp>
        <stp>[TREASURY.xlsx]Sheet1!R868C4</stp>
        <tr r="D868" s="1"/>
      </tp>
      <tp t="s">
        <v>#N/A N/A</v>
        <stp/>
        <stp>##V3_BDPV12</stp>
        <stp>912827QL Govt</stp>
        <stp>YLD_YTM_BID</stp>
        <stp>[TREASURY.xlsx]Sheet1!R741C4</stp>
        <tr r="D741" s="1"/>
      </tp>
      <tp t="s">
        <v>#N/A N/A</v>
        <stp/>
        <stp>##V3_BDPV12</stp>
        <stp>912827KH Govt</stp>
        <stp>YLD_YTM_BID</stp>
        <stp>[TREASURY.xlsx]Sheet1!R455C4</stp>
        <tr r="D455" s="1"/>
      </tp>
      <tp t="s">
        <v>#N/A N/A</v>
        <stp/>
        <stp>##V3_BDPV12</stp>
        <stp>912828LK Govt</stp>
        <stp>YLD_YTM_BID</stp>
        <stp>[TREASURY.xlsx]Sheet1!R546C4</stp>
        <tr r="D546" s="1"/>
      </tp>
      <tp t="s">
        <v>#N/A N/A</v>
        <stp/>
        <stp>##V3_BDPV12</stp>
        <stp>912828PE Govt</stp>
        <stp>YLD_YTM_BID</stp>
        <stp>[TREASURY.xlsx]Sheet1!R548C4</stp>
        <tr r="D548" s="1"/>
      </tp>
      <tp t="s">
        <v>#N/A N/A</v>
        <stp/>
        <stp>##V3_BDPV12</stp>
        <stp>912828SL Govt</stp>
        <stp>YLD_YTM_BID</stp>
        <stp>[TREASURY.xlsx]Sheet1!R511C4</stp>
        <tr r="D511" s="1"/>
      </tp>
      <tp t="s">
        <v>#N/A N/A</v>
        <stp/>
        <stp>##V3_BDPV12</stp>
        <stp>912828TH Govt</stp>
        <stp>YLD_YTM_BID</stp>
        <stp>[TREASURY.xlsx]Sheet1!R585C4</stp>
        <tr r="D585" s="1"/>
      </tp>
      <tp t="s">
        <v>#N/A N/A</v>
        <stp/>
        <stp>##V3_BDPV12</stp>
        <stp>912828QH Govt</stp>
        <stp>YLD_YTM_BID</stp>
        <stp>[TREASURY.xlsx]Sheet1!R595C4</stp>
        <tr r="D595" s="1"/>
      </tp>
      <tp>
        <v>8.125</v>
        <stp/>
        <stp>##V3_BDPV12</stp>
        <stp>912810EK Govt</stp>
        <stp>CPN</stp>
        <stp>[TREASURY.xlsx]Sheet1!R357C3</stp>
        <tr r="C357" s="1"/>
      </tp>
      <tp t="s">
        <v>#N/A N/A</v>
        <stp/>
        <stp>##V3_BDPV12</stp>
        <stp>912828VJ Govt</stp>
        <stp>YLD_YTM_BID</stp>
        <stp>[TREASURY.xlsx]Sheet1!R447C4</stp>
        <tr r="D447" s="1"/>
      </tp>
      <tp t="s">
        <v>#N/A N/A</v>
        <stp/>
        <stp>##V3_BDPV12</stp>
        <stp>912828QJ Govt</stp>
        <stp>YLD_YTM_BID</stp>
        <stp>[TREASURY.xlsx]Sheet1!R407C4</stp>
        <tr r="D407" s="1"/>
      </tp>
      <tp t="s">
        <v>#N/A N/A</v>
        <stp/>
        <stp>##V3_BDPV12</stp>
        <stp>912828QL Govt</stp>
        <stp>YLD_YTM_BID</stp>
        <stp>[TREASURY.xlsx]Sheet1!R401C4</stp>
        <tr r="D401" s="1"/>
      </tp>
      <tp t="s">
        <v>#N/A N/A</v>
        <stp/>
        <stp>##V3_BDPV12</stp>
        <stp>912828XE Govt</stp>
        <stp>YLD_YTM_BID</stp>
        <stp>[TREASURY.xlsx]Sheet1!R448C4</stp>
        <tr r="D448" s="1"/>
      </tp>
      <tp t="s">
        <v>#N/A N/A</v>
        <stp/>
        <stp>##V3_BDPV12</stp>
        <stp>912827MJ Govt</stp>
        <stp>YLD_YTM_BID</stp>
        <stp>[TREASURY.xlsx]Sheet1!R897C4</stp>
        <tr r="D897" s="1"/>
      </tp>
      <tp t="s">
        <v>#N/A N/A</v>
        <stp/>
        <stp>##V3_BDPV12</stp>
        <stp>912827LL Govt</stp>
        <stp>YLD_YTM_BID</stp>
        <stp>[TREASURY.xlsx]Sheet1!R891C4</stp>
        <tr r="D891" s="1"/>
      </tp>
      <tp t="s">
        <v>#N/A N/A</v>
        <stp/>
        <stp>##V3_BDPV12</stp>
        <stp>912828EK Govt</stp>
        <stp>YLD_YTM_BID</stp>
        <stp>[TREASURY.xlsx]Sheet1!R796C4</stp>
        <tr r="D796" s="1"/>
      </tp>
      <tp t="s">
        <v>#N/A N/A</v>
        <stp/>
        <stp>##V3_BDPV12</stp>
        <stp>912828BK Govt</stp>
        <stp>YLD_YTM_BID</stp>
        <stp>[TREASURY.xlsx]Sheet1!R786C4</stp>
        <tr r="D786" s="1"/>
      </tp>
      <tp t="s">
        <v>#N/A N/A</v>
        <stp/>
        <stp>##V3_BDPV12</stp>
        <stp>912828SE Govt</stp>
        <stp>YLD_YTM_BID</stp>
        <stp>[TREASURY.xlsx]Sheet1!R618C4</stp>
        <tr r="D618" s="1"/>
      </tp>
      <tp t="s">
        <v>#N/A N/A</v>
        <stp/>
        <stp>##V3_BDPV12</stp>
        <stp>912827PN Govt</stp>
        <stp>YLD_YTM_BID</stp>
        <stp>[TREASURY.xlsx]Sheet1!R903C4</stp>
        <tr r="D903" s="1"/>
      </tp>
      <tp t="s">
        <v>#N/A N/A</v>
        <stp/>
        <stp>##V3_BDPV12</stp>
        <stp>912827QJ Govt</stp>
        <stp>YLD_YTM_BID</stp>
        <stp>[TREASURY.xlsx]Sheet1!R907C4</stp>
        <tr r="D907" s="1"/>
      </tp>
      <tp>
        <v>0.30967624852812597</v>
        <stp/>
        <stp>##V3_BDPV12</stp>
        <stp>912828WE Govt</stp>
        <stp>YLD_YTM_BID</stp>
        <stp>[TREASURY.xlsx]Sheet1!R108C4</stp>
        <tr r="D108" s="1"/>
      </tp>
      <tp>
        <v>7.2071268155873336E-2</v>
        <stp/>
        <stp>##V3_BDPV12</stp>
        <stp>912828XD Govt</stp>
        <stp>YLD_YTM_BID</stp>
        <stp>[TREASURY.xlsx]Sheet1!R189C4</stp>
        <tr r="D189" s="1"/>
      </tp>
      <tp>
        <v>0.20121775904114506</v>
        <stp/>
        <stp>##V3_BDPV12</stp>
        <stp>912828ZH Govt</stp>
        <stp>YLD_YTM_BID</stp>
        <stp>[TREASURY.xlsx]Sheet1!R165C4</stp>
        <tr r="D165" s="1"/>
      </tp>
      <tp>
        <v>0.51969328766145861</v>
        <stp/>
        <stp>##V3_BDPV12</stp>
        <stp>912828YH Govt</stp>
        <stp>YLD_YTM_BID</stp>
        <stp>[TREASURY.xlsx]Sheet1!R135C4</stp>
        <tr r="D135" s="1"/>
      </tp>
      <tp t="s">
        <v>8/15/1985</v>
        <stp/>
        <stp>##V3_BDPV12</stp>
        <stp>912810DP Govt</stp>
        <stp>FIRST_CPN_DT</stp>
        <stp>[TREASURY.xlsx]Sheet1!R698C9</stp>
        <tr r="I698" s="1"/>
      </tp>
      <tp t="s">
        <v>5/15/1997</v>
        <stp/>
        <stp>##V3_BDPV12</stp>
        <stp>912810EY Govt</stp>
        <stp>FIRST_CPN_DT</stp>
        <stp>[TREASURY.xlsx]Sheet1!R328C9</stp>
        <tr r="I328" s="1"/>
      </tp>
      <tp t="s">
        <v>5/15/2000</v>
        <stp/>
        <stp>##V3_BDPV12</stp>
        <stp>912810FM Govt</stp>
        <stp>FIRST_CPN_DT</stp>
        <stp>[TREASURY.xlsx]Sheet1!R188C9</stp>
        <tr r="I188" s="1"/>
      </tp>
      <tp t="s">
        <v>2/15/1994</v>
        <stp/>
        <stp>##V3_BDPV12</stp>
        <stp>912810EQ Govt</stp>
        <stp>FIRST_CPN_DT</stp>
        <stp>[TREASURY.xlsx]Sheet1!R298C9</stp>
        <tr r="I298" s="1"/>
      </tp>
      <tp t="s">
        <v>5/15/2016</v>
        <stp/>
        <stp>##V3_BDPV12</stp>
        <stp>912810RP Govt</stp>
        <stp>FIRST_CPN_DT</stp>
        <stp>[TREASURY.xlsx]Sheet1!R278C9</stp>
        <tr r="I278" s="1"/>
      </tp>
      <tp t="s">
        <v>2/15/2010</v>
        <stp/>
        <stp>##V3_BDPV12</stp>
        <stp>912810QC Govt</stp>
        <stp>FIRST_CPN_DT</stp>
        <stp>[TREASURY.xlsx]Sheet1!R318C9</stp>
        <tr r="I318" s="1"/>
      </tp>
      <tp t="s">
        <v>2/15/2011</v>
        <stp/>
        <stp>##V3_BDPV12</stp>
        <stp>912810QK Govt</stp>
        <stp>FIRST_CPN_DT</stp>
        <stp>[TREASURY.xlsx]Sheet1!R238C9</stp>
        <tr r="I238" s="1"/>
      </tp>
      <tp t="s">
        <v>S/A</v>
        <stp/>
        <stp>##V3_BDPV12</stp>
        <stp>912827TN Govt</stp>
        <stp>COUPON_FREQUENCY_DESCRIPTION</stp>
        <stp>[TREASURY.xlsx]Sheet1!R1074C10</stp>
        <tr r="J1074" s="1"/>
      </tp>
      <tp t="s">
        <v>S/A</v>
        <stp/>
        <stp>##V3_BDPV12</stp>
        <stp>912827TK Govt</stp>
        <stp>COUPON_FREQUENCY_DESCRIPTION</stp>
        <stp>[TREASURY.xlsx]Sheet1!R1508C10</stp>
        <tr r="J1508" s="1"/>
      </tp>
      <tp t="s">
        <v>UNITED STATES</v>
        <stp/>
        <stp>##V3_BDPV12</stp>
        <stp>912828XF Govt</stp>
        <stp>COUNTRY_FULL_NAME</stp>
        <stp>[TREASURY.xlsx]Sheet1!R1151C8</stp>
        <tr r="H1151" s="1"/>
      </tp>
      <tp t="s">
        <v>UNITED STATES</v>
        <stp/>
        <stp>##V3_BDPV12</stp>
        <stp>912828PF Govt</stp>
        <stp>COUNTRY_FULL_NAME</stp>
        <stp>[TREASURY.xlsx]Sheet1!R1299C8</stp>
        <tr r="H1299" s="1"/>
      </tp>
      <tp t="s">
        <v>S/A</v>
        <stp/>
        <stp>##V3_BDPV12</stp>
        <stp>912828TN Govt</stp>
        <stp>COUPON_FREQUENCY_DESCRIPTION</stp>
        <stp>[TREASURY.xlsx]Sheet1!R1143C10</stp>
        <tr r="J1143" s="1"/>
      </tp>
      <tp t="s">
        <v>UNITED STATES</v>
        <stp/>
        <stp>##V3_BDPV12</stp>
        <stp>912827ZG Govt</stp>
        <stp>COUNTRY_FULL_NAME</stp>
        <stp>[TREASURY.xlsx]Sheet1!R1103C8</stp>
        <tr r="H1103" s="1"/>
      </tp>
      <tp t="s">
        <v>UNITED STATES</v>
        <stp/>
        <stp>##V3_BDPV12</stp>
        <stp>912827PD Govt</stp>
        <stp>COUNTRY_FULL_NAME</stp>
        <stp>[TREASURY.xlsx]Sheet1!R1569C8</stp>
        <tr r="H1569" s="1"/>
      </tp>
      <tp t="s">
        <v>S/A</v>
        <stp/>
        <stp>##V3_BDPV12</stp>
        <stp>912827TJ Govt</stp>
        <stp>COUPON_FREQUENCY_DESCRIPTION</stp>
        <stp>[TREASURY.xlsx]Sheet1!R1073C10</stp>
        <tr r="J1073" s="1"/>
      </tp>
      <tp t="s">
        <v>UNITED STATES</v>
        <stp/>
        <stp>##V3_BDPV12</stp>
        <stp>912827YB Govt</stp>
        <stp>COUNTRY_FULL_NAME</stp>
        <stp>[TREASURY.xlsx]Sheet1!R1100C8</stp>
        <tr r="H1100" s="1"/>
      </tp>
      <tp t="s">
        <v>UNITED STATES</v>
        <stp/>
        <stp>##V3_BDPV12</stp>
        <stp>912827YC Govt</stp>
        <stp>COUNTRY_FULL_NAME</stp>
        <stp>[TREASURY.xlsx]Sheet1!R1220C8</stp>
        <tr r="H1220" s="1"/>
      </tp>
      <tp t="s">
        <v>S/A</v>
        <stp/>
        <stp>##V3_BDPV12</stp>
        <stp>912827TH Govt</stp>
        <stp>COUPON_FREQUENCY_DESCRIPTION</stp>
        <stp>[TREASURY.xlsx]Sheet1!R1192C10</stp>
        <tr r="J1192" s="1"/>
      </tp>
      <tp t="s">
        <v>S/A</v>
        <stp/>
        <stp>##V3_BDPV12</stp>
        <stp>912827TM Govt</stp>
        <stp>COUPON_FREQUENCY_DESCRIPTION</stp>
        <stp>[TREASURY.xlsx]Sheet1!R1400C10</stp>
        <tr r="J1400" s="1"/>
      </tp>
      <tp t="s">
        <v>S/A</v>
        <stp/>
        <stp>##V3_BDPV12</stp>
        <stp>912827TL Govt</stp>
        <stp>COUPON_FREQUENCY_DESCRIPTION</stp>
        <stp>[TREASURY.xlsx]Sheet1!R1509C10</stp>
        <tr r="J1509" s="1"/>
      </tp>
      <tp t="s">
        <v>S/A</v>
        <stp/>
        <stp>##V3_BDPV12</stp>
        <stp>912827TC Govt</stp>
        <stp>COUPON_FREQUENCY_DESCRIPTION</stp>
        <stp>[TREASURY.xlsx]Sheet1!R1506C10</stp>
        <tr r="J1506" s="1"/>
      </tp>
      <tp t="s">
        <v>S/A</v>
        <stp/>
        <stp>##V3_BDPV12</stp>
        <stp>912827TD Govt</stp>
        <stp>COUPON_FREQUENCY_DESCRIPTION</stp>
        <stp>[TREASURY.xlsx]Sheet1!R1398C10</stp>
        <tr r="J1398" s="1"/>
      </tp>
      <tp t="s">
        <v>T 7 1/8 03/31/88</v>
        <stp/>
        <stp>##V3_BDPV12</stp>
        <stp>912827TK Govt</stp>
        <stp>SECURITY_NAME</stp>
        <stp>[TREASURY.xlsx]Sheet1!R1508C16</stp>
        <tr r="P1508" s="1"/>
      </tp>
      <tp t="s">
        <v>T 5 7/8 02/28/99</v>
        <stp/>
        <stp>##V3_BDPV12</stp>
        <stp>9128272K Govt</stp>
        <stp>SECURITY_NAME</stp>
        <stp>[TREASURY.xlsx]Sheet1!R1518C16</stp>
        <tr r="P1518" s="1"/>
      </tp>
      <tp t="s">
        <v>T 9 5/8 06/30/89</v>
        <stp/>
        <stp>##V3_BDPV12</stp>
        <stp>912827SK Govt</stp>
        <stp>SECURITY_NAME</stp>
        <stp>[TREASURY.xlsx]Sheet1!R1589C16</stp>
        <tr r="P1589" s="1"/>
      </tp>
      <tp t="s">
        <v>T 10 5/8 01/31/86</v>
        <stp/>
        <stp>##V3_BDPV12</stp>
        <stp>912827QK Govt</stp>
        <stp>SECURITY_NAME</stp>
        <stp>[TREASURY.xlsx]Sheet1!R1496C16</stp>
        <tr r="P1496" s="1"/>
      </tp>
      <tp t="s">
        <v>S/A</v>
        <stp/>
        <stp>##V3_BDPV12</stp>
        <stp>912827TF Govt</stp>
        <stp>COUPON_FREQUENCY_DESCRIPTION</stp>
        <stp>[TREASURY.xlsx]Sheet1!R1399C10</stp>
        <tr r="J1399" s="1"/>
      </tp>
      <tp t="s">
        <v>UNITED STATES</v>
        <stp/>
        <stp>##V3_BDPV12</stp>
        <stp>912827QM Govt</stp>
        <stp>COUNTRY_FULL_NAME</stp>
        <stp>[TREASURY.xlsx]Sheet1!R1058C8</stp>
        <tr r="H1058" s="1"/>
      </tp>
      <tp t="s">
        <v>T 5 3/8 06/30/03</v>
        <stp/>
        <stp>##V3_BDPV12</stp>
        <stp>9128274K Govt</stp>
        <stp>SECURITY_NAME</stp>
        <stp>[TREASURY.xlsx]Sheet1!R1366C16</stp>
        <tr r="P1366" s="1"/>
      </tp>
      <tp t="s">
        <v>T 9 1/2 04/30/85</v>
        <stp/>
        <stp>##V3_BDPV12</stp>
        <stp>912827PK Govt</stp>
        <stp>SECURITY_NAME</stp>
        <stp>[TREASURY.xlsx]Sheet1!R1340C16</stp>
        <tr r="P1340" s="1"/>
      </tp>
      <tp t="s">
        <v>T 5 5/8 10/31/99</v>
        <stp/>
        <stp>##V3_BDPV12</stp>
        <stp>9128273K Govt</stp>
        <stp>SECURITY_NAME</stp>
        <stp>[TREASURY.xlsx]Sheet1!R1356C16</stp>
        <tr r="P1356" s="1"/>
      </tp>
      <tp t="s">
        <v>S/A</v>
        <stp/>
        <stp>##V3_BDPV12</stp>
        <stp>912827TB Govt</stp>
        <stp>COUPON_FREQUENCY_DESCRIPTION</stp>
        <stp>[TREASURY.xlsx]Sheet1!R1072C10</stp>
        <tr r="J1072" s="1"/>
      </tp>
      <tp t="s">
        <v>UNITED STATES</v>
        <stp/>
        <stp>##V3_BDPV12</stp>
        <stp>912827PJ Govt</stp>
        <stp>COUNTRY_FULL_NAME</stp>
        <stp>[TREASURY.xlsx]Sheet1!R1389C8</stp>
        <tr r="H1389" s="1"/>
      </tp>
      <tp t="s">
        <v>T 8 01/15/97</v>
        <stp/>
        <stp>##V3_BDPV12</stp>
        <stp>912827YK Govt</stp>
        <stp>SECURITY_NAME</stp>
        <stp>[TREASURY.xlsx]Sheet1!R1222C16</stp>
        <tr r="P1222" s="1"/>
      </tp>
      <tp t="s">
        <v>T 6 5/8 12/31/90</v>
        <stp/>
        <stp>##V3_BDPV12</stp>
        <stp>912827UK Govt</stp>
        <stp>SECURITY_NAME</stp>
        <stp>[TREASURY.xlsx]Sheet1!R1200C16</stp>
        <tr r="P1200" s="1"/>
      </tp>
      <tp t="s">
        <v>T 3 3/8 02/15/08</v>
        <stp/>
        <stp>##V3_BDPV12</stp>
        <stp>912828DK Govt</stp>
        <stp>SECURITY_NAME</stp>
        <stp>[TREASURY.xlsx]Sheet1!R1271C16</stp>
        <tr r="P1271" s="1"/>
      </tp>
      <tp t="s">
        <v>T 0 5/8 02/28/13</v>
        <stp/>
        <stp>##V3_BDPV12</stp>
        <stp>912828QK Govt</stp>
        <stp>SECURITY_NAME</stp>
        <stp>[TREASURY.xlsx]Sheet1!R1263C16</stp>
        <tr r="P1263" s="1"/>
      </tp>
      <tp t="s">
        <v>T 0 1/8 09/30/13</v>
        <stp/>
        <stp>##V3_BDPV12</stp>
        <stp>912828RK Govt</stp>
        <stp>SECURITY_NAME</stp>
        <stp>[TREASURY.xlsx]Sheet1!R1266C16</stp>
        <tr r="P1266" s="1"/>
      </tp>
      <tp t="s">
        <v>T 1 3/8 06/30/18</v>
        <stp/>
        <stp>##V3_BDPV12</stp>
        <stp>912828VK Govt</stp>
        <stp>SECURITY_NAME</stp>
        <stp>[TREASURY.xlsx]Sheet1!R1148C16</stp>
        <tr r="P1148" s="1"/>
      </tp>
      <tp t="s">
        <v>T 4 5/8 02/29/12</v>
        <stp/>
        <stp>##V3_BDPV12</stp>
        <stp>912828GK Govt</stp>
        <stp>SECURITY_NAME</stp>
        <stp>[TREASURY.xlsx]Sheet1!R1119C16</stp>
        <tr r="P1119" s="1"/>
      </tp>
      <tp t="s">
        <v>T 0 1/4 01/31/15</v>
        <stp/>
        <stp>##V3_BDPV12</stp>
        <stp>912828UK Govt</stp>
        <stp>SECURITY_NAME</stp>
        <stp>[TREASURY.xlsx]Sheet1!R1136C16</stp>
        <tr r="P1136" s="1"/>
      </tp>
      <tp t="s">
        <v>T 0 3/8 03/15/15</v>
        <stp/>
        <stp>##V3_BDPV12</stp>
        <stp>912828SK Govt</stp>
        <stp>SECURITY_NAME</stp>
        <stp>[TREASURY.xlsx]Sheet1!R1132C16</stp>
        <tr r="P1132" s="1"/>
      </tp>
      <tp t="s">
        <v>T 1 3/8 04/15/12</v>
        <stp/>
        <stp>##V3_BDPV12</stp>
        <stp>912828KK Govt</stp>
        <stp>SECURITY_NAME</stp>
        <stp>[TREASURY.xlsx]Sheet1!R1124C16</stp>
        <tr r="P1124" s="1"/>
      </tp>
      <tp t="s">
        <v>S/A</v>
        <stp/>
        <stp>##V3_BDPV12</stp>
        <stp>912827TE Govt</stp>
        <stp>COUPON_FREQUENCY_DESCRIPTION</stp>
        <stp>[TREASURY.xlsx]Sheet1!R1507C10</stp>
        <tr r="J1507" s="1"/>
      </tp>
      <tp t="s">
        <v>T 6 1/8 08/31/02</v>
        <stp/>
        <stp>##V3_BDPV12</stp>
        <stp>9128276K Govt</stp>
        <stp>SECURITY_NAME</stp>
        <stp>[TREASURY.xlsx]Sheet1!R1023C16</stp>
        <tr r="P1023" s="1"/>
      </tp>
      <tp t="s">
        <v>T 13 3/4 08/15/04</v>
        <stp/>
        <stp>##V3_BDPV12</stp>
        <stp>912810DK Govt</stp>
        <stp>SECURITY_NAME</stp>
        <stp>[TREASURY.xlsx]Sheet1!R1347C16</stp>
        <tr r="P1347" s="1"/>
      </tp>
      <tp t="s">
        <v>T 10 3/8 11/15/09</v>
        <stp/>
        <stp>##V3_BDPV12</stp>
        <stp>912810CK Govt</stp>
        <stp>SECURITY_NAME</stp>
        <stp>[TREASURY.xlsx]Sheet1!R1309C16</stp>
        <tr r="P1309" s="1"/>
      </tp>
      <tp t="s">
        <v>T 14 12/31/84</v>
        <stp/>
        <stp>##V3_BDPV12</stp>
        <stp>912827LK Govt</stp>
        <stp>SECURITY_NAME</stp>
        <stp>[TREASURY.xlsx]Sheet1!R1042C16</stp>
        <tr r="P1042" s="1"/>
      </tp>
      <tp t="s">
        <v>UNITED STATES</v>
        <stp/>
        <stp>##V3_BDPV12</stp>
        <stp>912827QV Govt</stp>
        <stp>COUNTRY_FULL_NAME</stp>
        <stp>[TREASURY.xlsx]Sheet1!R1498C8</stp>
        <tr r="H1498" s="1"/>
      </tp>
      <tp t="s">
        <v>S/A</v>
        <stp/>
        <stp>##V3_BDPV12</stp>
        <stp>912827TX Govt</stp>
        <stp>COUPON_FREQUENCY_DESCRIPTION</stp>
        <stp>[TREASURY.xlsx]Sheet1!R1196C10</stp>
        <tr r="J1196" s="1"/>
      </tp>
      <tp t="s">
        <v>S/A</v>
        <stp/>
        <stp>##V3_BDPV12</stp>
        <stp>912827TY Govt</stp>
        <stp>COUPON_FREQUENCY_DESCRIPTION</stp>
        <stp>[TREASURY.xlsx]Sheet1!R1076C10</stp>
        <tr r="J1076" s="1"/>
      </tp>
      <tp t="s">
        <v>S/A</v>
        <stp/>
        <stp>##V3_BDPV12</stp>
        <stp>912827TT Govt</stp>
        <stp>COUPON_FREQUENCY_DESCRIPTION</stp>
        <stp>[TREASURY.xlsx]Sheet1!R1195C10</stp>
        <tr r="J1195" s="1"/>
      </tp>
      <tp t="s">
        <v>S/A</v>
        <stp/>
        <stp>##V3_BDPV12</stp>
        <stp>912828TT Govt</stp>
        <stp>COUPON_FREQUENCY_DESCRIPTION</stp>
        <stp>[TREASURY.xlsx]Sheet1!R1134C10</stp>
        <tr r="J1134" s="1"/>
      </tp>
      <tp t="s">
        <v>S/A</v>
        <stp/>
        <stp>##V3_BDPV12</stp>
        <stp>912827TR Govt</stp>
        <stp>COUPON_FREQUENCY_DESCRIPTION</stp>
        <stp>[TREASURY.xlsx]Sheet1!R1194C10</stp>
        <tr r="J1194" s="1"/>
      </tp>
      <tp t="s">
        <v>S/A</v>
        <stp/>
        <stp>##V3_BDPV12</stp>
        <stp>912827TV Govt</stp>
        <stp>COUPON_FREQUENCY_DESCRIPTION</stp>
        <stp>[TREASURY.xlsx]Sheet1!R1510C10</stp>
        <tr r="J1510" s="1"/>
      </tp>
      <tp t="s">
        <v>S/A</v>
        <stp/>
        <stp>##V3_BDPV12</stp>
        <stp>912827TW Govt</stp>
        <stp>COUPON_FREQUENCY_DESCRIPTION</stp>
        <stp>[TREASURY.xlsx]Sheet1!R1402C10</stp>
        <tr r="J1402" s="1"/>
      </tp>
      <tp t="s">
        <v>S/A</v>
        <stp/>
        <stp>##V3_BDPV12</stp>
        <stp>912827TP Govt</stp>
        <stp>COUPON_FREQUENCY_DESCRIPTION</stp>
        <stp>[TREASURY.xlsx]Sheet1!R1193C10</stp>
        <tr r="J1193" s="1"/>
      </tp>
      <tp t="s">
        <v>S/A</v>
        <stp/>
        <stp>##V3_BDPV12</stp>
        <stp>912827TQ Govt</stp>
        <stp>COUPON_FREQUENCY_DESCRIPTION</stp>
        <stp>[TREASURY.xlsx]Sheet1!R1075C10</stp>
        <tr r="J1075" s="1"/>
      </tp>
      <tp t="s">
        <v>S/A</v>
        <stp/>
        <stp>##V3_BDPV12</stp>
        <stp>912827TU Govt</stp>
        <stp>COUPON_FREQUENCY_DESCRIPTION</stp>
        <stp>[TREASURY.xlsx]Sheet1!R1401C10</stp>
        <tr r="J1401" s="1"/>
      </tp>
      <tp t="s">
        <v>UNITED STATES</v>
        <stp/>
        <stp>##V3_BDPV12</stp>
        <stp>912827ZY Govt</stp>
        <stp>COUNTRY_FULL_NAME</stp>
        <stp>[TREASURY.xlsx]Sheet1!R1613C8</stp>
        <tr r="H1613" s="1"/>
      </tp>
      <tp t="s">
        <v>#N/A Field Not Applicable</v>
        <stp/>
        <stp>##V3_BDPV12</stp>
        <stp>9128285Q Govt</stp>
        <stp>IDX_RATIO</stp>
        <stp>[TREASURY.xlsx]Sheet1!R410C20</stp>
        <tr r="T410" s="1"/>
      </tp>
      <tp t="s">
        <v>#N/A Field Not Applicable</v>
        <stp/>
        <stp>##V3_BDPV12</stp>
        <stp>9128285U Govt</stp>
        <stp>IDX_RATIO</stp>
        <stp>[TREASURY.xlsx]Sheet1!R160C20</stp>
        <tr r="T160" s="1"/>
      </tp>
      <tp t="s">
        <v>#N/A Field Not Applicable</v>
        <stp/>
        <stp>##V3_BDPV12</stp>
        <stp>9128285V Govt</stp>
        <stp>IDX_RATIO</stp>
        <stp>[TREASURY.xlsx]Sheet1!R179C20</stp>
        <tr r="T179" s="1"/>
      </tp>
      <tp t="s">
        <v>#N/A Field Not Applicable</v>
        <stp/>
        <stp>##V3_BDPV12</stp>
        <stp>9128285S Govt</stp>
        <stp>IDX_RATIO</stp>
        <stp>[TREASURY.xlsx]Sheet1!R429C20</stp>
        <tr r="T429" s="1"/>
      </tp>
      <tp t="s">
        <v>#N/A Field Not Applicable</v>
        <stp/>
        <stp>##V3_BDPV12</stp>
        <stp>9128285T Govt</stp>
        <stp>IDX_RATIO</stp>
        <stp>[TREASURY.xlsx]Sheet1!R239C20</stp>
        <tr r="T239" s="1"/>
      </tp>
      <tp t="s">
        <v>#N/A Field Not Applicable</v>
        <stp/>
        <stp>##V3_BDPV12</stp>
        <stp>9128285R Govt</stp>
        <stp>IDX_RATIO</stp>
        <stp>[TREASURY.xlsx]Sheet1!R140C20</stp>
        <tr r="T140" s="1"/>
      </tp>
      <tp t="s">
        <v>#N/A Field Not Applicable</v>
        <stp/>
        <stp>##V3_BDPV12</stp>
        <stp>9128285P Govt</stp>
        <stp>IDX_RATIO</stp>
        <stp>[TREASURY.xlsx]Sheet1!R271C20</stp>
        <tr r="T271" s="1"/>
      </tp>
      <tp t="s">
        <v>#N/A Field Not Applicable</v>
        <stp/>
        <stp>##V3_BDPV12</stp>
        <stp>9128275Z Govt</stp>
        <stp>IDX_RATIO</stp>
        <stp>[TREASURY.xlsx]Sheet1!R428C20</stp>
        <tr r="T428" s="1"/>
      </tp>
      <tp t="s">
        <v>#N/A Field Not Applicable</v>
        <stp/>
        <stp>##V3_BDPV12</stp>
        <stp>9128275X Govt</stp>
        <stp>IDX_RATIO</stp>
        <stp>[TREASURY.xlsx]Sheet1!R633C20</stp>
        <tr r="T633" s="1"/>
      </tp>
      <tp t="s">
        <v>#N/A Field Not Applicable</v>
        <stp/>
        <stp>##V3_BDPV12</stp>
        <stp>9128285Z Govt</stp>
        <stp>IDX_RATIO</stp>
        <stp>[TREASURY.xlsx]Sheet1!R220C20</stp>
        <tr r="T220" s="1"/>
      </tp>
      <tp t="s">
        <v>#N/A Field Not Applicable</v>
        <stp/>
        <stp>##V3_BDPV12</stp>
        <stp>9128285X Govt</stp>
        <stp>IDX_RATIO</stp>
        <stp>[TREASURY.xlsx]Sheet1!R372C20</stp>
        <tr r="T372" s="1"/>
      </tp>
      <tp t="s">
        <v>UNITED STATES</v>
        <stp/>
        <stp>##V3_BDPV12</stp>
        <stp>912827Q7 Govt</stp>
        <stp>COUNTRY_FULL_NAME</stp>
        <stp>[TREASURY.xlsx]Sheet1!R1178C8</stp>
        <tr r="H1178" s="1"/>
      </tp>
      <tp t="s">
        <v>#N/A Field Not Applicable</v>
        <stp/>
        <stp>##V3_BDPV12</stp>
        <stp>9128285G Govt</stp>
        <stp>IDX_RATIO</stp>
        <stp>[TREASURY.xlsx]Sheet1!R368C20</stp>
        <tr r="T368" s="1"/>
      </tp>
      <tp t="s">
        <v>S/A</v>
        <stp/>
        <stp>##V3_BDPV12</stp>
        <stp>912827T9 Govt</stp>
        <stp>COUPON_FREQUENCY_DESCRIPTION</stp>
        <stp>[TREASURY.xlsx]Sheet1!R1505C10</stp>
        <tr r="J1505" s="1"/>
      </tp>
      <tp t="s">
        <v>#N/A Field Not Applicable</v>
        <stp/>
        <stp>##V3_BDPV12</stp>
        <stp>9128285F Govt</stp>
        <stp>IDX_RATIO</stp>
        <stp>[TREASURY.xlsx]Sheet1!R106C20</stp>
        <tr r="T106" s="1"/>
      </tp>
      <tp t="s">
        <v>#N/A Field Not Applicable</v>
        <stp/>
        <stp>##V3_BDPV12</stp>
        <stp>9128285B Govt</stp>
        <stp>IDX_RATIO</stp>
        <stp>[TREASURY.xlsx]Sheet1!R442C20</stp>
        <tr r="T442" s="1"/>
      </tp>
      <tp t="s">
        <v>UNITED STATES</v>
        <stp/>
        <stp>##V3_BDPV12</stp>
        <stp>912828P5 Govt</stp>
        <stp>COUNTRY_FULL_NAME</stp>
        <stp>[TREASURY.xlsx]Sheet1!R1259C8</stp>
        <tr r="H1259" s="1"/>
      </tp>
      <tp t="s">
        <v>UNITED STATES</v>
        <stp/>
        <stp>##V3_BDPV12</stp>
        <stp>912827X2 Govt</stp>
        <stp>COUNTRY_FULL_NAME</stp>
        <stp>[TREASURY.xlsx]Sheet1!R1211C8</stp>
        <tr r="H1211" s="1"/>
      </tp>
      <tp t="s">
        <v>#N/A Field Not Applicable</v>
        <stp/>
        <stp>##V3_BDPV12</stp>
        <stp>9128285C Govt</stp>
        <stp>IDX_RATIO</stp>
        <stp>[TREASURY.xlsx]Sheet1!R205C20</stp>
        <tr r="T205" s="1"/>
      </tp>
      <tp t="s">
        <v>S/A</v>
        <stp/>
        <stp>##V3_BDPV12</stp>
        <stp>912828T8 Govt</stp>
        <stp>COUPON_FREQUENCY_DESCRIPTION</stp>
        <stp>[TREASURY.xlsx]Sheet1!R1304C10</stp>
        <tr r="J1304" s="1"/>
      </tp>
      <tp t="s">
        <v>#N/A Field Not Applicable</v>
        <stp/>
        <stp>##V3_BDPV12</stp>
        <stp>9128275E Govt</stp>
        <stp>IDX_RATIO</stp>
        <stp>[TREASURY.xlsx]Sheet1!R553C20</stp>
        <tr r="T553" s="1"/>
      </tp>
      <tp t="s">
        <v>#N/A Field Not Applicable</v>
        <stp/>
        <stp>##V3_BDPV12</stp>
        <stp>9128275F Govt</stp>
        <stp>IDX_RATIO</stp>
        <stp>[TREASURY.xlsx]Sheet1!R662C20</stp>
        <tr r="T662" s="1"/>
      </tp>
      <tp t="s">
        <v>S/A</v>
        <stp/>
        <stp>##V3_BDPV12</stp>
        <stp>912827T8 Govt</stp>
        <stp>COUPON_FREQUENCY_DESCRIPTION</stp>
        <stp>[TREASURY.xlsx]Sheet1!R1071C10</stp>
        <tr r="J1071" s="1"/>
      </tp>
      <tp t="s">
        <v>#N/A Field Not Applicable</v>
        <stp/>
        <stp>##V3_BDPV12</stp>
        <stp>9128285A Govt</stp>
        <stp>IDX_RATIO</stp>
        <stp>[TREASURY.xlsx]Sheet1!R283C20</stp>
        <tr r="T283" s="1"/>
      </tp>
      <tp t="s">
        <v>#N/A Field Not Applicable</v>
        <stp/>
        <stp>##V3_BDPV12</stp>
        <stp>9128285L Govt</stp>
        <stp>IDX_RATIO</stp>
        <stp>[TREASURY.xlsx]Sheet1!R193C20</stp>
        <tr r="T193" s="1"/>
      </tp>
      <tp t="s">
        <v>S/A</v>
        <stp/>
        <stp>##V3_BDPV12</stp>
        <stp>912827T6 Govt</stp>
        <stp>COUPON_FREQUENCY_DESCRIPTION</stp>
        <stp>[TREASURY.xlsx]Sheet1!R1191C10</stp>
        <tr r="J1191" s="1"/>
      </tp>
      <tp t="s">
        <v>S/A</v>
        <stp/>
        <stp>##V3_BDPV12</stp>
        <stp>912827T4 Govt</stp>
        <stp>COUPON_FREQUENCY_DESCRIPTION</stp>
        <stp>[TREASURY.xlsx]Sheet1!R1397C10</stp>
        <tr r="J1397" s="1"/>
      </tp>
      <tp t="s">
        <v>S/A</v>
        <stp/>
        <stp>##V3_BDPV12</stp>
        <stp>912827T7 Govt</stp>
        <stp>COUPON_FREQUENCY_DESCRIPTION</stp>
        <stp>[TREASURY.xlsx]Sheet1!R1070C10</stp>
        <tr r="J1070" s="1"/>
      </tp>
      <tp t="s">
        <v>#N/A Field Not Applicable</v>
        <stp/>
        <stp>##V3_BDPV12</stp>
        <stp>9128285N Govt</stp>
        <stp>IDX_RATIO</stp>
        <stp>[TREASURY.xlsx]Sheet1!R290C20</stp>
        <tr r="T290" s="1"/>
      </tp>
      <tp t="s">
        <v>#N/A Field Not Applicable</v>
        <stp/>
        <stp>##V3_BDPV12</stp>
        <stp>9128285K Govt</stp>
        <stp>IDX_RATIO</stp>
        <stp>[TREASURY.xlsx]Sheet1!R229C20</stp>
        <tr r="T229" s="1"/>
      </tp>
      <tp t="s">
        <v>S/A</v>
        <stp/>
        <stp>##V3_BDPV12</stp>
        <stp>912827T3 Govt</stp>
        <stp>COUPON_FREQUENCY_DESCRIPTION</stp>
        <stp>[TREASURY.xlsx]Sheet1!R1069C10</stp>
        <tr r="J1069" s="1"/>
      </tp>
      <tp t="s">
        <v>#N/A Field Not Applicable</v>
        <stp/>
        <stp>##V3_BDPV12</stp>
        <stp>9128285J Govt</stp>
        <stp>IDX_RATIO</stp>
        <stp>[TREASURY.xlsx]Sheet1!R248C20</stp>
        <tr r="T248" s="1"/>
      </tp>
      <tp t="s">
        <v>#N/A Field Not Applicable</v>
        <stp/>
        <stp>##V3_BDPV12</stp>
        <stp>9128275N Govt</stp>
        <stp>IDX_RATIO</stp>
        <stp>[TREASURY.xlsx]Sheet1!R674C20</stp>
        <tr r="T674" s="1"/>
      </tp>
      <tp t="s">
        <v>UNITED STATES</v>
        <stp/>
        <stp>##V3_BDPV12</stp>
        <stp>912827P9 Govt</stp>
        <stp>COUNTRY_FULL_NAME</stp>
        <stp>[TREASURY.xlsx]Sheet1!R1339C8</stp>
        <tr r="H1339" s="1"/>
      </tp>
      <tp t="s">
        <v>3/31/2012</v>
        <stp/>
        <stp>##V3_BDPV12</stp>
        <stp>912828RK Govt</stp>
        <stp>FIRST_CPN_DT</stp>
        <stp>[TREASURY.xlsx]Sheet1!R1266C9</stp>
        <tr r="I1266" s="1"/>
      </tp>
      <tp t="s">
        <v>3/31/1985</v>
        <stp/>
        <stp>##V3_BDPV12</stp>
        <stp>912827RF Govt</stp>
        <stp>FIRST_CPN_DT</stp>
        <stp>[TREASURY.xlsx]Sheet1!R1579C9</stp>
        <tr r="I1579" s="1"/>
      </tp>
      <tp t="s">
        <v>3/31/1995</v>
        <stp/>
        <stp>##V3_BDPV12</stp>
        <stp>912827R4 Govt</stp>
        <stp>FIRST_CPN_DT</stp>
        <stp>[TREASURY.xlsx]Sheet1!R1499C9</stp>
        <tr r="I1499" s="1"/>
      </tp>
      <tp t="s">
        <v>5/31/1986</v>
        <stp/>
        <stp>##V3_BDPV12</stp>
        <stp>912827SW Govt</stp>
        <stp>FIRST_CPN_DT</stp>
        <stp>[TREASURY.xlsx]Sheet1!R1189C9</stp>
        <tr r="I1189" s="1"/>
      </tp>
      <tp t="s">
        <v>12/31/1985</v>
        <stp/>
        <stp>##V3_BDPV12</stp>
        <stp>912827SK Govt</stp>
        <stp>FIRST_CPN_DT</stp>
        <stp>[TREASURY.xlsx]Sheet1!R1589C9</stp>
        <tr r="I1589" s="1"/>
      </tp>
      <tp t="s">
        <v>10/15/1983</v>
        <stp/>
        <stp>##V3_BDPV12</stp>
        <stp>912827PJ Govt</stp>
        <stp>FIRST_CPN_DT</stp>
        <stp>[TREASURY.xlsx]Sheet1!R1389C9</stp>
        <tr r="I1389" s="1"/>
      </tp>
      <tp t="s">
        <v>3/31/2011</v>
        <stp/>
        <stp>##V3_BDPV12</stp>
        <stp>912828PA Govt</stp>
        <stp>FIRST_CPN_DT</stp>
        <stp>[TREASURY.xlsx]Sheet1!R1296C9</stp>
        <tr r="I1296" s="1"/>
      </tp>
      <tp t="s">
        <v>8/15/1983</v>
        <stp/>
        <stp>##V3_BDPV12</stp>
        <stp>912827PD Govt</stp>
        <stp>FIRST_CPN_DT</stp>
        <stp>[TREASURY.xlsx]Sheet1!R1569C9</stp>
        <tr r="I1569" s="1"/>
      </tp>
      <tp t="s">
        <v>11/30/1994</v>
        <stp/>
        <stp>##V3_BDPV12</stp>
        <stp>912827P9 Govt</stp>
        <stp>FIRST_CPN_DT</stp>
        <stp>[TREASURY.xlsx]Sheet1!R1339C9</stp>
        <tr r="I1339" s="1"/>
      </tp>
      <tp t="s">
        <v>11/15/1984</v>
        <stp/>
        <stp>##V3_BDPV12</stp>
        <stp>912827QT Govt</stp>
        <stp>FIRST_CPN_DT</stp>
        <stp>[TREASURY.xlsx]Sheet1!R1059C9</stp>
        <tr r="I1059" s="1"/>
      </tp>
      <tp t="s">
        <v>11/15/1984</v>
        <stp/>
        <stp>##V3_BDPV12</stp>
        <stp>912827QN Govt</stp>
        <stp>FIRST_CPN_DT</stp>
        <stp>[TREASURY.xlsx]Sheet1!R1179C9</stp>
        <tr r="I1179" s="1"/>
      </tp>
      <tp t="s">
        <v>9/30/1988</v>
        <stp/>
        <stp>##V3_BDPV12</stp>
        <stp>912827VZ Govt</stp>
        <stp>FIRST_CPN_DT</stp>
        <stp>[TREASURY.xlsx]Sheet1!R1089C9</stp>
        <tr r="I1089" s="1"/>
      </tp>
      <tp t="s">
        <v>12/31/2014</v>
        <stp/>
        <stp>##V3_BDPV12</stp>
        <stp>912828WQ Govt</stp>
        <stp>FIRST_CPN_DT</stp>
        <stp>[TREASURY.xlsx]Sheet1!R1006C9</stp>
        <tr r="I1006" s="1"/>
      </tp>
      <tp t="s">
        <v>2/28/1989</v>
        <stp/>
        <stp>##V3_BDPV12</stp>
        <stp>912827WP Govt</stp>
        <stp>FIRST_CPN_DT</stp>
        <stp>[TREASURY.xlsx]Sheet1!R1419C9</stp>
        <tr r="I1419" s="1"/>
      </tp>
      <tp t="s">
        <v>5/15/1989</v>
        <stp/>
        <stp>##V3_BDPV12</stp>
        <stp>912827WV Govt</stp>
        <stp>FIRST_CPN_DT</stp>
        <stp>[TREASURY.xlsx]Sheet1!R1209C9</stp>
        <tr r="I1209" s="1"/>
      </tp>
      <tp t="s">
        <v>11/15/2014</v>
        <stp/>
        <stp>##V3_BDPV12</stp>
        <stp>912828WH Govt</stp>
        <stp>FIRST_CPN_DT</stp>
        <stp>[TREASURY.xlsx]Sheet1!R1306C9</stp>
        <tr r="I1306" s="1"/>
      </tp>
      <tp t="s">
        <v>9/30/1986</v>
        <stp/>
        <stp>##V3_BDPV12</stp>
        <stp>912827TL Govt</stp>
        <stp>FIRST_CPN_DT</stp>
        <stp>[TREASURY.xlsx]Sheet1!R1509C9</stp>
        <tr r="I1509" s="1"/>
      </tp>
      <tp t="s">
        <v>8/15/1986</v>
        <stp/>
        <stp>##V3_BDPV12</stp>
        <stp>912827TF Govt</stp>
        <stp>FIRST_CPN_DT</stp>
        <stp>[TREASURY.xlsx]Sheet1!R1399C9</stp>
        <tr r="I1399" s="1"/>
      </tp>
      <tp t="s">
        <v>9/30/1995</v>
        <stp/>
        <stp>##V3_BDPV12</stp>
        <stp>912827T3 Govt</stp>
        <stp>FIRST_CPN_DT</stp>
        <stp>[TREASURY.xlsx]Sheet1!R1069C9</stp>
        <tr r="I1069" s="1"/>
      </tp>
      <tp t="s">
        <v>12/31/1987</v>
        <stp/>
        <stp>##V3_BDPV12</stp>
        <stp>912827UZ Govt</stp>
        <stp>FIRST_CPN_DT</stp>
        <stp>[TREASURY.xlsx]Sheet1!R1409C9</stp>
        <tr r="I1409" s="1"/>
      </tp>
      <tp t="s">
        <v>8/31/2013</v>
        <stp/>
        <stp>##V3_BDPV12</stp>
        <stp>912828UR Govt</stp>
        <stp>FIRST_CPN_DT</stp>
        <stp>[TREASURY.xlsx]Sheet1!R1146C9</stp>
        <tr r="I1146" s="1"/>
      </tp>
      <tp t="s">
        <v>11/15/1987</v>
        <stp/>
        <stp>##V3_BDPV12</stp>
        <stp>912827UQ Govt</stp>
        <stp>FIRST_CPN_DT</stp>
        <stp>[TREASURY.xlsx]Sheet1!R1079C9</stp>
        <tr r="I1079" s="1"/>
      </tp>
      <tp t="s">
        <v>7/31/2013</v>
        <stp/>
        <stp>##V3_BDPV12</stp>
        <stp>912828UK Govt</stp>
        <stp>FIRST_CPN_DT</stp>
        <stp>[TREASURY.xlsx]Sheet1!R1136C9</stp>
        <tr r="I1136" s="1"/>
      </tp>
      <tp t="s">
        <v>5/31/1987</v>
        <stp/>
        <stp>##V3_BDPV12</stp>
        <stp>912827UG Govt</stp>
        <stp>FIRST_CPN_DT</stp>
        <stp>[TREASURY.xlsx]Sheet1!R1199C9</stp>
        <tr r="I1199" s="1"/>
      </tp>
      <tp t="s">
        <v>2/28/1991</v>
        <stp/>
        <stp>##V3_BDPV12</stp>
        <stp>912827ZF Govt</stp>
        <stp>FIRST_CPN_DT</stp>
        <stp>[TREASURY.xlsx]Sheet1!R1229C9</stp>
        <tr r="I1229" s="1"/>
      </tp>
      <tp t="s">
        <v>3/31/1997</v>
        <stp/>
        <stp>##V3_BDPV12</stp>
        <stp>912827Z5 Govt</stp>
        <stp>FIRST_CPN_DT</stp>
        <stp>[TREASURY.xlsx]Sheet1!R1609C9</stp>
        <tr r="I1609" s="1"/>
      </tp>
      <tp t="s">
        <v>2/15/1990</v>
        <stp/>
        <stp>##V3_BDPV12</stp>
        <stp>912827XV Govt</stp>
        <stp>FIRST_CPN_DT</stp>
        <stp>[TREASURY.xlsx]Sheet1!R1599C9</stp>
        <tr r="I1599" s="1"/>
      </tp>
      <tp t="s">
        <v>1/31/1997</v>
        <stp/>
        <stp>##V3_BDPV12</stp>
        <stp>912827Y6 Govt</stp>
        <stp>FIRST_CPN_DT</stp>
        <stp>[TREASURY.xlsx]Sheet1!R1099C9</stp>
        <tr r="I1099" s="1"/>
      </tp>
      <tp t="s">
        <v>1/31/1997</v>
        <stp/>
        <stp>##V3_BDPV12</stp>
        <stp>912827Y7 Govt</stp>
        <stp>FIRST_CPN_DT</stp>
        <stp>[TREASURY.xlsx]Sheet1!R1219C9</stp>
        <tr r="I1219" s="1"/>
      </tp>
      <tp t="s">
        <v>12/31/1991</v>
        <stp/>
        <stp>##V3_BDPV12</stp>
        <stp>912827B3 Govt</stp>
        <stp>FIRST_CPN_DT</stp>
        <stp>[TREASURY.xlsx]Sheet1!R1549C9</stp>
        <tr r="I1549" s="1"/>
      </tp>
      <tp t="s">
        <v>1/31/2005</v>
        <stp/>
        <stp>##V3_BDPV12</stp>
        <stp>912828CQ Govt</stp>
        <stp>FIRST_CPN_DT</stp>
        <stp>[TREASURY.xlsx]Sheet1!R1236C9</stp>
        <tr r="I1236" s="1"/>
      </tp>
      <tp t="s">
        <v>10/15/2004</v>
        <stp/>
        <stp>##V3_BDPV12</stp>
        <stp>912828CE Govt</stp>
        <stp>FIRST_CPN_DT</stp>
        <stp>[TREASURY.xlsx]Sheet1!R1426C9</stp>
        <tr r="I1426" s="1"/>
      </tp>
      <tp t="s">
        <v>2/29/1992</v>
        <stp/>
        <stp>##V3_BDPV12</stp>
        <stp>912827C2 Govt</stp>
        <stp>FIRST_CPN_DT</stp>
        <stp>[TREASURY.xlsx]Sheet1!R1479C9</stp>
        <tr r="I1479" s="1"/>
      </tp>
      <tp t="s">
        <v>4/30/2003</v>
        <stp/>
        <stp>##V3_BDPV12</stp>
        <stp>912828AM Govt</stp>
        <stp>FIRST_CPN_DT</stp>
        <stp>[TREASURY.xlsx]Sheet1!R1616C9</stp>
        <tr r="I1616" s="1"/>
      </tp>
      <tp t="s">
        <v>9/30/1991</v>
        <stp/>
        <stp>##V3_BDPV12</stp>
        <stp>912827A2 Govt</stp>
        <stp>FIRST_CPN_DT</stp>
        <stp>[TREASURY.xlsx]Sheet1!R1029C9</stp>
        <tr r="I1029" s="1"/>
      </tp>
      <tp t="s">
        <v>2/15/2007</v>
        <stp/>
        <stp>##V3_BDPV12</stp>
        <stp>912828FP Govt</stp>
        <stp>FIRST_CPN_DT</stp>
        <stp>[TREASURY.xlsx]Sheet1!R1276C9</stp>
        <tr r="I1276" s="1"/>
      </tp>
      <tp t="s">
        <v>11/15/1992</v>
        <stp/>
        <stp>##V3_BDPV12</stp>
        <stp>912827F4 Govt</stp>
        <stp>FIRST_CPN_DT</stp>
        <stp>[TREASURY.xlsx]Sheet1!R1559C9</stp>
        <tr r="I1559" s="1"/>
      </tp>
      <tp t="s">
        <v>12/31/2007</v>
        <stp/>
        <stp>##V3_BDPV12</stp>
        <stp>912828GW Govt</stp>
        <stp>FIRST_CPN_DT</stp>
        <stp>[TREASURY.xlsx]Sheet1!R1436C9</stp>
        <tr r="I1436" s="1"/>
      </tp>
      <tp t="s">
        <v>7/15/2006</v>
        <stp/>
        <stp>##V3_BDPV12</stp>
        <stp>912828ES Govt</stp>
        <stp>FIRST_CPN_DT</stp>
        <stp>[TREASURY.xlsx]Sheet1!R1116C9</stp>
        <tr r="I1116" s="1"/>
      </tp>
      <tp t="s">
        <v>4/30/2009</v>
        <stp/>
        <stp>##V3_BDPV12</stp>
        <stp>912828JP Govt</stp>
        <stp>FIRST_CPN_DT</stp>
        <stp>[TREASURY.xlsx]Sheet1!R1286C9</stp>
        <tr r="I1286" s="1"/>
      </tp>
      <tp t="s">
        <v>8/31/2015</v>
        <stp/>
        <stp>##V3_BDPV12</stp>
        <stp>912828J3 Govt</stp>
        <stp>FIRST_CPN_DT</stp>
        <stp>[TREASURY.xlsx]Sheet1!R1246C9</stp>
        <tr r="I1246" s="1"/>
      </tp>
      <tp t="s">
        <v>12/15/2009</v>
        <stp/>
        <stp>##V3_BDPV12</stp>
        <stp>912828KX Govt</stp>
        <stp>FIRST_CPN_DT</stp>
        <stp>[TREASURY.xlsx]Sheet1!R1126C9</stp>
        <tr r="I1126" s="1"/>
      </tp>
      <tp t="s">
        <v>9/30/1993</v>
        <stp/>
        <stp>##V3_BDPV12</stp>
        <stp>912827K3 Govt</stp>
        <stp>FIRST_CPN_DT</stp>
        <stp>[TREASURY.xlsx]Sheet1!R1039C9</stp>
        <tr r="I1039" s="1"/>
      </tp>
      <tp t="s">
        <v>9/30/1993</v>
        <stp/>
        <stp>##V3_BDPV12</stp>
        <stp>912827K2 Govt</stp>
        <stp>FIRST_CPN_DT</stp>
        <stp>[TREASURY.xlsx]Sheet1!R1489C9</stp>
        <tr r="I1489" s="1"/>
      </tp>
      <tp t="s">
        <v>10/31/1993</v>
        <stp/>
        <stp>##V3_BDPV12</stp>
        <stp>912827K5 Govt</stp>
        <stp>FIRST_CPN_DT</stp>
        <stp>[TREASURY.xlsx]Sheet1!R1159C9</stp>
        <tr r="I1159" s="1"/>
      </tp>
      <tp t="s">
        <v>11/30/1982</v>
        <stp/>
        <stp>##V3_BDPV12</stp>
        <stp>912827NF Govt</stp>
        <stp>FIRST_CPN_DT</stp>
        <stp>[TREASURY.xlsx]Sheet1!R1049C9</stp>
        <tr r="I1049" s="1"/>
      </tp>
      <tp t="s">
        <v>2/15/1983</v>
        <stp/>
        <stp>##V3_BDPV12</stp>
        <stp>912827NG Govt</stp>
        <stp>FIRST_CPN_DT</stp>
        <stp>[TREASURY.xlsx]Sheet1!R1169C9</stp>
        <tr r="I1169" s="1"/>
      </tp>
      <tp t="s">
        <v>11/30/2010</v>
        <stp/>
        <stp>##V3_BDPV12</stp>
        <stp>912828NF Govt</stp>
        <stp>FIRST_CPN_DT</stp>
        <stp>[TREASURY.xlsx]Sheet1!R1256C9</stp>
        <tr r="I1256" s="1"/>
      </tp>
      <tp t="s">
        <v>5/31/1994</v>
        <stp/>
        <stp>##V3_BDPV12</stp>
        <stp>912827N2 Govt</stp>
        <stp>FIRST_CPN_DT</stp>
        <stp>[TREASURY.xlsx]Sheet1!R1329C9</stp>
        <tr r="I1329" s="1"/>
      </tp>
      <tp t="s">
        <v>10/15/1981</v>
        <stp/>
        <stp>##V3_BDPV12</stp>
        <stp>912827LT Govt</stp>
        <stp>FIRST_CPN_DT</stp>
        <stp>[TREASURY.xlsx]Sheet1!R1379C9</stp>
        <tr r="I1379" s="1"/>
      </tp>
      <tp t="s">
        <v>2/15/1994</v>
        <stp/>
        <stp>##V3_BDPV12</stp>
        <stp>912827L8 Govt</stp>
        <stp>FIRST_CPN_DT</stp>
        <stp>[TREASURY.xlsx]Sheet1!R1319C9</stp>
        <tr r="I1319" s="1"/>
      </tp>
      <tp t="s">
        <v>8/31/1997</v>
        <stp/>
        <stp>##V3_BDPV12</stp>
        <stp>9128272K Govt</stp>
        <stp>FIRST_CPN_DT</stp>
        <stp>[TREASURY.xlsx]Sheet1!R1518C9</stp>
        <tr r="I1518" s="1"/>
      </tp>
      <tp t="s">
        <v>5/31/1997</v>
        <stp/>
        <stp>##V3_BDPV12</stp>
        <stp>9128272B Govt</stp>
        <stp>FIRST_CPN_DT</stp>
        <stp>[TREASURY.xlsx]Sheet1!R1008C9</stp>
        <tr r="I1008" s="1"/>
      </tp>
      <tp t="s">
        <v>5/31/1998</v>
        <stp/>
        <stp>##V3_BDPV12</stp>
        <stp>9128273Q Govt</stp>
        <stp>FIRST_CPN_DT</stp>
        <stp>[TREASURY.xlsx]Sheet1!R1358C9</stp>
        <tr r="I1358" s="1"/>
      </tp>
      <tp t="s">
        <v>3/31/1998</v>
        <stp/>
        <stp>##V3_BDPV12</stp>
        <stp>9128273J Govt</stp>
        <stp>FIRST_CPN_DT</stp>
        <stp>[TREASURY.xlsx]Sheet1!R1528C9</stp>
        <tr r="I1528" s="1"/>
      </tp>
      <tp t="s">
        <v>9/30/2001</v>
        <stp/>
        <stp>##V3_BDPV12</stp>
        <stp>9128276V Govt</stp>
        <stp>FIRST_CPN_DT</stp>
        <stp>[TREASURY.xlsx]Sheet1!R1468C9</stp>
        <tr r="I1468" s="1"/>
      </tp>
      <tp t="s">
        <v>3/31/2001</v>
        <stp/>
        <stp>##V3_BDPV12</stp>
        <stp>9128276L Govt</stp>
        <stp>FIRST_CPN_DT</stp>
        <stp>[TREASURY.xlsx]Sheet1!R1538C9</stp>
        <tr r="I1538" s="1"/>
      </tp>
      <tp t="s">
        <v>6/30/2002</v>
        <stp/>
        <stp>##V3_BDPV12</stp>
        <stp>9128277H Govt</stp>
        <stp>FIRST_CPN_DT</stp>
        <stp>[TREASURY.xlsx]Sheet1!R1028C9</stp>
        <tr r="I1028" s="1"/>
      </tp>
      <tp t="s">
        <v>6/30/1999</v>
        <stp/>
        <stp>##V3_BDPV12</stp>
        <stp>9128274X Govt</stp>
        <stp>FIRST_CPN_DT</stp>
        <stp>[TREASURY.xlsx]Sheet1!R1368C9</stp>
        <tr r="I1368" s="1"/>
      </tp>
      <tp t="s">
        <v>10/31/1998</v>
        <stp/>
        <stp>##V3_BDPV12</stp>
        <stp>9128274C Govt</stp>
        <stp>FIRST_CPN_DT</stp>
        <stp>[TREASURY.xlsx]Sheet1!R1458C9</stp>
        <tr r="I1458" s="1"/>
      </tp>
      <tp t="s">
        <v>4/30/2000</v>
        <stp/>
        <stp>##V3_BDPV12</stp>
        <stp>9128275R Govt</stp>
        <stp>FIRST_CPN_DT</stp>
        <stp>[TREASURY.xlsx]Sheet1!R1018C9</stp>
        <tr r="I1018" s="1"/>
      </tp>
      <tp>
        <v>2.75</v>
        <stp/>
        <stp>##V3_BDPV12</stp>
        <stp>912828WE Govt</stp>
        <stp>CPN</stp>
        <stp>[TREASURY.xlsx]Sheet1!R108C3</stp>
        <tr r="C108" s="1"/>
      </tp>
      <tp>
        <v>1.875</v>
        <stp/>
        <stp>##V3_BDPV12</stp>
        <stp>912828XD Govt</stp>
        <stp>CPN</stp>
        <stp>[TREASURY.xlsx]Sheet1!R189C3</stp>
        <tr r="C189" s="1"/>
      </tp>
      <tp>
        <v>0.25</v>
        <stp/>
        <stp>##V3_BDPV12</stp>
        <stp>912828ZH Govt</stp>
        <stp>CPN</stp>
        <stp>[TREASURY.xlsx]Sheet1!R165C3</stp>
        <tr r="C165" s="1"/>
      </tp>
      <tp>
        <v>1.5</v>
        <stp/>
        <stp>##V3_BDPV12</stp>
        <stp>912828YH Govt</stp>
        <stp>CPN</stp>
        <stp>[TREASURY.xlsx]Sheet1!R135C3</stp>
        <tr r="C135" s="1"/>
      </tp>
      <tp>
        <v>0.25</v>
        <stp/>
        <stp>##V3_BDPV12</stp>
        <stp>912828SE Govt</stp>
        <stp>CPN</stp>
        <stp>[TREASURY.xlsx]Sheet1!R618C3</stp>
        <tr r="C618" s="1"/>
      </tp>
      <tp>
        <v>11.75</v>
        <stp/>
        <stp>##V3_BDPV12</stp>
        <stp>912827QJ Govt</stp>
        <stp>CPN</stp>
        <stp>[TREASURY.xlsx]Sheet1!R907C3</stp>
        <tr r="C907" s="1"/>
      </tp>
      <tp>
        <v>9.875</v>
        <stp/>
        <stp>##V3_BDPV12</stp>
        <stp>912827PN Govt</stp>
        <stp>CPN</stp>
        <stp>[TREASURY.xlsx]Sheet1!R903C3</stp>
        <tr r="C903" s="1"/>
      </tp>
      <tp>
        <v>12.375</v>
        <stp/>
        <stp>##V3_BDPV12</stp>
        <stp>912827LL Govt</stp>
        <stp>CPN</stp>
        <stp>[TREASURY.xlsx]Sheet1!R891C3</stp>
        <tr r="C891" s="1"/>
      </tp>
      <tp>
        <v>15.875</v>
        <stp/>
        <stp>##V3_BDPV12</stp>
        <stp>912827MJ Govt</stp>
        <stp>CPN</stp>
        <stp>[TREASURY.xlsx]Sheet1!R897C3</stp>
        <tr r="C897" s="1"/>
      </tp>
      <tp>
        <v>4.25</v>
        <stp/>
        <stp>##V3_BDPV12</stp>
        <stp>912828EK Govt</stp>
        <stp>CPN</stp>
        <stp>[TREASURY.xlsx]Sheet1!R796C3</stp>
        <tr r="C796" s="1"/>
      </tp>
      <tp>
        <v>3.125</v>
        <stp/>
        <stp>##V3_BDPV12</stp>
        <stp>912828BK Govt</stp>
        <stp>CPN</stp>
        <stp>[TREASURY.xlsx]Sheet1!R786C3</stp>
        <tr r="C786" s="1"/>
      </tp>
      <tp t="s">
        <v>#N/A N/A</v>
        <stp/>
        <stp>##V3_BDPV12</stp>
        <stp>912810EK Govt</stp>
        <stp>YLD_YTM_BID</stp>
        <stp>[TREASURY.xlsx]Sheet1!R357C4</stp>
        <tr r="D357" s="1"/>
      </tp>
      <tp>
        <v>1.875</v>
        <stp/>
        <stp>##V3_BDPV12</stp>
        <stp>912828VJ Govt</stp>
        <stp>CPN</stp>
        <stp>[TREASURY.xlsx]Sheet1!R447C3</stp>
        <tr r="C447" s="1"/>
      </tp>
      <tp>
        <v>2.125</v>
        <stp/>
        <stp>##V3_BDPV12</stp>
        <stp>912828QJ Govt</stp>
        <stp>CPN</stp>
        <stp>[TREASURY.xlsx]Sheet1!R407C3</stp>
        <tr r="C407" s="1"/>
      </tp>
      <tp>
        <v>0.75</v>
        <stp/>
        <stp>##V3_BDPV12</stp>
        <stp>912828QL Govt</stp>
        <stp>CPN</stp>
        <stp>[TREASURY.xlsx]Sheet1!R401C3</stp>
        <tr r="C401" s="1"/>
      </tp>
      <tp>
        <v>1.5</v>
        <stp/>
        <stp>##V3_BDPV12</stp>
        <stp>912828XE Govt</stp>
        <stp>CPN</stp>
        <stp>[TREASURY.xlsx]Sheet1!R448C3</stp>
        <tr r="C448" s="1"/>
      </tp>
      <tp>
        <v>2.375</v>
        <stp/>
        <stp>##V3_BDPV12</stp>
        <stp>912828LK Govt</stp>
        <stp>CPN</stp>
        <stp>[TREASURY.xlsx]Sheet1!R546C3</stp>
        <tr r="C546" s="1"/>
      </tp>
      <tp>
        <v>1.25</v>
        <stp/>
        <stp>##V3_BDPV12</stp>
        <stp>912828PE Govt</stp>
        <stp>CPN</stp>
        <stp>[TREASURY.xlsx]Sheet1!R548C3</stp>
        <tr r="C548" s="1"/>
      </tp>
      <tp>
        <v>0.25</v>
        <stp/>
        <stp>##V3_BDPV12</stp>
        <stp>912828SL Govt</stp>
        <stp>CPN</stp>
        <stp>[TREASURY.xlsx]Sheet1!R511C3</stp>
        <tr r="C511" s="1"/>
      </tp>
      <tp>
        <v>0.875</v>
        <stp/>
        <stp>##V3_BDPV12</stp>
        <stp>912828TH Govt</stp>
        <stp>CPN</stp>
        <stp>[TREASURY.xlsx]Sheet1!R585C3</stp>
        <tr r="C585" s="1"/>
      </tp>
      <tp>
        <v>1.25</v>
        <stp/>
        <stp>##V3_BDPV12</stp>
        <stp>912828QH Govt</stp>
        <stp>CPN</stp>
        <stp>[TREASURY.xlsx]Sheet1!R595C3</stp>
        <tr r="C595" s="1"/>
      </tp>
      <tp>
        <v>11.5</v>
        <stp/>
        <stp>##V3_BDPV12</stp>
        <stp>912827KH Govt</stp>
        <stp>CPN</stp>
        <stp>[TREASURY.xlsx]Sheet1!R455C3</stp>
        <tr r="C455" s="1"/>
      </tp>
      <tp>
        <v>3.125</v>
        <stp/>
        <stp>##V3_BDPV12</stp>
        <stp>912828JM Govt</stp>
        <stp>CPN</stp>
        <stp>[TREASURY.xlsx]Sheet1!R810C3</stp>
        <tr r="C810" s="1"/>
      </tp>
      <tp>
        <v>3.125</v>
        <stp/>
        <stp>##V3_BDPV12</stp>
        <stp>912828HJ Govt</stp>
        <stp>CPN</stp>
        <stp>[TREASURY.xlsx]Sheet1!R807C3</stp>
        <tr r="C807" s="1"/>
      </tp>
      <tp>
        <v>3.25</v>
        <stp/>
        <stp>##V3_BDPV12</stp>
        <stp>912828MD Govt</stp>
        <stp>CPN</stp>
        <stp>[TREASURY.xlsx]Sheet1!R859C3</stp>
        <tr r="C859" s="1"/>
      </tp>
      <tp>
        <v>10.875</v>
        <stp/>
        <stp>##V3_BDPV12</stp>
        <stp>912827QL Govt</stp>
        <stp>CPN</stp>
        <stp>[TREASURY.xlsx]Sheet1!R741C3</stp>
        <tr r="C741" s="1"/>
      </tp>
      <tp>
        <v>1.5</v>
        <stp/>
        <stp>##V3_BDPV12</stp>
        <stp>912828RE Govt</stp>
        <stp>CPN</stp>
        <stp>[TREASURY.xlsx]Sheet1!R868C3</stp>
        <tr r="C868" s="1"/>
      </tp>
      <tp>
        <v>3.375</v>
        <stp/>
        <stp>##V3_BDPV12</stp>
        <stp>912828DN Govt</stp>
        <stp>CPN</stp>
        <stp>[TREASURY.xlsx]Sheet1!R963C3</stp>
        <tr r="C963" s="1"/>
      </tp>
      <tp>
        <v>4</v>
        <stp/>
        <stp>##V3_BDPV12</stp>
        <stp>912828HD Govt</stp>
        <stp>CPN</stp>
        <stp>[TREASURY.xlsx]Sheet1!R969C3</stp>
        <tr r="C969" s="1"/>
      </tp>
      <tp t="s">
        <v>#N/A N/A</v>
        <stp/>
        <stp>##V3_BDPV12</stp>
        <stp>912827ZH Govt</stp>
        <stp>YLD_YTM_BID</stp>
        <stp>[TREASURY.xlsx]Sheet1!R634C4</stp>
        <tr r="D634" s="1"/>
      </tp>
      <tp t="s">
        <v>#N/A N/A</v>
        <stp/>
        <stp>##V3_BDPV12</stp>
        <stp>912828QE Govt</stp>
        <stp>YLD_YTM_BID</stp>
        <stp>[TREASURY.xlsx]Sheet1!R989C4</stp>
        <tr r="D989" s="1"/>
      </tp>
      <tp t="s">
        <v>#N/A N/A</v>
        <stp/>
        <stp>##V3_BDPV12</stp>
        <stp>9128282K Govt</stp>
        <stp>YLD_YTM_BID</stp>
        <stp>[TREASURY.xlsx]Sheet1!R957C4</stp>
        <tr r="D957" s="1"/>
      </tp>
      <tp t="s">
        <v>#N/A N/A</v>
        <stp/>
        <stp>##V3_BDPV12</stp>
        <stp>912828MM Govt</stp>
        <stp>YLD_YTM_BID</stp>
        <stp>[TREASURY.xlsx]Sheet1!R821C4</stp>
        <tr r="D821" s="1"/>
      </tp>
      <tp t="s">
        <v>#N/A N/A</v>
        <stp/>
        <stp>##V3_BDPV12</stp>
        <stp>912828MN Govt</stp>
        <stp>YLD_YTM_BID</stp>
        <stp>[TREASURY.xlsx]Sheet1!R822C4</stp>
        <tr r="D822" s="1"/>
      </tp>
      <tp t="s">
        <v>#N/A N/A</v>
        <stp/>
        <stp>##V3_BDPV12</stp>
        <stp>912827MH Govt</stp>
        <stp>YLD_YTM_BID</stp>
        <stp>[TREASURY.xlsx]Sheet1!R544C4</stp>
        <tr r="D544" s="1"/>
      </tp>
      <tp>
        <v>8</v>
        <stp/>
        <stp>##V3_BDPV12</stp>
        <stp>912810EL Govt</stp>
        <stp>CPN</stp>
        <stp>[TREASURY.xlsx]Sheet1!R211C3</stp>
        <tr r="C211" s="1"/>
      </tp>
      <tp>
        <v>6.125</v>
        <stp/>
        <stp>##V3_BDPV12</stp>
        <stp>912810FJ Govt</stp>
        <stp>CPN</stp>
        <stp>[TREASURY.xlsx]Sheet1!R267C3</stp>
        <tr r="C267" s="1"/>
      </tp>
      <tp>
        <v>2.875</v>
        <stp/>
        <stp>##V3_BDPV12</stp>
        <stp>912810RN Govt</stp>
        <stp>CPN</stp>
        <stp>[TREASURY.xlsx]Sheet1!R293C3</stp>
        <tr r="C293" s="1"/>
      </tp>
      <tp t="s">
        <v>#N/A N/A</v>
        <stp/>
        <stp>##V3_BDPV12</stp>
        <stp>912828PH Govt</stp>
        <stp>YLD_YTM_BID</stp>
        <stp>[TREASURY.xlsx]Sheet1!R464C4</stp>
        <tr r="D464" s="1"/>
      </tp>
      <tp>
        <v>4.25</v>
        <stp/>
        <stp>##V3_BDPV12</stp>
        <stp>912810QL Govt</stp>
        <stp>CPN</stp>
        <stp>[TREASURY.xlsx]Sheet1!R321C3</stp>
        <tr r="C321" s="1"/>
      </tp>
      <tp t="s">
        <v>#N/A N/A</v>
        <stp/>
        <stp>##V3_BDPV12</stp>
        <stp>912827LE Govt</stp>
        <stp>YLD_YTM_BID</stp>
        <stp>[TREASURY.xlsx]Sheet1!R889C4</stp>
        <tr r="D889" s="1"/>
      </tp>
      <tp t="s">
        <v>#N/A N/A</v>
        <stp/>
        <stp>##V3_BDPV12</stp>
        <stp>9128283H Govt</stp>
        <stp>YLD_YTM_BID</stp>
        <stp>[TREASURY.xlsx]Sheet1!R784C4</stp>
        <tr r="D784" s="1"/>
      </tp>
      <tp t="s">
        <v>#N/A N/A</v>
        <stp/>
        <stp>##V3_BDPV12</stp>
        <stp>912827VH Govt</stp>
        <stp>YLD_YTM_BID</stp>
        <stp>[TREASURY.xlsx]Sheet1!R924C4</stp>
        <tr r="D924" s="1"/>
      </tp>
      <tp t="s">
        <v>#N/A N/A</v>
        <stp/>
        <stp>##V3_BDPV12</stp>
        <stp>912827XJ Govt</stp>
        <stp>YLD_YTM_BID</stp>
        <stp>[TREASURY.xlsx]Sheet1!R936C4</stp>
        <tr r="D936" s="1"/>
      </tp>
      <tp>
        <v>0.96754241518504747</v>
        <stp/>
        <stp>##V3_BDPV12</stp>
        <stp>912828YD Govt</stp>
        <stp>YLD_YTM_BID</stp>
        <stp>[TREASURY.xlsx]Sheet1!R178C4</stp>
        <tr r="D178" s="1"/>
      </tp>
      <tp t="s">
        <v>#N/A N/A</v>
        <stp/>
        <stp>##V3_BDPV12</stp>
        <stp>9128283L Govt</stp>
        <stp>YLD_YTM_BID</stp>
        <stp>[TREASURY.xlsx]Sheet1!R350C4</stp>
        <tr r="D350" s="1"/>
      </tp>
      <tp t="s">
        <v>#N/A N/A</v>
        <stp/>
        <stp>##V3_BDPV12</stp>
        <stp>9128286D Govt</stp>
        <stp>YLD_YTM_BID</stp>
        <stp>[TREASURY.xlsx]Sheet1!R348C4</stp>
        <tr r="D348" s="1"/>
      </tp>
      <tp>
        <v>0.5688246635004347</v>
        <stp/>
        <stp>##V3_BDPV12</stp>
        <stp>9128283J Govt</stp>
        <stp>YLD_YTM_BID</stp>
        <stp>[TREASURY.xlsx]Sheet1!R216C4</stp>
        <tr r="D216" s="1"/>
      </tp>
      <tp t="s">
        <v>5/15/1983</v>
        <stp/>
        <stp>##V3_BDPV12</stp>
        <stp>912810DA Govt</stp>
        <stp>FIRST_CPN_DT</stp>
        <stp>[TREASURY.xlsx]Sheet1!R529C9</stp>
        <tr r="I529" s="1"/>
      </tp>
      <tp t="s">
        <v>2/15/1988</v>
        <stp/>
        <stp>##V3_BDPV12</stp>
        <stp>912810DZ Govt</stp>
        <stp>FIRST_CPN_DT</stp>
        <stp>[TREASURY.xlsx]Sheet1!R699C9</stp>
        <tr r="I699" s="1"/>
      </tp>
      <tp t="s">
        <v>11/15/1986</v>
        <stp/>
        <stp>##V3_BDPV12</stp>
        <stp>912810DW Govt</stp>
        <stp>FIRST_CPN_DT</stp>
        <stp>[TREASURY.xlsx]Sheet1!R609C9</stp>
        <tr r="I609" s="1"/>
      </tp>
      <tp t="s">
        <v>5/15/1993</v>
        <stp/>
        <stp>##V3_BDPV12</stp>
        <stp>912810EN Govt</stp>
        <stp>FIRST_CPN_DT</stp>
        <stp>[TREASURY.xlsx]Sheet1!R319C9</stp>
        <tr r="I319" s="1"/>
      </tp>
      <tp t="s">
        <v>11/15/1984</v>
        <stp/>
        <stp>##V3_BDPV12</stp>
        <stp>912810DJ Govt</stp>
        <stp>FIRST_CPN_DT</stp>
        <stp>[TREASURY.xlsx]Sheet1!R399C9</stp>
        <tr r="I399" s="1"/>
      </tp>
      <tp t="s">
        <v>11/15/2013</v>
        <stp/>
        <stp>##V3_BDPV12</stp>
        <stp>912810RB Govt</stp>
        <stp>FIRST_CPN_DT</stp>
        <stp>[TREASURY.xlsx]Sheet1!R269C9</stp>
        <tr r="I269" s="1"/>
      </tp>
      <tp t="s">
        <v>2/15/2015</v>
        <stp/>
        <stp>##V3_BDPV12</stp>
        <stp>912810RH Govt</stp>
        <stp>FIRST_CPN_DT</stp>
        <stp>[TREASURY.xlsx]Sheet1!R259C9</stp>
        <tr r="I259" s="1"/>
      </tp>
      <tp t="s">
        <v>8/15/2008</v>
        <stp/>
        <stp>##V3_BDPV12</stp>
        <stp>912810PW Govt</stp>
        <stp>FIRST_CPN_DT</stp>
        <stp>[TREASURY.xlsx]Sheet1!R289C9</stp>
        <tr r="I289" s="1"/>
      </tp>
      <tp t="s">
        <v>S/A</v>
        <stp/>
        <stp>##V3_BDPV12</stp>
        <stp>912827UL Govt</stp>
        <stp>COUPON_FREQUENCY_DESCRIPTION</stp>
        <stp>[TREASURY.xlsx]Sheet1!R1201C10</stp>
        <tr r="J1201" s="1"/>
      </tp>
      <tp t="s">
        <v>S/A</v>
        <stp/>
        <stp>##V3_BDPV12</stp>
        <stp>912828UL Govt</stp>
        <stp>COUPON_FREQUENCY_DESCRIPTION</stp>
        <stp>[TREASURY.xlsx]Sheet1!R1000C10</stp>
        <tr r="J1000" s="1"/>
      </tp>
      <tp t="s">
        <v>UNITED STATES</v>
        <stp/>
        <stp>##V3_BDPV12</stp>
        <stp>912828PD Govt</stp>
        <stp>COUNTRY_FULL_NAME</stp>
        <stp>[TREASURY.xlsx]Sheet1!R1298C8</stp>
        <tr r="H1298" s="1"/>
      </tp>
      <tp t="s">
        <v>S/A</v>
        <stp/>
        <stp>##V3_BDPV12</stp>
        <stp>912828UK Govt</stp>
        <stp>COUPON_FREQUENCY_DESCRIPTION</stp>
        <stp>[TREASURY.xlsx]Sheet1!R1136C10</stp>
        <tr r="J1136" s="1"/>
      </tp>
      <tp t="s">
        <v>S/A</v>
        <stp/>
        <stp>##V3_BDPV12</stp>
        <stp>912827UN Govt</stp>
        <stp>COUPON_FREQUENCY_DESCRIPTION</stp>
        <stp>[TREASURY.xlsx]Sheet1!R1406C10</stp>
        <tr r="J1406" s="1"/>
      </tp>
      <tp t="s">
        <v>UNITED STATES</v>
        <stp/>
        <stp>##V3_BDPV12</stp>
        <stp>912827PB Govt</stp>
        <stp>COUNTRY_FULL_NAME</stp>
        <stp>[TREASURY.xlsx]Sheet1!R1388C8</stp>
        <tr r="H1388" s="1"/>
      </tp>
      <tp t="s">
        <v>S/A</v>
        <stp/>
        <stp>##V3_BDPV12</stp>
        <stp>912827UH Govt</stp>
        <stp>COUPON_FREQUENCY_DESCRIPTION</stp>
        <stp>[TREASURY.xlsx]Sheet1!R1078C10</stp>
        <tr r="J1078" s="1"/>
      </tp>
      <tp t="s">
        <v>S/A</v>
        <stp/>
        <stp>##V3_BDPV12</stp>
        <stp>912827UK Govt</stp>
        <stp>COUPON_FREQUENCY_DESCRIPTION</stp>
        <stp>[TREASURY.xlsx]Sheet1!R1200C10</stp>
        <tr r="J1200" s="1"/>
      </tp>
      <tp t="s">
        <v>S/A</v>
        <stp/>
        <stp>##V3_BDPV12</stp>
        <stp>912827UM Govt</stp>
        <stp>COUPON_FREQUENCY_DESCRIPTION</stp>
        <stp>[TREASURY.xlsx]Sheet1!R1405C10</stp>
        <tr r="J1405" s="1"/>
      </tp>
      <tp t="s">
        <v>S/A</v>
        <stp/>
        <stp>##V3_BDPV12</stp>
        <stp>912827UG Govt</stp>
        <stp>COUPON_FREQUENCY_DESCRIPTION</stp>
        <stp>[TREASURY.xlsx]Sheet1!R1199C10</stp>
        <tr r="J1199" s="1"/>
      </tp>
      <tp t="s">
        <v>S/A</v>
        <stp/>
        <stp>##V3_BDPV12</stp>
        <stp>912828UG Govt</stp>
        <stp>COUPON_FREQUENCY_DESCRIPTION</stp>
        <stp>[TREASURY.xlsx]Sheet1!R1135C10</stp>
        <tr r="J1135" s="1"/>
      </tp>
      <tp t="s">
        <v>UNITED STATES</v>
        <stp/>
        <stp>##V3_BDPV12</stp>
        <stp>912827QN Govt</stp>
        <stp>COUNTRY_FULL_NAME</stp>
        <stp>[TREASURY.xlsx]Sheet1!R1179C8</stp>
        <tr r="H1179" s="1"/>
      </tp>
      <tp t="s">
        <v>T 5 7/8 09/30/02</v>
        <stp/>
        <stp>##V3_BDPV12</stp>
        <stp>9128273J Govt</stp>
        <stp>SECURITY_NAME</stp>
        <stp>[TREASURY.xlsx]Sheet1!R1528C16</stp>
        <tr r="P1528" s="1"/>
      </tp>
      <tp t="s">
        <v>T 6 1/4 02/15/07</v>
        <stp/>
        <stp>##V3_BDPV12</stp>
        <stp>9128272J Govt</stp>
        <stp>SECURITY_NAME</stp>
        <stp>[TREASURY.xlsx]Sheet1!R1451C16</stp>
        <tr r="P1451" s="1"/>
      </tp>
      <tp t="s">
        <v>S/A</v>
        <stp/>
        <stp>##V3_BDPV12</stp>
        <stp>912827UE Govt</stp>
        <stp>COUPON_FREQUENCY_DESCRIPTION</stp>
        <stp>[TREASURY.xlsx]Sheet1!R1077C10</stp>
        <tr r="J1077" s="1"/>
      </tp>
      <tp t="s">
        <v>T 5 3/8 06/30/00</v>
        <stp/>
        <stp>##V3_BDPV12</stp>
        <stp>9128274J Govt</stp>
        <stp>SECURITY_NAME</stp>
        <stp>[TREASURY.xlsx]Sheet1!R1365C16</stp>
        <tr r="P1365" s="1"/>
      </tp>
      <tp t="s">
        <v>T 10 1/2 04/15/90</v>
        <stp/>
        <stp>##V3_BDPV12</stp>
        <stp>912827PJ Govt</stp>
        <stp>SECURITY_NAME</stp>
        <stp>[TREASURY.xlsx]Sheet1!R1389C16</stp>
        <tr r="P1389" s="1"/>
      </tp>
      <tp t="s">
        <v>S/A</v>
        <stp/>
        <stp>##V3_BDPV12</stp>
        <stp>912828UC Govt</stp>
        <stp>COUPON_FREQUENCY_DESCRIPTION</stp>
        <stp>[TREASURY.xlsx]Sheet1!R1144C10</stp>
        <tr r="J1144" s="1"/>
      </tp>
      <tp t="s">
        <v>S/A</v>
        <stp/>
        <stp>##V3_BDPV12</stp>
        <stp>912827UF Govt</stp>
        <stp>COUPON_FREQUENCY_DESCRIPTION</stp>
        <stp>[TREASURY.xlsx]Sheet1!R1404C10</stp>
        <tr r="J1404" s="1"/>
      </tp>
      <tp t="s">
        <v>T 8 1/4 06/30/92</v>
        <stp/>
        <stp>##V3_BDPV12</stp>
        <stp>912827WJ Govt</stp>
        <stp>SECURITY_NAME</stp>
        <stp>[TREASURY.xlsx]Sheet1!R1207C16</stp>
        <tr r="P1207" s="1"/>
      </tp>
      <tp t="s">
        <v>T 9 1/8 09/30/91</v>
        <stp/>
        <stp>##V3_BDPV12</stp>
        <stp>912827VJ Govt</stp>
        <stp>SECURITY_NAME</stp>
        <stp>[TREASURY.xlsx]Sheet1!R1203C16</stp>
        <tr r="P1203" s="1"/>
      </tp>
      <tp t="s">
        <v>T 4 1/4 10/15/10</v>
        <stp/>
        <stp>##V3_BDPV12</stp>
        <stp>912828EJ Govt</stp>
        <stp>SECURITY_NAME</stp>
        <stp>[TREASURY.xlsx]Sheet1!R1238C16</stp>
        <tr r="P1238" s="1"/>
      </tp>
      <tp t="s">
        <v>T 0 5/8 06/30/17</v>
        <stp/>
        <stp>##V3_BDPV12</stp>
        <stp>912828XJ Govt</stp>
        <stp>SECURITY_NAME</stp>
        <stp>[TREASURY.xlsx]Sheet1!R1152C16</stp>
        <tr r="P1152" s="1"/>
      </tp>
      <tp t="s">
        <v>T 8 1/2 06/30/87</v>
        <stp/>
        <stp>##V3_BDPV12</stp>
        <stp>912827SJ Govt</stp>
        <stp>SECURITY_NAME</stp>
        <stp>[TREASURY.xlsx]Sheet1!R1185C16</stp>
        <tr r="P1185" s="1"/>
      </tp>
      <tp t="s">
        <v>T 3 1/8 01/31/07</v>
        <stp/>
        <stp>##V3_BDPV12</stp>
        <stp>912828DJ Govt</stp>
        <stp>SECURITY_NAME</stp>
        <stp>[TREASURY.xlsx]Sheet1!R1111C16</stp>
        <tr r="P1111" s="1"/>
      </tp>
      <tp t="s">
        <v>UNITED STATES</v>
        <stp/>
        <stp>##V3_BDPV12</stp>
        <stp>912827YH Govt</stp>
        <stp>COUNTRY_FULL_NAME</stp>
        <stp>[TREASURY.xlsx]Sheet1!R1221C8</stp>
        <tr r="H1221" s="1"/>
      </tp>
      <tp t="s">
        <v>T 5 3/4 06/30/01</v>
        <stp/>
        <stp>##V3_BDPV12</stp>
        <stp>9128275J Govt</stp>
        <stp>SECURITY_NAME</stp>
        <stp>[TREASURY.xlsx]Sheet1!R1014C16</stp>
        <tr r="P1014" s="1"/>
      </tp>
      <tp t="s">
        <v>T 8 1/8 05/15/91</v>
        <stp/>
        <stp>##V3_BDPV12</stp>
        <stp>912827TJ Govt</stp>
        <stp>SECURITY_NAME</stp>
        <stp>[TREASURY.xlsx]Sheet1!R1073C16</stp>
        <tr r="P1073" s="1"/>
      </tp>
      <tp t="s">
        <v>T 14 7/8 06/30/86</v>
        <stp/>
        <stp>##V3_BDPV12</stp>
        <stp>912827NJ Govt</stp>
        <stp>SECURITY_NAME</stp>
        <stp>[TREASURY.xlsx]Sheet1!R1050C16</stp>
        <tr r="P1050" s="1"/>
      </tp>
      <tp t="s">
        <v>S/A</v>
        <stp/>
        <stp>##V3_BDPV12</stp>
        <stp>912827UD Govt</stp>
        <stp>COUPON_FREQUENCY_DESCRIPTION</stp>
        <stp>[TREASURY.xlsx]Sheet1!R1512C10</stp>
        <tr r="J1512" s="1"/>
      </tp>
      <tp t="s">
        <v>S/A</v>
        <stp/>
        <stp>##V3_BDPV12</stp>
        <stp>912827UZ Govt</stp>
        <stp>COUPON_FREQUENCY_DESCRIPTION</stp>
        <stp>[TREASURY.xlsx]Sheet1!R1409C10</stp>
        <tr r="J1409" s="1"/>
      </tp>
      <tp t="s">
        <v>S/A</v>
        <stp/>
        <stp>##V3_BDPV12</stp>
        <stp>912827UY Govt</stp>
        <stp>COUPON_FREQUENCY_DESCRIPTION</stp>
        <stp>[TREASURY.xlsx]Sheet1!R1590C10</stp>
        <tr r="J1590" s="1"/>
      </tp>
      <tp t="s">
        <v>UNITED STATES</v>
        <stp/>
        <stp>##V3_BDPV12</stp>
        <stp>912827YT Govt</stp>
        <stp>COUNTRY_FULL_NAME</stp>
        <stp>[TREASURY.xlsx]Sheet1!R1101C8</stp>
        <tr r="H1101" s="1"/>
      </tp>
      <tp t="s">
        <v>UNITED STATES</v>
        <stp/>
        <stp>##V3_BDPV12</stp>
        <stp>912827QT Govt</stp>
        <stp>COUNTRY_FULL_NAME</stp>
        <stp>[TREASURY.xlsx]Sheet1!R1059C8</stp>
        <tr r="H1059" s="1"/>
      </tp>
      <tp t="s">
        <v>UNITED STATES</v>
        <stp/>
        <stp>##V3_BDPV12</stp>
        <stp>912827ZT Govt</stp>
        <stp>COUNTRY_FULL_NAME</stp>
        <stp>[TREASURY.xlsx]Sheet1!R1612C8</stp>
        <tr r="H1612" s="1"/>
      </tp>
      <tp t="s">
        <v>S/A</v>
        <stp/>
        <stp>##V3_BDPV12</stp>
        <stp>912827UX Govt</stp>
        <stp>COUPON_FREQUENCY_DESCRIPTION</stp>
        <stp>[TREASURY.xlsx]Sheet1!R1081C10</stp>
        <tr r="J1081" s="1"/>
      </tp>
      <tp t="s">
        <v>S/A</v>
        <stp/>
        <stp>##V3_BDPV12</stp>
        <stp>912828UY Govt</stp>
        <stp>COUPON_FREQUENCY_DESCRIPTION</stp>
        <stp>[TREASURY.xlsx]Sheet1!R1138C10</stp>
        <tr r="J1138" s="1"/>
      </tp>
      <tp t="s">
        <v>S/A</v>
        <stp/>
        <stp>##V3_BDPV12</stp>
        <stp>912827US Govt</stp>
        <stp>COUPON_FREQUENCY_DESCRIPTION</stp>
        <stp>[TREASURY.xlsx]Sheet1!R1407C10</stp>
        <tr r="J1407" s="1"/>
      </tp>
      <tp t="s">
        <v>S/A</v>
        <stp/>
        <stp>##V3_BDPV12</stp>
        <stp>912828UW Govt</stp>
        <stp>COUPON_FREQUENCY_DESCRIPTION</stp>
        <stp>[TREASURY.xlsx]Sheet1!R1002C10</stp>
        <tr r="J1002" s="1"/>
      </tp>
      <tp t="s">
        <v>S/A</v>
        <stp/>
        <stp>##V3_BDPV12</stp>
        <stp>912828UU Govt</stp>
        <stp>COUPON_FREQUENCY_DESCRIPTION</stp>
        <stp>[TREASURY.xlsx]Sheet1!R1001C10</stp>
        <tr r="J1001" s="1"/>
      </tp>
      <tp t="s">
        <v>S/A</v>
        <stp/>
        <stp>##V3_BDPV12</stp>
        <stp>912827UR Govt</stp>
        <stp>COUPON_FREQUENCY_DESCRIPTION</stp>
        <stp>[TREASURY.xlsx]Sheet1!R1080C10</stp>
        <tr r="J1080" s="1"/>
      </tp>
      <tp t="s">
        <v>S/A</v>
        <stp/>
        <stp>##V3_BDPV12</stp>
        <stp>912828US Govt</stp>
        <stp>COUPON_FREQUENCY_DESCRIPTION</stp>
        <stp>[TREASURY.xlsx]Sheet1!R1137C10</stp>
        <tr r="J1137" s="1"/>
      </tp>
      <tp t="s">
        <v>S/A</v>
        <stp/>
        <stp>##V3_BDPV12</stp>
        <stp>912827UP Govt</stp>
        <stp>COUPON_FREQUENCY_DESCRIPTION</stp>
        <stp>[TREASURY.xlsx]Sheet1!R1202C10</stp>
        <tr r="J1202" s="1"/>
      </tp>
      <tp t="s">
        <v>S/A</v>
        <stp/>
        <stp>##V3_BDPV12</stp>
        <stp>912828UR Govt</stp>
        <stp>COUPON_FREQUENCY_DESCRIPTION</stp>
        <stp>[TREASURY.xlsx]Sheet1!R1146C10</stp>
        <tr r="J1146" s="1"/>
      </tp>
      <tp t="s">
        <v>S/A</v>
        <stp/>
        <stp>##V3_BDPV12</stp>
        <stp>912827UQ Govt</stp>
        <stp>COUPON_FREQUENCY_DESCRIPTION</stp>
        <stp>[TREASURY.xlsx]Sheet1!R1079C10</stp>
        <tr r="J1079" s="1"/>
      </tp>
      <tp t="s">
        <v>S/A</v>
        <stp/>
        <stp>##V3_BDPV12</stp>
        <stp>912828UP Govt</stp>
        <stp>COUPON_FREQUENCY_DESCRIPTION</stp>
        <stp>[TREASURY.xlsx]Sheet1!R1145C10</stp>
        <tr r="J1145" s="1"/>
      </tp>
      <tp t="s">
        <v>S/A</v>
        <stp/>
        <stp>##V3_BDPV12</stp>
        <stp>912827UU Govt</stp>
        <stp>COUPON_FREQUENCY_DESCRIPTION</stp>
        <stp>[TREASURY.xlsx]Sheet1!R1408C10</stp>
        <tr r="J1408" s="1"/>
      </tp>
      <tp t="s">
        <v>UNITED STATES</v>
        <stp/>
        <stp>##V3_BDPV12</stp>
        <stp>912827XY Govt</stp>
        <stp>COUNTRY_FULL_NAME</stp>
        <stp>[TREASURY.xlsx]Sheet1!R1600C8</stp>
        <tr r="H1600" s="1"/>
      </tp>
      <tp t="s">
        <v>#N/A Field Not Applicable</v>
        <stp/>
        <stp>##V3_BDPV12</stp>
        <stp>9128284W Govt</stp>
        <stp>IDX_RATIO</stp>
        <stp>[TREASURY.xlsx]Sheet1!R347C20</stp>
        <tr r="T347" s="1"/>
      </tp>
      <tp t="s">
        <v>#N/A Field Not Applicable</v>
        <stp/>
        <stp>##V3_BDPV12</stp>
        <stp>9128284U Govt</stp>
        <stp>IDX_RATIO</stp>
        <stp>[TREASURY.xlsx]Sheet1!R128C20</stp>
        <tr r="T128" s="1"/>
      </tp>
      <tp t="s">
        <v>#N/A Field Not Applicable</v>
        <stp/>
        <stp>##V3_BDPV12</stp>
        <stp>9128284T Govt</stp>
        <stp>IDX_RATIO</stp>
        <stp>[TREASURY.xlsx]Sheet1!R344C20</stp>
        <tr r="T344" s="1"/>
      </tp>
      <tp t="s">
        <v>#N/A Field Not Applicable</v>
        <stp/>
        <stp>##V3_BDPV12</stp>
        <stp>9128284Q Govt</stp>
        <stp>IDX_RATIO</stp>
        <stp>[TREASURY.xlsx]Sheet1!R675C20</stp>
        <tr r="T675" s="1"/>
      </tp>
      <tp t="s">
        <v>#N/A Field Not Applicable</v>
        <stp/>
        <stp>##V3_BDPV12</stp>
        <stp>9128284S Govt</stp>
        <stp>IDX_RATIO</stp>
        <stp>[TREASURY.xlsx]Sheet1!R294C20</stp>
        <tr r="T294" s="1"/>
      </tp>
      <tp t="s">
        <v>#N/A Field Not Applicable</v>
        <stp/>
        <stp>##V3_BDPV12</stp>
        <stp>9128284R Govt</stp>
        <stp>IDX_RATIO</stp>
        <stp>[TREASURY.xlsx]Sheet1!R257C20</stp>
        <tr r="T257" s="1"/>
      </tp>
      <tp t="s">
        <v>#N/A Field Not Applicable</v>
        <stp/>
        <stp>##V3_BDPV12</stp>
        <stp>9128284P Govt</stp>
        <stp>IDX_RATIO</stp>
        <stp>[TREASURY.xlsx]Sheet1!R367C20</stp>
        <tr r="T367" s="1"/>
      </tp>
      <tp t="s">
        <v>#N/A Field Not Applicable</v>
        <stp/>
        <stp>##V3_BDPV12</stp>
        <stp>9128274T Govt</stp>
        <stp>IDX_RATIO</stp>
        <stp>[TREASURY.xlsx]Sheet1!R610C20</stp>
        <tr r="T610" s="1"/>
      </tp>
      <tp t="s">
        <v>#N/A Field Not Applicable</v>
        <stp/>
        <stp>##V3_BDPV12</stp>
        <stp>9128274W Govt</stp>
        <stp>IDX_RATIO</stp>
        <stp>[TREASURY.xlsx]Sheet1!R522C20</stp>
        <tr r="T522" s="1"/>
      </tp>
      <tp t="s">
        <v>#N/A Field Not Applicable</v>
        <stp/>
        <stp>##V3_BDPV12</stp>
        <stp>9128284Z Govt</stp>
        <stp>IDX_RATIO</stp>
        <stp>[TREASURY.xlsx]Sheet1!R251C20</stp>
        <tr r="T251" s="1"/>
      </tp>
      <tp t="s">
        <v>#N/A Field Not Applicable</v>
        <stp/>
        <stp>##V3_BDPV12</stp>
        <stp>9128284X Govt</stp>
        <stp>IDX_RATIO</stp>
        <stp>[TREASURY.xlsx]Sheet1!R256C20</stp>
        <tr r="T256" s="1"/>
      </tp>
      <tp t="s">
        <v>#N/A Field Not Applicable</v>
        <stp/>
        <stp>##V3_BDPV12</stp>
        <stp>9128284Y Govt</stp>
        <stp>IDX_RATIO</stp>
        <stp>[TREASURY.xlsx]Sheet1!R376C20</stp>
        <tr r="T376" s="1"/>
      </tp>
      <tp t="s">
        <v>UNITED STATES</v>
        <stp/>
        <stp>##V3_BDPV12</stp>
        <stp>912827P7 Govt</stp>
        <stp>COUNTRY_FULL_NAME</stp>
        <stp>[TREASURY.xlsx]Sheet1!R1338C8</stp>
        <tr r="H1338" s="1"/>
      </tp>
      <tp t="s">
        <v>#N/A Field Not Applicable</v>
        <stp/>
        <stp>##V3_BDPV12</stp>
        <stp>9128284F Govt</stp>
        <stp>IDX_RATIO</stp>
        <stp>[TREASURY.xlsx]Sheet1!R285C20</stp>
        <tr r="T285" s="1"/>
      </tp>
      <tp t="s">
        <v>#N/A Field Not Applicable</v>
        <stp/>
        <stp>##V3_BDPV12</stp>
        <stp>9128284G Govt</stp>
        <stp>IDX_RATIO</stp>
        <stp>[TREASURY.xlsx]Sheet1!R390C20</stp>
        <tr r="T390" s="1"/>
      </tp>
      <tp t="s">
        <v>#N/A Field Not Applicable</v>
        <stp/>
        <stp>##V3_BDPV12</stp>
        <stp>9128284D Govt</stp>
        <stp>IDX_RATIO</stp>
        <stp>[TREASURY.xlsx]Sheet1!R202C20</stp>
        <tr r="T202" s="1"/>
      </tp>
      <tp t="s">
        <v>#N/A Field Not Applicable</v>
        <stp/>
        <stp>##V3_BDPV12</stp>
        <stp>9128284C Govt</stp>
        <stp>IDX_RATIO</stp>
        <stp>[TREASURY.xlsx]Sheet1!R505C20</stp>
        <tr r="T505" s="1"/>
      </tp>
      <tp t="s">
        <v>UNITED STATES</v>
        <stp/>
        <stp>##V3_BDPV12</stp>
        <stp>912827Y3 Govt</stp>
        <stp>COUNTRY_FULL_NAME</stp>
        <stp>[TREASURY.xlsx]Sheet1!R1601C8</stp>
        <tr r="H1601" s="1"/>
      </tp>
      <tp t="s">
        <v>#N/A Field Not Applicable</v>
        <stp/>
        <stp>##V3_BDPV12</stp>
        <stp>9128274F Govt</stp>
        <stp>IDX_RATIO</stp>
        <stp>[TREASURY.xlsx]Sheet1!R578C20</stp>
        <tr r="T578" s="1"/>
      </tp>
      <tp t="s">
        <v>#N/A Field Not Applicable</v>
        <stp/>
        <stp>##V3_BDPV12</stp>
        <stp>9128284A Govt</stp>
        <stp>IDX_RATIO</stp>
        <stp>[TREASURY.xlsx]Sheet1!R288C20</stp>
        <tr r="T288" s="1"/>
      </tp>
      <tp t="s">
        <v>S/A</v>
        <stp/>
        <stp>##V3_BDPV12</stp>
        <stp>912827U8 Govt</stp>
        <stp>COUPON_FREQUENCY_DESCRIPTION</stp>
        <stp>[TREASURY.xlsx]Sheet1!R1198C10</stp>
        <tr r="J1198" s="1"/>
      </tp>
      <tp t="s">
        <v>S/A</v>
        <stp/>
        <stp>##V3_BDPV12</stp>
        <stp>912827U5 Govt</stp>
        <stp>COUPON_FREQUENCY_DESCRIPTION</stp>
        <stp>[TREASURY.xlsx]Sheet1!R1197C10</stp>
        <tr r="J1197" s="1"/>
      </tp>
      <tp t="s">
        <v>#N/A Field Not Applicable</v>
        <stp/>
        <stp>##V3_BDPV12</stp>
        <stp>9128284M Govt</stp>
        <stp>IDX_RATIO</stp>
        <stp>[TREASURY.xlsx]Sheet1!R227C20</stp>
        <tr r="T227" s="1"/>
      </tp>
      <tp t="s">
        <v>#N/A Field Not Applicable</v>
        <stp/>
        <stp>##V3_BDPV12</stp>
        <stp>9128284L Govt</stp>
        <stp>IDX_RATIO</stp>
        <stp>[TREASURY.xlsx]Sheet1!R299C20</stp>
        <tr r="T299" s="1"/>
      </tp>
      <tp t="s">
        <v>S/A</v>
        <stp/>
        <stp>##V3_BDPV12</stp>
        <stp>912827U7 Govt</stp>
        <stp>COUPON_FREQUENCY_DESCRIPTION</stp>
        <stp>[TREASURY.xlsx]Sheet1!R1511C10</stp>
        <tr r="J1511" s="1"/>
      </tp>
      <tp t="s">
        <v>#N/A Field Not Applicable</v>
        <stp/>
        <stp>##V3_BDPV12</stp>
        <stp>9128284J Govt</stp>
        <stp>IDX_RATIO</stp>
        <stp>[TREASURY.xlsx]Sheet1!R381C20</stp>
        <tr r="T381" s="1"/>
      </tp>
      <tp t="s">
        <v>S/A</v>
        <stp/>
        <stp>##V3_BDPV12</stp>
        <stp>912827U4 Govt</stp>
        <stp>COUPON_FREQUENCY_DESCRIPTION</stp>
        <stp>[TREASURY.xlsx]Sheet1!R1403C10</stp>
        <tr r="J1403" s="1"/>
      </tp>
      <tp t="s">
        <v>UNITED STATES</v>
        <stp/>
        <stp>##V3_BDPV12</stp>
        <stp>912827Z8 Govt</stp>
        <stp>COUNTRY_FULL_NAME</stp>
        <stp>[TREASURY.xlsx]Sheet1!R1102C8</stp>
        <tr r="H1102" s="1"/>
      </tp>
      <tp t="s">
        <v>6/30/2012</v>
        <stp/>
        <stp>##V3_BDPV12</stp>
        <stp>912828RY Govt</stp>
        <stp>FIRST_CPN_DT</stp>
        <stp>[TREASURY.xlsx]Sheet1!R1267C9</stp>
        <tr r="I1267" s="1"/>
      </tp>
      <tp t="s">
        <v>5/31/1995</v>
        <stp/>
        <stp>##V3_BDPV12</stp>
        <stp>912827R9 Govt</stp>
        <stp>FIRST_CPN_DT</stp>
        <stp>[TREASURY.xlsx]Sheet1!R1578C9</stp>
        <tr r="I1578" s="1"/>
      </tp>
      <tp t="s">
        <v>8/15/1986</v>
        <stp/>
        <stp>##V3_BDPV12</stp>
        <stp>912827SZ Govt</stp>
        <stp>FIRST_CPN_DT</stp>
        <stp>[TREASURY.xlsx]Sheet1!R1068C9</stp>
        <tr r="I1068" s="1"/>
      </tp>
      <tp t="s">
        <v>3/31/1986</v>
        <stp/>
        <stp>##V3_BDPV12</stp>
        <stp>912827SS Govt</stp>
        <stp>FIRST_CPN_DT</stp>
        <stp>[TREASURY.xlsx]Sheet1!R1188C9</stp>
        <tr r="I1188" s="1"/>
      </tp>
      <tp t="s">
        <v>2/15/1986</v>
        <stp/>
        <stp>##V3_BDPV12</stp>
        <stp>912827SG Govt</stp>
        <stp>FIRST_CPN_DT</stp>
        <stp>[TREASURY.xlsx]Sheet1!R1588C9</stp>
        <tr r="I1588" s="1"/>
      </tp>
      <tp t="s">
        <v>4/15/2011</v>
        <stp/>
        <stp>##V3_BDPV12</stp>
        <stp>912828PB Govt</stp>
        <stp>FIRST_CPN_DT</stp>
        <stp>[TREASURY.xlsx]Sheet1!R1297C9</stp>
        <tr r="I1297" s="1"/>
      </tp>
      <tp t="s">
        <v>7/31/1983</v>
        <stp/>
        <stp>##V3_BDPV12</stp>
        <stp>912827PB Govt</stp>
        <stp>FIRST_CPN_DT</stp>
        <stp>[TREASURY.xlsx]Sheet1!R1388C9</stp>
        <tr r="I1388" s="1"/>
      </tp>
      <tp t="s">
        <v>11/15/1994</v>
        <stp/>
        <stp>##V3_BDPV12</stp>
        <stp>912827P7 Govt</stp>
        <stp>FIRST_CPN_DT</stp>
        <stp>[TREASURY.xlsx]Sheet1!R1338C9</stp>
        <tr r="I1338" s="1"/>
      </tp>
      <tp t="s">
        <v>11/30/1984</v>
        <stp/>
        <stp>##V3_BDPV12</stp>
        <stp>912827QV Govt</stp>
        <stp>FIRST_CPN_DT</stp>
        <stp>[TREASURY.xlsx]Sheet1!R1498C9</stp>
        <tr r="I1498" s="1"/>
      </tp>
      <tp t="s">
        <v>8/31/1984</v>
        <stp/>
        <stp>##V3_BDPV12</stp>
        <stp>912827QM Govt</stp>
        <stp>FIRST_CPN_DT</stp>
        <stp>[TREASURY.xlsx]Sheet1!R1058C9</stp>
        <tr r="I1058" s="1"/>
      </tp>
      <tp t="s">
        <v>2/15/1995</v>
        <stp/>
        <stp>##V3_BDPV12</stp>
        <stp>912827Q7 Govt</stp>
        <stp>FIRST_CPN_DT</stp>
        <stp>[TREASURY.xlsx]Sheet1!R1178C9</stp>
        <tr r="I1178" s="1"/>
      </tp>
      <tp t="s">
        <v>5/15/1988</v>
        <stp/>
        <stp>##V3_BDPV12</stp>
        <stp>912827VM Govt</stp>
        <stp>FIRST_CPN_DT</stp>
        <stp>[TREASURY.xlsx]Sheet1!R1088C9</stp>
        <tr r="I1088" s="1"/>
      </tp>
      <tp t="s">
        <v>11/30/2013</v>
        <stp/>
        <stp>##V3_BDPV12</stp>
        <stp>912828VD Govt</stp>
        <stp>FIRST_CPN_DT</stp>
        <stp>[TREASURY.xlsx]Sheet1!R1147C9</stp>
        <tr r="I1147" s="1"/>
      </tp>
      <tp t="s">
        <v>1/15/2015</v>
        <stp/>
        <stp>##V3_BDPV12</stp>
        <stp>912828WT Govt</stp>
        <stp>FIRST_CPN_DT</stp>
        <stp>[TREASURY.xlsx]Sheet1!R1007C9</stp>
        <tr r="I1007" s="1"/>
      </tp>
      <tp t="s">
        <v>2/15/1989</v>
        <stp/>
        <stp>##V3_BDPV12</stp>
        <stp>912827WM Govt</stp>
        <stp>FIRST_CPN_DT</stp>
        <stp>[TREASURY.xlsx]Sheet1!R1418C9</stp>
        <tr r="I1418" s="1"/>
      </tp>
      <tp t="s">
        <v>1/31/1989</v>
        <stp/>
        <stp>##V3_BDPV12</stp>
        <stp>912827WL Govt</stp>
        <stp>FIRST_CPN_DT</stp>
        <stp>[TREASURY.xlsx]Sheet1!R1208C9</stp>
        <tr r="I1208" s="1"/>
      </tp>
      <tp t="s">
        <v>9/30/1986</v>
        <stp/>
        <stp>##V3_BDPV12</stp>
        <stp>912827TK Govt</stp>
        <stp>FIRST_CPN_DT</stp>
        <stp>[TREASURY.xlsx]Sheet1!R1508C9</stp>
        <tr r="I1508" s="1"/>
      </tp>
      <tp t="s">
        <v>7/31/1986</v>
        <stp/>
        <stp>##V3_BDPV12</stp>
        <stp>912827TD Govt</stp>
        <stp>FIRST_CPN_DT</stp>
        <stp>[TREASURY.xlsx]Sheet1!R1398C9</stp>
        <tr r="I1398" s="1"/>
      </tp>
      <tp t="s">
        <v>9/15/2013</v>
        <stp/>
        <stp>##V3_BDPV12</stp>
        <stp>912828US Govt</stp>
        <stp>FIRST_CPN_DT</stp>
        <stp>[TREASURY.xlsx]Sheet1!R1137C9</stp>
        <tr r="I1137" s="1"/>
      </tp>
      <tp t="s">
        <v>10/31/1987</v>
        <stp/>
        <stp>##V3_BDPV12</stp>
        <stp>912827UU Govt</stp>
        <stp>FIRST_CPN_DT</stp>
        <stp>[TREASURY.xlsx]Sheet1!R1408C9</stp>
        <tr r="I1408" s="1"/>
      </tp>
      <tp t="s">
        <v>8/15/1987</v>
        <stp/>
        <stp>##V3_BDPV12</stp>
        <stp>912827UH Govt</stp>
        <stp>FIRST_CPN_DT</stp>
        <stp>[TREASURY.xlsx]Sheet1!R1078C9</stp>
        <tr r="I1078" s="1"/>
      </tp>
      <tp t="s">
        <v>2/15/1996</v>
        <stp/>
        <stp>##V3_BDPV12</stp>
        <stp>912827U8 Govt</stp>
        <stp>FIRST_CPN_DT</stp>
        <stp>[TREASURY.xlsx]Sheet1!R1198C9</stp>
        <tr r="I1198" s="1"/>
      </tp>
      <tp t="s">
        <v>1/15/1991</v>
        <stp/>
        <stp>##V3_BDPV12</stp>
        <stp>912827ZB Govt</stp>
        <stp>FIRST_CPN_DT</stp>
        <stp>[TREASURY.xlsx]Sheet1!R1228C9</stp>
        <tr r="I1228" s="1"/>
      </tp>
      <tp t="s">
        <v>2/28/1997</v>
        <stp/>
        <stp>##V3_BDPV12</stp>
        <stp>912827Z3 Govt</stp>
        <stp>FIRST_CPN_DT</stp>
        <stp>[TREASURY.xlsx]Sheet1!R1608C9</stp>
        <tr r="I1608" s="1"/>
      </tp>
      <tp t="s">
        <v>11/30/2017</v>
        <stp/>
        <stp>##V3_BDPV12</stp>
        <stp>912828XS Govt</stp>
        <stp>FIRST_CPN_DT</stp>
        <stp>[TREASURY.xlsx]Sheet1!R1307C9</stp>
        <tr r="I1307" s="1"/>
      </tp>
      <tp t="s">
        <v>2/15/1990</v>
        <stp/>
        <stp>##V3_BDPV12</stp>
        <stp>912827XW Govt</stp>
        <stp>FIRST_CPN_DT</stp>
        <stp>[TREASURY.xlsx]Sheet1!R1218C9</stp>
        <tr r="I1218" s="1"/>
      </tp>
      <tp t="s">
        <v>11/15/1989</v>
        <stp/>
        <stp>##V3_BDPV12</stp>
        <stp>912827XN Govt</stp>
        <stp>FIRST_CPN_DT</stp>
        <stp>[TREASURY.xlsx]Sheet1!R1598C9</stp>
        <tr r="I1598" s="1"/>
      </tp>
      <tp t="s">
        <v>11/30/1996</v>
        <stp/>
        <stp>##V3_BDPV12</stp>
        <stp>912827Y2 Govt</stp>
        <stp>FIRST_CPN_DT</stp>
        <stp>[TREASURY.xlsx]Sheet1!R1098C9</stp>
        <tr r="I1098" s="1"/>
      </tp>
      <tp t="s">
        <v>2/15/1992</v>
        <stp/>
        <stp>##V3_BDPV12</stp>
        <stp>912827B8 Govt</stp>
        <stp>FIRST_CPN_DT</stp>
        <stp>[TREASURY.xlsx]Sheet1!R1478C9</stp>
        <tr r="I1478" s="1"/>
      </tp>
      <tp t="s">
        <v>2/15/2003</v>
        <stp/>
        <stp>##V3_BDPV12</stp>
        <stp>912828AH Govt</stp>
        <stp>FIRST_CPN_DT</stp>
        <stp>[TREASURY.xlsx]Sheet1!R1107C9</stp>
        <tr r="I1107" s="1"/>
      </tp>
      <tp t="s">
        <v>11/30/1991</v>
        <stp/>
        <stp>##V3_BDPV12</stp>
        <stp>912827A9 Govt</stp>
        <stp>FIRST_CPN_DT</stp>
        <stp>[TREASURY.xlsx]Sheet1!R1548C9</stp>
        <tr r="I1548" s="1"/>
      </tp>
      <tp t="s">
        <v>2/28/2007</v>
        <stp/>
        <stp>##V3_BDPV12</stp>
        <stp>912828FR Govt</stp>
        <stp>FIRST_CPN_DT</stp>
        <stp>[TREASURY.xlsx]Sheet1!R1277C9</stp>
        <tr r="I1277" s="1"/>
      </tp>
      <tp t="s">
        <v>3/31/2015</v>
        <stp/>
        <stp>##V3_BDPV12</stp>
        <stp>912828F4 Govt</stp>
        <stp>FIRST_CPN_DT</stp>
        <stp>[TREASURY.xlsx]Sheet1!R1117C9</stp>
        <tr r="I1117" s="1"/>
      </tp>
      <tp t="s">
        <v>11/15/2005</v>
        <stp/>
        <stp>##V3_BDPV12</stp>
        <stp>912828DU Govt</stp>
        <stp>FIRST_CPN_DT</stp>
        <stp>[TREASURY.xlsx]Sheet1!R1237C9</stp>
        <tr r="I1237" s="1"/>
      </tp>
      <tp t="s">
        <v>8/15/2005</v>
        <stp/>
        <stp>##V3_BDPV12</stp>
        <stp>912828DM Govt</stp>
        <stp>FIRST_CPN_DT</stp>
        <stp>[TREASURY.xlsx]Sheet1!R1427C9</stp>
        <tr r="I1427" s="1"/>
      </tp>
      <tp t="s">
        <v>10/15/1992</v>
        <stp/>
        <stp>##V3_BDPV12</stp>
        <stp>912827E8 Govt</stp>
        <stp>FIRST_CPN_DT</stp>
        <stp>[TREASURY.xlsx]Sheet1!R1558C9</stp>
        <tr r="I1558" s="1"/>
      </tp>
      <tp t="s">
        <v>5/31/2009</v>
        <stp/>
        <stp>##V3_BDPV12</stp>
        <stp>912828JS Govt</stp>
        <stp>FIRST_CPN_DT</stp>
        <stp>[TREASURY.xlsx]Sheet1!R1247C9</stp>
        <tr r="I1247" s="1"/>
      </tp>
      <tp t="s">
        <v>8/31/1993</v>
        <stp/>
        <stp>##V3_BDPV12</stp>
        <stp>912827J8 Govt</stp>
        <stp>FIRST_CPN_DT</stp>
        <stp>[TREASURY.xlsx]Sheet1!R1038C9</stp>
        <tr r="I1038" s="1"/>
      </tp>
      <tp t="s">
        <v>7/31/1993</v>
        <stp/>
        <stp>##V3_BDPV12</stp>
        <stp>912827J5 Govt</stp>
        <stp>FIRST_CPN_DT</stp>
        <stp>[TREASURY.xlsx]Sheet1!R1488C9</stp>
        <tr r="I1488" s="1"/>
      </tp>
      <tp t="s">
        <v>2/15/1981</v>
        <stp/>
        <stp>##V3_BDPV12</stp>
        <stp>912827KT Govt</stp>
        <stp>FIRST_CPN_DT</stp>
        <stp>[TREASURY.xlsx]Sheet1!R1318C9</stp>
        <tr r="I1318" s="1"/>
      </tp>
      <tp t="s">
        <v>10/15/2015</v>
        <stp/>
        <stp>##V3_BDPV12</stp>
        <stp>912828K2 Govt</stp>
        <stp>FIRST_CPN_DT</stp>
        <stp>[TREASURY.xlsx]Sheet1!R1287C9</stp>
        <tr r="I1287" s="1"/>
      </tp>
      <tp t="s">
        <v>2/15/2008</v>
        <stp/>
        <stp>##V3_BDPV12</stp>
        <stp>912828HA Govt</stp>
        <stp>FIRST_CPN_DT</stp>
        <stp>[TREASURY.xlsx]Sheet1!R1437C9</stp>
        <tr r="I1437" s="1"/>
      </tp>
      <tp t="s">
        <v>5/31/1993</v>
        <stp/>
        <stp>##V3_BDPV12</stp>
        <stp>912827H7 Govt</stp>
        <stp>FIRST_CPN_DT</stp>
        <stp>[TREASURY.xlsx]Sheet1!R1158C9</stp>
        <tr r="I1158" s="1"/>
      </tp>
      <tp t="s">
        <v>1/31/2011</v>
        <stp/>
        <stp>##V3_BDPV12</stp>
        <stp>912828NR Govt</stp>
        <stp>FIRST_CPN_DT</stp>
        <stp>[TREASURY.xlsx]Sheet1!R1257C9</stp>
        <tr r="I1257" s="1"/>
      </tp>
      <tp t="s">
        <v>6/30/1994</v>
        <stp/>
        <stp>##V3_BDPV12</stp>
        <stp>912827N4 Govt</stp>
        <stp>FIRST_CPN_DT</stp>
        <stp>[TREASURY.xlsx]Sheet1!R1048C9</stp>
        <tr r="I1048" s="1"/>
      </tp>
      <tp t="s">
        <v>4/30/1981</v>
        <stp/>
        <stp>##V3_BDPV12</stp>
        <stp>912827LD Govt</stp>
        <stp>FIRST_CPN_DT</stp>
        <stp>[TREASURY.xlsx]Sheet1!R1378C9</stp>
        <tr r="I1378" s="1"/>
      </tp>
      <tp t="s">
        <v>4/15/2016</v>
        <stp/>
        <stp>##V3_BDPV12</stp>
        <stp>912828L8 Govt</stp>
        <stp>FIRST_CPN_DT</stp>
        <stp>[TREASURY.xlsx]Sheet1!R1127C9</stp>
        <tr r="I1127" s="1"/>
      </tp>
      <tp t="s">
        <v>9/30/1982</v>
        <stp/>
        <stp>##V3_BDPV12</stp>
        <stp>912827MZ Govt</stp>
        <stp>FIRST_CPN_DT</stp>
        <stp>[TREASURY.xlsx]Sheet1!R1168C9</stp>
        <tr r="I1168" s="1"/>
      </tp>
      <tp t="s">
        <v>7/31/1982</v>
        <stp/>
        <stp>##V3_BDPV12</stp>
        <stp>912827MU Govt</stp>
        <stp>FIRST_CPN_DT</stp>
        <stp>[TREASURY.xlsx]Sheet1!R1328C9</stp>
        <tr r="I1328" s="1"/>
      </tp>
      <tp t="s">
        <v>3/31/1994</v>
        <stp/>
        <stp>##V3_BDPV12</stp>
        <stp>912827M3 Govt</stp>
        <stp>FIRST_CPN_DT</stp>
        <stp>[TREASURY.xlsx]Sheet1!R1568C9</stp>
        <tr r="I1568" s="1"/>
      </tp>
      <tp>
        <v>0.125</v>
        <stp/>
        <stp>##V3_BDPV12</stp>
        <stp>91282CBM Govt</stp>
        <stp>CPN</stp>
        <stp>[TREASURY.xlsx]Sheet1!R107C3</stp>
        <tr r="C107" s="1"/>
      </tp>
      <tp t="s">
        <v>#N/A N/A</v>
        <stp/>
        <stp>##V3_BDPV12</stp>
        <stp>912810EJ Govt</stp>
        <stp>YLD_YTM_BID</stp>
        <stp>[TREASURY.xlsx]Sheet1!R521C4</stp>
        <tr r="D521" s="1"/>
      </tp>
      <tp>
        <v>2.875</v>
        <stp/>
        <stp>##V3_BDPV12</stp>
        <stp>9128284M Govt</stp>
        <stp>CPN</stp>
        <stp>[TREASURY.xlsx]Sheet1!R227C3</stp>
        <tr r="C227" s="1"/>
      </tp>
      <tp>
        <v>1.75</v>
        <stp/>
        <stp>##V3_BDPV12</stp>
        <stp>9128287C Govt</stp>
        <stp>CPN</stp>
        <stp>[TREASURY.xlsx]Sheet1!R219C3</stp>
        <tr r="C219" s="1"/>
      </tp>
      <tp>
        <v>2.25</v>
        <stp/>
        <stp>##V3_BDPV12</stp>
        <stp>9128286L Govt</stp>
        <stp>CPN</stp>
        <stp>[TREASURY.xlsx]Sheet1!R276C3</stp>
        <tr r="C276" s="1"/>
      </tp>
      <tp>
        <v>1</v>
        <stp/>
        <stp>##V3_BDPV12</stp>
        <stp>912828NB Govt</stp>
        <stp>CPN</stp>
        <stp>[TREASURY.xlsx]Sheet1!R388C3</stp>
        <tr r="C388" s="1"/>
      </tp>
      <tp>
        <v>1.125</v>
        <stp/>
        <stp>##V3_BDPV12</stp>
        <stp>912828KB Govt</stp>
        <stp>CPN</stp>
        <stp>[TREASURY.xlsx]Sheet1!R398C3</stp>
        <tr r="C398" s="1"/>
      </tp>
      <tp>
        <v>3.125</v>
        <stp/>
        <stp>##V3_BDPV12</stp>
        <stp>912828QN Govt</stp>
        <stp>CPN</stp>
        <stp>[TREASURY.xlsx]Sheet1!R334C3</stp>
        <tr r="C334" s="1"/>
      </tp>
      <tp>
        <v>1.75</v>
        <stp/>
        <stp>##V3_BDPV12</stp>
        <stp>912828VB Govt</stp>
        <stp>CPN</stp>
        <stp>[TREASURY.xlsx]Sheet1!R168C3</stp>
        <tr r="C168" s="1"/>
      </tp>
      <tp>
        <v>1.125</v>
        <stp/>
        <stp>##V3_BDPV12</stp>
        <stp>912828ZB Govt</stp>
        <stp>CPN</stp>
        <stp>[TREASURY.xlsx]Sheet1!R148C3</stp>
        <tr r="C148" s="1"/>
      </tp>
      <tp>
        <v>1.375</v>
        <stp/>
        <stp>##V3_BDPV12</stp>
        <stp>912828YK Govt</stp>
        <stp>CPN</stp>
        <stp>[TREASURY.xlsx]Sheet1!R131C3</stp>
        <tr r="C131" s="1"/>
      </tp>
      <tp>
        <v>1.875</v>
        <stp/>
        <stp>##V3_BDPV12</stp>
        <stp>912828AL Govt</stp>
        <stp>CPN</stp>
        <stp>[TREASURY.xlsx]Sheet1!R666C3</stp>
        <tr r="C666" s="1"/>
      </tp>
      <tp>
        <v>2.375</v>
        <stp/>
        <stp>##V3_BDPV12</stp>
        <stp>912828JJ Govt</stp>
        <stp>CPN</stp>
        <stp>[TREASURY.xlsx]Sheet1!R690C3</stp>
        <tr r="C690" s="1"/>
      </tp>
      <tp>
        <v>14.5</v>
        <stp/>
        <stp>##V3_BDPV12</stp>
        <stp>912827NK Govt</stp>
        <stp>CPN</stp>
        <stp>[TREASURY.xlsx]Sheet1!R901C3</stp>
        <tr r="C901" s="1"/>
      </tp>
      <tp>
        <v>1.125</v>
        <stp/>
        <stp>##V3_BDPV12</stp>
        <stp>912828NH Govt</stp>
        <stp>CPN</stp>
        <stp>[TREASURY.xlsx]Sheet1!R622C3</stp>
        <tr r="C622" s="1"/>
      </tp>
      <tp>
        <v>0.375</v>
        <stp/>
        <stp>##V3_BDPV12</stp>
        <stp>912828VH Govt</stp>
        <stp>CPN</stp>
        <stp>[TREASURY.xlsx]Sheet1!R632C3</stp>
        <tr r="C632" s="1"/>
      </tp>
      <tp>
        <v>2.0700213998841526</v>
        <stp/>
        <stp>##V3_BDPV12</stp>
        <stp>912810RM Govt</stp>
        <stp>YLD_YTM_BID</stp>
        <stp>[TREASURY.xlsx]Sheet1!R176C4</stp>
        <tr r="D176" s="1"/>
      </tp>
      <tp>
        <v>11.625</v>
        <stp/>
        <stp>##V3_BDPV12</stp>
        <stp>912827RK Govt</stp>
        <stp>CPN</stp>
        <stp>[TREASURY.xlsx]Sheet1!R911C3</stp>
        <tr r="C911" s="1"/>
      </tp>
      <tp>
        <v>1.375</v>
        <stp/>
        <stp>##V3_BDPV12</stp>
        <stp>912828PJ Govt</stp>
        <stp>CPN</stp>
        <stp>[TREASURY.xlsx]Sheet1!R630C3</stp>
        <tr r="C630" s="1"/>
      </tp>
      <tp>
        <v>15.125</v>
        <stp/>
        <stp>##V3_BDPV12</stp>
        <stp>912827LJ Govt</stp>
        <stp>CPN</stp>
        <stp>[TREASURY.xlsx]Sheet1!R890C3</stp>
        <tr r="C890" s="1"/>
      </tp>
      <tp>
        <v>4.25</v>
        <stp/>
        <stp>##V3_BDPV12</stp>
        <stp>912828BH Govt</stp>
        <stp>CPN</stp>
        <stp>[TREASURY.xlsx]Sheet1!R452C3</stp>
        <tr r="C452" s="1"/>
      </tp>
      <tp>
        <v>1.8560329724967464</v>
        <stp/>
        <stp>##V3_BDPV12</stp>
        <stp>912810QC Govt</stp>
        <stp>YLD_YTM_BID</stp>
        <stp>[TREASURY.xlsx]Sheet1!R318C4</stp>
        <tr r="D318" s="1"/>
      </tp>
      <tp>
        <v>0.75</v>
        <stp/>
        <stp>##V3_BDPV12</stp>
        <stp>9128282C Govt</stp>
        <stp>CPN</stp>
        <stp>[TREASURY.xlsx]Sheet1!R439C3</stp>
        <tr r="C439" s="1"/>
      </tp>
      <tp>
        <v>3.5</v>
        <stp/>
        <stp>##V3_BDPV12</stp>
        <stp>912828JB Govt</stp>
        <stp>CPN</stp>
        <stp>[TREASURY.xlsx]Sheet1!R598C3</stp>
        <tr r="C598" s="1"/>
      </tp>
      <tp>
        <v>4</v>
        <stp/>
        <stp>##V3_BDPV12</stp>
        <stp>912828JH Govt</stp>
        <stp>CPN</stp>
        <stp>[TREASURY.xlsx]Sheet1!R542C3</stp>
        <tr r="C542" s="1"/>
      </tp>
      <tp>
        <v>1.5</v>
        <stp/>
        <stp>##V3_BDPV12</stp>
        <stp>912828LB Govt</stp>
        <stp>CPN</stp>
        <stp>[TREASURY.xlsx]Sheet1!R558C3</stp>
        <tr r="C558" s="1"/>
      </tp>
      <tp>
        <v>2.0474658576048412</v>
        <stp/>
        <stp>##V3_BDPV12</stp>
        <stp>912810RB Govt</stp>
        <stp>YLD_YTM_BID</stp>
        <stp>[TREASURY.xlsx]Sheet1!R269C4</stp>
        <tr r="D269" s="1"/>
      </tp>
      <tp>
        <v>0.375</v>
        <stp/>
        <stp>##V3_BDPV12</stp>
        <stp>912828WM Govt</stp>
        <stp>CPN</stp>
        <stp>[TREASURY.xlsx]Sheet1!R567C3</stp>
        <tr r="C567" s="1"/>
      </tp>
      <tp>
        <v>0.875</v>
        <stp/>
        <stp>##V3_BDPV12</stp>
        <stp>912828MJ Govt</stp>
        <stp>CPN</stp>
        <stp>[TREASURY.xlsx]Sheet1!R820C3</stp>
        <tr r="C820" s="1"/>
      </tp>
      <tp>
        <v>1</v>
        <stp/>
        <stp>##V3_BDPV12</stp>
        <stp>912828NN Govt</stp>
        <stp>CPN</stp>
        <stp>[TREASURY.xlsx]Sheet1!R864C3</stp>
        <tr r="C864" s="1"/>
      </tp>
      <tp>
        <v>9.75</v>
        <stp/>
        <stp>##V3_BDPV12</stp>
        <stp>912827XH Govt</stp>
        <stp>CPN</stp>
        <stp>[TREASURY.xlsx]Sheet1!R772C3</stp>
        <tr r="C772" s="1"/>
      </tp>
      <tp>
        <v>8</v>
        <stp/>
        <stp>##V3_BDPV12</stp>
        <stp>912827ZC Govt</stp>
        <stp>CPN</stp>
        <stp>[TREASURY.xlsx]Sheet1!R779C3</stp>
        <tr r="C779" s="1"/>
      </tp>
      <tp>
        <v>3.375</v>
        <stp/>
        <stp>##V3_BDPV12</stp>
        <stp>912828AB Govt</stp>
        <stp>CPN</stp>
        <stp>[TREASURY.xlsx]Sheet1!R958C3</stp>
        <tr r="C958" s="1"/>
      </tp>
      <tp>
        <v>2.875</v>
        <stp/>
        <stp>##V3_BDPV12</stp>
        <stp>912828QB Govt</stp>
        <stp>CPN</stp>
        <stp>[TREASURY.xlsx]Sheet1!R988C3</stp>
        <tr r="C988" s="1"/>
      </tp>
      <tp>
        <v>2.75</v>
        <stp/>
        <stp>##V3_BDPV12</stp>
        <stp>912828PN Govt</stp>
        <stp>CPN</stp>
        <stp>[TREASURY.xlsx]Sheet1!R984C3</stp>
        <tr r="C984" s="1"/>
      </tp>
      <tp>
        <v>6</v>
        <stp/>
        <stp>##V3_BDPV12</stp>
        <stp>9128275N Govt</stp>
        <stp>CPN</stp>
        <stp>[TREASURY.xlsx]Sheet1!R674C3</stp>
        <tr r="C674" s="1"/>
      </tp>
      <tp t="s">
        <v>#N/A N/A</v>
        <stp/>
        <stp>##V3_BDPV12</stp>
        <stp>912827KC Govt</stp>
        <stp>YLD_YTM_BID</stp>
        <stp>[TREASURY.xlsx]Sheet1!R608C4</stp>
        <tr r="D608" s="1"/>
      </tp>
      <tp t="s">
        <v>#N/A N/A</v>
        <stp/>
        <stp>##V3_BDPV12</stp>
        <stp>912827ZN Govt</stp>
        <stp>YLD_YTM_BID</stp>
        <stp>[TREASURY.xlsx]Sheet1!R685C4</stp>
        <tr r="D685" s="1"/>
      </tp>
      <tp t="s">
        <v>#N/A N/A</v>
        <stp/>
        <stp>##V3_BDPV12</stp>
        <stp>912828FH Govt</stp>
        <stp>YLD_YTM_BID</stp>
        <stp>[TREASURY.xlsx]Sheet1!R843C4</stp>
        <tr r="D843" s="1"/>
      </tp>
      <tp t="s">
        <v>#N/A N/A</v>
        <stp/>
        <stp>##V3_BDPV12</stp>
        <stp>912828GL Govt</stp>
        <stp>YLD_YTM_BID</stp>
        <stp>[TREASURY.xlsx]Sheet1!R847C4</stp>
        <tr r="D847" s="1"/>
      </tp>
      <tp t="s">
        <v>#N/A N/A</v>
        <stp/>
        <stp>##V3_BDPV12</stp>
        <stp>912828KL Govt</stp>
        <stp>YLD_YTM_BID</stp>
        <stp>[TREASURY.xlsx]Sheet1!R857C4</stp>
        <tr r="D857" s="1"/>
      </tp>
      <tp t="s">
        <v>#N/A N/A</v>
        <stp/>
        <stp>##V3_BDPV12</stp>
        <stp>912828HB Govt</stp>
        <stp>YLD_YTM_BID</stp>
        <stp>[TREASURY.xlsx]Sheet1!R849C4</stp>
        <tr r="D849" s="1"/>
      </tp>
      <tp t="s">
        <v>#N/A N/A</v>
        <stp/>
        <stp>##V3_BDPV12</stp>
        <stp>912828MB Govt</stp>
        <stp>YLD_YTM_BID</stp>
        <stp>[TREASURY.xlsx]Sheet1!R819C4</stp>
        <tr r="D819" s="1"/>
      </tp>
      <tp t="s">
        <v>#N/A N/A</v>
        <stp/>
        <stp>##V3_BDPV12</stp>
        <stp>912827ZJ Govt</stp>
        <stp>YLD_YTM_BID</stp>
        <stp>[TREASURY.xlsx]Sheet1!R781C4</stp>
        <tr r="D781" s="1"/>
      </tp>
      <tp t="s">
        <v>#N/A N/A</v>
        <stp/>
        <stp>##V3_BDPV12</stp>
        <stp>912827WC Govt</stp>
        <stp>YLD_YTM_BID</stp>
        <stp>[TREASURY.xlsx]Sheet1!R768C4</stp>
        <tr r="D768" s="1"/>
      </tp>
      <tp t="s">
        <v>#N/A N/A</v>
        <stp/>
        <stp>##V3_BDPV12</stp>
        <stp>912828CL Govt</stp>
        <stp>YLD_YTM_BID</stp>
        <stp>[TREASURY.xlsx]Sheet1!R557C4</stp>
        <tr r="D557" s="1"/>
      </tp>
      <tp t="s">
        <v>#N/A N/A</v>
        <stp/>
        <stp>##V3_BDPV12</stp>
        <stp>912828AJ Govt</stp>
        <stp>YLD_YTM_BID</stp>
        <stp>[TREASURY.xlsx]Sheet1!R531C4</stp>
        <tr r="D531" s="1"/>
      </tp>
      <tp t="s">
        <v>#N/A N/A</v>
        <stp/>
        <stp>##V3_BDPV12</stp>
        <stp>912828KJ Govt</stp>
        <stp>YLD_YTM_BID</stp>
        <stp>[TREASURY.xlsx]Sheet1!R561C4</stp>
        <tr r="D561" s="1"/>
      </tp>
      <tp t="s">
        <v>#N/A N/A</v>
        <stp/>
        <stp>##V3_BDPV12</stp>
        <stp>912828SM Govt</stp>
        <stp>YLD_YTM_BID</stp>
        <stp>[TREASURY.xlsx]Sheet1!R516C4</stp>
        <tr r="D516" s="1"/>
      </tp>
      <tp t="s">
        <v>#N/A N/A</v>
        <stp/>
        <stp>##V3_BDPV12</stp>
        <stp>912828XM Govt</stp>
        <stp>YLD_YTM_BID</stp>
        <stp>[TREASURY.xlsx]Sheet1!R536C4</stp>
        <tr r="D536" s="1"/>
      </tp>
      <tp t="s">
        <v>#N/A N/A</v>
        <stp/>
        <stp>##V3_BDPV12</stp>
        <stp>912828RB Govt</stp>
        <stp>YLD_YTM_BID</stp>
        <stp>[TREASURY.xlsx]Sheet1!R459C4</stp>
        <tr r="D459" s="1"/>
      </tp>
      <tp t="s">
        <v>#N/A N/A</v>
        <stp/>
        <stp>##V3_BDPV12</stp>
        <stp>912827LC Govt</stp>
        <stp>YLD_YTM_BID</stp>
        <stp>[TREASURY.xlsx]Sheet1!R888C4</stp>
        <tr r="D888" s="1"/>
      </tp>
      <tp t="s">
        <v>#N/A N/A</v>
        <stp/>
        <stp>##V3_BDPV12</stp>
        <stp>912828FC Govt</stp>
        <stp>YLD_YTM_BID</stp>
        <stp>[TREASURY.xlsx]Sheet1!R798C4</stp>
        <tr r="D798" s="1"/>
      </tp>
      <tp t="s">
        <v>#N/A N/A</v>
        <stp/>
        <stp>##V3_BDPV12</stp>
        <stp>912828EL Govt</stp>
        <stp>YLD_YTM_BID</stp>
        <stp>[TREASURY.xlsx]Sheet1!R797C4</stp>
        <tr r="D797" s="1"/>
      </tp>
      <tp t="s">
        <v>#N/A N/A</v>
        <stp/>
        <stp>##V3_BDPV12</stp>
        <stp>912828CK Govt</stp>
        <stp>YLD_YTM_BID</stp>
        <stp>[TREASURY.xlsx]Sheet1!R790C4</stp>
        <tr r="D790" s="1"/>
      </tp>
      <tp t="s">
        <v>#N/A N/A</v>
        <stp/>
        <stp>##V3_BDPV12</stp>
        <stp>912827VN Govt</stp>
        <stp>YLD_YTM_BID</stp>
        <stp>[TREASURY.xlsx]Sheet1!R925C4</stp>
        <tr r="D925" s="1"/>
      </tp>
      <tp t="s">
        <v>#N/A N/A</v>
        <stp/>
        <stp>##V3_BDPV12</stp>
        <stp>912827SL Govt</stp>
        <stp>YLD_YTM_BID</stp>
        <stp>[TREASURY.xlsx]Sheet1!R917C4</stp>
        <tr r="D917" s="1"/>
      </tp>
      <tp>
        <v>3</v>
        <stp/>
        <stp>##V3_BDPV12</stp>
        <stp>912810RJ Govt</stp>
        <stp>CPN</stp>
        <stp>[TREASURY.xlsx]Sheet1!R180C3</stp>
        <tr r="C180" s="1"/>
      </tp>
      <tp t="s">
        <v>#N/A N/A</v>
        <stp/>
        <stp>##V3_BDPV12</stp>
        <stp>9128282J Govt</stp>
        <stp>YLD_YTM_BID</stp>
        <stp>[TREASURY.xlsx]Sheet1!R611C4</stp>
        <tr r="D611" s="1"/>
      </tp>
      <tp>
        <v>11.625</v>
        <stp/>
        <stp>##V3_BDPV12</stp>
        <stp>912810DM Govt</stp>
        <stp>CPN</stp>
        <stp>[TREASURY.xlsx]Sheet1!R697C3</stp>
        <tr r="C697" s="1"/>
      </tp>
      <tp t="s">
        <v>#N/A N/A</v>
        <stp/>
        <stp>##V3_BDPV12</stp>
        <stp>9128284J Govt</stp>
        <stp>YLD_YTM_BID</stp>
        <stp>[TREASURY.xlsx]Sheet1!R381C4</stp>
        <tr r="D381" s="1"/>
      </tp>
      <tp t="s">
        <v>US9128284B36</v>
        <stp/>
        <stp>##V3_BDPV12</stp>
        <stp>9128284B Govt</stp>
        <stp>ID_ISIN</stp>
        <stp>[TREASURY.xlsx]Sheet1!R1106C12</stp>
        <tr r="L1106" s="1"/>
      </tp>
      <tp t="s">
        <v>US9128282Z22</v>
        <stp/>
        <stp>##V3_BDPV12</stp>
        <stp>9128282Z Govt</stp>
        <stp>ID_ISIN</stp>
        <stp>[TREASURY.xlsx]Sheet1!R1615C12</stp>
        <tr r="L1615" s="1"/>
      </tp>
      <tp t="s">
        <v>US9128282G41</v>
        <stp/>
        <stp>##V3_BDPV12</stp>
        <stp>9128282G Govt</stp>
        <stp>ID_ISIN</stp>
        <stp>[TREASURY.xlsx]Sheet1!R1105C12</stp>
        <tr r="L1105" s="1"/>
      </tp>
      <tp t="s">
        <v>US9128283X64</v>
        <stp/>
        <stp>##V3_BDPV12</stp>
        <stp>9128283X Govt</stp>
        <stp>ID_ISIN</stp>
        <stp>[TREASURY.xlsx]Sheet1!R1269C12</stp>
        <tr r="L1269" s="1"/>
      </tp>
      <tp t="s">
        <v>S/A</v>
        <stp/>
        <stp>##V3_BDPV12</stp>
        <stp>912827RN Govt</stp>
        <stp>COUPON_FREQUENCY_DESCRIPTION</stp>
        <stp>[TREASURY.xlsx]Sheet1!R1064C10</stp>
        <tr r="J1064" s="1"/>
      </tp>
      <tp t="s">
        <v>S/A</v>
        <stp/>
        <stp>##V3_BDPV12</stp>
        <stp>912828RN Govt</stp>
        <stp>COUPON_FREQUENCY_DESCRIPTION</stp>
        <stp>[TREASURY.xlsx]Sheet1!R1140C10</stp>
        <tr r="J1140" s="1"/>
      </tp>
      <tp t="s">
        <v>UNITED STATES</v>
        <stp/>
        <stp>##V3_BDPV12</stp>
        <stp>912827XG Govt</stp>
        <stp>COUNTRY_FULL_NAME</stp>
        <stp>[TREASURY.xlsx]Sheet1!R1597C8</stp>
        <tr r="H1597" s="1"/>
      </tp>
      <tp t="s">
        <v>S/A</v>
        <stp/>
        <stp>##V3_BDPV12</stp>
        <stp>912828RL Govt</stp>
        <stp>COUPON_FREQUENCY_DESCRIPTION</stp>
        <stp>[TREASURY.xlsx]Sheet1!R1131C10</stp>
        <tr r="J1131" s="1"/>
      </tp>
      <tp t="s">
        <v>S/A</v>
        <stp/>
        <stp>##V3_BDPV12</stp>
        <stp>912827RH Govt</stp>
        <stp>COUPON_FREQUENCY_DESCRIPTION</stp>
        <stp>[TREASURY.xlsx]Sheet1!R1502C10</stp>
        <tr r="J1502" s="1"/>
      </tp>
      <tp t="s">
        <v>S/A</v>
        <stp/>
        <stp>##V3_BDPV12</stp>
        <stp>912827RM Govt</stp>
        <stp>COUPON_FREQUENCY_DESCRIPTION</stp>
        <stp>[TREASURY.xlsx]Sheet1!R1580C10</stp>
        <tr r="J1580" s="1"/>
      </tp>
      <tp t="s">
        <v>S/A</v>
        <stp/>
        <stp>##V3_BDPV12</stp>
        <stp>912828RK Govt</stp>
        <stp>COUPON_FREQUENCY_DESCRIPTION</stp>
        <stp>[TREASURY.xlsx]Sheet1!R1266C10</stp>
        <tr r="J1266" s="1"/>
      </tp>
      <tp t="s">
        <v>S/A</v>
        <stp/>
        <stp>##V3_BDPV12</stp>
        <stp>912827RL Govt</stp>
        <stp>COUPON_FREQUENCY_DESCRIPTION</stp>
        <stp>[TREASURY.xlsx]Sheet1!R1503C10</stp>
        <tr r="J1503" s="1"/>
      </tp>
      <tp t="s">
        <v>S/A</v>
        <stp/>
        <stp>##V3_BDPV12</stp>
        <stp>912828RD Govt</stp>
        <stp>COUPON_FREQUENCY_DESCRIPTION</stp>
        <stp>[TREASURY.xlsx]Sheet1!R1265C10</stp>
        <tr r="J1265" s="1"/>
      </tp>
      <tp t="s">
        <v>T 11 3/4 02/15/10</v>
        <stp/>
        <stp>##V3_BDPV12</stp>
        <stp>912810CM Govt</stp>
        <stp>SECURITY_NAME</stp>
        <stp>[TREASURY.xlsx]Sheet1!R1515C16</stp>
        <tr r="P1515" s="1"/>
      </tp>
      <tp t="s">
        <v>T 2 1/8 10/31/04</v>
        <stp/>
        <stp>##V3_BDPV12</stp>
        <stp>912828AM Govt</stp>
        <stp>SECURITY_NAME</stp>
        <stp>[TREASURY.xlsx]Sheet1!R1616C16</stp>
        <tr r="P1616" s="1"/>
      </tp>
      <tp t="s">
        <v>T 11 5/8 11/15/94</v>
        <stp/>
        <stp>##V3_BDPV12</stp>
        <stp>912827RM Govt</stp>
        <stp>SECURITY_NAME</stp>
        <stp>[TREASURY.xlsx]Sheet1!R1580C16</stp>
        <tr r="P1580" s="1"/>
      </tp>
      <tp t="s">
        <v>UNITED STATES</v>
        <stp/>
        <stp>##V3_BDPV12</stp>
        <stp>912827WL Govt</stp>
        <stp>COUNTRY_FULL_NAME</stp>
        <stp>[TREASURY.xlsx]Sheet1!R1208C8</stp>
        <tr r="H1208" s="1"/>
      </tp>
      <tp t="s">
        <v>T 6 1/8 01/31/89</v>
        <stp/>
        <stp>##V3_BDPV12</stp>
        <stp>912827UM Govt</stp>
        <stp>SECURITY_NAME</stp>
        <stp>[TREASURY.xlsx]Sheet1!R1405C16</stp>
        <tr r="P1405" s="1"/>
      </tp>
      <tp t="s">
        <v>T 7 3/8 04/15/93</v>
        <stp/>
        <stp>##V3_BDPV12</stp>
        <stp>912827TM Govt</stp>
        <stp>SECURITY_NAME</stp>
        <stp>[TREASURY.xlsx]Sheet1!R1400C16</stp>
        <tr r="P1400" s="1"/>
      </tp>
      <tp t="s">
        <v>T 8 3/4 08/15/91</v>
        <stp/>
        <stp>##V3_BDPV12</stp>
        <stp>912827WM Govt</stp>
        <stp>SECURITY_NAME</stp>
        <stp>[TREASURY.xlsx]Sheet1!R1418C16</stp>
        <tr r="P1418" s="1"/>
      </tp>
      <tp t="s">
        <v>T 5 3/8 07/31/00</v>
        <stp/>
        <stp>##V3_BDPV12</stp>
        <stp>9128274M Govt</stp>
        <stp>SECURITY_NAME</stp>
        <stp>[TREASURY.xlsx]Sheet1!R1461C16</stp>
        <tr r="P1461" s="1"/>
      </tp>
      <tp t="s">
        <v>T 3 02/29/04</v>
        <stp/>
        <stp>##V3_BDPV12</stp>
        <stp>9128277M Govt</stp>
        <stp>SECURITY_NAME</stp>
        <stp>[TREASURY.xlsx]Sheet1!R1472C16</stp>
        <tr r="P1472" s="1"/>
      </tp>
      <tp t="s">
        <v>T 4 02/15/15</v>
        <stp/>
        <stp>##V3_BDPV12</stp>
        <stp>912828DM Govt</stp>
        <stp>SECURITY_NAME</stp>
        <stp>[TREASURY.xlsx]Sheet1!R1427C16</stp>
        <tr r="P1427" s="1"/>
      </tp>
      <tp t="s">
        <v>S/A</v>
        <stp/>
        <stp>##V3_BDPV12</stp>
        <stp>912827RE Govt</stp>
        <stp>COUPON_FREQUENCY_DESCRIPTION</stp>
        <stp>[TREASURY.xlsx]Sheet1!R1063C10</stp>
        <tr r="J1063" s="1"/>
      </tp>
      <tp t="s">
        <v>UNITED STATES</v>
        <stp/>
        <stp>##V3_BDPV12</stp>
        <stp>912827WM Govt</stp>
        <stp>COUNTRY_FULL_NAME</stp>
        <stp>[TREASURY.xlsx]Sheet1!R1418C8</stp>
        <tr r="H1418" s="1"/>
      </tp>
      <tp t="s">
        <v>T 5 3/4 11/15/00</v>
        <stp/>
        <stp>##V3_BDPV12</stp>
        <stp>9128273M Govt</stp>
        <stp>SECURITY_NAME</stp>
        <stp>[TREASURY.xlsx]Sheet1!R1357C16</stp>
        <tr r="P1357" s="1"/>
      </tp>
      <tp t="s">
        <v>S/A</v>
        <stp/>
        <stp>##V3_BDPV12</stp>
        <stp>912827RG Govt</stp>
        <stp>COUPON_FREQUENCY_DESCRIPTION</stp>
        <stp>[TREASURY.xlsx]Sheet1!R1501C10</stp>
        <tr r="J1501" s="1"/>
      </tp>
      <tp t="s">
        <v>T 7 3/4 11/15/93</v>
        <stp/>
        <stp>##V3_BDPV12</stp>
        <stp>912827ZM Govt</stp>
        <stp>SECURITY_NAME</stp>
        <stp>[TREASURY.xlsx]Sheet1!R1230C16</stp>
        <tr r="P1230" s="1"/>
      </tp>
      <tp t="s">
        <v>T 9 05/15/92</v>
        <stp/>
        <stp>##V3_BDPV12</stp>
        <stp>912827XM Govt</stp>
        <stp>SECURITY_NAME</stp>
        <stp>[TREASURY.xlsx]Sheet1!R1215C16</stp>
        <tr r="P1215" s="1"/>
      </tp>
      <tp t="s">
        <v>S/A</v>
        <stp/>
        <stp>##V3_BDPV12</stp>
        <stp>912827RF Govt</stp>
        <stp>COUPON_FREQUENCY_DESCRIPTION</stp>
        <stp>[TREASURY.xlsx]Sheet1!R1579C10</stp>
        <tr r="J1579" s="1"/>
      </tp>
      <tp t="s">
        <v>S/A</v>
        <stp/>
        <stp>##V3_BDPV12</stp>
        <stp>912827RC Govt</stp>
        <stp>COUPON_FREQUENCY_DESCRIPTION</stp>
        <stp>[TREASURY.xlsx]Sheet1!R1062C10</stp>
        <tr r="J1062" s="1"/>
      </tp>
      <tp t="s">
        <v>T 10 1/8 05/15/93</v>
        <stp/>
        <stp>##V3_BDPV12</stp>
        <stp>912827PM Govt</stp>
        <stp>SECURITY_NAME</stp>
        <stp>[TREASURY.xlsx]Sheet1!R1174C16</stp>
        <tr r="P1174" s="1"/>
      </tp>
      <tp t="s">
        <v>T 4 1/2 11/15/10</v>
        <stp/>
        <stp>##V3_BDPV12</stp>
        <stp>912828EM Govt</stp>
        <stp>SECURITY_NAME</stp>
        <stp>[TREASURY.xlsx]Sheet1!R1115C16</stp>
        <tr r="P1115" s="1"/>
      </tp>
      <tp t="s">
        <v>T 1 05/15/14</v>
        <stp/>
        <stp>##V3_BDPV12</stp>
        <stp>912828QM Govt</stp>
        <stp>SECURITY_NAME</stp>
        <stp>[TREASURY.xlsx]Sheet1!R1130C16</stp>
        <tr r="P1130" s="1"/>
      </tp>
      <tp t="s">
        <v>T 1 3/8 09/15/12</v>
        <stp/>
        <stp>##V3_BDPV12</stp>
        <stp>912828LM Govt</stp>
        <stp>SECURITY_NAME</stp>
        <stp>[TREASURY.xlsx]Sheet1!R1129C16</stp>
        <tr r="P1129" s="1"/>
      </tp>
      <tp t="s">
        <v>T 6 08/15/04</v>
        <stp/>
        <stp>##V3_BDPV12</stp>
        <stp>9128275M Govt</stp>
        <stp>SECURITY_NAME</stp>
        <stp>[TREASURY.xlsx]Sheet1!R1015C16</stp>
        <tr r="P1015" s="1"/>
      </tp>
      <tp t="s">
        <v>T 14 3/8 11/15/84</v>
        <stp/>
        <stp>##V3_BDPV12</stp>
        <stp>912827MM Govt</stp>
        <stp>SECURITY_NAME</stp>
        <stp>[TREASURY.xlsx]Sheet1!R1045C16</stp>
        <tr r="P1045" s="1"/>
      </tp>
      <tp t="s">
        <v>T 10 7/8 02/28/86</v>
        <stp/>
        <stp>##V3_BDPV12</stp>
        <stp>912827QM Govt</stp>
        <stp>SECURITY_NAME</stp>
        <stp>[TREASURY.xlsx]Sheet1!R1058C16</stp>
        <tr r="P1058" s="1"/>
      </tp>
      <tp t="s">
        <v>T 8 11/15/90</v>
        <stp/>
        <stp>##V3_BDPV12</stp>
        <stp>912827VM Govt</stp>
        <stp>SECURITY_NAME</stp>
        <stp>[TREASURY.xlsx]Sheet1!R1088C16</stp>
        <tr r="P1088" s="1"/>
      </tp>
      <tp t="s">
        <v>S/A</v>
        <stp/>
        <stp>##V3_BDPV12</stp>
        <stp>912827RA Govt</stp>
        <stp>COUPON_FREQUENCY_DESCRIPTION</stp>
        <stp>[TREASURY.xlsx]Sheet1!R1061C10</stp>
        <tr r="J1061" s="1"/>
      </tp>
      <tp t="s">
        <v>S/A</v>
        <stp/>
        <stp>##V3_BDPV12</stp>
        <stp>912827RZ Govt</stp>
        <stp>COUPON_FREQUENCY_DESCRIPTION</stp>
        <stp>[TREASURY.xlsx]Sheet1!R1584C10</stp>
        <tr r="J1584" s="1"/>
      </tp>
      <tp t="s">
        <v>UNITED STATES</v>
        <stp/>
        <stp>##V3_BDPV12</stp>
        <stp>912828VW Govt</stp>
        <stp>COUNTRY_FULL_NAME</stp>
        <stp>[TREASURY.xlsx]Sheet1!R1149C8</stp>
        <tr r="H1149" s="1"/>
      </tp>
      <tp t="s">
        <v>S/A</v>
        <stp/>
        <stp>##V3_BDPV12</stp>
        <stp>912827RY Govt</stp>
        <stp>COUPON_FREQUENCY_DESCRIPTION</stp>
        <stp>[TREASURY.xlsx]Sheet1!R1583C10</stp>
        <tr r="J1583" s="1"/>
      </tp>
      <tp t="s">
        <v>UNITED STATES</v>
        <stp/>
        <stp>##V3_BDPV12</stp>
        <stp>912827XU Govt</stp>
        <stp>COUNTRY_FULL_NAME</stp>
        <stp>[TREASURY.xlsx]Sheet1!R1217C8</stp>
        <tr r="H1217" s="1"/>
      </tp>
      <tp t="s">
        <v>S/A</v>
        <stp/>
        <stp>##V3_BDPV12</stp>
        <stp>912828RY Govt</stp>
        <stp>COUPON_FREQUENCY_DESCRIPTION</stp>
        <stp>[TREASURY.xlsx]Sheet1!R1267C10</stp>
        <tr r="J1267" s="1"/>
      </tp>
      <tp t="s">
        <v>UNITED STATES</v>
        <stp/>
        <stp>##V3_BDPV12</stp>
        <stp>912828XS Govt</stp>
        <stp>COUNTRY_FULL_NAME</stp>
        <stp>[TREASURY.xlsx]Sheet1!R1307C8</stp>
        <tr r="H1307" s="1"/>
      </tp>
      <tp t="s">
        <v>S/A</v>
        <stp/>
        <stp>##V3_BDPV12</stp>
        <stp>912828RZ Govt</stp>
        <stp>COUPON_FREQUENCY_DESCRIPTION</stp>
        <stp>[TREASURY.xlsx]Sheet1!R1268C10</stp>
        <tr r="J1268" s="1"/>
      </tp>
      <tp t="s">
        <v>UNITED STATES</v>
        <stp/>
        <stp>##V3_BDPV12</stp>
        <stp>912827YP Govt</stp>
        <stp>COUNTRY_FULL_NAME</stp>
        <stp>[TREASURY.xlsx]Sheet1!R1606C8</stp>
        <tr r="H1606" s="1"/>
      </tp>
      <tp t="s">
        <v>S/A</v>
        <stp/>
        <stp>##V3_BDPV12</stp>
        <stp>912828RU Govt</stp>
        <stp>COUPON_FREQUENCY_DESCRIPTION</stp>
        <stp>[TREASURY.xlsx]Sheet1!R1302C10</stp>
        <tr r="J1302" s="1"/>
      </tp>
      <tp t="s">
        <v>S/A</v>
        <stp/>
        <stp>##V3_BDPV12</stp>
        <stp>912828RW Govt</stp>
        <stp>COUPON_FREQUENCY_DESCRIPTION</stp>
        <stp>[TREASURY.xlsx]Sheet1!R1303C10</stp>
        <tr r="J1303" s="1"/>
      </tp>
      <tp t="s">
        <v>UNITED STATES</v>
        <stp/>
        <stp>##V3_BDPV12</stp>
        <stp>912827XZ Govt</stp>
        <stp>COUNTRY_FULL_NAME</stp>
        <stp>[TREASURY.xlsx]Sheet1!R1097C8</stp>
        <tr r="H1097" s="1"/>
      </tp>
      <tp t="s">
        <v>UNITED STATES</v>
        <stp/>
        <stp>##V3_BDPV12</stp>
        <stp>912827VZ Govt</stp>
        <stp>COUNTRY_FULL_NAME</stp>
        <stp>[TREASURY.xlsx]Sheet1!R1089C8</stp>
        <tr r="H1089" s="1"/>
      </tp>
      <tp t="s">
        <v>S/A</v>
        <stp/>
        <stp>##V3_BDPV12</stp>
        <stp>912827RV Govt</stp>
        <stp>COUPON_FREQUENCY_DESCRIPTION</stp>
        <stp>[TREASURY.xlsx]Sheet1!R1582C10</stp>
        <tr r="J1582" s="1"/>
      </tp>
      <tp t="s">
        <v>S/A</v>
        <stp/>
        <stp>##V3_BDPV12</stp>
        <stp>912827RT Govt</stp>
        <stp>COUPON_FREQUENCY_DESCRIPTION</stp>
        <stp>[TREASURY.xlsx]Sheet1!R1581C10</stp>
        <tr r="J1581" s="1"/>
      </tp>
      <tp t="s">
        <v>#N/A Field Not Applicable</v>
        <stp/>
        <stp>##V3_BDPV12</stp>
        <stp>9128283V Govt</stp>
        <stp>IDX_RATIO</stp>
        <stp>[TREASURY.xlsx]Sheet1!R242C20</stp>
        <tr r="T242" s="1"/>
      </tp>
      <tp t="s">
        <v>#N/A Field Not Applicable</v>
        <stp/>
        <stp>##V3_BDPV12</stp>
        <stp>9128283U Govt</stp>
        <stp>IDX_RATIO</stp>
        <stp>[TREASURY.xlsx]Sheet1!R268C20</stp>
        <tr r="T268" s="1"/>
      </tp>
      <tp t="s">
        <v>#N/A Field Not Applicable</v>
        <stp/>
        <stp>##V3_BDPV12</stp>
        <stp>9128283S Govt</stp>
        <stp>IDX_RATIO</stp>
        <stp>[TREASURY.xlsx]Sheet1!R433C20</stp>
        <tr r="T433" s="1"/>
      </tp>
      <tp t="s">
        <v>#N/A Field Not Applicable</v>
        <stp/>
        <stp>##V3_BDPV12</stp>
        <stp>9128283P Govt</stp>
        <stp>IDX_RATIO</stp>
        <stp>[TREASURY.xlsx]Sheet1!R185C20</stp>
        <tr r="T185" s="1"/>
      </tp>
      <tp t="s">
        <v>#N/A Field Not Applicable</v>
        <stp/>
        <stp>##V3_BDPV12</stp>
        <stp>9128283Q Govt</stp>
        <stp>IDX_RATIO</stp>
        <stp>[TREASURY.xlsx]Sheet1!R375C20</stp>
        <tr r="T375" s="1"/>
      </tp>
      <tp t="s">
        <v>#N/A Field Not Applicable</v>
        <stp/>
        <stp>##V3_BDPV12</stp>
        <stp>9128273X Govt</stp>
        <stp>IDX_RATIO</stp>
        <stp>[TREASURY.xlsx]Sheet1!R500C20</stp>
        <tr r="T500" s="1"/>
      </tp>
      <tp t="s">
        <v>#N/A Field Not Applicable</v>
        <stp/>
        <stp>##V3_BDPV12</stp>
        <stp>9128273Y Govt</stp>
        <stp>IDX_RATIO</stp>
        <stp>[TREASURY.xlsx]Sheet1!R607C20</stp>
        <tr r="T607" s="1"/>
      </tp>
      <tp t="s">
        <v>#N/A Field Not Applicable</v>
        <stp/>
        <stp>##V3_BDPV12</stp>
        <stp>9128283Z Govt</stp>
        <stp>IDX_RATIO</stp>
        <stp>[TREASURY.xlsx]Sheet1!R261C20</stp>
        <tr r="T261" s="1"/>
      </tp>
      <tp t="s">
        <v>#N/A Field Not Applicable</v>
        <stp/>
        <stp>##V3_BDPV12</stp>
        <stp>9128283Y Govt</stp>
        <stp>IDX_RATIO</stp>
        <stp>[TREASURY.xlsx]Sheet1!R395C20</stp>
        <tr r="T395" s="1"/>
      </tp>
      <tp t="s">
        <v>#N/A Field Not Applicable</v>
        <stp/>
        <stp>##V3_BDPV12</stp>
        <stp>9128283G Govt</stp>
        <stp>IDX_RATIO</stp>
        <stp>[TREASURY.xlsx]Sheet1!R380C20</stp>
        <tr r="T380" s="1"/>
      </tp>
      <tp t="s">
        <v>S/A</v>
        <stp/>
        <stp>##V3_BDPV12</stp>
        <stp>912827R9 Govt</stp>
        <stp>COUPON_FREQUENCY_DESCRIPTION</stp>
        <stp>[TREASURY.xlsx]Sheet1!R1578C10</stp>
        <tr r="J1578" s="1"/>
      </tp>
      <tp t="s">
        <v>UNITED STATES</v>
        <stp/>
        <stp>##V3_BDPV12</stp>
        <stp>912827Z4 Govt</stp>
        <stp>COUNTRY_FULL_NAME</stp>
        <stp>[TREASURY.xlsx]Sheet1!R1225C8</stp>
        <tr r="H1225" s="1"/>
      </tp>
      <tp t="s">
        <v>#N/A Field Not Applicable</v>
        <stp/>
        <stp>##V3_BDPV12</stp>
        <stp>9128283D Govt</stp>
        <stp>IDX_RATIO</stp>
        <stp>[TREASURY.xlsx]Sheet1!R231C20</stp>
        <tr r="T231" s="1"/>
      </tp>
      <tp t="s">
        <v>#N/A Field Not Applicable</v>
        <stp/>
        <stp>##V3_BDPV12</stp>
        <stp>9128283C Govt</stp>
        <stp>IDX_RATIO</stp>
        <stp>[TREASURY.xlsx]Sheet1!R186C20</stp>
        <tr r="T186" s="1"/>
      </tp>
      <tp t="s">
        <v>S/A</v>
        <stp/>
        <stp>##V3_BDPV12</stp>
        <stp>912828R4 Govt</stp>
        <stp>COUPON_FREQUENCY_DESCRIPTION</stp>
        <stp>[TREASURY.xlsx]Sheet1!R1264C10</stp>
        <tr r="J1264" s="1"/>
      </tp>
      <tp t="s">
        <v>#N/A Field Not Applicable</v>
        <stp/>
        <stp>##V3_BDPV12</stp>
        <stp>9128283N Govt</stp>
        <stp>IDX_RATIO</stp>
        <stp>[TREASURY.xlsx]Sheet1!R366C20</stp>
        <tr r="T366" s="1"/>
      </tp>
      <tp t="s">
        <v>S/A</v>
        <stp/>
        <stp>##V3_BDPV12</stp>
        <stp>912828R5 Govt</stp>
        <stp>COUPON_FREQUENCY_DESCRIPTION</stp>
        <stp>[TREASURY.xlsx]Sheet1!R1284C10</stp>
        <tr r="J1284" s="1"/>
      </tp>
      <tp t="s">
        <v>#N/A Field Not Applicable</v>
        <stp/>
        <stp>##V3_BDPV12</stp>
        <stp>9128283L Govt</stp>
        <stp>IDX_RATIO</stp>
        <stp>[TREASURY.xlsx]Sheet1!R350C20</stp>
        <tr r="T350" s="1"/>
      </tp>
      <tp t="s">
        <v>#N/A Field Not Applicable</v>
        <stp/>
        <stp>##V3_BDPV12</stp>
        <stp>9128283H Govt</stp>
        <stp>IDX_RATIO</stp>
        <stp>[TREASURY.xlsx]Sheet1!R784C20</stp>
        <tr r="T784" s="1"/>
      </tp>
      <tp t="s">
        <v>S/A</v>
        <stp/>
        <stp>##V3_BDPV12</stp>
        <stp>912827R7 Govt</stp>
        <stp>COUPON_FREQUENCY_DESCRIPTION</stp>
        <stp>[TREASURY.xlsx]Sheet1!R1577C10</stp>
        <tr r="J1577" s="1"/>
      </tp>
      <tp t="s">
        <v>S/A</v>
        <stp/>
        <stp>##V3_BDPV12</stp>
        <stp>912827R3 Govt</stp>
        <stp>COUPON_FREQUENCY_DESCRIPTION</stp>
        <stp>[TREASURY.xlsx]Sheet1!R1060C10</stp>
        <tr r="J1060" s="1"/>
      </tp>
      <tp t="s">
        <v>S/A</v>
        <stp/>
        <stp>##V3_BDPV12</stp>
        <stp>912827R6 Govt</stp>
        <stp>COUPON_FREQUENCY_DESCRIPTION</stp>
        <stp>[TREASURY.xlsx]Sheet1!R1500C10</stp>
        <tr r="J1500" s="1"/>
      </tp>
      <tp t="s">
        <v>#N/A Field Not Applicable</v>
        <stp/>
        <stp>##V3_BDPV12</stp>
        <stp>9128283J Govt</stp>
        <stp>IDX_RATIO</stp>
        <stp>[TREASURY.xlsx]Sheet1!R216C20</stp>
        <tr r="T216" s="1"/>
      </tp>
      <tp t="s">
        <v>S/A</v>
        <stp/>
        <stp>##V3_BDPV12</stp>
        <stp>912827R4 Govt</stp>
        <stp>COUPON_FREQUENCY_DESCRIPTION</stp>
        <stp>[TREASURY.xlsx]Sheet1!R1499C10</stp>
        <tr r="J1499" s="1"/>
      </tp>
      <tp t="s">
        <v>US912828ML15</v>
        <stp/>
        <stp>##V3_BDPV12</stp>
        <stp>912828ML Govt</stp>
        <stp>ID_ISIN</stp>
        <stp>[TREASURY.xlsx]Sheet1!R1253C12</stp>
        <tr r="L1253" s="1"/>
      </tp>
      <tp t="s">
        <v>US912828MA59</v>
        <stp/>
        <stp>##V3_BDPV12</stp>
        <stp>912828MA Govt</stp>
        <stp>ID_ISIN</stp>
        <stp>[TREASURY.xlsx]Sheet1!R1252C12</stp>
        <tr r="L1252" s="1"/>
      </tp>
      <tp t="s">
        <v>US912828MZ01</v>
        <stp/>
        <stp>##V3_BDPV12</stp>
        <stp>912828MZ Govt</stp>
        <stp>ID_ISIN</stp>
        <stp>[TREASURY.xlsx]Sheet1!R1255C12</stp>
        <tr r="L1255" s="1"/>
      </tp>
      <tp t="s">
        <v>US912828MT41</v>
        <stp/>
        <stp>##V3_BDPV12</stp>
        <stp>912828MT Govt</stp>
        <stp>ID_ISIN</stp>
        <stp>[TREASURY.xlsx]Sheet1!R1254C12</stp>
        <tr r="L1254" s="1"/>
      </tp>
      <tp t="s">
        <v>4/30/2012</v>
        <stp/>
        <stp>##V3_BDPV12</stp>
        <stp>912828RN Govt</stp>
        <stp>FIRST_CPN_DT</stp>
        <stp>[TREASURY.xlsx]Sheet1!R1140C9</stp>
        <tr r="I1140" s="1"/>
      </tp>
      <tp t="s">
        <v>US912828M649</v>
        <stp/>
        <stp>##V3_BDPV12</stp>
        <stp>912828M6 Govt</stp>
        <stp>ID_ISIN</stp>
        <stp>[TREASURY.xlsx]Sheet1!R1251C12</stp>
        <tr r="L1251" s="1"/>
      </tp>
      <tp t="s">
        <v>US912828LC25</v>
        <stp/>
        <stp>##V3_BDPV12</stp>
        <stp>912828LC Govt</stp>
        <stp>ID_ISIN</stp>
        <stp>[TREASURY.xlsx]Sheet1!R1289C12</stp>
        <tr r="L1289" s="1"/>
      </tp>
      <tp t="s">
        <v>US912828LL24</v>
        <stp/>
        <stp>##V3_BDPV12</stp>
        <stp>912828LL Govt</stp>
        <stp>ID_ISIN</stp>
        <stp>[TREASURY.xlsx]Sheet1!R1290C12</stp>
        <tr r="L1290" s="1"/>
      </tp>
      <tp t="s">
        <v>US912828LV06</v>
        <stp/>
        <stp>##V3_BDPV12</stp>
        <stp>912828LV Govt</stp>
        <stp>ID_ISIN</stp>
        <stp>[TREASURY.xlsx]Sheet1!R1291C12</stp>
        <tr r="L1291" s="1"/>
      </tp>
      <tp t="s">
        <v>US912828LH12</v>
        <stp/>
        <stp>##V3_BDPV12</stp>
        <stp>912828LH Govt</stp>
        <stp>ID_ISIN</stp>
        <stp>[TREASURY.xlsx]Sheet1!R1128C12</stp>
        <tr r="L1128" s="1"/>
      </tp>
      <tp t="s">
        <v>US912828LM07</v>
        <stp/>
        <stp>##V3_BDPV12</stp>
        <stp>912828LM Govt</stp>
        <stp>ID_ISIN</stp>
        <stp>[TREASURY.xlsx]Sheet1!R1129C12</stp>
        <tr r="L1129" s="1"/>
      </tp>
      <tp t="s">
        <v>7/31/2011</v>
        <stp/>
        <stp>##V3_BDPV12</stp>
        <stp>912828PR Govt</stp>
        <stp>FIRST_CPN_DT</stp>
        <stp>[TREASURY.xlsx]Sheet1!R1260C9</stp>
        <tr r="I1260" s="1"/>
      </tp>
      <tp t="s">
        <v>7/31/2011</v>
        <stp/>
        <stp>##V3_BDPV12</stp>
        <stp>912828PT Govt</stp>
        <stp>FIRST_CPN_DT</stp>
        <stp>[TREASURY.xlsx]Sheet1!R1300C9</stp>
        <tr r="I1300" s="1"/>
      </tp>
      <tp t="s">
        <v>US912828L815</v>
        <stp/>
        <stp>##V3_BDPV12</stp>
        <stp>912828L8 Govt</stp>
        <stp>ID_ISIN</stp>
        <stp>[TREASURY.xlsx]Sheet1!R1127C12</stp>
        <tr r="L1127" s="1"/>
      </tp>
      <tp t="s">
        <v>US912828NA41</v>
        <stp/>
        <stp>##V3_BDPV12</stp>
        <stp>912828NA Govt</stp>
        <stp>ID_ISIN</stp>
        <stp>[TREASURY.xlsx]Sheet1!R1292C12</stp>
        <tr r="L1292" s="1"/>
      </tp>
      <tp t="s">
        <v>US912828NF38</v>
        <stp/>
        <stp>##V3_BDPV12</stp>
        <stp>912828NF Govt</stp>
        <stp>ID_ISIN</stp>
        <stp>[TREASURY.xlsx]Sheet1!R1256C12</stp>
        <tr r="L1256" s="1"/>
      </tp>
      <tp t="s">
        <v>US912828HA15</v>
        <stp/>
        <stp>##V3_BDPV12</stp>
        <stp>912828HA Govt</stp>
        <stp>ID_ISIN</stp>
        <stp>[TREASURY.xlsx]Sheet1!R1437C12</stp>
        <tr r="L1437" s="1"/>
      </tp>
      <tp t="s">
        <v>US912828NQ92</v>
        <stp/>
        <stp>##V3_BDPV12</stp>
        <stp>912828NQ Govt</stp>
        <stp>ID_ISIN</stp>
        <stp>[TREASURY.xlsx]Sheet1!R1293C12</stp>
        <tr r="L1293" s="1"/>
      </tp>
      <tp t="s">
        <v>US912828NY27</v>
        <stp/>
        <stp>##V3_BDPV12</stp>
        <stp>912828NY Govt</stp>
        <stp>ID_ISIN</stp>
        <stp>[TREASURY.xlsx]Sheet1!R1258C12</stp>
        <tr r="L1258" s="1"/>
      </tp>
      <tp t="s">
        <v>US912828NW60</v>
        <stp/>
        <stp>##V3_BDPV12</stp>
        <stp>912828NW Govt</stp>
        <stp>ID_ISIN</stp>
        <stp>[TREASURY.xlsx]Sheet1!R1294C12</stp>
        <tr r="L1294" s="1"/>
      </tp>
      <tp t="s">
        <v>US912828NZ91</v>
        <stp/>
        <stp>##V3_BDPV12</stp>
        <stp>912828NZ Govt</stp>
        <stp>ID_ISIN</stp>
        <stp>[TREASURY.xlsx]Sheet1!R1295C12</stp>
        <tr r="L1295" s="1"/>
      </tp>
      <tp t="s">
        <v>US912828HP83</v>
        <stp/>
        <stp>##V3_BDPV12</stp>
        <stp>912828HP Govt</stp>
        <stp>ID_ISIN</stp>
        <stp>[TREASURY.xlsx]Sheet1!R1438C12</stp>
        <tr r="L1438" s="1"/>
      </tp>
      <tp t="s">
        <v>US912828NR75</v>
        <stp/>
        <stp>##V3_BDPV12</stp>
        <stp>912828NR Govt</stp>
        <stp>ID_ISIN</stp>
        <stp>[TREASURY.xlsx]Sheet1!R1257C12</stp>
        <tr r="L1257" s="1"/>
      </tp>
      <tp t="s">
        <v>11/15/2011</v>
        <stp/>
        <stp>##V3_BDPV12</stp>
        <stp>912828QM Govt</stp>
        <stp>FIRST_CPN_DT</stp>
        <stp>[TREASURY.xlsx]Sheet1!R1130C9</stp>
        <tr r="I1130" s="1"/>
      </tp>
      <tp t="s">
        <v>US912828JL51</v>
        <stp/>
        <stp>##V3_BDPV12</stp>
        <stp>912828JL Govt</stp>
        <stp>ID_ISIN</stp>
        <stp>[TREASURY.xlsx]Sheet1!R1122C12</stp>
        <tr r="L1122" s="1"/>
      </tp>
      <tp t="s">
        <v>US912828KK59</v>
        <stp/>
        <stp>##V3_BDPV12</stp>
        <stp>912828KK Govt</stp>
        <stp>ID_ISIN</stp>
        <stp>[TREASURY.xlsx]Sheet1!R1124C12</stp>
        <tr r="L1124" s="1"/>
      </tp>
      <tp t="s">
        <v>US912828HC70</v>
        <stp/>
        <stp>##V3_BDPV12</stp>
        <stp>912828HC Govt</stp>
        <stp>ID_ISIN</stp>
        <stp>[TREASURY.xlsx]Sheet1!R1283C12</stp>
        <tr r="L1283" s="1"/>
      </tp>
      <tp t="s">
        <v>US912828KH21</v>
        <stp/>
        <stp>##V3_BDPV12</stp>
        <stp>912828KH Govt</stp>
        <stp>ID_ISIN</stp>
        <stp>[TREASURY.xlsx]Sheet1!R1123C12</stp>
        <tr r="L1123" s="1"/>
      </tp>
      <tp t="s">
        <v>US912828KX70</v>
        <stp/>
        <stp>##V3_BDPV12</stp>
        <stp>912828KX Govt</stp>
        <stp>ID_ISIN</stp>
        <stp>[TREASURY.xlsx]Sheet1!R1126C12</stp>
        <tr r="L1126" s="1"/>
      </tp>
      <tp t="s">
        <v>US912828KP47</v>
        <stp/>
        <stp>##V3_BDPV12</stp>
        <stp>912828KP Govt</stp>
        <stp>ID_ISIN</stp>
        <stp>[TREASURY.xlsx]Sheet1!R1125C12</stp>
        <tr r="L1125" s="1"/>
      </tp>
      <tp t="s">
        <v>US912828HQ66</v>
        <stp/>
        <stp>##V3_BDPV12</stp>
        <stp>912828HQ Govt</stp>
        <stp>ID_ISIN</stp>
        <stp>[TREASURY.xlsx]Sheet1!R1244C12</stp>
        <tr r="L1244" s="1"/>
      </tp>
      <tp t="s">
        <v>US912828HS23</v>
        <stp/>
        <stp>##V3_BDPV12</stp>
        <stp>912828HS Govt</stp>
        <stp>ID_ISIN</stp>
        <stp>[TREASURY.xlsx]Sheet1!R1245C12</stp>
        <tr r="L1245" s="1"/>
      </tp>
      <tp t="s">
        <v>11/30/2014</v>
        <stp/>
        <stp>##V3_BDPV12</stp>
        <stp>912828WL Govt</stp>
        <stp>FIRST_CPN_DT</stp>
        <stp>[TREASURY.xlsx]Sheet1!R1150C9</stp>
        <tr r="I1150" s="1"/>
      </tp>
      <tp t="s">
        <v>US912828H946</v>
        <stp/>
        <stp>##V3_BDPV12</stp>
        <stp>912828H9 Govt</stp>
        <stp>ID_ISIN</stp>
        <stp>[TREASURY.xlsx]Sheet1!R1243C12</stp>
        <tr r="L1243" s="1"/>
      </tp>
      <tp t="s">
        <v>US912828KN98</v>
        <stp/>
        <stp>##V3_BDPV12</stp>
        <stp>912828KN Govt</stp>
        <stp>ID_ISIN</stp>
        <stp>[TREASURY.xlsx]Sheet1!R1250C12</stp>
        <tr r="L1250" s="1"/>
      </tp>
      <tp t="s">
        <v>US912828KG48</v>
        <stp/>
        <stp>##V3_BDPV12</stp>
        <stp>912828KG Govt</stp>
        <stp>ID_ISIN</stp>
        <stp>[TREASURY.xlsx]Sheet1!R1288C12</stp>
        <tr r="L1288" s="1"/>
      </tp>
      <tp t="s">
        <v>US912828KC34</v>
        <stp/>
        <stp>##V3_BDPV12</stp>
        <stp>912828KC Govt</stp>
        <stp>ID_ISIN</stp>
        <stp>[TREASURY.xlsx]Sheet1!R1249C12</stp>
        <tr r="L1249" s="1"/>
      </tp>
      <tp t="s">
        <v>US912828K254</v>
        <stp/>
        <stp>##V3_BDPV12</stp>
        <stp>912828K2 Govt</stp>
        <stp>ID_ISIN</stp>
        <stp>[TREASURY.xlsx]Sheet1!R1287C12</stp>
        <tr r="L1287" s="1"/>
      </tp>
      <tp t="s">
        <v>US912828K668</v>
        <stp/>
        <stp>##V3_BDPV12</stp>
        <stp>912828K6 Govt</stp>
        <stp>ID_ISIN</stp>
        <stp>[TREASURY.xlsx]Sheet1!R1248C12</stp>
        <tr r="L1248" s="1"/>
      </tp>
      <tp t="s">
        <v>US912828JA96</v>
        <stp/>
        <stp>##V3_BDPV12</stp>
        <stp>912828JA Govt</stp>
        <stp>ID_ISIN</stp>
        <stp>[TREASURY.xlsx]Sheet1!R1285C12</stp>
        <tr r="L1285" s="1"/>
      </tp>
      <tp t="s">
        <v>US912828JP65</v>
        <stp/>
        <stp>##V3_BDPV12</stp>
        <stp>912828JP Govt</stp>
        <stp>ID_ISIN</stp>
        <stp>[TREASURY.xlsx]Sheet1!R1286C12</stp>
        <tr r="L1286" s="1"/>
      </tp>
      <tp t="s">
        <v>US912828JS05</v>
        <stp/>
        <stp>##V3_BDPV12</stp>
        <stp>912828JS Govt</stp>
        <stp>ID_ISIN</stp>
        <stp>[TREASURY.xlsx]Sheet1!R1247C12</stp>
        <tr r="L1247" s="1"/>
      </tp>
      <tp t="s">
        <v>7/31/2013</v>
        <stp/>
        <stp>##V3_BDPV12</stp>
        <stp>912828UL Govt</stp>
        <stp>FIRST_CPN_DT</stp>
        <stp>[TREASURY.xlsx]Sheet1!R1000C9</stp>
        <tr r="I1000" s="1"/>
      </tp>
      <tp t="s">
        <v>US912828J355</v>
        <stp/>
        <stp>##V3_BDPV12</stp>
        <stp>912828J3 Govt</stp>
        <stp>ID_ISIN</stp>
        <stp>[TREASURY.xlsx]Sheet1!R1246C12</stp>
        <tr r="L1246" s="1"/>
      </tp>
      <tp>
        <v>2</v>
        <stp/>
        <stp>##V3_BDPV12</stp>
        <stp>912810SZ Govt</stp>
        <stp>CPN</stp>
        <stp>[TREASURY.xlsx]Sheet1!R3C3</stp>
        <tr r="C3" s="1"/>
      </tp>
      <tp t="s">
        <v>US912828EJ50</v>
        <stp/>
        <stp>##V3_BDPV12</stp>
        <stp>912828EJ Govt</stp>
        <stp>ID_ISIN</stp>
        <stp>[TREASURY.xlsx]Sheet1!R1238C12</stp>
        <tr r="L1238" s="1"/>
      </tp>
      <tp t="s">
        <v>US912828AM26</v>
        <stp/>
        <stp>##V3_BDPV12</stp>
        <stp>912828AM Govt</stp>
        <stp>ID_ISIN</stp>
        <stp>[TREASURY.xlsx]Sheet1!R1616C12</stp>
        <tr r="L1616" s="1"/>
      </tp>
      <tp t="s">
        <v>US912828CE81</v>
        <stp/>
        <stp>##V3_BDPV12</stp>
        <stp>912828CE Govt</stp>
        <stp>ID_ISIN</stp>
        <stp>[TREASURY.xlsx]Sheet1!R1426C12</stp>
        <tr r="L1426" s="1"/>
      </tp>
      <tp t="s">
        <v>US912828EY28</v>
        <stp/>
        <stp>##V3_BDPV12</stp>
        <stp>912828EY Govt</stp>
        <stp>ID_ISIN</stp>
        <stp>[TREASURY.xlsx]Sheet1!R1239C12</stp>
        <tr r="L1239" s="1"/>
      </tp>
      <tp t="s">
        <v>US912828F882</v>
        <stp/>
        <stp>##V3_BDPV12</stp>
        <stp>912828F8 Govt</stp>
        <stp>ID_ISIN</stp>
        <stp>[TREASURY.xlsx]Sheet1!R1118C12</stp>
        <tr r="L1118" s="1"/>
      </tp>
      <tp t="s">
        <v>US912828F478</v>
        <stp/>
        <stp>##V3_BDPV12</stp>
        <stp>912828F4 Govt</stp>
        <stp>ID_ISIN</stp>
        <stp>[TREASURY.xlsx]Sheet1!R1117C12</stp>
        <tr r="L1117" s="1"/>
      </tp>
      <tp t="s">
        <v>US912828GK06</v>
        <stp/>
        <stp>##V3_BDPV12</stp>
        <stp>912828GK Govt</stp>
        <stp>ID_ISIN</stp>
        <stp>[TREASURY.xlsx]Sheet1!R1119C12</stp>
        <tr r="L1119" s="1"/>
      </tp>
      <tp t="s">
        <v>US912828DK33</v>
        <stp/>
        <stp>##V3_BDPV12</stp>
        <stp>912828DK Govt</stp>
        <stp>ID_ISIN</stp>
        <stp>[TREASURY.xlsx]Sheet1!R1271C12</stp>
        <tr r="L1271" s="1"/>
      </tp>
      <tp t="s">
        <v>US912828BE90</v>
        <stp/>
        <stp>##V3_BDPV12</stp>
        <stp>912828BE Govt</stp>
        <stp>ID_ISIN</stp>
        <stp>[TREASURY.xlsx]Sheet1!R1425C12</stp>
        <tr r="L1425" s="1"/>
      </tp>
      <tp t="s">
        <v>US912828GZ74</v>
        <stp/>
        <stp>##V3_BDPV12</stp>
        <stp>912828GZ Govt</stp>
        <stp>ID_ISIN</stp>
        <stp>[TREASURY.xlsx]Sheet1!R1121C12</stp>
        <tr r="L1121" s="1"/>
      </tp>
      <tp t="s">
        <v>US912828GY00</v>
        <stp/>
        <stp>##V3_BDPV12</stp>
        <stp>912828GY Govt</stp>
        <stp>ID_ISIN</stp>
        <stp>[TREASURY.xlsx]Sheet1!R1120C12</stp>
        <tr r="L1120" s="1"/>
      </tp>
      <tp t="s">
        <v>US912828DZ02</v>
        <stp/>
        <stp>##V3_BDPV12</stp>
        <stp>912828DZ Govt</stp>
        <stp>ID_ISIN</stp>
        <stp>[TREASURY.xlsx]Sheet1!R1273C12</stp>
        <tr r="L1273" s="1"/>
      </tp>
      <tp t="s">
        <v>US912828DT42</v>
        <stp/>
        <stp>##V3_BDPV12</stp>
        <stp>912828DT Govt</stp>
        <stp>ID_ISIN</stp>
        <stp>[TREASURY.xlsx]Sheet1!R1272C12</stp>
        <tr r="L1272" s="1"/>
      </tp>
      <tp t="s">
        <v>US912828DU15</v>
        <stp/>
        <stp>##V3_BDPV12</stp>
        <stp>912828DU Govt</stp>
        <stp>ID_ISIN</stp>
        <stp>[TREASURY.xlsx]Sheet1!R1237C12</stp>
        <tr r="L1237" s="1"/>
      </tp>
      <tp t="s">
        <v>US912828DJ69</v>
        <stp/>
        <stp>##V3_BDPV12</stp>
        <stp>912828DJ Govt</stp>
        <stp>ID_ISIN</stp>
        <stp>[TREASURY.xlsx]Sheet1!R1111C12</stp>
        <tr r="L1111" s="1"/>
      </tp>
      <tp t="s">
        <v>US912828GC89</v>
        <stp/>
        <stp>##V3_BDPV12</stp>
        <stp>912828GC Govt</stp>
        <stp>ID_ISIN</stp>
        <stp>[TREASURY.xlsx]Sheet1!R1282C12</stp>
        <tr r="L1282" s="1"/>
      </tp>
      <tp t="s">
        <v>US912828GE46</v>
        <stp/>
        <stp>##V3_BDPV12</stp>
        <stp>912828GE Govt</stp>
        <stp>ID_ISIN</stp>
        <stp>[TREASURY.xlsx]Sheet1!R1242C12</stp>
        <tr r="L1242" s="1"/>
      </tp>
      <tp t="s">
        <v>US912828DE72</v>
        <stp/>
        <stp>##V3_BDPV12</stp>
        <stp>912828DE Govt</stp>
        <stp>ID_ISIN</stp>
        <stp>[TREASURY.xlsx]Sheet1!R1109C12</stp>
        <tr r="L1109" s="1"/>
      </tp>
      <tp t="s">
        <v>US912828DG21</v>
        <stp/>
        <stp>##V3_BDPV12</stp>
        <stp>912828DG Govt</stp>
        <stp>ID_ISIN</stp>
        <stp>[TREASURY.xlsx]Sheet1!R1110C12</stp>
        <tr r="L1110" s="1"/>
      </tp>
      <tp t="s">
        <v>US912828DQ03</v>
        <stp/>
        <stp>##V3_BDPV12</stp>
        <stp>912828DQ Govt</stp>
        <stp>ID_ISIN</stp>
        <stp>[TREASURY.xlsx]Sheet1!R1112C12</stp>
        <tr r="L1112" s="1"/>
      </tp>
      <tp t="s">
        <v>US912828AP56</v>
        <stp/>
        <stp>##V3_BDPV12</stp>
        <stp>912828AP Govt</stp>
        <stp>ID_ISIN</stp>
        <stp>[TREASURY.xlsx]Sheet1!R1424C12</stp>
        <tr r="L1424" s="1"/>
      </tp>
      <tp t="s">
        <v>US912828G203</v>
        <stp/>
        <stp>##V3_BDPV12</stp>
        <stp>912828G2 Govt</stp>
        <stp>ID_ISIN</stp>
        <stp>[TREASURY.xlsx]Sheet1!R1280C12</stp>
        <tr r="L1280" s="1"/>
      </tp>
      <tp t="s">
        <v>US912828G468</v>
        <stp/>
        <stp>##V3_BDPV12</stp>
        <stp>912828G4 Govt</stp>
        <stp>ID_ISIN</stp>
        <stp>[TREASURY.xlsx]Sheet1!R1281C12</stp>
        <tr r="L1281" s="1"/>
      </tp>
      <tp t="s">
        <v>US912828FN53</v>
        <stp/>
        <stp>##V3_BDPV12</stp>
        <stp>912828FN Govt</stp>
        <stp>ID_ISIN</stp>
        <stp>[TREASURY.xlsx]Sheet1!R1275C12</stp>
        <tr r="L1275" s="1"/>
      </tp>
      <tp t="s">
        <v>US912828EH94</v>
        <stp/>
        <stp>##V3_BDPV12</stp>
        <stp>912828EH Govt</stp>
        <stp>ID_ISIN</stp>
        <stp>[TREASURY.xlsx]Sheet1!R1114C12</stp>
        <tr r="L1114" s="1"/>
      </tp>
      <tp t="s">
        <v>US912828EM89</v>
        <stp/>
        <stp>##V3_BDPV12</stp>
        <stp>912828EM Govt</stp>
        <stp>ID_ISIN</stp>
        <stp>[TREASURY.xlsx]Sheet1!R1115C12</stp>
        <tr r="L1115" s="1"/>
      </tp>
      <tp t="s">
        <v>US912828FG03</v>
        <stp/>
        <stp>##V3_BDPV12</stp>
        <stp>912828FG Govt</stp>
        <stp>ID_ISIN</stp>
        <stp>[TREASURY.xlsx]Sheet1!R1241C12</stp>
        <tr r="L1241" s="1"/>
      </tp>
      <tp t="s">
        <v>US912828EB25</v>
        <stp/>
        <stp>##V3_BDPV12</stp>
        <stp>912828EB Govt</stp>
        <stp>ID_ISIN</stp>
        <stp>[TREASURY.xlsx]Sheet1!R1113C12</stp>
        <tr r="L1113" s="1"/>
      </tp>
      <tp t="s">
        <v>US912828FE54</v>
        <stp/>
        <stp>##V3_BDPV12</stp>
        <stp>912828FE Govt</stp>
        <stp>ID_ISIN</stp>
        <stp>[TREASURY.xlsx]Sheet1!R1274C12</stp>
        <tr r="L1274" s="1"/>
      </tp>
      <tp t="s">
        <v>US912828FZ83</v>
        <stp/>
        <stp>##V3_BDPV12</stp>
        <stp>912828FZ Govt</stp>
        <stp>ID_ISIN</stp>
        <stp>[TREASURY.xlsx]Sheet1!R1279C12</stp>
        <tr r="L1279" s="1"/>
      </tp>
      <tp t="s">
        <v>US912828FX36</v>
        <stp/>
        <stp>##V3_BDPV12</stp>
        <stp>912828FX Govt</stp>
        <stp>ID_ISIN</stp>
        <stp>[TREASURY.xlsx]Sheet1!R1278C12</stp>
        <tr r="L1278" s="1"/>
      </tp>
      <tp t="s">
        <v>US912828ES59</v>
        <stp/>
        <stp>##V3_BDPV12</stp>
        <stp>912828ES Govt</stp>
        <stp>ID_ISIN</stp>
        <stp>[TREASURY.xlsx]Sheet1!R1116C12</stp>
        <tr r="L1116" s="1"/>
      </tp>
      <tp t="s">
        <v>US912828FR67</v>
        <stp/>
        <stp>##V3_BDPV12</stp>
        <stp>912828FR Govt</stp>
        <stp>ID_ISIN</stp>
        <stp>[TREASURY.xlsx]Sheet1!R1277C12</stp>
        <tr r="L1277" s="1"/>
      </tp>
      <tp t="s">
        <v>US912828FP02</v>
        <stp/>
        <stp>##V3_BDPV12</stp>
        <stp>912828FP Govt</stp>
        <stp>ID_ISIN</stp>
        <stp>[TREASURY.xlsx]Sheet1!R1276C12</stp>
        <tr r="L1276" s="1"/>
      </tp>
      <tp t="s">
        <v>US912828F544</v>
        <stp/>
        <stp>##V3_BDPV12</stp>
        <stp>912828F5 Govt</stp>
        <stp>ID_ISIN</stp>
        <stp>[TREASURY.xlsx]Sheet1!R1240C12</stp>
        <tr r="L1240" s="1"/>
      </tp>
      <tp t="s">
        <v>US912828GH76</v>
        <stp/>
        <stp>##V3_BDPV12</stp>
        <stp>912828GH Govt</stp>
        <stp>ID_ISIN</stp>
        <stp>[TREASURY.xlsx]Sheet1!R1435C12</stp>
        <tr r="L1435" s="1"/>
      </tp>
      <tp t="s">
        <v>US912828GB07</v>
        <stp/>
        <stp>##V3_BDPV12</stp>
        <stp>912828GB Govt</stp>
        <stp>ID_ISIN</stp>
        <stp>[TREASURY.xlsx]Sheet1!R1433C12</stp>
        <tr r="L1433" s="1"/>
      </tp>
      <tp t="s">
        <v>US912828AC44</v>
        <stp/>
        <stp>##V3_BDPV12</stp>
        <stp>912828AC Govt</stp>
        <stp>ID_ISIN</stp>
        <stp>[TREASURY.xlsx]Sheet1!R1234C12</stp>
        <tr r="L1234" s="1"/>
      </tp>
      <tp t="s">
        <v>US912828GF11</v>
        <stp/>
        <stp>##V3_BDPV12</stp>
        <stp>912828GF Govt</stp>
        <stp>ID_ISIN</stp>
        <stp>[TREASURY.xlsx]Sheet1!R1434C12</stp>
        <tr r="L1434" s="1"/>
      </tp>
      <tp t="s">
        <v>US912828GW44</v>
        <stp/>
        <stp>##V3_BDPV12</stp>
        <stp>912828GW Govt</stp>
        <stp>ID_ISIN</stp>
        <stp>[TREASURY.xlsx]Sheet1!R1436C12</stp>
        <tr r="L1436" s="1"/>
      </tp>
      <tp t="s">
        <v>US912828A263</v>
        <stp/>
        <stp>##V3_BDPV12</stp>
        <stp>912828A2 Govt</stp>
        <stp>ID_ISIN</stp>
        <stp>[TREASURY.xlsx]Sheet1!R1232C12</stp>
        <tr r="L1232" s="1"/>
      </tp>
      <tp t="s">
        <v>US912828B337</v>
        <stp/>
        <stp>##V3_BDPV12</stp>
        <stp>912828B3 Govt</stp>
        <stp>ID_ISIN</stp>
        <stp>[TREASURY.xlsx]Sheet1!R1108C12</stp>
        <tr r="L1108" s="1"/>
      </tp>
      <tp t="s">
        <v>US912828A594</v>
        <stp/>
        <stp>##V3_BDPV12</stp>
        <stp>912828A5 Govt</stp>
        <stp>ID_ISIN</stp>
        <stp>[TREASURY.xlsx]Sheet1!R1233C12</stp>
        <tr r="L1233" s="1"/>
      </tp>
      <tp t="s">
        <v>US912828FA33</v>
        <stp/>
        <stp>##V3_BDPV12</stp>
        <stp>912828FA Govt</stp>
        <stp>ID_ISIN</stp>
        <stp>[TREASURY.xlsx]Sheet1!R1432C12</stp>
        <tr r="L1432" s="1"/>
      </tp>
      <tp t="s">
        <v>US912828EF39</v>
        <stp/>
        <stp>##V3_BDPV12</stp>
        <stp>912828EF Govt</stp>
        <stp>ID_ISIN</stp>
        <stp>[TREASURY.xlsx]Sheet1!R1431C12</stp>
        <tr r="L1431" s="1"/>
      </tp>
      <tp t="s">
        <v>US912828CQ12</v>
        <stp/>
        <stp>##V3_BDPV12</stp>
        <stp>912828CQ Govt</stp>
        <stp>ID_ISIN</stp>
        <stp>[TREASURY.xlsx]Sheet1!R1236C12</stp>
        <tr r="L1236" s="1"/>
      </tp>
      <tp t="s">
        <v>US912828AH31</v>
        <stp/>
        <stp>##V3_BDPV12</stp>
        <stp>912828AH Govt</stp>
        <stp>ID_ISIN</stp>
        <stp>[TREASURY.xlsx]Sheet1!R1107C12</stp>
        <tr r="L1107" s="1"/>
      </tp>
      <tp t="s">
        <v>US912828DM98</v>
        <stp/>
        <stp>##V3_BDPV12</stp>
        <stp>912828DM Govt</stp>
        <stp>ID_ISIN</stp>
        <stp>[TREASURY.xlsx]Sheet1!R1427C12</stp>
        <tr r="L1427" s="1"/>
      </tp>
      <tp t="s">
        <v>US912828BF65</v>
        <stp/>
        <stp>##V3_BDPV12</stp>
        <stp>912828BF Govt</stp>
        <stp>ID_ISIN</stp>
        <stp>[TREASURY.xlsx]Sheet1!R1235C12</stp>
        <tr r="L1235" s="1"/>
      </tp>
      <tp t="s">
        <v>US912828DY37</v>
        <stp/>
        <stp>##V3_BDPV12</stp>
        <stp>912828DY Govt</stp>
        <stp>ID_ISIN</stp>
        <stp>[TREASURY.xlsx]Sheet1!R1430C12</stp>
        <tr r="L1430" s="1"/>
      </tp>
      <tp t="s">
        <v>US912828DX53</v>
        <stp/>
        <stp>##V3_BDPV12</stp>
        <stp>912828DX Govt</stp>
        <stp>ID_ISIN</stp>
        <stp>[TREASURY.xlsx]Sheet1!R1429C12</stp>
        <tr r="L1429" s="1"/>
      </tp>
      <tp t="s">
        <v>US912828DS68</v>
        <stp/>
        <stp>##V3_BDPV12</stp>
        <stp>912828DS Govt</stp>
        <stp>ID_ISIN</stp>
        <stp>[TREASURY.xlsx]Sheet1!R1428C12</stp>
        <tr r="L1428" s="1"/>
      </tp>
      <tp t="s">
        <v>US912828B741</v>
        <stp/>
        <stp>##V3_BDPV12</stp>
        <stp>912828B7 Govt</stp>
        <stp>ID_ISIN</stp>
        <stp>[TREASURY.xlsx]Sheet1!R1270C12</stp>
        <tr r="L1270" s="1"/>
      </tp>
      <tp t="s">
        <v>8/15/2014</v>
        <stp/>
        <stp>##V3_BDPV12</stp>
        <stp>912828B7 Govt</stp>
        <stp>FIRST_CPN_DT</stp>
        <stp>[TREASURY.xlsx]Sheet1!R1270C9</stp>
        <tr r="I1270" s="1"/>
      </tp>
      <tp t="s">
        <v>2/15/1982</v>
        <stp/>
        <stp>##V3_BDPV12</stp>
        <stp>912810CW Govt</stp>
        <stp>FIRST_CPN_DT</stp>
        <stp>[TREASURY.xlsx]Sheet1!R1618C9</stp>
        <tr r="I1618" s="1"/>
      </tp>
      <tp t="s">
        <v>11/15/1979</v>
        <stp/>
        <stp>##V3_BDPV12</stp>
        <stp>912810CG Govt</stp>
        <stp>FIRST_CPN_DT</stp>
        <stp>[TREASURY.xlsx]Sheet1!R1308C9</stp>
        <tr r="I1308" s="1"/>
      </tp>
      <tp t="s">
        <v>US912828XS49</v>
        <stp/>
        <stp>##V3_BDPV12</stp>
        <stp>912828XS Govt</stp>
        <stp>ID_ISIN</stp>
        <stp>[TREASURY.xlsx]Sheet1!R1307C12</stp>
        <tr r="L1307" s="1"/>
      </tp>
      <tp t="s">
        <v>4/15/2015</v>
        <stp/>
        <stp>##V3_BDPV12</stp>
        <stp>912828F5 Govt</stp>
        <stp>FIRST_CPN_DT</stp>
        <stp>[TREASURY.xlsx]Sheet1!R1240C9</stp>
        <tr r="I1240" s="1"/>
      </tp>
      <tp t="s">
        <v>1/31/2008</v>
        <stp/>
        <stp>##V3_BDPV12</stp>
        <stp>912828GY Govt</stp>
        <stp>FIRST_CPN_DT</stp>
        <stp>[TREASURY.xlsx]Sheet1!R1120C9</stp>
        <tr r="I1120" s="1"/>
      </tp>
      <tp t="s">
        <v>5/15/2015</v>
        <stp/>
        <stp>##V3_BDPV12</stp>
        <stp>912828G2 Govt</stp>
        <stp>FIRST_CPN_DT</stp>
        <stp>[TREASURY.xlsx]Sheet1!R1280C9</stp>
        <tr r="I1280" s="1"/>
      </tp>
      <tp t="s">
        <v>US912828XJ40</v>
        <stp/>
        <stp>##V3_BDPV12</stp>
        <stp>912828XJ Govt</stp>
        <stp>ID_ISIN</stp>
        <stp>[TREASURY.xlsx]Sheet1!R1152C12</stp>
        <tr r="L1152" s="1"/>
      </tp>
      <tp t="s">
        <v>US912828XF28</v>
        <stp/>
        <stp>##V3_BDPV12</stp>
        <stp>912828XF Govt</stp>
        <stp>ID_ISIN</stp>
        <stp>[TREASURY.xlsx]Sheet1!R1151C12</stp>
        <tr r="L1151" s="1"/>
      </tp>
      <tp t="s">
        <v>12/31/2005</v>
        <stp/>
        <stp>##V3_BDPV12</stp>
        <stp>912828DY Govt</stp>
        <stp>FIRST_CPN_DT</stp>
        <stp>[TREASURY.xlsx]Sheet1!R1430C9</stp>
        <tr r="I1430" s="1"/>
      </tp>
      <tp t="s">
        <v>11/15/1987</v>
        <stp/>
        <stp>##V3_BDPV12</stp>
        <stp>912810DY Govt</stp>
        <stp>FIRST_CPN_DT</stp>
        <stp>[TREASURY.xlsx]Sheet1!R1448C9</stp>
        <tr r="I1448" s="1"/>
      </tp>
      <tp t="s">
        <v>5/15/1985</v>
        <stp/>
        <stp>##V3_BDPV12</stp>
        <stp>912810DN Govt</stp>
        <stp>FIRST_CPN_DT</stp>
        <stp>[TREASURY.xlsx]Sheet1!R1348C9</stp>
        <tr r="I1348" s="1"/>
      </tp>
      <tp t="s">
        <v>7/15/2005</v>
        <stp/>
        <stp>##V3_BDPV12</stp>
        <stp>912828DG Govt</stp>
        <stp>FIRST_CPN_DT</stp>
        <stp>[TREASURY.xlsx]Sheet1!R1110C9</stp>
        <tr r="I1110" s="1"/>
      </tp>
      <tp t="s">
        <v>US912828VK31</v>
        <stp/>
        <stp>##V3_BDPV12</stp>
        <stp>912828VK Govt</stp>
        <stp>ID_ISIN</stp>
        <stp>[TREASURY.xlsx]Sheet1!R1148C12</stp>
        <tr r="L1148" s="1"/>
      </tp>
      <tp t="s">
        <v>US912828WA40</v>
        <stp/>
        <stp>##V3_BDPV12</stp>
        <stp>912828WA Govt</stp>
        <stp>ID_ISIN</stp>
        <stp>[TREASURY.xlsx]Sheet1!R1005C12</stp>
        <tr r="L1005" s="1"/>
      </tp>
      <tp t="s">
        <v>US912828VD97</v>
        <stp/>
        <stp>##V3_BDPV12</stp>
        <stp>912828VD Govt</stp>
        <stp>ID_ISIN</stp>
        <stp>[TREASURY.xlsx]Sheet1!R1147C12</stp>
        <tr r="L1147" s="1"/>
      </tp>
      <tp t="s">
        <v>US912828WQ91</v>
        <stp/>
        <stp>##V3_BDPV12</stp>
        <stp>912828WQ Govt</stp>
        <stp>ID_ISIN</stp>
        <stp>[TREASURY.xlsx]Sheet1!R1006C12</stp>
        <tr r="L1006" s="1"/>
      </tp>
      <tp t="s">
        <v>US912828VW78</v>
        <stp/>
        <stp>##V3_BDPV12</stp>
        <stp>912828VW Govt</stp>
        <stp>ID_ISIN</stp>
        <stp>[TREASURY.xlsx]Sheet1!R1149C12</stp>
        <tr r="L1149" s="1"/>
      </tp>
      <tp t="s">
        <v>US912828WT31</v>
        <stp/>
        <stp>##V3_BDPV12</stp>
        <stp>912828WT Govt</stp>
        <stp>ID_ISIN</stp>
        <stp>[TREASURY.xlsx]Sheet1!R1007C12</stp>
        <tr r="L1007" s="1"/>
      </tp>
      <tp t="s">
        <v>US912828T834</v>
        <stp/>
        <stp>##V3_BDPV12</stp>
        <stp>912828T8 Govt</stp>
        <stp>ID_ISIN</stp>
        <stp>[TREASURY.xlsx]Sheet1!R1304C12</stp>
        <tr r="L1304" s="1"/>
      </tp>
      <tp t="s">
        <v>US912828WL05</v>
        <stp/>
        <stp>##V3_BDPV12</stp>
        <stp>912828WL Govt</stp>
        <stp>ID_ISIN</stp>
        <stp>[TREASURY.xlsx]Sheet1!R1150C12</stp>
        <tr r="L1150" s="1"/>
      </tp>
      <tp t="s">
        <v>US912828WC06</v>
        <stp/>
        <stp>##V3_BDPV12</stp>
        <stp>912828WC Govt</stp>
        <stp>ID_ISIN</stp>
        <stp>[TREASURY.xlsx]Sheet1!R1139C12</stp>
        <tr r="L1139" s="1"/>
      </tp>
      <tp t="s">
        <v>US912828VY35</v>
        <stp/>
        <stp>##V3_BDPV12</stp>
        <stp>912828VY Govt</stp>
        <stp>ID_ISIN</stp>
        <stp>[TREASURY.xlsx]Sheet1!R1004C12</stp>
        <tr r="L1004" s="1"/>
      </tp>
      <tp t="s">
        <v>US912828VU13</v>
        <stp/>
        <stp>##V3_BDPV12</stp>
        <stp>912828VU Govt</stp>
        <stp>ID_ISIN</stp>
        <stp>[TREASURY.xlsx]Sheet1!R1003C12</stp>
        <tr r="L1003" s="1"/>
      </tp>
      <tp t="s">
        <v>10/31/2009</v>
        <stp/>
        <stp>##V3_BDPV12</stp>
        <stp>912828KN Govt</stp>
        <stp>FIRST_CPN_DT</stp>
        <stp>[TREASURY.xlsx]Sheet1!R1250C9</stp>
        <tr r="I1250" s="1"/>
      </tp>
      <tp t="s">
        <v>US912828TN08</v>
        <stp/>
        <stp>##V3_BDPV12</stp>
        <stp>912828TN Govt</stp>
        <stp>ID_ISIN</stp>
        <stp>[TREASURY.xlsx]Sheet1!R1143C12</stp>
        <tr r="L1143" s="1"/>
      </tp>
      <tp t="s">
        <v>US912828UL23</v>
        <stp/>
        <stp>##V3_BDPV12</stp>
        <stp>912828UL Govt</stp>
        <stp>ID_ISIN</stp>
        <stp>[TREASURY.xlsx]Sheet1!R1000C12</stp>
        <tr r="L1000" s="1"/>
      </tp>
      <tp t="s">
        <v>US912828UU22</v>
        <stp/>
        <stp>##V3_BDPV12</stp>
        <stp>912828UU Govt</stp>
        <stp>ID_ISIN</stp>
        <stp>[TREASURY.xlsx]Sheet1!R1001C12</stp>
        <tr r="L1001" s="1"/>
      </tp>
      <tp t="s">
        <v>US912828TT77</v>
        <stp/>
        <stp>##V3_BDPV12</stp>
        <stp>912828TT Govt</stp>
        <stp>ID_ISIN</stp>
        <stp>[TREASURY.xlsx]Sheet1!R1134C12</stp>
        <tr r="L1134" s="1"/>
      </tp>
      <tp t="s">
        <v>US912828UW87</v>
        <stp/>
        <stp>##V3_BDPV12</stp>
        <stp>912828UW Govt</stp>
        <stp>ID_ISIN</stp>
        <stp>[TREASURY.xlsx]Sheet1!R1002C12</stp>
        <tr r="L1002" s="1"/>
      </tp>
      <tp t="s">
        <v>US912828VV95</v>
        <stp/>
        <stp>##V3_BDPV12</stp>
        <stp>912828VV Govt</stp>
        <stp>ID_ISIN</stp>
        <stp>[TREASURY.xlsx]Sheet1!R1305C12</stp>
        <tr r="L1305" s="1"/>
      </tp>
      <tp t="s">
        <v>US912828UK40</v>
        <stp/>
        <stp>##V3_BDPV12</stp>
        <stp>912828UK Govt</stp>
        <stp>ID_ISIN</stp>
        <stp>[TREASURY.xlsx]Sheet1!R1136C12</stp>
        <tr r="L1136" s="1"/>
      </tp>
      <tp t="s">
        <v>US912828WH92</v>
        <stp/>
        <stp>##V3_BDPV12</stp>
        <stp>912828WH Govt</stp>
        <stp>ID_ISIN</stp>
        <stp>[TREASURY.xlsx]Sheet1!R1306C12</stp>
        <tr r="L1306" s="1"/>
      </tp>
      <tp t="s">
        <v>US912828UG38</v>
        <stp/>
        <stp>##V3_BDPV12</stp>
        <stp>912828UG Govt</stp>
        <stp>ID_ISIN</stp>
        <stp>[TREASURY.xlsx]Sheet1!R1135C12</stp>
        <tr r="L1135" s="1"/>
      </tp>
      <tp t="s">
        <v>US912828UC24</v>
        <stp/>
        <stp>##V3_BDPV12</stp>
        <stp>912828UC Govt</stp>
        <stp>ID_ISIN</stp>
        <stp>[TREASURY.xlsx]Sheet1!R1144C12</stp>
        <tr r="L1144" s="1"/>
      </tp>
      <tp t="s">
        <v>US912828UY44</v>
        <stp/>
        <stp>##V3_BDPV12</stp>
        <stp>912828UY Govt</stp>
        <stp>ID_ISIN</stp>
        <stp>[TREASURY.xlsx]Sheet1!R1138C12</stp>
        <tr r="L1138" s="1"/>
      </tp>
      <tp t="s">
        <v>US912828US75</v>
        <stp/>
        <stp>##V3_BDPV12</stp>
        <stp>912828US Govt</stp>
        <stp>ID_ISIN</stp>
        <stp>[TREASURY.xlsx]Sheet1!R1137C12</stp>
        <tr r="L1137" s="1"/>
      </tp>
      <tp t="s">
        <v>US912828UP37</v>
        <stp/>
        <stp>##V3_BDPV12</stp>
        <stp>912828UP Govt</stp>
        <stp>ID_ISIN</stp>
        <stp>[TREASURY.xlsx]Sheet1!R1145C12</stp>
        <tr r="L1145" s="1"/>
      </tp>
      <tp t="s">
        <v>US912828UR92</v>
        <stp/>
        <stp>##V3_BDPV12</stp>
        <stp>912828UR Govt</stp>
        <stp>ID_ISIN</stp>
        <stp>[TREASURY.xlsx]Sheet1!R1146C12</stp>
        <tr r="L1146" s="1"/>
      </tp>
      <tp t="s">
        <v>US912828RN26</v>
        <stp/>
        <stp>##V3_BDPV12</stp>
        <stp>912828RN Govt</stp>
        <stp>ID_ISIN</stp>
        <stp>[TREASURY.xlsx]Sheet1!R1140C12</stp>
        <tr r="L1140" s="1"/>
      </tp>
      <tp t="s">
        <v>US912828QK95</v>
        <stp/>
        <stp>##V3_BDPV12</stp>
        <stp>912828QK Govt</stp>
        <stp>ID_ISIN</stp>
        <stp>[TREASURY.xlsx]Sheet1!R1263C12</stp>
        <tr r="L1263" s="1"/>
      </tp>
      <tp t="s">
        <v>US912828RL69</v>
        <stp/>
        <stp>##V3_BDPV12</stp>
        <stp>912828RL Govt</stp>
        <stp>ID_ISIN</stp>
        <stp>[TREASURY.xlsx]Sheet1!R1131C12</stp>
        <tr r="L1131" s="1"/>
      </tp>
      <tp t="s">
        <v>US912828PT14</v>
        <stp/>
        <stp>##V3_BDPV12</stp>
        <stp>912828PT Govt</stp>
        <stp>ID_ISIN</stp>
        <stp>[TREASURY.xlsx]Sheet1!R1300C12</stp>
        <tr r="L1300" s="1"/>
      </tp>
      <tp t="s">
        <v>US912828Q525</v>
        <stp/>
        <stp>##V3_BDPV12</stp>
        <stp>912828Q5 Govt</stp>
        <stp>ID_ISIN</stp>
        <stp>[TREASURY.xlsx]Sheet1!R1262C12</stp>
        <tr r="L1262" s="1"/>
      </tp>
      <tp t="s">
        <v>US912828PA23</v>
        <stp/>
        <stp>##V3_BDPV12</stp>
        <stp>912828PA Govt</stp>
        <stp>ID_ISIN</stp>
        <stp>[TREASURY.xlsx]Sheet1!R1296C12</stp>
        <tr r="L1296" s="1"/>
      </tp>
      <tp t="s">
        <v>US912828SK77</v>
        <stp/>
        <stp>##V3_BDPV12</stp>
        <stp>912828SK Govt</stp>
        <stp>ID_ISIN</stp>
        <stp>[TREASURY.xlsx]Sheet1!R1132C12</stp>
        <tr r="L1132" s="1"/>
      </tp>
      <tp t="s">
        <v>US912828PB06</v>
        <stp/>
        <stp>##V3_BDPV12</stp>
        <stp>912828PB Govt</stp>
        <stp>ID_ISIN</stp>
        <stp>[TREASURY.xlsx]Sheet1!R1297C12</stp>
        <tr r="L1297" s="1"/>
      </tp>
      <tp t="s">
        <v>US912828PD61</v>
        <stp/>
        <stp>##V3_BDPV12</stp>
        <stp>912828PD Govt</stp>
        <stp>ID_ISIN</stp>
        <stp>[TREASURY.xlsx]Sheet1!R1298C12</stp>
        <tr r="L1298" s="1"/>
      </tp>
      <tp t="s">
        <v>US912828PF10</v>
        <stp/>
        <stp>##V3_BDPV12</stp>
        <stp>912828PF Govt</stp>
        <stp>ID_ISIN</stp>
        <stp>[TREASURY.xlsx]Sheet1!R1299C12</stp>
        <tr r="L1299" s="1"/>
      </tp>
      <tp t="s">
        <v>US912828QC79</v>
        <stp/>
        <stp>##V3_BDPV12</stp>
        <stp>912828QC Govt</stp>
        <stp>ID_ISIN</stp>
        <stp>[TREASURY.xlsx]Sheet1!R1301C12</stp>
        <tr r="L1301" s="1"/>
      </tp>
      <tp t="s">
        <v>US912828SC51</v>
        <stp/>
        <stp>##V3_BDPV12</stp>
        <stp>912828SC Govt</stp>
        <stp>ID_ISIN</stp>
        <stp>[TREASURY.xlsx]Sheet1!R1141C12</stp>
        <tr r="L1141" s="1"/>
      </tp>
      <tp t="s">
        <v>US912828SY71</v>
        <stp/>
        <stp>##V3_BDPV12</stp>
        <stp>912828SY Govt</stp>
        <stp>ID_ISIN</stp>
        <stp>[TREASURY.xlsx]Sheet1!R1133C12</stp>
        <tr r="L1133" s="1"/>
      </tp>
      <tp t="s">
        <v>US912828PU86</v>
        <stp/>
        <stp>##V3_BDPV12</stp>
        <stp>912828PU Govt</stp>
        <stp>ID_ISIN</stp>
        <stp>[TREASURY.xlsx]Sheet1!R1261C12</stp>
        <tr r="L1261" s="1"/>
      </tp>
      <tp t="s">
        <v>US912828PR57</v>
        <stp/>
        <stp>##V3_BDPV12</stp>
        <stp>912828PR Govt</stp>
        <stp>ID_ISIN</stp>
        <stp>[TREASURY.xlsx]Sheet1!R1260C12</stp>
        <tr r="L1260" s="1"/>
      </tp>
      <tp t="s">
        <v>US912828SR21</v>
        <stp/>
        <stp>##V3_BDPV12</stp>
        <stp>912828SR Govt</stp>
        <stp>ID_ISIN</stp>
        <stp>[TREASURY.xlsx]Sheet1!R1142C12</stp>
        <tr r="L1142" s="1"/>
      </tp>
      <tp t="s">
        <v>US912828P535</v>
        <stp/>
        <stp>##V3_BDPV12</stp>
        <stp>912828P5 Govt</stp>
        <stp>ID_ISIN</stp>
        <stp>[TREASURY.xlsx]Sheet1!R1259C12</stp>
        <tr r="L1259" s="1"/>
      </tp>
      <tp t="s">
        <v>US912828RU68</v>
        <stp/>
        <stp>##V3_BDPV12</stp>
        <stp>912828RU Govt</stp>
        <stp>ID_ISIN</stp>
        <stp>[TREASURY.xlsx]Sheet1!R1302C12</stp>
        <tr r="L1302" s="1"/>
      </tp>
      <tp t="s">
        <v>US912828RW25</v>
        <stp/>
        <stp>##V3_BDPV12</stp>
        <stp>912828RW Govt</stp>
        <stp>ID_ISIN</stp>
        <stp>[TREASURY.xlsx]Sheet1!R1303C12</stp>
        <tr r="L1303" s="1"/>
      </tp>
      <tp t="s">
        <v>2/28/2010</v>
        <stp/>
        <stp>##V3_BDPV12</stp>
        <stp>912828LL Govt</stp>
        <stp>FIRST_CPN_DT</stp>
        <stp>[TREASURY.xlsx]Sheet1!R1290C9</stp>
        <tr r="I1290" s="1"/>
      </tp>
      <tp t="s">
        <v>US912828RK86</v>
        <stp/>
        <stp>##V3_BDPV12</stp>
        <stp>912828RK Govt</stp>
        <stp>ID_ISIN</stp>
        <stp>[TREASURY.xlsx]Sheet1!R1266C12</stp>
        <tr r="L1266" s="1"/>
      </tp>
      <tp t="s">
        <v>US912828QM51</v>
        <stp/>
        <stp>##V3_BDPV12</stp>
        <stp>912828QM Govt</stp>
        <stp>ID_ISIN</stp>
        <stp>[TREASURY.xlsx]Sheet1!R1130C12</stp>
        <tr r="L1130" s="1"/>
      </tp>
      <tp t="s">
        <v>US912828RD44</v>
        <stp/>
        <stp>##V3_BDPV12</stp>
        <stp>912828RD Govt</stp>
        <stp>ID_ISIN</stp>
        <stp>[TREASURY.xlsx]Sheet1!R1265C12</stp>
        <tr r="L1265" s="1"/>
      </tp>
      <tp t="s">
        <v>US912828RZ55</v>
        <stp/>
        <stp>##V3_BDPV12</stp>
        <stp>912828RZ Govt</stp>
        <stp>ID_ISIN</stp>
        <stp>[TREASURY.xlsx]Sheet1!R1268C12</stp>
        <tr r="L1268" s="1"/>
      </tp>
      <tp t="s">
        <v>US912828RY80</v>
        <stp/>
        <stp>##V3_BDPV12</stp>
        <stp>912828RY Govt</stp>
        <stp>ID_ISIN</stp>
        <stp>[TREASURY.xlsx]Sheet1!R1267C12</stp>
        <tr r="L1267" s="1"/>
      </tp>
      <tp t="s">
        <v>US912828R515</v>
        <stp/>
        <stp>##V3_BDPV12</stp>
        <stp>912828R5 Govt</stp>
        <stp>ID_ISIN</stp>
        <stp>[TREASURY.xlsx]Sheet1!R1284C12</stp>
        <tr r="L1284" s="1"/>
      </tp>
      <tp t="s">
        <v>US912828R440</v>
        <stp/>
        <stp>##V3_BDPV12</stp>
        <stp>912828R4 Govt</stp>
        <stp>ID_ISIN</stp>
        <stp>[TREASURY.xlsx]Sheet1!R1264C12</stp>
        <tr r="L1264" s="1"/>
      </tp>
      <tp t="s">
        <v>T 0 1/8 08/31/23</v>
        <stp/>
        <stp>##V3_BDPV12</stp>
        <stp>91282CCU Govt</stp>
        <stp>SECURITY_NAME</stp>
        <stp>[TREASURY.xlsx]Sheet1!R6C16</stp>
        <tr r="P6" s="1"/>
      </tp>
      <tp t="s">
        <v>T 0 3/4 08/31/26</v>
        <stp/>
        <stp>##V3_BDPV12</stp>
        <stp>91282CCW Govt</stp>
        <stp>SECURITY_NAME</stp>
        <stp>[TREASURY.xlsx]Sheet1!R4C16</stp>
        <tr r="P4" s="1"/>
      </tp>
      <tp t="s">
        <v>T 1 1/4 08/15/31</v>
        <stp/>
        <stp>##V3_BDPV12</stp>
        <stp>91282CCS Govt</stp>
        <stp>SECURITY_NAME</stp>
        <stp>[TREASURY.xlsx]Sheet1!R2C16</stp>
        <tr r="P2" s="1"/>
      </tp>
      <tp t="s">
        <v>T 1 1/8 08/31/28</v>
        <stp/>
        <stp>##V3_BDPV12</stp>
        <stp>91282CCV Govt</stp>
        <stp>SECURITY_NAME</stp>
        <stp>[TREASURY.xlsx]Sheet1!R9C16</stp>
        <tr r="P9" s="1"/>
      </tp>
      <tp t="s">
        <v>T 0 3/8 09/15/24</v>
        <stp/>
        <stp>##V3_BDPV12</stp>
        <stp>91282CCX Govt</stp>
        <stp>SECURITY_NAME</stp>
        <stp>[TREASURY.xlsx]Sheet1!R5C16</stp>
        <tr r="P5" s="1"/>
      </tp>
      <tp t="s">
        <v>T 0 7/8 09/30/26</v>
        <stp/>
        <stp>##V3_BDPV12</stp>
        <stp>91282CCZ Govt</stp>
        <stp>SECURITY_NAME</stp>
        <stp>[TREASURY.xlsx]Sheet1!R7C16</stp>
        <tr r="P7" s="1"/>
      </tp>
      <tp>
        <v>2.375</v>
        <stp/>
        <stp>##V3_BDPV12</stp>
        <stp>9128284J Govt</stp>
        <stp>CPN</stp>
        <stp>[TREASURY.xlsx]Sheet1!R381C3</stp>
        <tr r="C381" s="1"/>
      </tp>
      <tp t="s">
        <v>#N/A N/A</v>
        <stp/>
        <stp>##V3_BDPV12</stp>
        <stp>912810DM Govt</stp>
        <stp>YLD_YTM_BID</stp>
        <stp>[TREASURY.xlsx]Sheet1!R697C4</stp>
        <tr r="D697" s="1"/>
      </tp>
      <tp>
        <v>8.875</v>
        <stp/>
        <stp>##V3_BDPV12</stp>
        <stp>912827VN Govt</stp>
        <stp>CPN</stp>
        <stp>[TREASURY.xlsx]Sheet1!R925C3</stp>
        <tr r="C925" s="1"/>
      </tp>
      <tp>
        <v>10.375</v>
        <stp/>
        <stp>##V3_BDPV12</stp>
        <stp>912827SL Govt</stp>
        <stp>CPN</stp>
        <stp>[TREASURY.xlsx]Sheet1!R917C3</stp>
        <tr r="C917" s="1"/>
      </tp>
      <tp>
        <v>2.0690116476163714</v>
        <stp/>
        <stp>##V3_BDPV12</stp>
        <stp>912810RJ Govt</stp>
        <stp>YLD_YTM_BID</stp>
        <stp>[TREASURY.xlsx]Sheet1!R180C4</stp>
        <tr r="D180" s="1"/>
      </tp>
      <tp>
        <v>1.5</v>
        <stp/>
        <stp>##V3_BDPV12</stp>
        <stp>9128282J Govt</stp>
        <stp>CPN</stp>
        <stp>[TREASURY.xlsx]Sheet1!R611C3</stp>
        <tr r="C611" s="1"/>
      </tp>
      <tp>
        <v>12.125</v>
        <stp/>
        <stp>##V3_BDPV12</stp>
        <stp>912827LC Govt</stp>
        <stp>CPN</stp>
        <stp>[TREASURY.xlsx]Sheet1!R888C3</stp>
        <tr r="C888" s="1"/>
      </tp>
      <tp>
        <v>4.875</v>
        <stp/>
        <stp>##V3_BDPV12</stp>
        <stp>912828FC Govt</stp>
        <stp>CPN</stp>
        <stp>[TREASURY.xlsx]Sheet1!R798C3</stp>
        <tr r="C798" s="1"/>
      </tp>
      <tp>
        <v>4.375</v>
        <stp/>
        <stp>##V3_BDPV12</stp>
        <stp>912828EL Govt</stp>
        <stp>CPN</stp>
        <stp>[TREASURY.xlsx]Sheet1!R797C3</stp>
        <tr r="C797" s="1"/>
      </tp>
      <tp>
        <v>2.5</v>
        <stp/>
        <stp>##V3_BDPV12</stp>
        <stp>912828CK Govt</stp>
        <stp>CPN</stp>
        <stp>[TREASURY.xlsx]Sheet1!R790C3</stp>
        <tr r="C790" s="1"/>
      </tp>
      <tp>
        <v>0.5</v>
        <stp/>
        <stp>##V3_BDPV12</stp>
        <stp>912828RB Govt</stp>
        <stp>CPN</stp>
        <stp>[TREASURY.xlsx]Sheet1!R459C3</stp>
        <tr r="C459" s="1"/>
      </tp>
      <tp>
        <v>4</v>
        <stp/>
        <stp>##V3_BDPV12</stp>
        <stp>912828CL Govt</stp>
        <stp>CPN</stp>
        <stp>[TREASURY.xlsx]Sheet1!R557C3</stp>
        <tr r="C557" s="1"/>
      </tp>
      <tp>
        <v>4.375</v>
        <stp/>
        <stp>##V3_BDPV12</stp>
        <stp>912828AJ Govt</stp>
        <stp>CPN</stp>
        <stp>[TREASURY.xlsx]Sheet1!R531C3</stp>
        <tr r="C531" s="1"/>
      </tp>
      <tp>
        <v>1.75</v>
        <stp/>
        <stp>##V3_BDPV12</stp>
        <stp>912828KJ Govt</stp>
        <stp>CPN</stp>
        <stp>[TREASURY.xlsx]Sheet1!R561C3</stp>
        <tr r="C561" s="1"/>
      </tp>
      <tp>
        <v>1</v>
        <stp/>
        <stp>##V3_BDPV12</stp>
        <stp>912828SM Govt</stp>
        <stp>CPN</stp>
        <stp>[TREASURY.xlsx]Sheet1!R516C3</stp>
        <tr r="C516" s="1"/>
      </tp>
      <tp>
        <v>1.625</v>
        <stp/>
        <stp>##V3_BDPV12</stp>
        <stp>912828XM Govt</stp>
        <stp>CPN</stp>
        <stp>[TREASURY.xlsx]Sheet1!R536C3</stp>
        <tr r="C536" s="1"/>
      </tp>
      <tp>
        <v>4.5</v>
        <stp/>
        <stp>##V3_BDPV12</stp>
        <stp>912828GL Govt</stp>
        <stp>CPN</stp>
        <stp>[TREASURY.xlsx]Sheet1!R847C3</stp>
        <tr r="C847" s="1"/>
      </tp>
      <tp>
        <v>4.875</v>
        <stp/>
        <stp>##V3_BDPV12</stp>
        <stp>912828FH Govt</stp>
        <stp>CPN</stp>
        <stp>[TREASURY.xlsx]Sheet1!R843C3</stp>
        <tr r="C843" s="1"/>
      </tp>
      <tp>
        <v>0.875</v>
        <stp/>
        <stp>##V3_BDPV12</stp>
        <stp>912828KL Govt</stp>
        <stp>CPN</stp>
        <stp>[TREASURY.xlsx]Sheet1!R857C3</stp>
        <tr r="C857" s="1"/>
      </tp>
      <tp>
        <v>4</v>
        <stp/>
        <stp>##V3_BDPV12</stp>
        <stp>912828HB Govt</stp>
        <stp>CPN</stp>
        <stp>[TREASURY.xlsx]Sheet1!R849C3</stp>
        <tr r="C849" s="1"/>
      </tp>
      <tp>
        <v>1.125</v>
        <stp/>
        <stp>##V3_BDPV12</stp>
        <stp>912828MB Govt</stp>
        <stp>CPN</stp>
        <stp>[TREASURY.xlsx]Sheet1!R819C3</stp>
        <tr r="C819" s="1"/>
      </tp>
      <tp>
        <v>8.5</v>
        <stp/>
        <stp>##V3_BDPV12</stp>
        <stp>912827ZJ Govt</stp>
        <stp>CPN</stp>
        <stp>[TREASURY.xlsx]Sheet1!R781C3</stp>
        <tr r="C781" s="1"/>
      </tp>
      <tp>
        <v>7.625</v>
        <stp/>
        <stp>##V3_BDPV12</stp>
        <stp>912827WC Govt</stp>
        <stp>CPN</stp>
        <stp>[TREASURY.xlsx]Sheet1!R768C3</stp>
        <tr r="C768" s="1"/>
      </tp>
      <tp>
        <v>10.75</v>
        <stp/>
        <stp>##V3_BDPV12</stp>
        <stp>912827KC Govt</stp>
        <stp>CPN</stp>
        <stp>[TREASURY.xlsx]Sheet1!R608C3</stp>
        <tr r="C608" s="1"/>
      </tp>
      <tp>
        <v>8.5</v>
        <stp/>
        <stp>##V3_BDPV12</stp>
        <stp>912827ZN Govt</stp>
        <stp>CPN</stp>
        <stp>[TREASURY.xlsx]Sheet1!R685C3</stp>
        <tr r="C685" s="1"/>
      </tp>
      <tp>
        <v>0.36471896411438204</v>
        <stp/>
        <stp>##V3_BDPV12</stp>
        <stp>91282CBM Govt</stp>
        <stp>YLD_YTM_BID</stp>
        <stp>[TREASURY.xlsx]Sheet1!R107C4</stp>
        <tr r="D107" s="1"/>
      </tp>
      <tp t="s">
        <v>#N/A N/A</v>
        <stp/>
        <stp>##V3_BDPV12</stp>
        <stp>912828AB Govt</stp>
        <stp>YLD_YTM_BID</stp>
        <stp>[TREASURY.xlsx]Sheet1!R958C4</stp>
        <tr r="D958" s="1"/>
      </tp>
      <tp t="s">
        <v>#N/A N/A</v>
        <stp/>
        <stp>##V3_BDPV12</stp>
        <stp>912828PN Govt</stp>
        <stp>YLD_YTM_BID</stp>
        <stp>[TREASURY.xlsx]Sheet1!R984C4</stp>
        <tr r="D984" s="1"/>
      </tp>
      <tp t="s">
        <v>#N/A N/A</v>
        <stp/>
        <stp>##V3_BDPV12</stp>
        <stp>912828QB Govt</stp>
        <stp>YLD_YTM_BID</stp>
        <stp>[TREASURY.xlsx]Sheet1!R988C4</stp>
        <tr r="D988" s="1"/>
      </tp>
      <tp t="s">
        <v>#N/A N/A</v>
        <stp/>
        <stp>##V3_BDPV12</stp>
        <stp>9128275N Govt</stp>
        <stp>YLD_YTM_BID</stp>
        <stp>[TREASURY.xlsx]Sheet1!R674C4</stp>
        <tr r="D674" s="1"/>
      </tp>
      <tp t="s">
        <v>#N/A N/A</v>
        <stp/>
        <stp>##V3_BDPV12</stp>
        <stp>912828MJ Govt</stp>
        <stp>YLD_YTM_BID</stp>
        <stp>[TREASURY.xlsx]Sheet1!R820C4</stp>
        <tr r="D820" s="1"/>
      </tp>
      <tp t="s">
        <v>#N/A N/A</v>
        <stp/>
        <stp>##V3_BDPV12</stp>
        <stp>912828NN Govt</stp>
        <stp>YLD_YTM_BID</stp>
        <stp>[TREASURY.xlsx]Sheet1!R864C4</stp>
        <tr r="D864" s="1"/>
      </tp>
      <tp t="s">
        <v>#N/A N/A</v>
        <stp/>
        <stp>##V3_BDPV12</stp>
        <stp>912827XH Govt</stp>
        <stp>YLD_YTM_BID</stp>
        <stp>[TREASURY.xlsx]Sheet1!R772C4</stp>
        <tr r="D772" s="1"/>
      </tp>
      <tp t="s">
        <v>#N/A N/A</v>
        <stp/>
        <stp>##V3_BDPV12</stp>
        <stp>912827ZC Govt</stp>
        <stp>YLD_YTM_BID</stp>
        <stp>[TREASURY.xlsx]Sheet1!R779C4</stp>
        <tr r="D779" s="1"/>
      </tp>
      <tp t="s">
        <v>#N/A N/A</v>
        <stp/>
        <stp>##V3_BDPV12</stp>
        <stp>912828JB Govt</stp>
        <stp>YLD_YTM_BID</stp>
        <stp>[TREASURY.xlsx]Sheet1!R598C4</stp>
        <tr r="D598" s="1"/>
      </tp>
      <tp t="s">
        <v>#N/A N/A</v>
        <stp/>
        <stp>##V3_BDPV12</stp>
        <stp>912828JH Govt</stp>
        <stp>YLD_YTM_BID</stp>
        <stp>[TREASURY.xlsx]Sheet1!R542C4</stp>
        <tr r="D542" s="1"/>
      </tp>
      <tp t="s">
        <v>#N/A N/A</v>
        <stp/>
        <stp>##V3_BDPV12</stp>
        <stp>912828LB Govt</stp>
        <stp>YLD_YTM_BID</stp>
        <stp>[TREASURY.xlsx]Sheet1!R558C4</stp>
        <tr r="D558" s="1"/>
      </tp>
      <tp>
        <v>2.875</v>
        <stp/>
        <stp>##V3_BDPV12</stp>
        <stp>912810RB Govt</stp>
        <stp>CPN</stp>
        <stp>[TREASURY.xlsx]Sheet1!R269C3</stp>
        <tr r="C269" s="1"/>
      </tp>
      <tp t="s">
        <v>#N/A N/A</v>
        <stp/>
        <stp>##V3_BDPV12</stp>
        <stp>912828WM Govt</stp>
        <stp>YLD_YTM_BID</stp>
        <stp>[TREASURY.xlsx]Sheet1!R567C4</stp>
        <tr r="D567" s="1"/>
      </tp>
      <tp t="s">
        <v>#N/A N/A</v>
        <stp/>
        <stp>##V3_BDPV12</stp>
        <stp>912828BH Govt</stp>
        <stp>YLD_YTM_BID</stp>
        <stp>[TREASURY.xlsx]Sheet1!R452C4</stp>
        <tr r="D452" s="1"/>
      </tp>
      <tp>
        <v>4.5</v>
        <stp/>
        <stp>##V3_BDPV12</stp>
        <stp>912810QC Govt</stp>
        <stp>CPN</stp>
        <stp>[TREASURY.xlsx]Sheet1!R318C3</stp>
        <tr r="C318" s="1"/>
      </tp>
      <tp t="s">
        <v>#N/A N/A</v>
        <stp/>
        <stp>##V3_BDPV12</stp>
        <stp>9128282C Govt</stp>
        <stp>YLD_YTM_BID</stp>
        <stp>[TREASURY.xlsx]Sheet1!R439C4</stp>
        <tr r="D439" s="1"/>
      </tp>
      <tp t="s">
        <v>#N/A N/A</v>
        <stp/>
        <stp>##V3_BDPV12</stp>
        <stp>912827LJ Govt</stp>
        <stp>YLD_YTM_BID</stp>
        <stp>[TREASURY.xlsx]Sheet1!R890C4</stp>
        <tr r="D890" s="1"/>
      </tp>
      <tp t="s">
        <v>#N/A N/A</v>
        <stp/>
        <stp>##V3_BDPV12</stp>
        <stp>912828AL Govt</stp>
        <stp>YLD_YTM_BID</stp>
        <stp>[TREASURY.xlsx]Sheet1!R666C4</stp>
        <tr r="D666" s="1"/>
      </tp>
      <tp t="s">
        <v>#N/A N/A</v>
        <stp/>
        <stp>##V3_BDPV12</stp>
        <stp>912828JJ Govt</stp>
        <stp>YLD_YTM_BID</stp>
        <stp>[TREASURY.xlsx]Sheet1!R690C4</stp>
        <tr r="D690" s="1"/>
      </tp>
      <tp t="s">
        <v>#N/A N/A</v>
        <stp/>
        <stp>##V3_BDPV12</stp>
        <stp>912827NK Govt</stp>
        <stp>YLD_YTM_BID</stp>
        <stp>[TREASURY.xlsx]Sheet1!R901C4</stp>
        <tr r="D901" s="1"/>
      </tp>
      <tp t="s">
        <v>#N/A N/A</v>
        <stp/>
        <stp>##V3_BDPV12</stp>
        <stp>912828NH Govt</stp>
        <stp>YLD_YTM_BID</stp>
        <stp>[TREASURY.xlsx]Sheet1!R622C4</stp>
        <tr r="D622" s="1"/>
      </tp>
      <tp>
        <v>3</v>
        <stp/>
        <stp>##V3_BDPV12</stp>
        <stp>912810RM Govt</stp>
        <stp>CPN</stp>
        <stp>[TREASURY.xlsx]Sheet1!R176C3</stp>
        <tr r="C176" s="1"/>
      </tp>
      <tp t="s">
        <v>#N/A N/A</v>
        <stp/>
        <stp>##V3_BDPV12</stp>
        <stp>912828VH Govt</stp>
        <stp>YLD_YTM_BID</stp>
        <stp>[TREASURY.xlsx]Sheet1!R632C4</stp>
        <tr r="D632" s="1"/>
      </tp>
      <tp t="s">
        <v>#N/A N/A</v>
        <stp/>
        <stp>##V3_BDPV12</stp>
        <stp>912827RK Govt</stp>
        <stp>YLD_YTM_BID</stp>
        <stp>[TREASURY.xlsx]Sheet1!R911C4</stp>
        <tr r="D911" s="1"/>
      </tp>
      <tp t="s">
        <v>#N/A N/A</v>
        <stp/>
        <stp>##V3_BDPV12</stp>
        <stp>912828PJ Govt</stp>
        <stp>YLD_YTM_BID</stp>
        <stp>[TREASURY.xlsx]Sheet1!R630C4</stp>
        <tr r="D630" s="1"/>
      </tp>
      <tp>
        <v>0.21189267951596247</v>
        <stp/>
        <stp>##V3_BDPV12</stp>
        <stp>912828VB Govt</stp>
        <stp>YLD_YTM_BID</stp>
        <stp>[TREASURY.xlsx]Sheet1!R168C4</stp>
        <tr r="D168" s="1"/>
      </tp>
      <tp>
        <v>1.0533413464557559</v>
        <stp/>
        <stp>##V3_BDPV12</stp>
        <stp>912828ZB Govt</stp>
        <stp>YLD_YTM_BID</stp>
        <stp>[TREASURY.xlsx]Sheet1!R148C4</stp>
        <tr r="D148" s="1"/>
      </tp>
      <tp>
        <v>0.10441866815835477</v>
        <stp/>
        <stp>##V3_BDPV12</stp>
        <stp>912828YK Govt</stp>
        <stp>YLD_YTM_BID</stp>
        <stp>[TREASURY.xlsx]Sheet1!R131C4</stp>
        <tr r="D131" s="1"/>
      </tp>
      <tp t="s">
        <v>#N/A N/A</v>
        <stp/>
        <stp>##V3_BDPV12</stp>
        <stp>912828NB Govt</stp>
        <stp>YLD_YTM_BID</stp>
        <stp>[TREASURY.xlsx]Sheet1!R388C4</stp>
        <tr r="D388" s="1"/>
      </tp>
      <tp t="s">
        <v>#N/A N/A</v>
        <stp/>
        <stp>##V3_BDPV12</stp>
        <stp>912828KB Govt</stp>
        <stp>YLD_YTM_BID</stp>
        <stp>[TREASURY.xlsx]Sheet1!R398C4</stp>
        <tr r="D398" s="1"/>
      </tp>
      <tp t="s">
        <v>#N/A N/A</v>
        <stp/>
        <stp>##V3_BDPV12</stp>
        <stp>912828QN Govt</stp>
        <stp>YLD_YTM_BID</stp>
        <stp>[TREASURY.xlsx]Sheet1!R334C4</stp>
        <tr r="D334" s="1"/>
      </tp>
      <tp>
        <v>8.125</v>
        <stp/>
        <stp>##V3_BDPV12</stp>
        <stp>912810EJ Govt</stp>
        <stp>CPN</stp>
        <stp>[TREASURY.xlsx]Sheet1!R521C3</stp>
        <tr r="C521" s="1"/>
      </tp>
      <tp>
        <v>0.67508579501123989</v>
        <stp/>
        <stp>##V3_BDPV12</stp>
        <stp>9128284M Govt</stp>
        <stp>YLD_YTM_BID</stp>
        <stp>[TREASURY.xlsx]Sheet1!R227C4</stp>
        <tr r="D227" s="1"/>
      </tp>
      <tp>
        <v>9.4551063582861528E-2</v>
        <stp/>
        <stp>##V3_BDPV12</stp>
        <stp>9128287C Govt</stp>
        <stp>YLD_YTM_BID</stp>
        <stp>[TREASURY.xlsx]Sheet1!R219C4</stp>
        <tr r="D219" s="1"/>
      </tp>
      <tp>
        <v>0.88732796688408433</v>
        <stp/>
        <stp>##V3_BDPV12</stp>
        <stp>9128286L Govt</stp>
        <stp>YLD_YTM_BID</stp>
        <stp>[TREASURY.xlsx]Sheet1!R276C4</stp>
        <tr r="D276" s="1"/>
      </tp>
      <tp t="s">
        <v>S/A</v>
        <stp/>
        <stp>##V3_BDPV12</stp>
        <stp>912827SK Govt</stp>
        <stp>COUPON_FREQUENCY_DESCRIPTION</stp>
        <stp>[TREASURY.xlsx]Sheet1!R1589C10</stp>
        <tr r="J1589" s="1"/>
      </tp>
      <tp t="s">
        <v>S/A</v>
        <stp/>
        <stp>##V3_BDPV12</stp>
        <stp>912827SN Govt</stp>
        <stp>COUPON_FREQUENCY_DESCRIPTION</stp>
        <stp>[TREASURY.xlsx]Sheet1!R1066C10</stp>
        <tr r="J1066" s="1"/>
      </tp>
      <tp t="s">
        <v>UNITED STATES</v>
        <stp/>
        <stp>##V3_BDPV12</stp>
        <stp>912827XF Govt</stp>
        <stp>COUNTRY_FULL_NAME</stp>
        <stp>[TREASURY.xlsx]Sheet1!R1596C8</stp>
        <tr r="H1596" s="1"/>
      </tp>
      <tp t="s">
        <v>S/A</v>
        <stp/>
        <stp>##V3_BDPV12</stp>
        <stp>912828SK Govt</stp>
        <stp>COUPON_FREQUENCY_DESCRIPTION</stp>
        <stp>[TREASURY.xlsx]Sheet1!R1132C10</stp>
        <tr r="J1132" s="1"/>
      </tp>
      <tp t="s">
        <v>S/A</v>
        <stp/>
        <stp>##V3_BDPV12</stp>
        <stp>912827SJ Govt</stp>
        <stp>COUPON_FREQUENCY_DESCRIPTION</stp>
        <stp>[TREASURY.xlsx]Sheet1!R1185C10</stp>
        <tr r="J1185" s="1"/>
      </tp>
      <tp t="s">
        <v>UNITED STATES</v>
        <stp/>
        <stp>##V3_BDPV12</stp>
        <stp>912828WC Govt</stp>
        <stp>COUNTRY_FULL_NAME</stp>
        <stp>[TREASURY.xlsx]Sheet1!R1139C8</stp>
        <tr r="H1139" s="1"/>
      </tp>
      <tp t="s">
        <v>S/A</v>
        <stp/>
        <stp>##V3_BDPV12</stp>
        <stp>912827SF Govt</stp>
        <stp>COUPON_FREQUENCY_DESCRIPTION</stp>
        <stp>[TREASURY.xlsx]Sheet1!R1065C10</stp>
        <tr r="J1065" s="1"/>
      </tp>
      <tp t="s">
        <v>T 8 1/8 01/31/92</v>
        <stp/>
        <stp>##V3_BDPV12</stp>
        <stp>912827YL Govt</stp>
        <stp>SECURITY_NAME</stp>
        <stp>[TREASURY.xlsx]Sheet1!R1605C16</stp>
        <tr r="P1605" s="1"/>
      </tp>
      <tp t="s">
        <v>T 5 3/4 10/31/02</v>
        <stp/>
        <stp>##V3_BDPV12</stp>
        <stp>9128273L Govt</stp>
        <stp>SECURITY_NAME</stp>
        <stp>[TREASURY.xlsx]Sheet1!R1529C16</stp>
        <tr r="P1529" s="1"/>
      </tp>
      <tp t="s">
        <v>T 6 09/30/02</v>
        <stp/>
        <stp>##V3_BDPV12</stp>
        <stp>9128276L Govt</stp>
        <stp>SECURITY_NAME</stp>
        <stp>[TREASURY.xlsx]Sheet1!R1538C16</stp>
        <tr r="P1538" s="1"/>
      </tp>
      <tp t="s">
        <v>T 11 11/15/87</v>
        <stp/>
        <stp>##V3_BDPV12</stp>
        <stp>912827RL Govt</stp>
        <stp>SECURITY_NAME</stp>
        <stp>[TREASURY.xlsx]Sheet1!R1503C16</stp>
        <tr r="P1503" s="1"/>
      </tp>
      <tp t="s">
        <v>T 7 1/4 03/31/90</v>
        <stp/>
        <stp>##V3_BDPV12</stp>
        <stp>912827TL Govt</stp>
        <stp>SECURITY_NAME</stp>
        <stp>[TREASURY.xlsx]Sheet1!R1509C16</stp>
        <tr r="P1509" s="1"/>
      </tp>
      <tp t="s">
        <v>T 10 1/2 02/15/95</v>
        <stp/>
        <stp>##V3_BDPV12</stp>
        <stp>912810CL Govt</stp>
        <stp>SECURITY_NAME</stp>
        <stp>[TREASURY.xlsx]Sheet1!R1617C16</stp>
        <tr r="P1617" s="1"/>
      </tp>
      <tp t="s">
        <v>T 4 7/8 02/15/12</v>
        <stp/>
        <stp>##V3_BDPV12</stp>
        <stp>9128277L Govt</stp>
        <stp>SECURITY_NAME</stp>
        <stp>[TREASURY.xlsx]Sheet1!R1546C16</stp>
        <tr r="P1546" s="1"/>
      </tp>
      <tp t="s">
        <v>T 12 1/2 08/15/14</v>
        <stp/>
        <stp>##V3_BDPV12</stp>
        <stp>912810DL Govt</stp>
        <stp>SECURITY_NAME</stp>
        <stp>[TREASURY.xlsx]Sheet1!R1620C16</stp>
        <tr r="P1620" s="1"/>
      </tp>
      <tp t="s">
        <v>S/A</v>
        <stp/>
        <stp>##V3_BDPV12</stp>
        <stp>912827SA Govt</stp>
        <stp>COUPON_FREQUENCY_DESCRIPTION</stp>
        <stp>[TREASURY.xlsx]Sheet1!R1587C10</stp>
        <tr r="J1587" s="1"/>
      </tp>
      <tp t="s">
        <v>S/A</v>
        <stp/>
        <stp>##V3_BDPV12</stp>
        <stp>912827SE Govt</stp>
        <stp>COUPON_FREQUENCY_DESCRIPTION</stp>
        <stp>[TREASURY.xlsx]Sheet1!R1184C10</stp>
        <tr r="J1184" s="1"/>
      </tp>
      <tp t="s">
        <v>T 5 1/2 07/31/01</v>
        <stp/>
        <stp>##V3_BDPV12</stp>
        <stp>9128275L Govt</stp>
        <stp>SECURITY_NAME</stp>
        <stp>[TREASURY.xlsx]Sheet1!R1464C16</stp>
        <tr r="P1464" s="1"/>
      </tp>
      <tp t="s">
        <v>T 6 1/4 02/28/02</v>
        <stp/>
        <stp>##V3_BDPV12</stp>
        <stp>9128272L Govt</stp>
        <stp>SECURITY_NAME</stp>
        <stp>[TREASURY.xlsx]Sheet1!R1452C16</stp>
        <tr r="P1452" s="1"/>
      </tp>
      <tp t="s">
        <v>UNITED STATES</v>
        <stp/>
        <stp>##V3_BDPV12</stp>
        <stp>912827VM Govt</stp>
        <stp>COUNTRY_FULL_NAME</stp>
        <stp>[TREASURY.xlsx]Sheet1!R1088C8</stp>
        <tr r="H1088" s="1"/>
      </tp>
      <tp t="s">
        <v>T 15 1/2 10/31/83</v>
        <stp/>
        <stp>##V3_BDPV12</stp>
        <stp>912827ML Govt</stp>
        <stp>SECURITY_NAME</stp>
        <stp>[TREASURY.xlsx]Sheet1!R1325C16</stp>
        <tr r="P1325" s="1"/>
      </tp>
      <tp t="s">
        <v>T 13 7/8 02/28/82</v>
        <stp/>
        <stp>##V3_BDPV12</stp>
        <stp>912827KL Govt</stp>
        <stp>SECURITY_NAME</stp>
        <stp>[TREASURY.xlsx]Sheet1!R1377C16</stp>
        <tr r="P1377" s="1"/>
      </tp>
      <tp t="s">
        <v>S/A</v>
        <stp/>
        <stp>##V3_BDPV12</stp>
        <stp>912827SG Govt</stp>
        <stp>COUPON_FREQUENCY_DESCRIPTION</stp>
        <stp>[TREASURY.xlsx]Sheet1!R1588C10</stp>
        <tr r="J1588" s="1"/>
      </tp>
      <tp t="s">
        <v>S/A</v>
        <stp/>
        <stp>##V3_BDPV12</stp>
        <stp>912828SC Govt</stp>
        <stp>COUPON_FREQUENCY_DESCRIPTION</stp>
        <stp>[TREASURY.xlsx]Sheet1!R1141C10</stp>
        <tr r="J1141" s="1"/>
      </tp>
      <tp t="s">
        <v>T 7 01/15/94</v>
        <stp/>
        <stp>##V3_BDPV12</stp>
        <stp>912827UL Govt</stp>
        <stp>SECURITY_NAME</stp>
        <stp>[TREASURY.xlsx]Sheet1!R1201C16</stp>
        <tr r="P1201" s="1"/>
      </tp>
      <tp t="s">
        <v>T 8 3/8 07/31/90</v>
        <stp/>
        <stp>##V3_BDPV12</stp>
        <stp>912827WL Govt</stp>
        <stp>SECURITY_NAME</stp>
        <stp>[TREASURY.xlsx]Sheet1!R1208C16</stp>
        <tr r="P1208" s="1"/>
      </tp>
      <tp t="s">
        <v>T 9 1/4 04/30/91</v>
        <stp/>
        <stp>##V3_BDPV12</stp>
        <stp>912827XL Govt</stp>
        <stp>SECURITY_NAME</stp>
        <stp>[TREASURY.xlsx]Sheet1!R1214C16</stp>
        <tr r="P1214" s="1"/>
      </tp>
      <tp t="s">
        <v>T 3 08/31/16</v>
        <stp/>
        <stp>##V3_BDPV12</stp>
        <stp>912828LL Govt</stp>
        <stp>SECURITY_NAME</stp>
        <stp>[TREASURY.xlsx]Sheet1!R1290C16</stp>
        <tr r="P1290" s="1"/>
      </tp>
      <tp t="s">
        <v>T 1 12/31/11</v>
        <stp/>
        <stp>##V3_BDPV12</stp>
        <stp>912828ML Govt</stp>
        <stp>SECURITY_NAME</stp>
        <stp>[TREASURY.xlsx]Sheet1!R1253C16</stp>
        <tr r="P1253" s="1"/>
      </tp>
      <tp t="s">
        <v>S/A</v>
        <stp/>
        <stp>##V3_BDPV12</stp>
        <stp>912827SB Govt</stp>
        <stp>COUPON_FREQUENCY_DESCRIPTION</stp>
        <stp>[TREASURY.xlsx]Sheet1!R1183C10</stp>
        <tr r="J1183" s="1"/>
      </tp>
      <tp t="s">
        <v>UNITED STATES</v>
        <stp/>
        <stp>##V3_BDPV12</stp>
        <stp>912828VK Govt</stp>
        <stp>COUNTRY_FULL_NAME</stp>
        <stp>[TREASURY.xlsx]Sheet1!R1148C8</stp>
        <tr r="H1148" s="1"/>
      </tp>
      <tp t="s">
        <v>T 1 1/2 05/31/19</v>
        <stp/>
        <stp>##V3_BDPV12</stp>
        <stp>912828WL Govt</stp>
        <stp>SECURITY_NAME</stp>
        <stp>[TREASURY.xlsx]Sheet1!R1150C16</stp>
        <tr r="P1150" s="1"/>
      </tp>
      <tp t="s">
        <v>T 0 1/2 10/15/14</v>
        <stp/>
        <stp>##V3_BDPV12</stp>
        <stp>912828RL Govt</stp>
        <stp>SECURITY_NAME</stp>
        <stp>[TREASURY.xlsx]Sheet1!R1131C16</stp>
        <tr r="P1131" s="1"/>
      </tp>
      <tp t="s">
        <v>T 2 09/30/10</v>
        <stp/>
        <stp>##V3_BDPV12</stp>
        <stp>912828JL Govt</stp>
        <stp>SECURITY_NAME</stp>
        <stp>[TREASURY.xlsx]Sheet1!R1122C16</stp>
        <tr r="P1122" s="1"/>
      </tp>
      <tp t="s">
        <v>T 7 7/8 10/31/89</v>
        <stp/>
        <stp>##V3_BDPV12</stp>
        <stp>912827VL Govt</stp>
        <stp>SECURITY_NAME</stp>
        <stp>[TREASURY.xlsx]Sheet1!R1087C16</stp>
        <tr r="P1087" s="1"/>
      </tp>
      <tp t="s">
        <v>T 1 3/8 01/31/20</v>
        <stp/>
        <stp>##V3_BDPV12</stp>
        <stp>912828UL Govt</stp>
        <stp>SECURITY_NAME</stp>
        <stp>[TREASURY.xlsx]Sheet1!R1000C16</stp>
        <tr r="P1000" s="1"/>
      </tp>
      <tp t="s">
        <v>UNITED STATES</v>
        <stp/>
        <stp>##V3_BDPV12</stp>
        <stp>912827WV Govt</stp>
        <stp>COUNTRY_FULL_NAME</stp>
        <stp>[TREASURY.xlsx]Sheet1!R1209C8</stp>
        <tr r="H1209" s="1"/>
      </tp>
      <tp t="s">
        <v>UNITED STATES</v>
        <stp/>
        <stp>##V3_BDPV12</stp>
        <stp>912827ZW Govt</stp>
        <stp>COUNTRY_FULL_NAME</stp>
        <stp>[TREASURY.xlsx]Sheet1!R1104C8</stp>
        <tr r="H1104" s="1"/>
      </tp>
      <tp t="s">
        <v>UNITED STATES</v>
        <stp/>
        <stp>##V3_BDPV12</stp>
        <stp>912827YW Govt</stp>
        <stp>COUNTRY_FULL_NAME</stp>
        <stp>[TREASURY.xlsx]Sheet1!R1607C8</stp>
        <tr r="H1607" s="1"/>
      </tp>
      <tp t="s">
        <v>S/A</v>
        <stp/>
        <stp>##V3_BDPV12</stp>
        <stp>912827SZ Govt</stp>
        <stp>COUPON_FREQUENCY_DESCRIPTION</stp>
        <stp>[TREASURY.xlsx]Sheet1!R1068C10</stp>
        <tr r="J1068" s="1"/>
      </tp>
      <tp t="s">
        <v>UNITED STATES</v>
        <stp/>
        <stp>##V3_BDPV12</stp>
        <stp>912827XR Govt</stp>
        <stp>COUNTRY_FULL_NAME</stp>
        <stp>[TREASURY.xlsx]Sheet1!R1216C8</stp>
        <tr r="H1216" s="1"/>
      </tp>
      <tp t="s">
        <v>S/A</v>
        <stp/>
        <stp>##V3_BDPV12</stp>
        <stp>912827SY Govt</stp>
        <stp>COUPON_FREQUENCY_DESCRIPTION</stp>
        <stp>[TREASURY.xlsx]Sheet1!R1190C10</stp>
        <tr r="J1190" s="1"/>
      </tp>
      <tp t="s">
        <v>S/A</v>
        <stp/>
        <stp>##V3_BDPV12</stp>
        <stp>912828SY Govt</stp>
        <stp>COUPON_FREQUENCY_DESCRIPTION</stp>
        <stp>[TREASURY.xlsx]Sheet1!R1133C10</stp>
        <tr r="J1133" s="1"/>
      </tp>
      <tp t="s">
        <v>UNITED STATES</v>
        <stp/>
        <stp>##V3_BDPV12</stp>
        <stp>912827WP Govt</stp>
        <stp>COUNTRY_FULL_NAME</stp>
        <stp>[TREASURY.xlsx]Sheet1!R1419C8</stp>
        <tr r="H1419" s="1"/>
      </tp>
      <tp t="s">
        <v>UNITED STATES</v>
        <stp/>
        <stp>##V3_BDPV12</stp>
        <stp>912827XQ Govt</stp>
        <stp>COUNTRY_FULL_NAME</stp>
        <stp>[TREASURY.xlsx]Sheet1!R1096C8</stp>
        <tr r="H1096" s="1"/>
      </tp>
      <tp t="s">
        <v>S/A</v>
        <stp/>
        <stp>##V3_BDPV12</stp>
        <stp>912827SW Govt</stp>
        <stp>COUPON_FREQUENCY_DESCRIPTION</stp>
        <stp>[TREASURY.xlsx]Sheet1!R1189C10</stp>
        <tr r="J1189" s="1"/>
      </tp>
      <tp t="s">
        <v>S/A</v>
        <stp/>
        <stp>##V3_BDPV12</stp>
        <stp>912827ST Govt</stp>
        <stp>COUPON_FREQUENCY_DESCRIPTION</stp>
        <stp>[TREASURY.xlsx]Sheet1!R1067C10</stp>
        <tr r="J1067" s="1"/>
      </tp>
      <tp t="s">
        <v>S/A</v>
        <stp/>
        <stp>##V3_BDPV12</stp>
        <stp>912827SS Govt</stp>
        <stp>COUPON_FREQUENCY_DESCRIPTION</stp>
        <stp>[TREASURY.xlsx]Sheet1!R1188C10</stp>
        <tr r="J1188" s="1"/>
      </tp>
      <tp t="s">
        <v>UNITED STATES</v>
        <stp/>
        <stp>##V3_BDPV12</stp>
        <stp>912827ZZ Govt</stp>
        <stp>COUNTRY_FULL_NAME</stp>
        <stp>[TREASURY.xlsx]Sheet1!R1614C8</stp>
        <tr r="H1614" s="1"/>
      </tp>
      <tp t="s">
        <v>S/A</v>
        <stp/>
        <stp>##V3_BDPV12</stp>
        <stp>912828SR Govt</stp>
        <stp>COUPON_FREQUENCY_DESCRIPTION</stp>
        <stp>[TREASURY.xlsx]Sheet1!R1142C10</stp>
        <tr r="J1142" s="1"/>
      </tp>
      <tp t="s">
        <v>S/A</v>
        <stp/>
        <stp>##V3_BDPV12</stp>
        <stp>912827SQ Govt</stp>
        <stp>COUPON_FREQUENCY_DESCRIPTION</stp>
        <stp>[TREASURY.xlsx]Sheet1!R1187C10</stp>
        <tr r="J1187" s="1"/>
      </tp>
      <tp t="s">
        <v>S/A</v>
        <stp/>
        <stp>##V3_BDPV12</stp>
        <stp>912827SR Govt</stp>
        <stp>COUPON_FREQUENCY_DESCRIPTION</stp>
        <stp>[TREASURY.xlsx]Sheet1!R1396C10</stp>
        <tr r="J1396" s="1"/>
      </tp>
      <tp t="s">
        <v>S/A</v>
        <stp/>
        <stp>##V3_BDPV12</stp>
        <stp>912827SP Govt</stp>
        <stp>COUPON_FREQUENCY_DESCRIPTION</stp>
        <stp>[TREASURY.xlsx]Sheet1!R1186C10</stp>
        <tr r="J1186" s="1"/>
      </tp>
      <tp t="s">
        <v>#N/A Field Not Applicable</v>
        <stp/>
        <stp>##V3_BDPV12</stp>
        <stp>9128282Q Govt</stp>
        <stp>IDX_RATIO</stp>
        <stp>[TREASURY.xlsx]Sheet1!R469C20</stp>
        <tr r="T469" s="1"/>
      </tp>
      <tp t="s">
        <v>#N/A Field Not Applicable</v>
        <stp/>
        <stp>##V3_BDPV12</stp>
        <stp>9128282V Govt</stp>
        <stp>IDX_RATIO</stp>
        <stp>[TREASURY.xlsx]Sheet1!R362C20</stp>
        <tr r="T362" s="1"/>
      </tp>
      <tp t="s">
        <v>#N/A Field Not Applicable</v>
        <stp/>
        <stp>##V3_BDPV12</stp>
        <stp>9128282U Govt</stp>
        <stp>IDX_RATIO</stp>
        <stp>[TREASURY.xlsx]Sheet1!R252C20</stp>
        <tr r="T252" s="1"/>
      </tp>
      <tp t="s">
        <v>#N/A Field Not Applicable</v>
        <stp/>
        <stp>##V3_BDPV12</stp>
        <stp>9128282T Govt</stp>
        <stp>IDX_RATIO</stp>
        <stp>[TREASURY.xlsx]Sheet1!R330C20</stp>
        <tr r="T330" s="1"/>
      </tp>
      <tp t="s">
        <v>#N/A Field Not Applicable</v>
        <stp/>
        <stp>##V3_BDPV12</stp>
        <stp>9128282W Govt</stp>
        <stp>IDX_RATIO</stp>
        <stp>[TREASURY.xlsx]Sheet1!R166C20</stp>
        <tr r="T166" s="1"/>
      </tp>
      <tp t="s">
        <v>#N/A Field Not Applicable</v>
        <stp/>
        <stp>##V3_BDPV12</stp>
        <stp>9128282S Govt</stp>
        <stp>IDX_RATIO</stp>
        <stp>[TREASURY.xlsx]Sheet1!R212C20</stp>
        <tr r="T212" s="1"/>
      </tp>
      <tp t="s">
        <v>#N/A Field Not Applicable</v>
        <stp/>
        <stp>##V3_BDPV12</stp>
        <stp>9128282P Govt</stp>
        <stp>IDX_RATIO</stp>
        <stp>[TREASURY.xlsx]Sheet1!R214C20</stp>
        <tr r="T214" s="1"/>
      </tp>
      <tp t="s">
        <v>#N/A Field Not Applicable</v>
        <stp/>
        <stp>##V3_BDPV12</stp>
        <stp>9128282X Govt</stp>
        <stp>IDX_RATIO</stp>
        <stp>[TREASURY.xlsx]Sheet1!R554C20</stp>
        <tr r="T554" s="1"/>
      </tp>
      <tp t="s">
        <v>#N/A Field Not Applicable</v>
        <stp/>
        <stp>##V3_BDPV12</stp>
        <stp>9128282Y Govt</stp>
        <stp>IDX_RATIO</stp>
        <stp>[TREASURY.xlsx]Sheet1!R145C20</stp>
        <tr r="T145" s="1"/>
      </tp>
      <tp t="s">
        <v>#N/A Field Not Applicable</v>
        <stp/>
        <stp>##V3_BDPV12</stp>
        <stp>9128282F Govt</stp>
        <stp>IDX_RATIO</stp>
        <stp>[TREASURY.xlsx]Sheet1!R345C20</stp>
        <tr r="T345" s="1"/>
      </tp>
      <tp t="s">
        <v>#N/A Field Not Applicable</v>
        <stp/>
        <stp>##V3_BDPV12</stp>
        <stp>9128282C Govt</stp>
        <stp>IDX_RATIO</stp>
        <stp>[TREASURY.xlsx]Sheet1!R439C20</stp>
        <tr r="T439" s="1"/>
      </tp>
      <tp t="s">
        <v>S/A</v>
        <stp/>
        <stp>##V3_BDPV12</stp>
        <stp>912827S8 Govt</stp>
        <stp>COUPON_FREQUENCY_DESCRIPTION</stp>
        <stp>[TREASURY.xlsx]Sheet1!R1586C10</stp>
        <tr r="J1586" s="1"/>
      </tp>
      <tp t="s">
        <v>#N/A Field Not Applicable</v>
        <stp/>
        <stp>##V3_BDPV12</stp>
        <stp>9128282D Govt</stp>
        <stp>IDX_RATIO</stp>
        <stp>[TREASURY.xlsx]Sheet1!R260C20</stp>
        <tr r="T260" s="1"/>
      </tp>
      <tp t="s">
        <v>#N/A Field Not Applicable</v>
        <stp/>
        <stp>##V3_BDPV12</stp>
        <stp>9128282B Govt</stp>
        <stp>IDX_RATIO</stp>
        <stp>[TREASURY.xlsx]Sheet1!R373C20</stp>
        <tr r="T373" s="1"/>
      </tp>
      <tp t="s">
        <v>#N/A Field Not Applicable</v>
        <stp/>
        <stp>##V3_BDPV12</stp>
        <stp>9128282K Govt</stp>
        <stp>IDX_RATIO</stp>
        <stp>[TREASURY.xlsx]Sheet1!R957C20</stp>
        <tr r="T957" s="1"/>
      </tp>
      <tp t="s">
        <v>S/A</v>
        <stp/>
        <stp>##V3_BDPV12</stp>
        <stp>912827S3 Govt</stp>
        <stp>COUPON_FREQUENCY_DESCRIPTION</stp>
        <stp>[TREASURY.xlsx]Sheet1!R1585C10</stp>
        <tr r="J1585" s="1"/>
      </tp>
      <tp t="s">
        <v>S/A</v>
        <stp/>
        <stp>##V3_BDPV12</stp>
        <stp>912827S6 Govt</stp>
        <stp>COUPON_FREQUENCY_DESCRIPTION</stp>
        <stp>[TREASURY.xlsx]Sheet1!R1182C10</stp>
        <tr r="J1182" s="1"/>
      </tp>
      <tp t="s">
        <v>#N/A Field Not Applicable</v>
        <stp/>
        <stp>##V3_BDPV12</stp>
        <stp>9128282N Govt</stp>
        <stp>IDX_RATIO</stp>
        <stp>[TREASURY.xlsx]Sheet1!R258C20</stp>
        <tr r="T258" s="1"/>
      </tp>
      <tp t="s">
        <v>#N/A Field Not Applicable</v>
        <stp/>
        <stp>##V3_BDPV12</stp>
        <stp>9128282J Govt</stp>
        <stp>IDX_RATIO</stp>
        <stp>[TREASURY.xlsx]Sheet1!R611C20</stp>
        <tr r="T611" s="1"/>
      </tp>
      <tp t="s">
        <v>S/A</v>
        <stp/>
        <stp>##V3_BDPV12</stp>
        <stp>912827S7 Govt</stp>
        <stp>COUPON_FREQUENCY_DESCRIPTION</stp>
        <stp>[TREASURY.xlsx]Sheet1!R1504C10</stp>
        <tr r="J1504" s="1"/>
      </tp>
      <tp t="s">
        <v>S/A</v>
        <stp/>
        <stp>##V3_BDPV12</stp>
        <stp>912827S2 Govt</stp>
        <stp>COUPON_FREQUENCY_DESCRIPTION</stp>
        <stp>[TREASURY.xlsx]Sheet1!R1181C10</stp>
        <tr r="J1181" s="1"/>
      </tp>
      <tp t="s">
        <v>4/15/2012</v>
        <stp/>
        <stp>##V3_BDPV12</stp>
        <stp>912828RL Govt</stp>
        <stp>FIRST_CPN_DT</stp>
        <stp>[TREASURY.xlsx]Sheet1!R1131C9</stp>
        <tr r="I1131" s="1"/>
      </tp>
      <tp t="s">
        <v>7/31/2012</v>
        <stp/>
        <stp>##V3_BDPV12</stp>
        <stp>912828SC Govt</stp>
        <stp>FIRST_CPN_DT</stp>
        <stp>[TREASURY.xlsx]Sheet1!R1141C9</stp>
        <tr r="I1141" s="1"/>
      </tp>
      <tp t="s">
        <v>5/15/2011</v>
        <stp/>
        <stp>##V3_BDPV12</stp>
        <stp>912828PU Govt</stp>
        <stp>FIRST_CPN_DT</stp>
        <stp>[TREASURY.xlsx]Sheet1!R1261C9</stp>
        <tr r="I1261" s="1"/>
      </tp>
      <tp t="s">
        <v>10/15/2011</v>
        <stp/>
        <stp>##V3_BDPV12</stp>
        <stp>912828QC Govt</stp>
        <stp>FIRST_CPN_DT</stp>
        <stp>[TREASURY.xlsx]Sheet1!R1301C9</stp>
        <tr r="I1301" s="1"/>
      </tp>
      <tp t="s">
        <v>9/30/2013</v>
        <stp/>
        <stp>##V3_BDPV12</stp>
        <stp>912828UU Govt</stp>
        <stp>FIRST_CPN_DT</stp>
        <stp>[TREASURY.xlsx]Sheet1!R1001C9</stp>
        <tr r="I1001" s="1"/>
      </tp>
      <tp t="s">
        <v>12/15/2015</v>
        <stp/>
        <stp>##V3_BDPV12</stp>
        <stp>912828XF Govt</stp>
        <stp>FIRST_CPN_DT</stp>
        <stp>[TREASURY.xlsx]Sheet1!R1151C9</stp>
        <tr r="I1151" s="1"/>
      </tp>
      <tp t="s">
        <v>11/15/1975</v>
        <stp/>
        <stp>##V3_BDPV12</stp>
        <stp>912810BU Govt</stp>
        <stp>FIRST_CPN_DT</stp>
        <stp>[TREASURY.xlsx]Sheet1!R1439C9</stp>
        <tr r="I1439" s="1"/>
      </tp>
      <tp t="s">
        <v>5/15/1980</v>
        <stp/>
        <stp>##V3_BDPV12</stp>
        <stp>912810CK Govt</stp>
        <stp>FIRST_CPN_DT</stp>
        <stp>[TREASURY.xlsx]Sheet1!R1309C9</stp>
        <tr r="I1309" s="1"/>
      </tp>
      <tp t="s">
        <v>11/30/2006</v>
        <stp/>
        <stp>##V3_BDPV12</stp>
        <stp>912828FG Govt</stp>
        <stp>FIRST_CPN_DT</stp>
        <stp>[TREASURY.xlsx]Sheet1!R1241C9</stp>
        <tr r="I1241" s="1"/>
      </tp>
      <tp t="s">
        <v>1/31/2008</v>
        <stp/>
        <stp>##V3_BDPV12</stp>
        <stp>912828GZ Govt</stp>
        <stp>FIRST_CPN_DT</stp>
        <stp>[TREASURY.xlsx]Sheet1!R1121C9</stp>
        <tr r="I1121" s="1"/>
      </tp>
      <tp t="s">
        <v>5/31/2015</v>
        <stp/>
        <stp>##V3_BDPV12</stp>
        <stp>912828G4 Govt</stp>
        <stp>FIRST_CPN_DT</stp>
        <stp>[TREASURY.xlsx]Sheet1!R1281C9</stp>
        <tr r="I1281" s="1"/>
      </tp>
      <tp t="s">
        <v>7/31/2005</v>
        <stp/>
        <stp>##V3_BDPV12</stp>
        <stp>912828DJ Govt</stp>
        <stp>FIRST_CPN_DT</stp>
        <stp>[TREASURY.xlsx]Sheet1!R1111C9</stp>
        <tr r="I1111" s="1"/>
      </tp>
      <tp t="s">
        <v>8/15/2005</v>
        <stp/>
        <stp>##V3_BDPV12</stp>
        <stp>912828DK Govt</stp>
        <stp>FIRST_CPN_DT</stp>
        <stp>[TREASURY.xlsx]Sheet1!R1271C9</stp>
        <tr r="I1271" s="1"/>
      </tp>
      <tp t="s">
        <v>11/15/1984</v>
        <stp/>
        <stp>##V3_BDPV12</stp>
        <stp>912810DH Govt</stp>
        <stp>FIRST_CPN_DT</stp>
        <stp>[TREASURY.xlsx]Sheet1!R1619C9</stp>
        <tr r="I1619" s="1"/>
      </tp>
      <tp t="s">
        <v>2/28/2006</v>
        <stp/>
        <stp>##V3_BDPV12</stp>
        <stp>912828EF Govt</stp>
        <stp>FIRST_CPN_DT</stp>
        <stp>[TREASURY.xlsx]Sheet1!R1431C9</stp>
        <tr r="I1431" s="1"/>
      </tp>
      <tp t="s">
        <v>2/15/1991</v>
        <stp/>
        <stp>##V3_BDPV12</stp>
        <stp>912810EG Govt</stp>
        <stp>FIRST_CPN_DT</stp>
        <stp>[TREASURY.xlsx]Sheet1!R1349C9</stp>
        <tr r="I1349" s="1"/>
      </tp>
      <tp t="s">
        <v>2/28/2010</v>
        <stp/>
        <stp>##V3_BDPV12</stp>
        <stp>912828LV Govt</stp>
        <stp>FIRST_CPN_DT</stp>
        <stp>[TREASURY.xlsx]Sheet1!R1291C9</stp>
        <tr r="I1291" s="1"/>
      </tp>
      <tp t="s">
        <v>5/15/2016</v>
        <stp/>
        <stp>##V3_BDPV12</stp>
        <stp>912828M6 Govt</stp>
        <stp>FIRST_CPN_DT</stp>
        <stp>[TREASURY.xlsx]Sheet1!R1251C9</stp>
        <tr r="I1251" s="1"/>
      </tp>
      <tp>
        <v>1.375</v>
        <stp/>
        <stp>##V3_BDPV12</stp>
        <stp>912828SH Govt</stp>
        <stp>CPN</stp>
        <stp>[TREASURY.xlsx]Sheet1!R360C3</stp>
        <tr r="C360" s="1"/>
      </tp>
      <tp>
        <v>1.875</v>
        <stp/>
        <stp>##V3_BDPV12</stp>
        <stp>9128283N Govt</stp>
        <stp>CPN</stp>
        <stp>[TREASURY.xlsx]Sheet1!R366C3</stp>
        <tr r="C366" s="1"/>
      </tp>
      <tp>
        <v>1.625</v>
        <stp/>
        <stp>##V3_BDPV12</stp>
        <stp>9128287A Govt</stp>
        <stp>CPN</stp>
        <stp>[TREASURY.xlsx]Sheet1!R339C3</stp>
        <tr r="C339" s="1"/>
      </tp>
      <tp>
        <v>2.5</v>
        <stp/>
        <stp>##V3_BDPV12</stp>
        <stp>912828WJ Govt</stp>
        <stp>CPN</stp>
        <stp>[TREASURY.xlsx]Sheet1!R182C3</stp>
        <tr r="C182" s="1"/>
      </tp>
      <tp>
        <v>0.125</v>
        <stp/>
        <stp>##V3_BDPV12</stp>
        <stp>912828ZM Govt</stp>
        <stp>CPN</stp>
        <stp>[TREASURY.xlsx]Sheet1!R175C3</stp>
        <tr r="C175" s="1"/>
      </tp>
      <tp>
        <v>2</v>
        <stp/>
        <stp>##V3_BDPV12</stp>
        <stp>912828BJ Govt</stp>
        <stp>CPN</stp>
        <stp>[TREASURY.xlsx]Sheet1!R642C3</stp>
        <tr r="C642" s="1"/>
      </tp>
      <tp>
        <v>3.625</v>
        <stp/>
        <stp>##V3_BDPV12</stp>
        <stp>912828CN Govt</stp>
        <stp>CPN</stp>
        <stp>[TREASURY.xlsx]Sheet1!R696C3</stp>
        <tr r="C696" s="1"/>
      </tp>
      <tp>
        <v>8.375</v>
        <stp/>
        <stp>##V3_BDPV12</stp>
        <stp>912827YM Govt</stp>
        <stp>CPN</stp>
        <stp>[TREASURY.xlsx]Sheet1!R945C3</stp>
        <tr r="C945" s="1"/>
      </tp>
      <tp>
        <v>0.28063752806723274</v>
        <stp/>
        <stp>##V3_BDPV12</stp>
        <stp>912810EM Govt</stp>
        <stp>YLD_YTM_BID</stp>
        <stp>[TREASURY.xlsx]Sheet1!R304C4</stp>
        <tr r="D304" s="1"/>
      </tp>
      <tp>
        <v>4.25</v>
        <stp/>
        <stp>##V3_BDPV12</stp>
        <stp>912828HH Govt</stp>
        <stp>CPN</stp>
        <stp>[TREASURY.xlsx]Sheet1!R470C3</stp>
        <tr r="C470" s="1"/>
      </tp>
      <tp>
        <v>3.25</v>
        <stp/>
        <stp>##V3_BDPV12</stp>
        <stp>912828HL Govt</stp>
        <stp>CPN</stp>
        <stp>[TREASURY.xlsx]Sheet1!R424C3</stp>
        <tr r="C424" s="1"/>
      </tp>
      <tp>
        <v>2.25</v>
        <stp/>
        <stp>##V3_BDPV12</stp>
        <stp>912828QA Govt</stp>
        <stp>CPN</stp>
        <stp>[TREASURY.xlsx]Sheet1!R509C3</stp>
        <tr r="C509" s="1"/>
      </tp>
      <tp>
        <v>4.75</v>
        <stp/>
        <stp>##V3_BDPV12</stp>
        <stp>912828GJ Govt</stp>
        <stp>CPN</stp>
        <stp>[TREASURY.xlsx]Sheet1!R802C3</stp>
        <tr r="C802" s="1"/>
      </tp>
      <tp>
        <v>13.625</v>
        <stp/>
        <stp>##V3_BDPV12</stp>
        <stp>912827LM Govt</stp>
        <stp>CPN</stp>
        <stp>[TREASURY.xlsx]Sheet1!R715C3</stp>
        <tr r="C715" s="1"/>
      </tp>
      <tp>
        <v>13.25</v>
        <stp/>
        <stp>##V3_BDPV12</stp>
        <stp>912827LN Govt</stp>
        <stp>CPN</stp>
        <stp>[TREASURY.xlsx]Sheet1!R716C3</stp>
        <tr r="C716" s="1"/>
      </tp>
      <tp>
        <v>7.875</v>
        <stp/>
        <stp>##V3_BDPV12</stp>
        <stp>912827VA Govt</stp>
        <stp>CPN</stp>
        <stp>[TREASURY.xlsx]Sheet1!R759C3</stp>
        <tr r="C759" s="1"/>
      </tp>
      <tp>
        <v>9.375</v>
        <stp/>
        <stp>##V3_BDPV12</stp>
        <stp>912827XK Govt</stp>
        <stp>CPN</stp>
        <stp>[TREASURY.xlsx]Sheet1!R773C3</stp>
        <tr r="C773" s="1"/>
      </tp>
      <tp>
        <v>8.5</v>
        <stp/>
        <stp>##V3_BDPV12</stp>
        <stp>912827YN Govt</stp>
        <stp>CPN</stp>
        <stp>[TREASURY.xlsx]Sheet1!R776C3</stp>
        <tr r="C776" s="1"/>
      </tp>
      <tp>
        <v>1.2242257664307112</v>
        <stp/>
        <stp>##V3_BDPV12</stp>
        <stp>91282CBJ Govt</stp>
        <stp>YLD_YTM_BID</stp>
        <stp>[TREASURY.xlsx]Sheet1!R123C4</stp>
        <tr r="D123" s="1"/>
      </tp>
      <tp t="s">
        <v>#N/A N/A</v>
        <stp/>
        <stp>##V3_BDPV12</stp>
        <stp>912828RJ Govt</stp>
        <stp>YLD_YTM_BID</stp>
        <stp>[TREASURY.xlsx]Sheet1!R993C4</stp>
        <tr r="D993" s="1"/>
      </tp>
      <tp t="s">
        <v>#N/A N/A</v>
        <stp/>
        <stp>##V3_BDPV12</stp>
        <stp>912828PK Govt</stp>
        <stp>YLD_YTM_BID</stp>
        <stp>[TREASURY.xlsx]Sheet1!R982C4</stp>
        <tr r="D982" s="1"/>
      </tp>
      <tp t="s">
        <v>#N/A N/A</v>
        <stp/>
        <stp>##V3_BDPV12</stp>
        <stp>912827VK Govt</stp>
        <stp>YLD_YTM_BID</stp>
        <stp>[TREASURY.xlsx]Sheet1!R762C4</stp>
        <tr r="D762" s="1"/>
      </tp>
      <tp t="s">
        <v>#N/A N/A</v>
        <stp/>
        <stp>##V3_BDPV12</stp>
        <stp>912828BA Govt</stp>
        <stp>YLD_YTM_BID</stp>
        <stp>[TREASURY.xlsx]Sheet1!R408C4</stp>
        <tr r="D408" s="1"/>
      </tp>
      <tp t="s">
        <v>#N/A N/A</v>
        <stp/>
        <stp>##V3_BDPV12</stp>
        <stp>912828AN Govt</stp>
        <stp>YLD_YTM_BID</stp>
        <stp>[TREASURY.xlsx]Sheet1!R657C4</stp>
        <tr r="D657" s="1"/>
      </tp>
      <tp t="s">
        <v>#N/A N/A</v>
        <stp/>
        <stp>##V3_BDPV12</stp>
        <stp>912827WK Govt</stp>
        <stp>YLD_YTM_BID</stp>
        <stp>[TREASURY.xlsx]Sheet1!R932C4</stp>
        <tr r="D932" s="1"/>
      </tp>
      <tp t="s">
        <v>#N/A N/A</v>
        <stp/>
        <stp>##V3_BDPV12</stp>
        <stp>912828VA Govt</stp>
        <stp>YLD_YTM_BID</stp>
        <stp>[TREASURY.xlsx]Sheet1!R638C4</stp>
        <tr r="D638" s="1"/>
      </tp>
      <tp>
        <v>2.5</v>
        <stp/>
        <stp>##V3_BDPV12</stp>
        <stp>912810RK Govt</stp>
        <stp>CPN</stp>
        <stp>[TREASURY.xlsx]Sheet1!R103C3</stp>
        <tr r="C103" s="1"/>
      </tp>
      <tp t="s">
        <v>#N/A N/A</v>
        <stp/>
        <stp>##V3_BDPV12</stp>
        <stp>912827ZK Govt</stp>
        <stp>YLD_YTM_BID</stp>
        <stp>[TREASURY.xlsx]Sheet1!R952C4</stp>
        <tr r="D952" s="1"/>
      </tp>
      <tp>
        <v>0.16291143608861713</v>
        <stp/>
        <stp>##V3_BDPV12</stp>
        <stp>912828UN Govt</stp>
        <stp>YLD_YTM_BID</stp>
        <stp>[TREASURY.xlsx]Sheet1!R147C4</stp>
        <tr r="D147" s="1"/>
      </tp>
      <tp>
        <v>1.0945458878711836</v>
        <stp/>
        <stp>##V3_BDPV12</stp>
        <stp>912828ZN Govt</stp>
        <stp>YLD_YTM_BID</stp>
        <stp>[TREASURY.xlsx]Sheet1!R117C4</stp>
        <tr r="D117" s="1"/>
      </tp>
      <tp>
        <v>7.875</v>
        <stp/>
        <stp>##V3_BDPV12</stp>
        <stp>912810EH Govt</stp>
        <stp>CPN</stp>
        <stp>[TREASURY.xlsx]Sheet1!R400C3</stp>
        <tr r="C400" s="1"/>
      </tp>
      <tp t="s">
        <v>#N/A N/A</v>
        <stp/>
        <stp>##V3_BDPV12</stp>
        <stp>912828CJ Govt</stp>
        <stp>YLD_YTM_BID</stp>
        <stp>[TREASURY.xlsx]Sheet1!R393C4</stp>
        <tr r="D393" s="1"/>
      </tp>
      <tp>
        <v>11.625</v>
        <stp/>
        <stp>##V3_BDPV12</stp>
        <stp>912810DA Govt</stp>
        <stp>CPN</stp>
        <stp>[TREASURY.xlsx]Sheet1!R529C3</stp>
        <tr r="C529" s="1"/>
      </tp>
      <tp>
        <v>0.17757739242579965</v>
        <stp/>
        <stp>##V3_BDPV12</stp>
        <stp>9128284A Govt</stp>
        <stp>YLD_YTM_BID</stp>
        <stp>[TREASURY.xlsx]Sheet1!R288C4</stp>
        <tr r="D288" s="1"/>
      </tp>
      <tp t="s">
        <v>UNITED STATES</v>
        <stp/>
        <stp>##V3_BDPV12</stp>
        <stp>912827TF Govt</stp>
        <stp>COUNTRY_FULL_NAME</stp>
        <stp>[TREASURY.xlsx]Sheet1!R1399C8</stp>
        <tr r="H1399" s="1"/>
      </tp>
      <tp t="s">
        <v>UNITED STATES</v>
        <stp/>
        <stp>##V3_BDPV12</stp>
        <stp>912827YF Govt</stp>
        <stp>COUNTRY_FULL_NAME</stp>
        <stp>[TREASURY.xlsx]Sheet1!R1604C8</stp>
        <tr r="H1604" s="1"/>
      </tp>
      <tp t="s">
        <v>S/A</v>
        <stp/>
        <stp>##V3_BDPV12</stp>
        <stp>912827PM Govt</stp>
        <stp>COUPON_FREQUENCY_DESCRIPTION</stp>
        <stp>[TREASURY.xlsx]Sheet1!R1174C10</stp>
        <tr r="J1174" s="1"/>
      </tp>
      <tp t="s">
        <v>UNITED STATES</v>
        <stp/>
        <stp>##V3_BDPV12</stp>
        <stp>912827XB Govt</stp>
        <stp>COUNTRY_FULL_NAME</stp>
        <stp>[TREASURY.xlsx]Sheet1!R1595C8</stp>
        <tr r="H1595" s="1"/>
      </tp>
      <tp t="s">
        <v>S/A</v>
        <stp/>
        <stp>##V3_BDPV12</stp>
        <stp>912827PK Govt</stp>
        <stp>COUPON_FREQUENCY_DESCRIPTION</stp>
        <stp>[TREASURY.xlsx]Sheet1!R1340C10</stp>
        <tr r="J1340" s="1"/>
      </tp>
      <tp t="s">
        <v>S/A</v>
        <stp/>
        <stp>##V3_BDPV12</stp>
        <stp>912827PJ Govt</stp>
        <stp>COUPON_FREQUENCY_DESCRIPTION</stp>
        <stp>[TREASURY.xlsx]Sheet1!R1389C10</stp>
        <tr r="J1389" s="1"/>
      </tp>
      <tp t="s">
        <v>UNITED STATES</v>
        <stp/>
        <stp>##V3_BDPV12</stp>
        <stp>912827ZA Govt</stp>
        <stp>COUNTRY_FULL_NAME</stp>
        <stp>[TREASURY.xlsx]Sheet1!R1227C8</stp>
        <tr r="H1227" s="1"/>
      </tp>
      <tp t="s">
        <v>S/A</v>
        <stp/>
        <stp>##V3_BDPV12</stp>
        <stp>912828PD Govt</stp>
        <stp>COUPON_FREQUENCY_DESCRIPTION</stp>
        <stp>[TREASURY.xlsx]Sheet1!R1298C10</stp>
        <tr r="J1298" s="1"/>
      </tp>
      <tp t="s">
        <v>S/A</v>
        <stp/>
        <stp>##V3_BDPV12</stp>
        <stp>912827PG Govt</stp>
        <stp>COUPON_FREQUENCY_DESCRIPTION</stp>
        <stp>[TREASURY.xlsx]Sheet1!R1173C10</stp>
        <tr r="J1173" s="1"/>
      </tp>
      <tp t="s">
        <v>S/A</v>
        <stp/>
        <stp>##V3_BDPV12</stp>
        <stp>912828PF Govt</stp>
        <stp>COUPON_FREQUENCY_DESCRIPTION</stp>
        <stp>[TREASURY.xlsx]Sheet1!R1299C10</stp>
        <tr r="J1299" s="1"/>
      </tp>
      <tp t="s">
        <v>UNITED STATES</v>
        <stp/>
        <stp>##V3_BDPV12</stp>
        <stp>912827TL Govt</stp>
        <stp>COUNTRY_FULL_NAME</stp>
        <stp>[TREASURY.xlsx]Sheet1!R1509C8</stp>
        <tr r="H1509" s="1"/>
      </tp>
      <tp t="s">
        <v>S/A</v>
        <stp/>
        <stp>##V3_BDPV12</stp>
        <stp>912827PE Govt</stp>
        <stp>COUPON_FREQUENCY_DESCRIPTION</stp>
        <stp>[TREASURY.xlsx]Sheet1!R1054C10</stp>
        <tr r="J1054" s="1"/>
      </tp>
      <tp t="s">
        <v>UNITED STATES</v>
        <stp/>
        <stp>##V3_BDPV12</stp>
        <stp>912827XM Govt</stp>
        <stp>COUNTRY_FULL_NAME</stp>
        <stp>[TREASURY.xlsx]Sheet1!R1215C8</stp>
        <tr r="H1215" s="1"/>
      </tp>
      <tp t="s">
        <v>S/A</v>
        <stp/>
        <stp>##V3_BDPV12</stp>
        <stp>912828PA Govt</stp>
        <stp>COUPON_FREQUENCY_DESCRIPTION</stp>
        <stp>[TREASURY.xlsx]Sheet1!R1296C10</stp>
        <tr r="J1296" s="1"/>
      </tp>
      <tp t="s">
        <v>S/A</v>
        <stp/>
        <stp>##V3_BDPV12</stp>
        <stp>912828PB Govt</stp>
        <stp>COUPON_FREQUENCY_DESCRIPTION</stp>
        <stp>[TREASURY.xlsx]Sheet1!R1297C10</stp>
        <tr r="J1297" s="1"/>
      </tp>
      <tp t="s">
        <v>S/A</v>
        <stp/>
        <stp>##V3_BDPV12</stp>
        <stp>912827PA Govt</stp>
        <stp>COUPON_FREQUENCY_DESCRIPTION</stp>
        <stp>[TREASURY.xlsx]Sheet1!R1172C10</stp>
        <tr r="J1172" s="1"/>
      </tp>
      <tp t="s">
        <v>UNITED STATES</v>
        <stp/>
        <stp>##V3_BDPV12</stp>
        <stp>912827UH Govt</stp>
        <stp>COUNTRY_FULL_NAME</stp>
        <stp>[TREASURY.xlsx]Sheet1!R1078C8</stp>
        <tr r="H1078" s="1"/>
      </tp>
      <tp t="s">
        <v>S/A</v>
        <stp/>
        <stp>##V3_BDPV12</stp>
        <stp>912827PB Govt</stp>
        <stp>COUPON_FREQUENCY_DESCRIPTION</stp>
        <stp>[TREASURY.xlsx]Sheet1!R1388C10</stp>
        <tr r="J1388" s="1"/>
      </tp>
      <tp t="s">
        <v>S/A</v>
        <stp/>
        <stp>##V3_BDPV12</stp>
        <stp>912827PD Govt</stp>
        <stp>COUPON_FREQUENCY_DESCRIPTION</stp>
        <stp>[TREASURY.xlsx]Sheet1!R1569C10</stp>
        <tr r="J1569" s="1"/>
      </tp>
      <tp t="s">
        <v>S/A</v>
        <stp/>
        <stp>##V3_BDPV12</stp>
        <stp>912827PZ Govt</stp>
        <stp>COUPON_FREQUENCY_DESCRIPTION</stp>
        <stp>[TREASURY.xlsx]Sheet1!R1571C10</stp>
        <tr r="J1571" s="1"/>
      </tp>
      <tp t="s">
        <v>S/A</v>
        <stp/>
        <stp>##V3_BDPV12</stp>
        <stp>912827PY Govt</stp>
        <stp>COUPON_FREQUENCY_DESCRIPTION</stp>
        <stp>[TREASURY.xlsx]Sheet1!R1493C10</stp>
        <tr r="J1493" s="1"/>
      </tp>
      <tp t="s">
        <v>S/A</v>
        <stp/>
        <stp>##V3_BDPV12</stp>
        <stp>912827PX Govt</stp>
        <stp>COUPON_FREQUENCY_DESCRIPTION</stp>
        <stp>[TREASURY.xlsx]Sheet1!R1570C10</stp>
        <tr r="J1570" s="1"/>
      </tp>
      <tp t="s">
        <v>UNITED STATES</v>
        <stp/>
        <stp>##V3_BDPV12</stp>
        <stp>912827YU Govt</stp>
        <stp>COUNTRY_FULL_NAME</stp>
        <stp>[TREASURY.xlsx]Sheet1!R1224C8</stp>
        <tr r="H1224" s="1"/>
      </tp>
      <tp t="s">
        <v>UNITED STATES</v>
        <stp/>
        <stp>##V3_BDPV12</stp>
        <stp>912827UU Govt</stp>
        <stp>COUNTRY_FULL_NAME</stp>
        <stp>[TREASURY.xlsx]Sheet1!R1408C8</stp>
        <tr r="H1408" s="1"/>
      </tp>
      <tp t="s">
        <v>S/A</v>
        <stp/>
        <stp>##V3_BDPV12</stp>
        <stp>912828PU Govt</stp>
        <stp>COUPON_FREQUENCY_DESCRIPTION</stp>
        <stp>[TREASURY.xlsx]Sheet1!R1261C10</stp>
        <tr r="J1261" s="1"/>
      </tp>
      <tp t="s">
        <v>S/A</v>
        <stp/>
        <stp>##V3_BDPV12</stp>
        <stp>912827PT Govt</stp>
        <stp>COUPON_FREQUENCY_DESCRIPTION</stp>
        <stp>[TREASURY.xlsx]Sheet1!R1342C10</stp>
        <tr r="J1342" s="1"/>
      </tp>
      <tp t="s">
        <v>S/A</v>
        <stp/>
        <stp>##V3_BDPV12</stp>
        <stp>912828PT Govt</stp>
        <stp>COUPON_FREQUENCY_DESCRIPTION</stp>
        <stp>[TREASURY.xlsx]Sheet1!R1300C10</stp>
        <tr r="J1300" s="1"/>
      </tp>
      <tp t="s">
        <v>S/A</v>
        <stp/>
        <stp>##V3_BDPV12</stp>
        <stp>912827PU Govt</stp>
        <stp>COUPON_FREQUENCY_DESCRIPTION</stp>
        <stp>[TREASURY.xlsx]Sheet1!R1175C10</stp>
        <tr r="J1175" s="1"/>
      </tp>
      <tp t="s">
        <v>S/A</v>
        <stp/>
        <stp>##V3_BDPV12</stp>
        <stp>912827PV Govt</stp>
        <stp>COUPON_FREQUENCY_DESCRIPTION</stp>
        <stp>[TREASURY.xlsx]Sheet1!R1391C10</stp>
        <tr r="J1391" s="1"/>
      </tp>
      <tp t="s">
        <v>S/A</v>
        <stp/>
        <stp>##V3_BDPV12</stp>
        <stp>912827PS Govt</stp>
        <stp>COUPON_FREQUENCY_DESCRIPTION</stp>
        <stp>[TREASURY.xlsx]Sheet1!R1390C10</stp>
        <tr r="J1390" s="1"/>
      </tp>
      <tp t="s">
        <v>S/A</v>
        <stp/>
        <stp>##V3_BDPV12</stp>
        <stp>912828PR Govt</stp>
        <stp>COUPON_FREQUENCY_DESCRIPTION</stp>
        <stp>[TREASURY.xlsx]Sheet1!R1260C10</stp>
        <tr r="J1260" s="1"/>
      </tp>
      <tp t="s">
        <v>S/A</v>
        <stp/>
        <stp>##V3_BDPV12</stp>
        <stp>912827PR Govt</stp>
        <stp>COUPON_FREQUENCY_DESCRIPTION</stp>
        <stp>[TREASURY.xlsx]Sheet1!R1341C10</stp>
        <tr r="J1341" s="1"/>
      </tp>
      <tp t="s">
        <v>UNITED STATES</v>
        <stp/>
        <stp>##V3_BDPV12</stp>
        <stp>912828UY Govt</stp>
        <stp>COUNTRY_FULL_NAME</stp>
        <stp>[TREASURY.xlsx]Sheet1!R1138C8</stp>
        <tr r="H1138" s="1"/>
      </tp>
      <tp t="s">
        <v>UNITED STATES</v>
        <stp/>
        <stp>##V3_BDPV12</stp>
        <stp>912827X7 Govt</stp>
        <stp>COUNTRY_FULL_NAME</stp>
        <stp>[TREASURY.xlsx]Sheet1!R1095C8</stp>
        <tr r="H1095" s="1"/>
      </tp>
      <tp t="s">
        <v>S/A</v>
        <stp/>
        <stp>##V3_BDPV12</stp>
        <stp>912827P8 Govt</stp>
        <stp>COUPON_FREQUENCY_DESCRIPTION</stp>
        <stp>[TREASURY.xlsx]Sheet1!R1492C10</stp>
        <tr r="J1492" s="1"/>
      </tp>
      <tp t="s">
        <v>S/A</v>
        <stp/>
        <stp>##V3_BDPV12</stp>
        <stp>912827P9 Govt</stp>
        <stp>COUPON_FREQUENCY_DESCRIPTION</stp>
        <stp>[TREASURY.xlsx]Sheet1!R1339C10</stp>
        <tr r="J1339" s="1"/>
      </tp>
      <tp t="s">
        <v>UNITED STATES</v>
        <stp/>
        <stp>##V3_BDPV12</stp>
        <stp>912827T3 Govt</stp>
        <stp>COUNTRY_FULL_NAME</stp>
        <stp>[TREASURY.xlsx]Sheet1!R1069C8</stp>
        <tr r="H1069" s="1"/>
      </tp>
      <tp t="s">
        <v>S/A</v>
        <stp/>
        <stp>##V3_BDPV12</stp>
        <stp>912827P5 Govt</stp>
        <stp>COUPON_FREQUENCY_DESCRIPTION</stp>
        <stp>[TREASURY.xlsx]Sheet1!R1337C10</stp>
        <tr r="J1337" s="1"/>
      </tp>
      <tp t="s">
        <v>S/A</v>
        <stp/>
        <stp>##V3_BDPV12</stp>
        <stp>912828P5 Govt</stp>
        <stp>COUPON_FREQUENCY_DESCRIPTION</stp>
        <stp>[TREASURY.xlsx]Sheet1!R1259C10</stp>
        <tr r="J1259" s="1"/>
      </tp>
      <tp t="s">
        <v>S/A</v>
        <stp/>
        <stp>##V3_BDPV12</stp>
        <stp>912827P7 Govt</stp>
        <stp>COUPON_FREQUENCY_DESCRIPTION</stp>
        <stp>[TREASURY.xlsx]Sheet1!R1338C10</stp>
        <tr r="J1338" s="1"/>
      </tp>
      <tp t="s">
        <v>S/A</v>
        <stp/>
        <stp>##V3_BDPV12</stp>
        <stp>912827P6 Govt</stp>
        <stp>COUPON_FREQUENCY_DESCRIPTION</stp>
        <stp>[TREASURY.xlsx]Sheet1!R1387C10</stp>
        <tr r="J1387" s="1"/>
      </tp>
      <tp t="s">
        <v>S/A</v>
        <stp/>
        <stp>##V3_BDPV12</stp>
        <stp>912827P4 Govt</stp>
        <stp>COUPON_FREQUENCY_DESCRIPTION</stp>
        <stp>[TREASURY.xlsx]Sheet1!R1171C10</stp>
        <tr r="J1171" s="1"/>
      </tp>
      <tp t="s">
        <v>S/A</v>
        <stp/>
        <stp>##V3_BDPV12</stp>
        <stp>912827P3 Govt</stp>
        <stp>COUPON_FREQUENCY_DESCRIPTION</stp>
        <stp>[TREASURY.xlsx]Sheet1!R1386C10</stp>
        <tr r="J1386" s="1"/>
      </tp>
      <tp t="s">
        <v>UNITED STATES</v>
        <stp/>
        <stp>##V3_BDPV12</stp>
        <stp>912827U8 Govt</stp>
        <stp>COUNTRY_FULL_NAME</stp>
        <stp>[TREASURY.xlsx]Sheet1!R1198C8</stp>
        <tr r="H1198" s="1"/>
      </tp>
      <tp t="s">
        <v>5/31/2012</v>
        <stp/>
        <stp>##V3_BDPV12</stp>
        <stp>912828RU Govt</stp>
        <stp>FIRST_CPN_DT</stp>
        <stp>[TREASURY.xlsx]Sheet1!R1302C9</stp>
        <tr r="I1302" s="1"/>
      </tp>
      <tp t="s">
        <v>10/31/2012</v>
        <stp/>
        <stp>##V3_BDPV12</stp>
        <stp>912828SR Govt</stp>
        <stp>FIRST_CPN_DT</stp>
        <stp>[TREASURY.xlsx]Sheet1!R1142C9</stp>
        <tr r="I1142" s="1"/>
      </tp>
      <tp t="s">
        <v>9/15/2012</v>
        <stp/>
        <stp>##V3_BDPV12</stp>
        <stp>912828SK Govt</stp>
        <stp>FIRST_CPN_DT</stp>
        <stp>[TREASURY.xlsx]Sheet1!R1132C9</stp>
        <tr r="I1132" s="1"/>
      </tp>
      <tp t="s">
        <v>10/15/2016</v>
        <stp/>
        <stp>##V3_BDPV12</stp>
        <stp>912828Q5 Govt</stp>
        <stp>FIRST_CPN_DT</stp>
        <stp>[TREASURY.xlsx]Sheet1!R1262C9</stp>
        <tr r="I1262" s="1"/>
      </tp>
      <tp t="s">
        <v>10/15/2013</v>
        <stp/>
        <stp>##V3_BDPV12</stp>
        <stp>912828UW Govt</stp>
        <stp>FIRST_CPN_DT</stp>
        <stp>[TREASURY.xlsx]Sheet1!R1002C9</stp>
        <tr r="I1002" s="1"/>
      </tp>
      <tp t="s">
        <v>12/31/2015</v>
        <stp/>
        <stp>##V3_BDPV12</stp>
        <stp>912828XJ Govt</stp>
        <stp>FIRST_CPN_DT</stp>
        <stp>[TREASURY.xlsx]Sheet1!R1152C9</stp>
        <tr r="I1152" s="1"/>
      </tp>
      <tp t="s">
        <v>T 2 3/8 05/15/51</v>
        <stp/>
        <stp>##V3_BDPV12</stp>
        <stp>912810SX Govt</stp>
        <stp>SECURITY_NAME</stp>
        <stp>[TREASURY.xlsx]Sheet1!R8C16</stp>
        <tr r="P8" s="1"/>
      </tp>
      <tp t="s">
        <v>T 2 08/15/51</v>
        <stp/>
        <stp>##V3_BDPV12</stp>
        <stp>912810SZ Govt</stp>
        <stp>SECURITY_NAME</stp>
        <stp>[TREASURY.xlsx]Sheet1!R3C16</stp>
        <tr r="P3" s="1"/>
      </tp>
      <tp t="s">
        <v>5/31/2014</v>
        <stp/>
        <stp>##V3_BDPV12</stp>
        <stp>912828A2 Govt</stp>
        <stp>FIRST_CPN_DT</stp>
        <stp>[TREASURY.xlsx]Sheet1!R1232C9</stp>
        <tr r="I1232" s="1"/>
      </tp>
      <tp t="s">
        <v>9/30/2006</v>
        <stp/>
        <stp>##V3_BDPV12</stp>
        <stp>912828FA Govt</stp>
        <stp>FIRST_CPN_DT</stp>
        <stp>[TREASURY.xlsx]Sheet1!R1432C9</stp>
        <tr r="I1432" s="1"/>
      </tp>
      <tp t="s">
        <v>6/30/2007</v>
        <stp/>
        <stp>##V3_BDPV12</stp>
        <stp>912828GC Govt</stp>
        <stp>FIRST_CPN_DT</stp>
        <stp>[TREASURY.xlsx]Sheet1!R1282C9</stp>
        <tr r="I1282" s="1"/>
      </tp>
      <tp t="s">
        <v>7/31/2007</v>
        <stp/>
        <stp>##V3_BDPV12</stp>
        <stp>912828GE Govt</stp>
        <stp>FIRST_CPN_DT</stp>
        <stp>[TREASURY.xlsx]Sheet1!R1242C9</stp>
        <tr r="I1242" s="1"/>
      </tp>
      <tp t="s">
        <v>9/30/2005</v>
        <stp/>
        <stp>##V3_BDPV12</stp>
        <stp>912828DQ Govt</stp>
        <stp>FIRST_CPN_DT</stp>
        <stp>[TREASURY.xlsx]Sheet1!R1112C9</stp>
        <tr r="I1112" s="1"/>
      </tp>
      <tp t="s">
        <v>11/15/2005</v>
        <stp/>
        <stp>##V3_BDPV12</stp>
        <stp>912828DT Govt</stp>
        <stp>FIRST_CPN_DT</stp>
        <stp>[TREASURY.xlsx]Sheet1!R1272C9</stp>
        <tr r="I1272" s="1"/>
      </tp>
      <tp t="s">
        <v>3/31/2009</v>
        <stp/>
        <stp>##V3_BDPV12</stp>
        <stp>912828JL Govt</stp>
        <stp>FIRST_CPN_DT</stp>
        <stp>[TREASURY.xlsx]Sheet1!R1122C9</stp>
        <tr r="I1122" s="1"/>
      </tp>
      <tp t="s">
        <v>10/31/2010</v>
        <stp/>
        <stp>##V3_BDPV12</stp>
        <stp>912828NA Govt</stp>
        <stp>FIRST_CPN_DT</stp>
        <stp>[TREASURY.xlsx]Sheet1!R1292C9</stp>
        <tr r="I1292" s="1"/>
      </tp>
      <tp t="s">
        <v>5/31/2010</v>
        <stp/>
        <stp>##V3_BDPV12</stp>
        <stp>912828MA Govt</stp>
        <stp>FIRST_CPN_DT</stp>
        <stp>[TREASURY.xlsx]Sheet1!R1252C9</stp>
        <tr r="I1252" s="1"/>
      </tp>
      <tp>
        <v>0.75</v>
        <stp/>
        <stp>##V3_BDPV12</stp>
        <stp>91282CBJ Govt</stp>
        <stp>CPN</stp>
        <stp>[TREASURY.xlsx]Sheet1!R123C3</stp>
        <tr r="C123" s="1"/>
      </tp>
      <tp t="s">
        <v>#N/A N/A</v>
        <stp/>
        <stp>##V3_BDPV12</stp>
        <stp>912810DA Govt</stp>
        <stp>YLD_YTM_BID</stp>
        <stp>[TREASURY.xlsx]Sheet1!R529C4</stp>
        <tr r="D529" s="1"/>
      </tp>
      <tp>
        <v>2.625</v>
        <stp/>
        <stp>##V3_BDPV12</stp>
        <stp>9128284A Govt</stp>
        <stp>CPN</stp>
        <stp>[TREASURY.xlsx]Sheet1!R288C3</stp>
        <tr r="C288" s="1"/>
      </tp>
      <tp t="s">
        <v>#N/A N/A</v>
        <stp/>
        <stp>##V3_BDPV12</stp>
        <stp>912810EH Govt</stp>
        <stp>YLD_YTM_BID</stp>
        <stp>[TREASURY.xlsx]Sheet1!R400C4</stp>
        <tr r="D400" s="1"/>
      </tp>
      <tp>
        <v>4.75</v>
        <stp/>
        <stp>##V3_BDPV12</stp>
        <stp>912828CJ Govt</stp>
        <stp>CPN</stp>
        <stp>[TREASURY.xlsx]Sheet1!R393C3</stp>
        <tr r="C393" s="1"/>
      </tp>
      <tp>
        <v>2</v>
        <stp/>
        <stp>##V3_BDPV12</stp>
        <stp>912828UN Govt</stp>
        <stp>CPN</stp>
        <stp>[TREASURY.xlsx]Sheet1!R147C3</stp>
        <tr r="C147" s="1"/>
      </tp>
      <tp>
        <v>0.5</v>
        <stp/>
        <stp>##V3_BDPV12</stp>
        <stp>912828ZN Govt</stp>
        <stp>CPN</stp>
        <stp>[TREASURY.xlsx]Sheet1!R117C3</stp>
        <tr r="C117" s="1"/>
      </tp>
      <tp>
        <v>3</v>
        <stp/>
        <stp>##V3_BDPV12</stp>
        <stp>912828AN Govt</stp>
        <stp>CPN</stp>
        <stp>[TREASURY.xlsx]Sheet1!R657C3</stp>
        <tr r="C657" s="1"/>
      </tp>
      <tp>
        <v>1.125</v>
        <stp/>
        <stp>##V3_BDPV12</stp>
        <stp>912828VA Govt</stp>
        <stp>CPN</stp>
        <stp>[TREASURY.xlsx]Sheet1!R638C3</stp>
        <tr r="C638" s="1"/>
      </tp>
      <tp>
        <v>8.875</v>
        <stp/>
        <stp>##V3_BDPV12</stp>
        <stp>912827WK Govt</stp>
        <stp>CPN</stp>
        <stp>[TREASURY.xlsx]Sheet1!R932C3</stp>
        <tr r="C932" s="1"/>
      </tp>
      <tp>
        <v>2.0858751537730074</v>
        <stp/>
        <stp>##V3_BDPV12</stp>
        <stp>912810RK Govt</stp>
        <stp>YLD_YTM_BID</stp>
        <stp>[TREASURY.xlsx]Sheet1!R103C4</stp>
        <tr r="D103" s="1"/>
      </tp>
      <tp>
        <v>8.75</v>
        <stp/>
        <stp>##V3_BDPV12</stp>
        <stp>912827ZK Govt</stp>
        <stp>CPN</stp>
        <stp>[TREASURY.xlsx]Sheet1!R952C3</stp>
        <tr r="C952" s="1"/>
      </tp>
      <tp>
        <v>3.625</v>
        <stp/>
        <stp>##V3_BDPV12</stp>
        <stp>912828BA Govt</stp>
        <stp>CPN</stp>
        <stp>[TREASURY.xlsx]Sheet1!R408C3</stp>
        <tr r="C408" s="1"/>
      </tp>
      <tp>
        <v>9.5</v>
        <stp/>
        <stp>##V3_BDPV12</stp>
        <stp>912827VK Govt</stp>
        <stp>CPN</stp>
        <stp>[TREASURY.xlsx]Sheet1!R762C3</stp>
        <tr r="C762" s="1"/>
      </tp>
      <tp>
        <v>1</v>
        <stp/>
        <stp>##V3_BDPV12</stp>
        <stp>912828RJ Govt</stp>
        <stp>CPN</stp>
        <stp>[TREASURY.xlsx]Sheet1!R993C3</stp>
        <tr r="C993" s="1"/>
      </tp>
      <tp>
        <v>2.25</v>
        <stp/>
        <stp>##V3_BDPV12</stp>
        <stp>912828PK Govt</stp>
        <stp>CPN</stp>
        <stp>[TREASURY.xlsx]Sheet1!R982C3</stp>
        <tr r="C982" s="1"/>
      </tp>
      <tp t="s">
        <v>#N/A N/A</v>
        <stp/>
        <stp>##V3_BDPV12</stp>
        <stp>912828GJ Govt</stp>
        <stp>YLD_YTM_BID</stp>
        <stp>[TREASURY.xlsx]Sheet1!R802C4</stp>
        <tr r="D802" s="1"/>
      </tp>
      <tp t="s">
        <v>#N/A N/A</v>
        <stp/>
        <stp>##V3_BDPV12</stp>
        <stp>912827LM Govt</stp>
        <stp>YLD_YTM_BID</stp>
        <stp>[TREASURY.xlsx]Sheet1!R715C4</stp>
        <tr r="D715" s="1"/>
      </tp>
      <tp t="s">
        <v>#N/A N/A</v>
        <stp/>
        <stp>##V3_BDPV12</stp>
        <stp>912827LN Govt</stp>
        <stp>YLD_YTM_BID</stp>
        <stp>[TREASURY.xlsx]Sheet1!R716C4</stp>
        <tr r="D716" s="1"/>
      </tp>
      <tp t="s">
        <v>#N/A N/A</v>
        <stp/>
        <stp>##V3_BDPV12</stp>
        <stp>912827VA Govt</stp>
        <stp>YLD_YTM_BID</stp>
        <stp>[TREASURY.xlsx]Sheet1!R759C4</stp>
        <tr r="D759" s="1"/>
      </tp>
      <tp t="s">
        <v>#N/A N/A</v>
        <stp/>
        <stp>##V3_BDPV12</stp>
        <stp>912827YN Govt</stp>
        <stp>YLD_YTM_BID</stp>
        <stp>[TREASURY.xlsx]Sheet1!R776C4</stp>
        <tr r="D776" s="1"/>
      </tp>
      <tp t="s">
        <v>#N/A N/A</v>
        <stp/>
        <stp>##V3_BDPV12</stp>
        <stp>912827XK Govt</stp>
        <stp>YLD_YTM_BID</stp>
        <stp>[TREASURY.xlsx]Sheet1!R773C4</stp>
        <tr r="D773" s="1"/>
      </tp>
      <tp t="s">
        <v>#N/A N/A</v>
        <stp/>
        <stp>##V3_BDPV12</stp>
        <stp>912828QA Govt</stp>
        <stp>YLD_YTM_BID</stp>
        <stp>[TREASURY.xlsx]Sheet1!R509C4</stp>
        <tr r="D509" s="1"/>
      </tp>
      <tp>
        <v>7.25</v>
        <stp/>
        <stp>##V3_BDPV12</stp>
        <stp>912810EM Govt</stp>
        <stp>CPN</stp>
        <stp>[TREASURY.xlsx]Sheet1!R304C3</stp>
        <tr r="C304" s="1"/>
      </tp>
      <tp t="s">
        <v>#N/A N/A</v>
        <stp/>
        <stp>##V3_BDPV12</stp>
        <stp>912828HH Govt</stp>
        <stp>YLD_YTM_BID</stp>
        <stp>[TREASURY.xlsx]Sheet1!R470C4</stp>
        <tr r="D470" s="1"/>
      </tp>
      <tp t="s">
        <v>#N/A N/A</v>
        <stp/>
        <stp>##V3_BDPV12</stp>
        <stp>912828HL Govt</stp>
        <stp>YLD_YTM_BID</stp>
        <stp>[TREASURY.xlsx]Sheet1!R424C4</stp>
        <tr r="D424" s="1"/>
      </tp>
      <tp t="s">
        <v>#N/A N/A</v>
        <stp/>
        <stp>##V3_BDPV12</stp>
        <stp>912828BJ Govt</stp>
        <stp>YLD_YTM_BID</stp>
        <stp>[TREASURY.xlsx]Sheet1!R642C4</stp>
        <tr r="D642" s="1"/>
      </tp>
      <tp t="s">
        <v>#N/A N/A</v>
        <stp/>
        <stp>##V3_BDPV12</stp>
        <stp>912828CN Govt</stp>
        <stp>YLD_YTM_BID</stp>
        <stp>[TREASURY.xlsx]Sheet1!R696C4</stp>
        <tr r="D696" s="1"/>
      </tp>
      <tp t="s">
        <v>#N/A N/A</v>
        <stp/>
        <stp>##V3_BDPV12</stp>
        <stp>912827YM Govt</stp>
        <stp>YLD_YTM_BID</stp>
        <stp>[TREASURY.xlsx]Sheet1!R945C4</stp>
        <tr r="D945" s="1"/>
      </tp>
      <tp>
        <v>0.43167876104977959</v>
        <stp/>
        <stp>##V3_BDPV12</stp>
        <stp>912828WJ Govt</stp>
        <stp>YLD_YTM_BID</stp>
        <stp>[TREASURY.xlsx]Sheet1!R182C4</stp>
        <tr r="D182" s="1"/>
      </tp>
      <tp>
        <v>6.9953263496460943E-2</v>
        <stp/>
        <stp>##V3_BDPV12</stp>
        <stp>912828ZM Govt</stp>
        <stp>YLD_YTM_BID</stp>
        <stp>[TREASURY.xlsx]Sheet1!R175C4</stp>
        <tr r="D175" s="1"/>
      </tp>
      <tp t="s">
        <v>#N/A N/A</v>
        <stp/>
        <stp>##V3_BDPV12</stp>
        <stp>912828SH Govt</stp>
        <stp>YLD_YTM_BID</stp>
        <stp>[TREASURY.xlsx]Sheet1!R360C4</stp>
        <tr r="D360" s="1"/>
      </tp>
      <tp t="s">
        <v>#N/A N/A</v>
        <stp/>
        <stp>##V3_BDPV12</stp>
        <stp>9128287A Govt</stp>
        <stp>YLD_YTM_BID</stp>
        <stp>[TREASURY.xlsx]Sheet1!R339C4</stp>
        <tr r="D339" s="1"/>
      </tp>
      <tp t="s">
        <v>#N/A N/A</v>
        <stp/>
        <stp>##V3_BDPV12</stp>
        <stp>9128283N Govt</stp>
        <stp>YLD_YTM_BID</stp>
        <stp>[TREASURY.xlsx]Sheet1!R366C4</stp>
        <tr r="D366" s="1"/>
      </tp>
      <tp t="s">
        <v>S/A</v>
        <stp/>
        <stp>##V3_BDPV12</stp>
        <stp>912827QK Govt</stp>
        <stp>COUPON_FREQUENCY_DESCRIPTION</stp>
        <stp>[TREASURY.xlsx]Sheet1!R1496C10</stp>
        <tr r="J1496" s="1"/>
      </tp>
      <tp t="s">
        <v>S/A</v>
        <stp/>
        <stp>##V3_BDPV12</stp>
        <stp>912827QN Govt</stp>
        <stp>COUPON_FREQUENCY_DESCRIPTION</stp>
        <stp>[TREASURY.xlsx]Sheet1!R1179C10</stp>
        <tr r="J1179" s="1"/>
      </tp>
      <tp t="s">
        <v>UNITED STATES</v>
        <stp/>
        <stp>##V3_BDPV12</stp>
        <stp>912827UG Govt</stp>
        <stp>COUNTRY_FULL_NAME</stp>
        <stp>[TREASURY.xlsx]Sheet1!R1199C8</stp>
        <tr r="H1199" s="1"/>
      </tp>
      <tp t="s">
        <v>S/A</v>
        <stp/>
        <stp>##V3_BDPV12</stp>
        <stp>912828QM Govt</stp>
        <stp>COUPON_FREQUENCY_DESCRIPTION</stp>
        <stp>[TREASURY.xlsx]Sheet1!R1130C10</stp>
        <tr r="J1130" s="1"/>
      </tp>
      <tp t="s">
        <v>UNITED STATES</v>
        <stp/>
        <stp>##V3_BDPV12</stp>
        <stp>912827TD Govt</stp>
        <stp>COUNTRY_FULL_NAME</stp>
        <stp>[TREASURY.xlsx]Sheet1!R1398C8</stp>
        <tr r="H1398" s="1"/>
      </tp>
      <tp t="s">
        <v>S/A</v>
        <stp/>
        <stp>##V3_BDPV12</stp>
        <stp>912827QM Govt</stp>
        <stp>COUPON_FREQUENCY_DESCRIPTION</stp>
        <stp>[TREASURY.xlsx]Sheet1!R1058C10</stp>
        <tr r="J1058" s="1"/>
      </tp>
      <tp t="s">
        <v>S/A</v>
        <stp/>
        <stp>##V3_BDPV12</stp>
        <stp>912827QH Govt</stp>
        <stp>COUPON_FREQUENCY_DESCRIPTION</stp>
        <stp>[TREASURY.xlsx]Sheet1!R1057C10</stp>
        <tr r="J1057" s="1"/>
      </tp>
      <tp t="s">
        <v>S/A</v>
        <stp/>
        <stp>##V3_BDPV12</stp>
        <stp>912828QK Govt</stp>
        <stp>COUPON_FREQUENCY_DESCRIPTION</stp>
        <stp>[TREASURY.xlsx]Sheet1!R1263C10</stp>
        <tr r="J1263" s="1"/>
      </tp>
      <tp t="s">
        <v>UNITED STATES</v>
        <stp/>
        <stp>##V3_BDPV12</stp>
        <stp>912827XA Govt</stp>
        <stp>COUNTRY_FULL_NAME</stp>
        <stp>[TREASURY.xlsx]Sheet1!R1594C8</stp>
        <tr r="H1594" s="1"/>
      </tp>
      <tp t="s">
        <v>T 12 5/8 05/15/95</v>
        <stp/>
        <stp>##V3_BDPV12</stp>
        <stp>912810CN Govt</stp>
        <stp>SECURITY_NAME</stp>
        <stp>[TREASURY.xlsx]Sheet1!R1442C16</stp>
        <tr r="P1442" s="1"/>
      </tp>
      <tp t="s">
        <v>5/15/2051</v>
        <stp/>
        <stp>##V3_BDPV12</stp>
        <stp>912810SX Govt</stp>
        <stp>MATURITY</stp>
        <stp>[TREASURY.xlsx]Sheet1!R8C5</stp>
        <tr r="E8" s="1"/>
      </tp>
      <tp t="s">
        <v>S/A</v>
        <stp/>
        <stp>##V3_BDPV12</stp>
        <stp>912827QB Govt</stp>
        <stp>COUPON_FREQUENCY_DESCRIPTION</stp>
        <stp>[TREASURY.xlsx]Sheet1!R1574C10</stp>
        <tr r="J1574" s="1"/>
      </tp>
      <tp t="s">
        <v>T 9 1/8 05/15/99</v>
        <stp/>
        <stp>##V3_BDPV12</stp>
        <stp>912827XN Govt</stp>
        <stp>SECURITY_NAME</stp>
        <stp>[TREASURY.xlsx]Sheet1!R1598C16</stp>
        <tr r="P1598" s="1"/>
      </tp>
      <tp t="s">
        <v>S/A</v>
        <stp/>
        <stp>##V3_BDPV12</stp>
        <stp>912827QD Govt</stp>
        <stp>COUPON_FREQUENCY_DESCRIPTION</stp>
        <stp>[TREASURY.xlsx]Sheet1!R1056C10</stp>
        <tr r="J1056" s="1"/>
      </tp>
      <tp t="s">
        <v>UNITED STATES</v>
        <stp/>
        <stp>##V3_BDPV12</stp>
        <stp>912827XL Govt</stp>
        <stp>COUNTRY_FULL_NAME</stp>
        <stp>[TREASURY.xlsx]Sheet1!R1214C8</stp>
        <tr r="H1214" s="1"/>
      </tp>
      <tp t="s">
        <v>UNITED STATES</v>
        <stp/>
        <stp>##V3_BDPV12</stp>
        <stp>912827YL Govt</stp>
        <stp>COUNTRY_FULL_NAME</stp>
        <stp>[TREASURY.xlsx]Sheet1!R1605C8</stp>
        <tr r="H1605" s="1"/>
      </tp>
      <tp t="s">
        <v>T 6 1/2 02/15/90</v>
        <stp/>
        <stp>##V3_BDPV12</stp>
        <stp>912827UN Govt</stp>
        <stp>SECURITY_NAME</stp>
        <stp>[TREASURY.xlsx]Sheet1!R1406C16</stp>
        <tr r="P1406" s="1"/>
      </tp>
      <tp t="s">
        <v>T 5 1/4 08/15/03</v>
        <stp/>
        <stp>##V3_BDPV12</stp>
        <stp>9128274N Govt</stp>
        <stp>SECURITY_NAME</stp>
        <stp>[TREASURY.xlsx]Sheet1!R1462C16</stp>
        <tr r="P1462" s="1"/>
      </tp>
      <tp t="s">
        <v>T 14 1/4 11/15/91</v>
        <stp/>
        <stp>##V3_BDPV12</stp>
        <stp>912827MN Govt</stp>
        <stp>SECURITY_NAME</stp>
        <stp>[TREASURY.xlsx]Sheet1!R1326C16</stp>
        <tr r="P1326" s="1"/>
      </tp>
      <tp t="s">
        <v>T 6 1/4 03/31/99</v>
        <stp/>
        <stp>##V3_BDPV12</stp>
        <stp>9128272N Govt</stp>
        <stp>SECURITY_NAME</stp>
        <stp>[TREASURY.xlsx]Sheet1!R1352C16</stp>
        <tr r="P1352" s="1"/>
      </tp>
      <tp t="s">
        <v>S/A</v>
        <stp/>
        <stp>##V3_BDPV12</stp>
        <stp>912827QA Govt</stp>
        <stp>COUPON_FREQUENCY_DESCRIPTION</stp>
        <stp>[TREASURY.xlsx]Sheet1!R1392C10</stp>
        <tr r="J1392" s="1"/>
      </tp>
      <tp t="s">
        <v>S/A</v>
        <stp/>
        <stp>##V3_BDPV12</stp>
        <stp>912827QF Govt</stp>
        <stp>COUPON_FREQUENCY_DESCRIPTION</stp>
        <stp>[TREASURY.xlsx]Sheet1!R1495C10</stp>
        <tr r="J1495" s="1"/>
      </tp>
      <tp t="s">
        <v>T 1 7/8 04/30/14</v>
        <stp/>
        <stp>##V3_BDPV12</stp>
        <stp>912828KN Govt</stp>
        <stp>SECURITY_NAME</stp>
        <stp>[TREASURY.xlsx]Sheet1!R1250C16</stp>
        <tr r="P1250" s="1"/>
      </tp>
      <tp t="s">
        <v>T 4 7/8 07/31/11</v>
        <stp/>
        <stp>##V3_BDPV12</stp>
        <stp>912828FN Govt</stp>
        <stp>SECURITY_NAME</stp>
        <stp>[TREASURY.xlsx]Sheet1!R1275C16</stp>
        <tr r="P1275" s="1"/>
      </tp>
      <tp t="s">
        <v>S/A</v>
        <stp/>
        <stp>##V3_BDPV12</stp>
        <stp>912827QC Govt</stp>
        <stp>COUPON_FREQUENCY_DESCRIPTION</stp>
        <stp>[TREASURY.xlsx]Sheet1!R1055C10</stp>
        <tr r="J1055" s="1"/>
      </tp>
      <tp t="s">
        <v>UNITED STATES</v>
        <stp/>
        <stp>##V3_BDPV12</stp>
        <stp>912827TK Govt</stp>
        <stp>COUNTRY_FULL_NAME</stp>
        <stp>[TREASURY.xlsx]Sheet1!R1508C8</stp>
        <tr r="H1508" s="1"/>
      </tp>
      <tp t="s">
        <v>T 11 3/4 05/15/89</v>
        <stp/>
        <stp>##V3_BDPV12</stp>
        <stp>912827QN Govt</stp>
        <stp>SECURITY_NAME</stp>
        <stp>[TREASURY.xlsx]Sheet1!R1179C16</stp>
        <tr r="P1179" s="1"/>
      </tp>
      <tp t="s">
        <v>T 0 1/4 10/31/13</v>
        <stp/>
        <stp>##V3_BDPV12</stp>
        <stp>912828RN Govt</stp>
        <stp>SECURITY_NAME</stp>
        <stp>[TREASURY.xlsx]Sheet1!R1140C16</stp>
        <tr r="P1140" s="1"/>
      </tp>
      <tp t="s">
        <v>T 1 08/31/19</v>
        <stp/>
        <stp>##V3_BDPV12</stp>
        <stp>912828TN Govt</stp>
        <stp>SECURITY_NAME</stp>
        <stp>[TREASURY.xlsx]Sheet1!R1143C16</stp>
        <tr r="P1143" s="1"/>
      </tp>
      <tp t="s">
        <v>S/A</v>
        <stp/>
        <stp>##V3_BDPV12</stp>
        <stp>912828QC Govt</stp>
        <stp>COUPON_FREQUENCY_DESCRIPTION</stp>
        <stp>[TREASURY.xlsx]Sheet1!R1301C10</stp>
        <tr r="J1301" s="1"/>
      </tp>
      <tp t="s">
        <v>T 5 3/4 11/15/05</v>
        <stp/>
        <stp>##V3_BDPV12</stp>
        <stp>9128276N Govt</stp>
        <stp>SECURITY_NAME</stp>
        <stp>[TREASURY.xlsx]Sheet1!R1024C16</stp>
        <tr r="P1024" s="1"/>
      </tp>
      <tp t="s">
        <v>T 11 3/4 11/15/14</v>
        <stp/>
        <stp>##V3_BDPV12</stp>
        <stp>912810DN Govt</stp>
        <stp>SECURITY_NAME</stp>
        <stp>[TREASURY.xlsx]Sheet1!R1348C16</stp>
        <tr r="P1348" s="1"/>
      </tp>
      <tp t="s">
        <v>T 10 3/8 11/30/86</v>
        <stp/>
        <stp>##V3_BDPV12</stp>
        <stp>912827RN Govt</stp>
        <stp>SECURITY_NAME</stp>
        <stp>[TREASURY.xlsx]Sheet1!R1064C16</stp>
        <tr r="P1064" s="1"/>
      </tp>
      <tp t="s">
        <v>T 9 1/2 08/15/88</v>
        <stp/>
        <stp>##V3_BDPV12</stp>
        <stp>912827SN Govt</stp>
        <stp>SECURITY_NAME</stp>
        <stp>[TREASURY.xlsx]Sheet1!R1066C16</stp>
        <tr r="P1066" s="1"/>
      </tp>
      <tp t="s">
        <v>T 6 5/8 04/30/88</v>
        <stp/>
        <stp>##V3_BDPV12</stp>
        <stp>912827TN Govt</stp>
        <stp>SECURITY_NAME</stp>
        <stp>[TREASURY.xlsx]Sheet1!R1074C16</stp>
        <tr r="P1074" s="1"/>
      </tp>
      <tp t="s">
        <v>T 11 5/8 08/31/84</v>
        <stp/>
        <stp>##V3_BDPV12</stp>
        <stp>912827NN Govt</stp>
        <stp>SECURITY_NAME</stp>
        <stp>[TREASURY.xlsx]Sheet1!R1051C16</stp>
        <tr r="P1051" s="1"/>
      </tp>
      <tp t="s">
        <v>T 9 1/4 08/15/98</v>
        <stp/>
        <stp>##V3_BDPV12</stp>
        <stp>912827WN Govt</stp>
        <stp>SECURITY_NAME</stp>
        <stp>[TREASURY.xlsx]Sheet1!R1092C16</stp>
        <tr r="P1092" s="1"/>
      </tp>
      <tp t="s">
        <v>S/A</v>
        <stp/>
        <stp>##V3_BDPV12</stp>
        <stp>912827QZ Govt</stp>
        <stp>COUPON_FREQUENCY_DESCRIPTION</stp>
        <stp>[TREASURY.xlsx]Sheet1!R1576C10</stp>
        <tr r="J1576" s="1"/>
      </tp>
      <tp t="s">
        <v>S/A</v>
        <stp/>
        <stp>##V3_BDPV12</stp>
        <stp>912827QX Govt</stp>
        <stp>COUPON_FREQUENCY_DESCRIPTION</stp>
        <stp>[TREASURY.xlsx]Sheet1!R1575C10</stp>
        <tr r="J1575" s="1"/>
      </tp>
      <tp t="s">
        <v>S/A</v>
        <stp/>
        <stp>##V3_BDPV12</stp>
        <stp>912827QY Govt</stp>
        <stp>COUPON_FREQUENCY_DESCRIPTION</stp>
        <stp>[TREASURY.xlsx]Sheet1!R1395C10</stp>
        <tr r="J1395" s="1"/>
      </tp>
      <tp t="s">
        <v>UNITED STATES</v>
        <stp/>
        <stp>##V3_BDPV12</stp>
        <stp>912827UQ Govt</stp>
        <stp>COUNTRY_FULL_NAME</stp>
        <stp>[TREASURY.xlsx]Sheet1!R1079C8</stp>
        <tr r="H1079" s="1"/>
      </tp>
      <tp t="s">
        <v>S/A</v>
        <stp/>
        <stp>##V3_BDPV12</stp>
        <stp>912827QW Govt</stp>
        <stp>COUPON_FREQUENCY_DESCRIPTION</stp>
        <stp>[TREASURY.xlsx]Sheet1!R1394C10</stp>
        <tr r="J1394" s="1"/>
      </tp>
      <tp t="s">
        <v>S/A</v>
        <stp/>
        <stp>##V3_BDPV12</stp>
        <stp>912827QT Govt</stp>
        <stp>COUPON_FREQUENCY_DESCRIPTION</stp>
        <stp>[TREASURY.xlsx]Sheet1!R1059C10</stp>
        <tr r="J1059" s="1"/>
      </tp>
      <tp t="s">
        <v>S/A</v>
        <stp/>
        <stp>##V3_BDPV12</stp>
        <stp>912827QV Govt</stp>
        <stp>COUPON_FREQUENCY_DESCRIPTION</stp>
        <stp>[TREASURY.xlsx]Sheet1!R1498C10</stp>
        <tr r="J1498" s="1"/>
      </tp>
      <tp t="s">
        <v>UNITED STATES</v>
        <stp/>
        <stp>##V3_BDPV12</stp>
        <stp>912827UZ Govt</stp>
        <stp>COUNTRY_FULL_NAME</stp>
        <stp>[TREASURY.xlsx]Sheet1!R1409C8</stp>
        <tr r="H1409" s="1"/>
      </tp>
      <tp t="s">
        <v>S/A</v>
        <stp/>
        <stp>##V3_BDPV12</stp>
        <stp>912827QS Govt</stp>
        <stp>COUPON_FREQUENCY_DESCRIPTION</stp>
        <stp>[TREASURY.xlsx]Sheet1!R1393C10</stp>
        <tr r="J1393" s="1"/>
      </tp>
      <tp t="s">
        <v>S/A</v>
        <stp/>
        <stp>##V3_BDPV12</stp>
        <stp>912827QQ Govt</stp>
        <stp>COUPON_FREQUENCY_DESCRIPTION</stp>
        <stp>[TREASURY.xlsx]Sheet1!R1180C10</stp>
        <tr r="J1180" s="1"/>
      </tp>
      <tp t="s">
        <v>S/A</v>
        <stp/>
        <stp>##V3_BDPV12</stp>
        <stp>912827QU Govt</stp>
        <stp>COUPON_FREQUENCY_DESCRIPTION</stp>
        <stp>[TREASURY.xlsx]Sheet1!R1497C10</stp>
        <tr r="J1497" s="1"/>
      </tp>
      <tp t="s">
        <v>UNITED STATES</v>
        <stp/>
        <stp>##V3_BDPV12</stp>
        <stp>912827Z6 Govt</stp>
        <stp>COUNTRY_FULL_NAME</stp>
        <stp>[TREASURY.xlsx]Sheet1!R1226C8</stp>
        <tr r="H1226" s="1"/>
      </tp>
      <tp t="s">
        <v>S/A</v>
        <stp/>
        <stp>##V3_BDPV12</stp>
        <stp>912827Q9 Govt</stp>
        <stp>COUPON_FREQUENCY_DESCRIPTION</stp>
        <stp>[TREASURY.xlsx]Sheet1!R1573C10</stp>
        <tr r="J1573" s="1"/>
      </tp>
      <tp t="s">
        <v>S/A</v>
        <stp/>
        <stp>##V3_BDPV12</stp>
        <stp>912827Q8 Govt</stp>
        <stp>COUPON_FREQUENCY_DESCRIPTION</stp>
        <stp>[TREASURY.xlsx]Sheet1!R1572C10</stp>
        <tr r="J1572" s="1"/>
      </tp>
      <tp t="s">
        <v>UNITED STATES</v>
        <stp/>
        <stp>##V3_BDPV12</stp>
        <stp>912827X3 Govt</stp>
        <stp>COUNTRY_FULL_NAME</stp>
        <stp>[TREASURY.xlsx]Sheet1!R1094C8</stp>
        <tr r="H1094" s="1"/>
      </tp>
      <tp t="s">
        <v>S/A</v>
        <stp/>
        <stp>##V3_BDPV12</stp>
        <stp>912827Q7 Govt</stp>
        <stp>COUPON_FREQUENCY_DESCRIPTION</stp>
        <stp>[TREASURY.xlsx]Sheet1!R1178C10</stp>
        <tr r="J1178" s="1"/>
      </tp>
      <tp t="s">
        <v>S/A</v>
        <stp/>
        <stp>##V3_BDPV12</stp>
        <stp>912827Q3 Govt</stp>
        <stp>COUPON_FREQUENCY_DESCRIPTION</stp>
        <stp>[TREASURY.xlsx]Sheet1!R1494C10</stp>
        <tr r="J1494" s="1"/>
      </tp>
      <tp t="s">
        <v>S/A</v>
        <stp/>
        <stp>##V3_BDPV12</stp>
        <stp>912828Q5 Govt</stp>
        <stp>COUPON_FREQUENCY_DESCRIPTION</stp>
        <stp>[TREASURY.xlsx]Sheet1!R1262C10</stp>
        <tr r="J1262" s="1"/>
      </tp>
      <tp t="s">
        <v>S/A</v>
        <stp/>
        <stp>##V3_BDPV12</stp>
        <stp>912827Q4 Govt</stp>
        <stp>COUPON_FREQUENCY_DESCRIPTION</stp>
        <stp>[TREASURY.xlsx]Sheet1!R1177C10</stp>
        <tr r="J1177" s="1"/>
      </tp>
      <tp t="s">
        <v>S/A</v>
        <stp/>
        <stp>##V3_BDPV12</stp>
        <stp>912827Q6 Govt</stp>
        <stp>COUPON_FREQUENCY_DESCRIPTION</stp>
        <stp>[TREASURY.xlsx]Sheet1!R1343C10</stp>
        <tr r="J1343" s="1"/>
      </tp>
      <tp t="s">
        <v>S/A</v>
        <stp/>
        <stp>##V3_BDPV12</stp>
        <stp>912827Q2 Govt</stp>
        <stp>COUPON_FREQUENCY_DESCRIPTION</stp>
        <stp>[TREASURY.xlsx]Sheet1!R1176C10</stp>
        <tr r="J1176" s="1"/>
      </tp>
      <tp t="s">
        <v>6/30/2012</v>
        <stp/>
        <stp>##V3_BDPV12</stp>
        <stp>912828RW Govt</stp>
        <stp>FIRST_CPN_DT</stp>
        <stp>[TREASURY.xlsx]Sheet1!R1303C9</stp>
        <tr r="I1303" s="1"/>
      </tp>
      <tp t="s">
        <v>11/30/2012</v>
        <stp/>
        <stp>##V3_BDPV12</stp>
        <stp>912828SY Govt</stp>
        <stp>FIRST_CPN_DT</stp>
        <stp>[TREASURY.xlsx]Sheet1!R1133C9</stp>
        <tr r="I1133" s="1"/>
      </tp>
      <tp t="s">
        <v>8/31/2011</v>
        <stp/>
        <stp>##V3_BDPV12</stp>
        <stp>912828QK Govt</stp>
        <stp>FIRST_CPN_DT</stp>
        <stp>[TREASURY.xlsx]Sheet1!R1263C9</stp>
        <tr r="I1263" s="1"/>
      </tp>
      <tp t="s">
        <v>2/28/2014</v>
        <stp/>
        <stp>##V3_BDPV12</stp>
        <stp>912828VU Govt</stp>
        <stp>FIRST_CPN_DT</stp>
        <stp>[TREASURY.xlsx]Sheet1!R1003C9</stp>
        <tr r="I1003" s="1"/>
      </tp>
      <tp t="s">
        <v>2/28/2013</v>
        <stp/>
        <stp>##V3_BDPV12</stp>
        <stp>912828TN Govt</stp>
        <stp>FIRST_CPN_DT</stp>
        <stp>[TREASURY.xlsx]Sheet1!R1143C9</stp>
        <tr r="I1143" s="1"/>
      </tp>
      <tp>
        <v>2.0852926397312017</v>
        <stp/>
        <stp>##V3_BDPV12</stp>
        <stp>912810SX Govt</stp>
        <stp>YLD_YTM_BID</stp>
        <stp>[TREASURY.xlsx]Sheet1!R8C4</stp>
        <tr r="D8" s="1"/>
      </tp>
      <tp t="s">
        <v>6/15/2014</v>
        <stp/>
        <stp>##V3_BDPV12</stp>
        <stp>912828A5 Govt</stp>
        <stp>FIRST_CPN_DT</stp>
        <stp>[TREASURY.xlsx]Sheet1!R1233C9</stp>
        <tr r="I1233" s="1"/>
      </tp>
      <tp t="s">
        <v>6/30/2007</v>
        <stp/>
        <stp>##V3_BDPV12</stp>
        <stp>912828GB Govt</stp>
        <stp>FIRST_CPN_DT</stp>
        <stp>[TREASURY.xlsx]Sheet1!R1433C9</stp>
        <tr r="I1433" s="1"/>
      </tp>
      <tp t="s">
        <v>1/15/2006</v>
        <stp/>
        <stp>##V3_BDPV12</stp>
        <stp>912828DZ Govt</stp>
        <stp>FIRST_CPN_DT</stp>
        <stp>[TREASURY.xlsx]Sheet1!R1273C9</stp>
        <tr r="I1273" s="1"/>
      </tp>
      <tp t="s">
        <v>1/31/2006</v>
        <stp/>
        <stp>##V3_BDPV12</stp>
        <stp>912828EB Govt</stp>
        <stp>FIRST_CPN_DT</stp>
        <stp>[TREASURY.xlsx]Sheet1!R1113C9</stp>
        <tr r="I1113" s="1"/>
      </tp>
      <tp t="s">
        <v>9/30/2009</v>
        <stp/>
        <stp>##V3_BDPV12</stp>
        <stp>912828KH Govt</stp>
        <stp>FIRST_CPN_DT</stp>
        <stp>[TREASURY.xlsx]Sheet1!R1123C9</stp>
        <tr r="I1123" s="1"/>
      </tp>
      <tp t="s">
        <v>2/29/2008</v>
        <stp/>
        <stp>##V3_BDPV12</stp>
        <stp>912828HC Govt</stp>
        <stp>FIRST_CPN_DT</stp>
        <stp>[TREASURY.xlsx]Sheet1!R1283C9</stp>
        <tr r="I1283" s="1"/>
      </tp>
      <tp t="s">
        <v>8/15/2015</v>
        <stp/>
        <stp>##V3_BDPV12</stp>
        <stp>912828H9 Govt</stp>
        <stp>FIRST_CPN_DT</stp>
        <stp>[TREASURY.xlsx]Sheet1!R1243C9</stp>
        <tr r="I1243" s="1"/>
      </tp>
      <tp t="s">
        <v>1/31/2011</v>
        <stp/>
        <stp>##V3_BDPV12</stp>
        <stp>912828NQ Govt</stp>
        <stp>FIRST_CPN_DT</stp>
        <stp>[TREASURY.xlsx]Sheet1!R1293C9</stp>
        <tr r="I1293" s="1"/>
      </tp>
      <tp t="s">
        <v>6/30/2010</v>
        <stp/>
        <stp>##V3_BDPV12</stp>
        <stp>912828ML Govt</stp>
        <stp>FIRST_CPN_DT</stp>
        <stp>[TREASURY.xlsx]Sheet1!R1253C9</stp>
        <tr r="I1253" s="1"/>
      </tp>
      <tp>
        <v>2.875</v>
        <stp/>
        <stp>##V3_BDPV12</stp>
        <stp>9128284V Govt</stp>
        <stp>CPN</stp>
        <stp>[TREASURY.xlsx]Sheet1!R23C3</stp>
        <tr r="C23" s="1"/>
      </tp>
      <tp>
        <v>2.125</v>
        <stp/>
        <stp>##V3_BDPV12</stp>
        <stp>9128286U Govt</stp>
        <stp>CPN</stp>
        <stp>[TREASURY.xlsx]Sheet1!R233C3</stp>
        <tr r="C233" s="1"/>
      </tp>
      <tp t="s">
        <v>#N/A N/A</v>
        <stp/>
        <stp>##V3_BDPV12</stp>
        <stp>912810DU Govt</stp>
        <stp>YLD_YTM_BID</stp>
        <stp>[TREASURY.xlsx]Sheet1!R432C4</stp>
        <tr r="D432" s="1"/>
      </tp>
      <tp>
        <v>3.625</v>
        <stp/>
        <stp>##V3_BDPV12</stp>
        <stp>912828MP Govt</stp>
        <stp>CPN</stp>
        <stp>[TREASURY.xlsx]Sheet1!R386C3</stp>
        <tr r="C386" s="1"/>
      </tp>
      <tp t="s">
        <v>#N/A N/A</v>
        <stp/>
        <stp>##V3_BDPV12</stp>
        <stp>912810DS Govt</stp>
        <stp>YLD_YTM_BID</stp>
        <stp>[TREASURY.xlsx]Sheet1!R454C4</stp>
        <tr r="D454" s="1"/>
      </tp>
      <tp>
        <v>0.75</v>
        <stp/>
        <stp>##V3_BDPV12</stp>
        <stp>912828TW Govt</stp>
        <stp>CPN</stp>
        <stp>[TREASURY.xlsx]Sheet1!R361C3</stp>
        <tr r="C361" s="1"/>
      </tp>
      <tp>
        <v>1.625</v>
        <stp/>
        <stp>##V3_BDPV12</stp>
        <stp>912828YW Govt</stp>
        <stp>CPN</stp>
        <stp>[TREASURY.xlsx]Sheet1!R141C3</stp>
        <tr r="C141" s="1"/>
      </tp>
      <tp>
        <v>0.25</v>
        <stp/>
        <stp>##V3_BDPV12</stp>
        <stp>912828ZW Govt</stp>
        <stp>CPN</stp>
        <stp>[TREASURY.xlsx]Sheet1!R101C3</stp>
        <tr r="C101" s="1"/>
      </tp>
      <tp>
        <v>4.125</v>
        <stp/>
        <stp>##V3_BDPV12</stp>
        <stp>912828DV Govt</stp>
        <stp>CPN</stp>
        <stp>[TREASURY.xlsx]Sheet1!R620C3</stp>
        <tr r="C620" s="1"/>
      </tp>
      <tp>
        <v>4.5</v>
        <stp/>
        <stp>##V3_BDPV12</stp>
        <stp>912828GS Govt</stp>
        <stp>CPN</stp>
        <stp>[TREASURY.xlsx]Sheet1!R615C3</stp>
        <tr r="C615" s="1"/>
      </tp>
      <tp>
        <v>4.375</v>
        <stp/>
        <stp>##V3_BDPV12</stp>
        <stp>912828ER Govt</stp>
        <stp>CPN</stp>
        <stp>[TREASURY.xlsx]Sheet1!R604C3</stp>
        <tr r="C604" s="1"/>
      </tp>
      <tp>
        <v>1.625</v>
        <stp/>
        <stp>##V3_BDPV12</stp>
        <stp>912828AS Govt</stp>
        <stp>CPN</stp>
        <stp>[TREASURY.xlsx]Sheet1!R785C3</stp>
        <tr r="C785" s="1"/>
      </tp>
      <tp>
        <v>0.27339105071736447</v>
        <stp/>
        <stp>##V3_BDPV12</stp>
        <stp>912810EP Govt</stp>
        <stp>YLD_YTM_BID</stp>
        <stp>[TREASURY.xlsx]Sheet1!R317C4</stp>
        <tr r="D317" s="1"/>
      </tp>
      <tp>
        <v>0.61520078138823953</v>
        <stp/>
        <stp>##V3_BDPV12</stp>
        <stp>912810ET Govt</stp>
        <stp>YLD_YTM_BID</stp>
        <stp>[TREASURY.xlsx]Sheet1!R313C4</stp>
        <tr r="D313" s="1"/>
      </tp>
      <tp>
        <v>4.5</v>
        <stp/>
        <stp>##V3_BDPV12</stp>
        <stp>912828GR Govt</stp>
        <stp>CPN</stp>
        <stp>[TREASURY.xlsx]Sheet1!R504C3</stp>
        <tr r="C504" s="1"/>
      </tp>
      <tp>
        <v>1.875</v>
        <stp/>
        <stp>##V3_BDPV12</stp>
        <stp>912828BU Govt</stp>
        <stp>CPN</stp>
        <stp>[TREASURY.xlsx]Sheet1!R533C3</stp>
        <tr r="C533" s="1"/>
      </tp>
      <tp>
        <v>0.25</v>
        <stp/>
        <stp>##V3_BDPV12</stp>
        <stp>912828UT Govt</stp>
        <stp>CPN</stp>
        <stp>[TREASURY.xlsx]Sheet1!R552C3</stp>
        <tr r="C552" s="1"/>
      </tp>
      <tp>
        <v>3</v>
        <stp/>
        <stp>##V3_BDPV12</stp>
        <stp>912828LP Govt</stp>
        <stp>CPN</stp>
        <stp>[TREASURY.xlsx]Sheet1!R816C3</stp>
        <tr r="C816" s="1"/>
      </tp>
      <tp>
        <v>0.875</v>
        <stp/>
        <stp>##V3_BDPV12</stp>
        <stp>912828KU Govt</stp>
        <stp>CPN</stp>
        <stp>[TREASURY.xlsx]Sheet1!R813C3</stp>
        <tr r="C813" s="1"/>
      </tp>
      <tp>
        <v>7.875</v>
        <stp/>
        <stp>##V3_BDPV12</stp>
        <stp>912827VR Govt</stp>
        <stp>CPN</stp>
        <stp>[TREASURY.xlsx]Sheet1!R764C3</stp>
        <tr r="C764" s="1"/>
      </tp>
      <tp>
        <v>8.625</v>
        <stp/>
        <stp>##V3_BDPV12</stp>
        <stp>912827KU Govt</stp>
        <stp>CPN</stp>
        <stp>[TREASURY.xlsx]Sheet1!R683C3</stp>
        <tr r="C683" s="1"/>
      </tp>
      <tp>
        <v>8.5</v>
        <stp/>
        <stp>##V3_BDPV12</stp>
        <stp>912827YR Govt</stp>
        <stp>CPN</stp>
        <stp>[TREASURY.xlsx]Sheet1!R684C3</stp>
        <tr r="C684" s="1"/>
      </tp>
      <tp>
        <v>1.1851248946877395</v>
        <stp/>
        <stp>##V3_BDPV12</stp>
        <stp>91282CAU Govt</stp>
        <stp>YLD_YTM_BID</stp>
        <stp>[TREASURY.xlsx]Sheet1!R102C4</stp>
        <tr r="D102" s="1"/>
      </tp>
      <tp t="s">
        <v>#N/A N/A</v>
        <stp/>
        <stp>##V3_BDPV12</stp>
        <stp>912828KT Govt</stp>
        <stp>YLD_YTM_BID</stp>
        <stp>[TREASURY.xlsx]Sheet1!R973C4</stp>
        <tr r="D973" s="1"/>
      </tp>
      <tp t="s">
        <v>#N/A N/A</v>
        <stp/>
        <stp>##V3_BDPV12</stp>
        <stp>912828EV Govt</stp>
        <stp>YLD_YTM_BID</stp>
        <stp>[TREASURY.xlsx]Sheet1!R841C4</stp>
        <tr r="D841" s="1"/>
      </tp>
      <tp t="s">
        <v>#N/A N/A</v>
        <stp/>
        <stp>##V3_BDPV12</stp>
        <stp>912827KV Govt</stp>
        <stp>YLD_YTM_BID</stp>
        <stp>[TREASURY.xlsx]Sheet1!R711C4</stp>
        <tr r="D711" s="1"/>
      </tp>
      <tp t="s">
        <v>#N/A N/A</v>
        <stp/>
        <stp>##V3_BDPV12</stp>
        <stp>912827UW Govt</stp>
        <stp>YLD_YTM_BID</stp>
        <stp>[TREASURY.xlsx]Sheet1!R460C4</stp>
        <tr r="D460" s="1"/>
      </tp>
      <tp t="s">
        <v>#N/A N/A</v>
        <stp/>
        <stp>##V3_BDPV12</stp>
        <stp>912828DP Govt</stp>
        <stp>YLD_YTM_BID</stp>
        <stp>[TREASURY.xlsx]Sheet1!R517C4</stp>
        <tr r="D517" s="1"/>
      </tp>
      <tp t="s">
        <v>#N/A N/A</v>
        <stp/>
        <stp>##V3_BDPV12</stp>
        <stp>912828LQ Govt</stp>
        <stp>YLD_YTM_BID</stp>
        <stp>[TREASURY.xlsx]Sheet1!R486C4</stp>
        <tr r="D486" s="1"/>
      </tp>
      <tp t="s">
        <v>#N/A N/A</v>
        <stp/>
        <stp>##V3_BDPV12</stp>
        <stp>912828RS Govt</stp>
        <stp>YLD_YTM_BID</stp>
        <stp>[TREASURY.xlsx]Sheet1!R444C4</stp>
        <tr r="D444" s="1"/>
      </tp>
      <tp t="s">
        <v>#N/A N/A</v>
        <stp/>
        <stp>##V3_BDPV12</stp>
        <stp>912827LU Govt</stp>
        <stp>YLD_YTM_BID</stp>
        <stp>[TREASURY.xlsx]Sheet1!R892C4</stp>
        <tr r="D892" s="1"/>
      </tp>
      <tp t="s">
        <v>#N/A N/A</v>
        <stp/>
        <stp>##V3_BDPV12</stp>
        <stp>912827SU Govt</stp>
        <stp>YLD_YTM_BID</stp>
        <stp>[TREASURY.xlsx]Sheet1!R832C4</stp>
        <tr r="D832" s="1"/>
      </tp>
      <tp t="s">
        <v>#N/A N/A</v>
        <stp/>
        <stp>##V3_BDPV12</stp>
        <stp>912827RW Govt</stp>
        <stp>YLD_YTM_BID</stp>
        <stp>[TREASURY.xlsx]Sheet1!R830C4</stp>
        <tr r="D830" s="1"/>
      </tp>
      <tp t="s">
        <v>#N/A N/A</v>
        <stp/>
        <stp>##V3_BDPV12</stp>
        <stp>912828HV Govt</stp>
        <stp>YLD_YTM_BID</stp>
        <stp>[TREASURY.xlsx]Sheet1!R651C4</stp>
        <tr r="D651" s="1"/>
      </tp>
      <tp t="s">
        <v>#N/A N/A</v>
        <stp/>
        <stp>##V3_BDPV12</stp>
        <stp>912827ZS Govt</stp>
        <stp>YLD_YTM_BID</stp>
        <stp>[TREASURY.xlsx]Sheet1!R954C4</stp>
        <tr r="D954" s="1"/>
      </tp>
      <tp t="s">
        <v>#N/A N/A</v>
        <stp/>
        <stp>##V3_BDPV12</stp>
        <stp>912827XP Govt</stp>
        <stp>YLD_YTM_BID</stp>
        <stp>[TREASURY.xlsx]Sheet1!R937C4</stp>
        <tr r="D937" s="1"/>
      </tp>
      <tp>
        <v>0.25907227160621832</v>
        <stp/>
        <stp>##V3_BDPV12</stp>
        <stp>912828VS Govt</stp>
        <stp>YLD_YTM_BID</stp>
        <stp>[TREASURY.xlsx]Sheet1!R134C4</stp>
        <tr r="D134" s="1"/>
      </tp>
      <tp>
        <v>0.23378063580228603</v>
        <stp/>
        <stp>##V3_BDPV12</stp>
        <stp>912828ZU Govt</stp>
        <stp>YLD_YTM_BID</stp>
        <stp>[TREASURY.xlsx]Sheet1!R162C4</stp>
        <tr r="D162" s="1"/>
      </tp>
      <tp t="s">
        <v>#N/A N/A</v>
        <stp/>
        <stp>##V3_BDPV12</stp>
        <stp>912828WW Govt</stp>
        <stp>YLD_YTM_BID</stp>
        <stp>[TREASURY.xlsx]Sheet1!R340C4</stp>
        <tr r="D340" s="1"/>
      </tp>
      <tp t="s">
        <v>#N/A N/A</v>
        <stp/>
        <stp>##V3_BDPV12</stp>
        <stp>9128284P Govt</stp>
        <stp>YLD_YTM_BID</stp>
        <stp>[TREASURY.xlsx]Sheet1!R367C4</stp>
        <tr r="D367" s="1"/>
      </tp>
      <tp>
        <v>8.8523914826192152E-2</v>
        <stp/>
        <stp>##V3_BDPV12</stp>
        <stp>912828XQ Govt</stp>
        <stp>YLD_YTM_BID</stp>
        <stp>[TREASURY.xlsx]Sheet1!R206C4</stp>
        <tr r="D206" s="1"/>
      </tp>
      <tp>
        <v>0.49777447328243629</v>
        <stp/>
        <stp>##V3_BDPV12</stp>
        <stp>9128282U Govt</stp>
        <stp>YLD_YTM_BID</stp>
        <stp>[TREASURY.xlsx]Sheet1!R252C4</stp>
        <tr r="D252" s="1"/>
      </tp>
      <tp>
        <v>0.22296713546603913</v>
        <stp/>
        <stp>##V3_BDPV12</stp>
        <stp>9128284S Govt</stp>
        <stp>YLD_YTM_BID</stp>
        <stp>[TREASURY.xlsx]Sheet1!R294C4</stp>
        <tr r="D294" s="1"/>
      </tp>
      <tp>
        <v>1.1733793868530975</v>
        <stp/>
        <stp>##V3_BDPV12</stp>
        <stp>9128283F Govt</stp>
        <stp>YLD_YTM_BID</stp>
        <stp>[TREASURY.xlsx]Sheet1!R65C4</stp>
        <tr r="D65" s="1"/>
      </tp>
      <tp t="s">
        <v>S/A</v>
        <stp/>
        <stp>##V3_BDPV12</stp>
        <stp>912827NN Govt</stp>
        <stp>COUPON_FREQUENCY_DESCRIPTION</stp>
        <stp>[TREASURY.xlsx]Sheet1!R1051C10</stp>
        <tr r="J1051" s="1"/>
      </tp>
      <tp t="s">
        <v>UNITED STATES</v>
        <stp/>
        <stp>##V3_BDPV12</stp>
        <stp>912828GF Govt</stp>
        <stp>COUNTRY_FULL_NAME</stp>
        <stp>[TREASURY.xlsx]Sheet1!R1434C8</stp>
        <tr r="H1434" s="1"/>
      </tp>
      <tp t="s">
        <v>UNITED STATES</v>
        <stp/>
        <stp>##V3_BDPV12</stp>
        <stp>912828KG Govt</stp>
        <stp>COUNTRY_FULL_NAME</stp>
        <stp>[TREASURY.xlsx]Sheet1!R1288C8</stp>
        <tr r="H1288" s="1"/>
      </tp>
      <tp t="s">
        <v>USD</v>
        <stp/>
        <stp>##V3_BDPV12</stp>
        <stp>9128283D Govt</stp>
        <stp>CRNCY</stp>
        <stp>[TREASURY.xlsx]Sheet1!R231C7</stp>
        <tr r="G231" s="1"/>
      </tp>
      <tp t="s">
        <v>USD</v>
        <stp/>
        <stp>##V3_BDPV12</stp>
        <stp>9128283Z Govt</stp>
        <stp>CRNCY</stp>
        <stp>[TREASURY.xlsx]Sheet1!R261C7</stp>
        <tr r="G261" s="1"/>
      </tp>
      <tp t="s">
        <v>USD</v>
        <stp/>
        <stp>##V3_BDPV12</stp>
        <stp>9128282J Govt</stp>
        <stp>CRNCY</stp>
        <stp>[TREASURY.xlsx]Sheet1!R611C7</stp>
        <tr r="G611" s="1"/>
      </tp>
      <tp t="s">
        <v>USD</v>
        <stp/>
        <stp>##V3_BDPV12</stp>
        <stp>9128285P Govt</stp>
        <stp>CRNCY</stp>
        <stp>[TREASURY.xlsx]Sheet1!R271C7</stp>
        <tr r="G271" s="1"/>
      </tp>
      <tp t="s">
        <v>S/A</v>
        <stp/>
        <stp>##V3_BDPV12</stp>
        <stp>912827NJ Govt</stp>
        <stp>COUPON_FREQUENCY_DESCRIPTION</stp>
        <stp>[TREASURY.xlsx]Sheet1!R1050C10</stp>
        <tr r="J1050" s="1"/>
      </tp>
      <tp t="s">
        <v>USD</v>
        <stp/>
        <stp>##V3_BDPV12</stp>
        <stp>9128284J Govt</stp>
        <stp>CRNCY</stp>
        <stp>[TREASURY.xlsx]Sheet1!R381C7</stp>
        <tr r="G381" s="1"/>
      </tp>
      <tp t="s">
        <v>USD</v>
        <stp/>
        <stp>##V3_BDPV12</stp>
        <stp>9128284Z Govt</stp>
        <stp>CRNCY</stp>
        <stp>[TREASURY.xlsx]Sheet1!R251C7</stp>
        <tr r="G251" s="1"/>
      </tp>
      <tp t="s">
        <v>#N/A N/A</v>
        <stp/>
        <stp>##V3_BDPV12</stp>
        <stp>912827SW Govt</stp>
        <stp>YLD_YTM_BID</stp>
        <stp>[TREASURY.xlsx]Sheet1!R1189C4</stp>
        <tr r="D1189" s="1"/>
      </tp>
      <tp t="s">
        <v>#N/A N/A</v>
        <stp/>
        <stp>##V3_BDPV12</stp>
        <stp>912827P9 Govt</stp>
        <stp>YLD_YTM_BID</stp>
        <stp>[TREASURY.xlsx]Sheet1!R1339C4</stp>
        <tr r="D1339" s="1"/>
      </tp>
      <tp t="s">
        <v>#N/A N/A</v>
        <stp/>
        <stp>##V3_BDPV12</stp>
        <stp>912827PJ Govt</stp>
        <stp>YLD_YTM_BID</stp>
        <stp>[TREASURY.xlsx]Sheet1!R1389C4</stp>
        <tr r="D1389" s="1"/>
      </tp>
      <tp t="s">
        <v>#N/A N/A</v>
        <stp/>
        <stp>##V3_BDPV12</stp>
        <stp>912827WP Govt</stp>
        <stp>YLD_YTM_BID</stp>
        <stp>[TREASURY.xlsx]Sheet1!R1419C4</stp>
        <tr r="D1419" s="1"/>
      </tp>
      <tp t="s">
        <v>#N/A N/A</v>
        <stp/>
        <stp>##V3_BDPV12</stp>
        <stp>912827QN Govt</stp>
        <stp>YLD_YTM_BID</stp>
        <stp>[TREASURY.xlsx]Sheet1!R1179C4</stp>
        <tr r="D1179" s="1"/>
      </tp>
      <tp t="s">
        <v>#N/A N/A</v>
        <stp/>
        <stp>##V3_BDPV12</stp>
        <stp>912827TL Govt</stp>
        <stp>YLD_YTM_BID</stp>
        <stp>[TREASURY.xlsx]Sheet1!R1509C4</stp>
        <tr r="D1509" s="1"/>
      </tp>
      <tp t="s">
        <v>#N/A N/A</v>
        <stp/>
        <stp>##V3_BDPV12</stp>
        <stp>912827QT Govt</stp>
        <stp>YLD_YTM_BID</stp>
        <stp>[TREASURY.xlsx]Sheet1!R1059C4</stp>
        <tr r="D1059" s="1"/>
      </tp>
      <tp t="s">
        <v>#N/A N/A</v>
        <stp/>
        <stp>##V3_BDPV12</stp>
        <stp>912827UZ Govt</stp>
        <stp>YLD_YTM_BID</stp>
        <stp>[TREASURY.xlsx]Sheet1!R1409C4</stp>
        <tr r="D1409" s="1"/>
      </tp>
      <tp t="s">
        <v>#N/A N/A</v>
        <stp/>
        <stp>##V3_BDPV12</stp>
        <stp>912827R4 Govt</stp>
        <stp>YLD_YTM_BID</stp>
        <stp>[TREASURY.xlsx]Sheet1!R1499C4</stp>
        <tr r="D1499" s="1"/>
      </tp>
      <tp t="s">
        <v>#N/A N/A</v>
        <stp/>
        <stp>##V3_BDPV12</stp>
        <stp>912827SK Govt</stp>
        <stp>YLD_YTM_BID</stp>
        <stp>[TREASURY.xlsx]Sheet1!R1589C4</stp>
        <tr r="D1589" s="1"/>
      </tp>
      <tp t="s">
        <v>#N/A N/A</v>
        <stp/>
        <stp>##V3_BDPV12</stp>
        <stp>912827VZ Govt</stp>
        <stp>YLD_YTM_BID</stp>
        <stp>[TREASURY.xlsx]Sheet1!R1089C4</stp>
        <tr r="D1089" s="1"/>
      </tp>
      <tp t="s">
        <v>#N/A N/A</v>
        <stp/>
        <stp>##V3_BDPV12</stp>
        <stp>912827RF Govt</stp>
        <stp>YLD_YTM_BID</stp>
        <stp>[TREASURY.xlsx]Sheet1!R1579C4</stp>
        <tr r="D1579" s="1"/>
      </tp>
      <tp t="s">
        <v>#N/A N/A</v>
        <stp/>
        <stp>##V3_BDPV12</stp>
        <stp>912827TF Govt</stp>
        <stp>YLD_YTM_BID</stp>
        <stp>[TREASURY.xlsx]Sheet1!R1399C4</stp>
        <tr r="D1399" s="1"/>
      </tp>
      <tp t="s">
        <v>#N/A N/A</v>
        <stp/>
        <stp>##V3_BDPV12</stp>
        <stp>912827T3 Govt</stp>
        <stp>YLD_YTM_BID</stp>
        <stp>[TREASURY.xlsx]Sheet1!R1069C4</stp>
        <tr r="D1069" s="1"/>
      </tp>
      <tp t="s">
        <v>#N/A N/A</v>
        <stp/>
        <stp>##V3_BDPV12</stp>
        <stp>912827UG Govt</stp>
        <stp>YLD_YTM_BID</stp>
        <stp>[TREASURY.xlsx]Sheet1!R1199C4</stp>
        <tr r="D1199" s="1"/>
      </tp>
      <tp t="s">
        <v>#N/A N/A</v>
        <stp/>
        <stp>##V3_BDPV12</stp>
        <stp>912827PD Govt</stp>
        <stp>YLD_YTM_BID</stp>
        <stp>[TREASURY.xlsx]Sheet1!R1569C4</stp>
        <tr r="D1569" s="1"/>
      </tp>
      <tp t="s">
        <v>#N/A N/A</v>
        <stp/>
        <stp>##V3_BDPV12</stp>
        <stp>912827UQ Govt</stp>
        <stp>YLD_YTM_BID</stp>
        <stp>[TREASURY.xlsx]Sheet1!R1079C4</stp>
        <tr r="D1079" s="1"/>
      </tp>
      <tp t="s">
        <v>#N/A N/A</v>
        <stp/>
        <stp>##V3_BDPV12</stp>
        <stp>912827WV Govt</stp>
        <stp>YLD_YTM_BID</stp>
        <stp>[TREASURY.xlsx]Sheet1!R1209C4</stp>
        <tr r="D1209" s="1"/>
      </tp>
      <tp t="s">
        <v>#N/A N/A</v>
        <stp/>
        <stp>##V3_BDPV12</stp>
        <stp>912827Y7 Govt</stp>
        <stp>YLD_YTM_BID</stp>
        <stp>[TREASURY.xlsx]Sheet1!R1219C4</stp>
        <tr r="D1219" s="1"/>
      </tp>
      <tp t="s">
        <v>#N/A N/A</v>
        <stp/>
        <stp>##V3_BDPV12</stp>
        <stp>912827ZF Govt</stp>
        <stp>YLD_YTM_BID</stp>
        <stp>[TREASURY.xlsx]Sheet1!R1229C4</stp>
        <tr r="D1229" s="1"/>
      </tp>
      <tp t="s">
        <v>#N/A N/A</v>
        <stp/>
        <stp>##V3_BDPV12</stp>
        <stp>912827Y6 Govt</stp>
        <stp>YLD_YTM_BID</stp>
        <stp>[TREASURY.xlsx]Sheet1!R1099C4</stp>
        <tr r="D1099" s="1"/>
      </tp>
      <tp t="s">
        <v>#N/A N/A</v>
        <stp/>
        <stp>##V3_BDPV12</stp>
        <stp>912827Z5 Govt</stp>
        <stp>YLD_YTM_BID</stp>
        <stp>[TREASURY.xlsx]Sheet1!R1609C4</stp>
        <tr r="D1609" s="1"/>
      </tp>
      <tp t="s">
        <v>#N/A N/A</v>
        <stp/>
        <stp>##V3_BDPV12</stp>
        <stp>912827XV Govt</stp>
        <stp>YLD_YTM_BID</stp>
        <stp>[TREASURY.xlsx]Sheet1!R1599C4</stp>
        <tr r="D1599" s="1"/>
      </tp>
      <tp t="s">
        <v>#N/A N/A</v>
        <stp/>
        <stp>##V3_BDPV12</stp>
        <stp>912827F4 Govt</stp>
        <stp>YLD_YTM_BID</stp>
        <stp>[TREASURY.xlsx]Sheet1!R1559C4</stp>
        <tr r="D1559" s="1"/>
      </tp>
      <tp t="s">
        <v>#N/A N/A</v>
        <stp/>
        <stp>##V3_BDPV12</stp>
        <stp>912827A2 Govt</stp>
        <stp>YLD_YTM_BID</stp>
        <stp>[TREASURY.xlsx]Sheet1!R1029C4</stp>
        <tr r="D1029" s="1"/>
      </tp>
      <tp t="s">
        <v>#N/A N/A</v>
        <stp/>
        <stp>##V3_BDPV12</stp>
        <stp>912827B3 Govt</stp>
        <stp>YLD_YTM_BID</stp>
        <stp>[TREASURY.xlsx]Sheet1!R1549C4</stp>
        <tr r="D1549" s="1"/>
      </tp>
      <tp t="s">
        <v>#N/A N/A</v>
        <stp/>
        <stp>##V3_BDPV12</stp>
        <stp>912827C2 Govt</stp>
        <stp>YLD_YTM_BID</stp>
        <stp>[TREASURY.xlsx]Sheet1!R1479C4</stp>
        <tr r="D1479" s="1"/>
      </tp>
      <tp t="s">
        <v>#N/A N/A</v>
        <stp/>
        <stp>##V3_BDPV12</stp>
        <stp>912827K5 Govt</stp>
        <stp>YLD_YTM_BID</stp>
        <stp>[TREASURY.xlsx]Sheet1!R1159C4</stp>
        <tr r="D1159" s="1"/>
      </tp>
      <tp t="s">
        <v>#N/A N/A</v>
        <stp/>
        <stp>##V3_BDPV12</stp>
        <stp>912827K3 Govt</stp>
        <stp>YLD_YTM_BID</stp>
        <stp>[TREASURY.xlsx]Sheet1!R1039C4</stp>
        <tr r="D1039" s="1"/>
      </tp>
      <tp t="s">
        <v>#N/A N/A</v>
        <stp/>
        <stp>##V3_BDPV12</stp>
        <stp>912827NF Govt</stp>
        <stp>YLD_YTM_BID</stp>
        <stp>[TREASURY.xlsx]Sheet1!R1049C4</stp>
        <tr r="D1049" s="1"/>
      </tp>
      <tp t="s">
        <v>#N/A N/A</v>
        <stp/>
        <stp>##V3_BDPV12</stp>
        <stp>912827K2 Govt</stp>
        <stp>YLD_YTM_BID</stp>
        <stp>[TREASURY.xlsx]Sheet1!R1489C4</stp>
        <tr r="D1489" s="1"/>
      </tp>
      <tp t="s">
        <v>#N/A N/A</v>
        <stp/>
        <stp>##V3_BDPV12</stp>
        <stp>912827L8 Govt</stp>
        <stp>YLD_YTM_BID</stp>
        <stp>[TREASURY.xlsx]Sheet1!R1319C4</stp>
        <tr r="D1319" s="1"/>
      </tp>
      <tp t="s">
        <v>#N/A N/A</v>
        <stp/>
        <stp>##V3_BDPV12</stp>
        <stp>912827NG Govt</stp>
        <stp>YLD_YTM_BID</stp>
        <stp>[TREASURY.xlsx]Sheet1!R1169C4</stp>
        <tr r="D1169" s="1"/>
      </tp>
      <tp t="s">
        <v>#N/A N/A</v>
        <stp/>
        <stp>##V3_BDPV12</stp>
        <stp>912827LT Govt</stp>
        <stp>YLD_YTM_BID</stp>
        <stp>[TREASURY.xlsx]Sheet1!R1379C4</stp>
        <tr r="D1379" s="1"/>
      </tp>
      <tp t="s">
        <v>#N/A N/A</v>
        <stp/>
        <stp>##V3_BDPV12</stp>
        <stp>912827N2 Govt</stp>
        <stp>YLD_YTM_BID</stp>
        <stp>[TREASURY.xlsx]Sheet1!R1329C4</stp>
        <tr r="D1329" s="1"/>
      </tp>
      <tp t="s">
        <v>#N/A N/A</v>
        <stp/>
        <stp>##V3_BDPV12</stp>
        <stp>9128272E Govt</stp>
        <stp>YLD_YTM_BID</stp>
        <stp>[TREASURY.xlsx]Sheet1!R1009C4</stp>
        <tr r="D1009" s="1"/>
      </tp>
      <tp t="s">
        <v>#N/A N/A</v>
        <stp/>
        <stp>##V3_BDPV12</stp>
        <stp>9128276X Govt</stp>
        <stp>YLD_YTM_BID</stp>
        <stp>[TREASURY.xlsx]Sheet1!R1469C4</stp>
        <tr r="D1469" s="1"/>
      </tp>
      <tp t="s">
        <v>#N/A N/A</v>
        <stp/>
        <stp>##V3_BDPV12</stp>
        <stp>9128276Q Govt</stp>
        <stp>YLD_YTM_BID</stp>
        <stp>[TREASURY.xlsx]Sheet1!R1539C4</stp>
        <tr r="D1539" s="1"/>
      </tp>
      <tp t="s">
        <v>#N/A N/A</v>
        <stp/>
        <stp>##V3_BDPV12</stp>
        <stp>9128274D Govt</stp>
        <stp>YLD_YTM_BID</stp>
        <stp>[TREASURY.xlsx]Sheet1!R1459C4</stp>
        <tr r="D1459" s="1"/>
      </tp>
      <tp t="s">
        <v>#N/A N/A</v>
        <stp/>
        <stp>##V3_BDPV12</stp>
        <stp>9128273R Govt</stp>
        <stp>YLD_YTM_BID</stp>
        <stp>[TREASURY.xlsx]Sheet1!R1359C4</stp>
        <tr r="D1359" s="1"/>
      </tp>
      <tp t="s">
        <v>#N/A N/A</v>
        <stp/>
        <stp>##V3_BDPV12</stp>
        <stp>9128272C Govt</stp>
        <stp>YLD_YTM_BID</stp>
        <stp>[TREASURY.xlsx]Sheet1!R1449C4</stp>
        <tr r="D1449" s="1"/>
      </tp>
      <tp t="s">
        <v>#N/A N/A</v>
        <stp/>
        <stp>##V3_BDPV12</stp>
        <stp>9128275G Govt</stp>
        <stp>YLD_YTM_BID</stp>
        <stp>[TREASURY.xlsx]Sheet1!R1369C4</stp>
        <tr r="D1369" s="1"/>
      </tp>
      <tp t="s">
        <v>#N/A N/A</v>
        <stp/>
        <stp>##V3_BDPV12</stp>
        <stp>9128273L Govt</stp>
        <stp>YLD_YTM_BID</stp>
        <stp>[TREASURY.xlsx]Sheet1!R1529C4</stp>
        <tr r="D1529" s="1"/>
      </tp>
      <tp t="s">
        <v>#N/A N/A</v>
        <stp/>
        <stp>##V3_BDPV12</stp>
        <stp>9128272P Govt</stp>
        <stp>YLD_YTM_BID</stp>
        <stp>[TREASURY.xlsx]Sheet1!R1519C4</stp>
        <tr r="D1519" s="1"/>
      </tp>
      <tp t="s">
        <v>#N/A N/A</v>
        <stp/>
        <stp>##V3_BDPV12</stp>
        <stp>9128275S Govt</stp>
        <stp>YLD_YTM_BID</stp>
        <stp>[TREASURY.xlsx]Sheet1!R1019C4</stp>
        <tr r="D1019" s="1"/>
      </tp>
      <tp t="s">
        <v>S/A</v>
        <stp/>
        <stp>##V3_BDPV12</stp>
        <stp>912827NH Govt</stp>
        <stp>COUPON_FREQUENCY_DESCRIPTION</stp>
        <stp>[TREASURY.xlsx]Sheet1!R1333C10</stp>
        <tr r="J1333" s="1"/>
      </tp>
      <tp t="s">
        <v>USD</v>
        <stp/>
        <stp>##V3_BDPV12</stp>
        <stp>9128286R Govt</stp>
        <stp>CRNCY</stp>
        <stp>[TREASURY.xlsx]Sheet1!R201C7</stp>
        <tr r="G201" s="1"/>
      </tp>
      <tp t="s">
        <v>USD</v>
        <stp/>
        <stp>##V3_BDPV12</stp>
        <stp>9128286Y Govt</stp>
        <stp>CRNCY</stp>
        <stp>[TREASURY.xlsx]Sheet1!R241C7</stp>
        <tr r="G241" s="1"/>
      </tp>
      <tp t="s">
        <v>S/A</v>
        <stp/>
        <stp>##V3_BDPV12</stp>
        <stp>912827NG Govt</stp>
        <stp>COUPON_FREQUENCY_DESCRIPTION</stp>
        <stp>[TREASURY.xlsx]Sheet1!R1169C10</stp>
        <tr r="J1169" s="1"/>
      </tp>
      <tp t="s">
        <v>S/A</v>
        <stp/>
        <stp>##V3_BDPV12</stp>
        <stp>912827NF Govt</stp>
        <stp>COUPON_FREQUENCY_DESCRIPTION</stp>
        <stp>[TREASURY.xlsx]Sheet1!R1049C10</stp>
        <tr r="J1049" s="1"/>
      </tp>
      <tp t="s">
        <v>S/A</v>
        <stp/>
        <stp>##V3_BDPV12</stp>
        <stp>912827NE Govt</stp>
        <stp>COUPON_FREQUENCY_DESCRIPTION</stp>
        <stp>[TREASURY.xlsx]Sheet1!R1332C10</stp>
        <tr r="J1332" s="1"/>
      </tp>
      <tp t="s">
        <v>UNITED STATES</v>
        <stp/>
        <stp>##V3_BDPV12</stp>
        <stp>912828FN Govt</stp>
        <stp>COUNTRY_FULL_NAME</stp>
        <stp>[TREASURY.xlsx]Sheet1!R1275C8</stp>
        <tr r="H1275" s="1"/>
      </tp>
      <tp t="s">
        <v>T 7 7/8 02/15/96</v>
        <stp/>
        <stp>##V3_BDPV12</stp>
        <stp>912827ZQ Govt</stp>
        <stp>SECURITY_NAME</stp>
        <stp>[TREASURY.xlsx]Sheet1!R1611C16</stp>
        <tr r="P1611" s="1"/>
      </tp>
      <tp t="s">
        <v>#N/A N/A</v>
        <stp/>
        <stp>##V3_BDPV12</stp>
        <stp>912828P5 Govt</stp>
        <stp>YLD_YTM_BID</stp>
        <stp>[TREASURY.xlsx]Sheet1!R1259C4</stp>
        <tr r="D1259" s="1"/>
      </tp>
      <tp t="s">
        <v>#N/A N/A</v>
        <stp/>
        <stp>##V3_BDPV12</stp>
        <stp>912828PF Govt</stp>
        <stp>YLD_YTM_BID</stp>
        <stp>[TREASURY.xlsx]Sheet1!R1299C4</stp>
        <tr r="D1299" s="1"/>
      </tp>
      <tp t="s">
        <v>#N/A N/A</v>
        <stp/>
        <stp>##V3_BDPV12</stp>
        <stp>912828WC Govt</stp>
        <stp>YLD_YTM_BID</stp>
        <stp>[TREASURY.xlsx]Sheet1!R1139C4</stp>
        <tr r="D1139" s="1"/>
      </tp>
      <tp t="s">
        <v>#N/A N/A</v>
        <stp/>
        <stp>##V3_BDPV12</stp>
        <stp>912828VW Govt</stp>
        <stp>YLD_YTM_BID</stp>
        <stp>[TREASURY.xlsx]Sheet1!R1149C4</stp>
        <tr r="D1149" s="1"/>
      </tp>
      <tp>
        <v>8.75</v>
        <stp/>
        <stp>##V3_BDPV12</stp>
        <stp>912810EG Govt</stp>
        <stp>CPN</stp>
        <stp>[TREASURY.xlsx]Sheet1!R1349C3</stp>
        <tr r="C1349" s="1"/>
      </tp>
      <tp>
        <v>8.25</v>
        <stp/>
        <stp>##V3_BDPV12</stp>
        <stp>912810BU Govt</stp>
        <stp>CPN</stp>
        <stp>[TREASURY.xlsx]Sheet1!R1439C3</stp>
        <tr r="C1439" s="1"/>
      </tp>
      <tp t="s">
        <v>#N/A N/A</v>
        <stp/>
        <stp>##V3_BDPV12</stp>
        <stp>912828DX Govt</stp>
        <stp>YLD_YTM_BID</stp>
        <stp>[TREASURY.xlsx]Sheet1!R1429C4</stp>
        <tr r="D1429" s="1"/>
      </tp>
      <tp>
        <v>10.375</v>
        <stp/>
        <stp>##V3_BDPV12</stp>
        <stp>912810CK Govt</stp>
        <stp>CPN</stp>
        <stp>[TREASURY.xlsx]Sheet1!R1309C3</stp>
        <tr r="C1309" s="1"/>
      </tp>
      <tp t="s">
        <v>#N/A N/A</v>
        <stp/>
        <stp>##V3_BDPV12</stp>
        <stp>912828GK Govt</stp>
        <stp>YLD_YTM_BID</stp>
        <stp>[TREASURY.xlsx]Sheet1!R1119C4</stp>
        <tr r="D1119" s="1"/>
      </tp>
      <tp t="s">
        <v>#N/A N/A</v>
        <stp/>
        <stp>##V3_BDPV12</stp>
        <stp>912828EY Govt</stp>
        <stp>YLD_YTM_BID</stp>
        <stp>[TREASURY.xlsx]Sheet1!R1239C4</stp>
        <tr r="D1239" s="1"/>
      </tp>
      <tp>
        <v>12.375</v>
        <stp/>
        <stp>##V3_BDPV12</stp>
        <stp>912810DH Govt</stp>
        <stp>CPN</stp>
        <stp>[TREASURY.xlsx]Sheet1!R1619C3</stp>
        <tr r="C1619" s="1"/>
      </tp>
      <tp t="s">
        <v>#N/A N/A</v>
        <stp/>
        <stp>##V3_BDPV12</stp>
        <stp>912828FZ Govt</stp>
        <stp>YLD_YTM_BID</stp>
        <stp>[TREASURY.xlsx]Sheet1!R1279C4</stp>
        <tr r="D1279" s="1"/>
      </tp>
      <tp t="s">
        <v>#N/A N/A</v>
        <stp/>
        <stp>##V3_BDPV12</stp>
        <stp>912828DE Govt</stp>
        <stp>YLD_YTM_BID</stp>
        <stp>[TREASURY.xlsx]Sheet1!R1109C4</stp>
        <tr r="D1109" s="1"/>
      </tp>
      <tp t="s">
        <v>#N/A N/A</v>
        <stp/>
        <stp>##V3_BDPV12</stp>
        <stp>912828KC Govt</stp>
        <stp>YLD_YTM_BID</stp>
        <stp>[TREASURY.xlsx]Sheet1!R1249C4</stp>
        <tr r="D1249" s="1"/>
      </tp>
      <tp t="s">
        <v>#N/A N/A</v>
        <stp/>
        <stp>##V3_BDPV12</stp>
        <stp>912828LC Govt</stp>
        <stp>YLD_YTM_BID</stp>
        <stp>[TREASURY.xlsx]Sheet1!R1289C4</stp>
        <tr r="D1289" s="1"/>
      </tp>
      <tp t="s">
        <v>#N/A N/A</v>
        <stp/>
        <stp>##V3_BDPV12</stp>
        <stp>912828LM Govt</stp>
        <stp>YLD_YTM_BID</stp>
        <stp>[TREASURY.xlsx]Sheet1!R1129C4</stp>
        <tr r="D1129" s="1"/>
      </tp>
      <tp t="s">
        <v>T 5 1/8 12/31/02</v>
        <stp/>
        <stp>##V3_BDPV12</stp>
        <stp>9128276Q Govt</stp>
        <stp>SECURITY_NAME</stp>
        <stp>[TREASURY.xlsx]Sheet1!R1539C16</stp>
        <tr r="P1539" s="1"/>
      </tp>
      <tp t="s">
        <v>#N/A N/A</v>
        <stp/>
        <stp>##V3_BDPV12</stp>
        <stp>9128283X Govt</stp>
        <stp>YLD_YTM_BID</stp>
        <stp>[TREASURY.xlsx]Sheet1!R1269C4</stp>
        <tr r="D1269" s="1"/>
      </tp>
      <tp t="s">
        <v>T 10 3/8 05/15/95</v>
        <stp/>
        <stp>##V3_BDPV12</stp>
        <stp>912810CQ Govt</stp>
        <stp>SECURITY_NAME</stp>
        <stp>[TREASURY.xlsx]Sheet1!R1623C16</stp>
        <tr r="P1623" s="1"/>
      </tp>
      <tp t="s">
        <v>T 12 05/15/05</v>
        <stp/>
        <stp>##V3_BDPV12</stp>
        <stp>912810DQ Govt</stp>
        <stp>SECURITY_NAME</stp>
        <stp>[TREASURY.xlsx]Sheet1!R1621C16</stp>
        <tr r="P1621" s="1"/>
      </tp>
      <tp t="s">
        <v>S/A</v>
        <stp/>
        <stp>##V3_BDPV12</stp>
        <stp>912828NF Govt</stp>
        <stp>COUPON_FREQUENCY_DESCRIPTION</stp>
        <stp>[TREASURY.xlsx]Sheet1!R1256C10</stp>
        <tr r="J1256" s="1"/>
      </tp>
      <tp t="s">
        <v>9/30/2026</v>
        <stp/>
        <stp>##V3_BDPV12</stp>
        <stp>91282CCZ Govt</stp>
        <stp>MATURITY</stp>
        <stp>[TREASURY.xlsx]Sheet1!R7C5</stp>
        <tr r="E7" s="1"/>
      </tp>
      <tp t="s">
        <v>UNITED STATES</v>
        <stp/>
        <stp>##V3_BDPV12</stp>
        <stp>912828DM Govt</stp>
        <stp>COUNTRY_FULL_NAME</stp>
        <stp>[TREASURY.xlsx]Sheet1!R1427C8</stp>
        <tr r="H1427" s="1"/>
      </tp>
      <tp t="s">
        <v>T 13 3/4 05/15/86</v>
        <stp/>
        <stp>##V3_BDPV12</stp>
        <stp>912827LQ Govt</stp>
        <stp>SECURITY_NAME</stp>
        <stp>[TREASURY.xlsx]Sheet1!R1322C16</stp>
        <tr r="P1322" s="1"/>
      </tp>
      <tp t="s">
        <v>T 5 1/8 08/31/00</v>
        <stp/>
        <stp>##V3_BDPV12</stp>
        <stp>9128274Q Govt</stp>
        <stp>SECURITY_NAME</stp>
        <stp>[TREASURY.xlsx]Sheet1!R1367C16</stp>
        <tr r="P1367" s="1"/>
      </tp>
      <tp t="s">
        <v>T 5 3/4 11/30/02</v>
        <stp/>
        <stp>##V3_BDPV12</stp>
        <stp>9128273Q Govt</stp>
        <stp>SECURITY_NAME</stp>
        <stp>[TREASURY.xlsx]Sheet1!R1358C16</stp>
        <tr r="P1358" s="1"/>
      </tp>
      <tp t="s">
        <v>S/A</v>
        <stp/>
        <stp>##V3_BDPV12</stp>
        <stp>912827NA Govt</stp>
        <stp>COUPON_FREQUENCY_DESCRIPTION</stp>
        <stp>[TREASURY.xlsx]Sheet1!R1331C10</stp>
        <tr r="J1331" s="1"/>
      </tp>
      <tp t="s">
        <v>T 8 1/2 05/15/95</v>
        <stp/>
        <stp>##V3_BDPV12</stp>
        <stp>912827YQ Govt</stp>
        <stp>SECURITY_NAME</stp>
        <stp>[TREASURY.xlsx]Sheet1!R1223C16</stp>
        <tr r="P1223" s="1"/>
      </tp>
      <tp t="s">
        <v>T 0 5/8 07/31/12</v>
        <stp/>
        <stp>##V3_BDPV12</stp>
        <stp>912828NQ Govt</stp>
        <stp>SECURITY_NAME</stp>
        <stp>[TREASURY.xlsx]Sheet1!R1293C16</stp>
        <tr r="P1293" s="1"/>
      </tp>
      <tp t="s">
        <v>T 2 7/8 01/31/13</v>
        <stp/>
        <stp>##V3_BDPV12</stp>
        <stp>912828HQ Govt</stp>
        <stp>SECURITY_NAME</stp>
        <stp>[TREASURY.xlsx]Sheet1!R1244C16</stp>
        <tr r="P1244" s="1"/>
      </tp>
      <tp t="s">
        <v>T 2 3/4 07/31/06</v>
        <stp/>
        <stp>##V3_BDPV12</stp>
        <stp>912828CQ Govt</stp>
        <stp>SECURITY_NAME</stp>
        <stp>[TREASURY.xlsx]Sheet1!R1236C16</stp>
        <tr r="P1236" s="1"/>
      </tp>
      <tp t="s">
        <v>S/A</v>
        <stp/>
        <stp>##V3_BDPV12</stp>
        <stp>912828NA Govt</stp>
        <stp>COUPON_FREQUENCY_DESCRIPTION</stp>
        <stp>[TREASURY.xlsx]Sheet1!R1292C10</stp>
        <tr r="J1292" s="1"/>
      </tp>
      <tp t="s">
        <v>UNITED STATES</v>
        <stp/>
        <stp>##V3_BDPV12</stp>
        <stp>912810DK Govt</stp>
        <stp>COUNTRY_FULL_NAME</stp>
        <stp>[TREASURY.xlsx]Sheet1!R1347C8</stp>
        <tr r="H1347" s="1"/>
      </tp>
      <tp t="s">
        <v>T 12 03/31/88</v>
        <stp/>
        <stp>##V3_BDPV12</stp>
        <stp>912827QQ Govt</stp>
        <stp>SECURITY_NAME</stp>
        <stp>[TREASURY.xlsx]Sheet1!R1180C16</stp>
        <tr r="P1180" s="1"/>
      </tp>
      <tp t="s">
        <v>T 8 7/8 08/31/87</v>
        <stp/>
        <stp>##V3_BDPV12</stp>
        <stp>912827SQ Govt</stp>
        <stp>SECURITY_NAME</stp>
        <stp>[TREASURY.xlsx]Sheet1!R1187C16</stp>
        <tr r="P1187" s="1"/>
      </tp>
      <tp t="s">
        <v>T 3 3/4 03/31/07</v>
        <stp/>
        <stp>##V3_BDPV12</stp>
        <stp>912828DQ Govt</stp>
        <stp>SECURITY_NAME</stp>
        <stp>[TREASURY.xlsx]Sheet1!R1112C16</stp>
        <tr r="P1112" s="1"/>
      </tp>
      <tp t="s">
        <v>T 5 5/8 09/30/01</v>
        <stp/>
        <stp>##V3_BDPV12</stp>
        <stp>9128275Q Govt</stp>
        <stp>SECURITY_NAME</stp>
        <stp>[TREASURY.xlsx]Sheet1!R1017C16</stp>
        <tr r="P1017" s="1"/>
      </tp>
      <tp t="s">
        <v>T 7 3/8 05/15/96</v>
        <stp/>
        <stp>##V3_BDPV12</stp>
        <stp>912827TQ Govt</stp>
        <stp>SECURITY_NAME</stp>
        <stp>[TREASURY.xlsx]Sheet1!R1075C16</stp>
        <tr r="P1075" s="1"/>
      </tp>
      <tp t="s">
        <v>T 6 5/8 05/15/92</v>
        <stp/>
        <stp>##V3_BDPV12</stp>
        <stp>912827UQ Govt</stp>
        <stp>SECURITY_NAME</stp>
        <stp>[TREASURY.xlsx]Sheet1!R1079C16</stp>
        <tr r="P1079" s="1"/>
      </tp>
      <tp t="s">
        <v>T 9 11/15/93</v>
        <stp/>
        <stp>##V3_BDPV12</stp>
        <stp>912827WQ Govt</stp>
        <stp>SECURITY_NAME</stp>
        <stp>[TREASURY.xlsx]Sheet1!R1093C16</stp>
        <tr r="P1093" s="1"/>
      </tp>
      <tp t="s">
        <v>T 8 5/8 08/15/94</v>
        <stp/>
        <stp>##V3_BDPV12</stp>
        <stp>912827XQ Govt</stp>
        <stp>SECURITY_NAME</stp>
        <stp>[TREASURY.xlsx]Sheet1!R1096C16</stp>
        <tr r="P1096" s="1"/>
      </tp>
      <tp t="s">
        <v>T 0 1/2 06/30/16</v>
        <stp/>
        <stp>##V3_BDPV12</stp>
        <stp>912828WQ Govt</stp>
        <stp>SECURITY_NAME</stp>
        <stp>[TREASURY.xlsx]Sheet1!R1006C16</stp>
        <tr r="P1006" s="1"/>
      </tp>
      <tp t="s">
        <v>S/A</v>
        <stp/>
        <stp>##V3_BDPV12</stp>
        <stp>912827NB Govt</stp>
        <stp>COUPON_FREQUENCY_DESCRIPTION</stp>
        <stp>[TREASURY.xlsx]Sheet1!R1383C10</stp>
        <tr r="J1383" s="1"/>
      </tp>
      <tp t="s">
        <v>UNITED STATES</v>
        <stp/>
        <stp>##V3_BDPV12</stp>
        <stp>912810CV Govt</stp>
        <stp>COUNTRY_FULL_NAME</stp>
        <stp>[TREASURY.xlsx]Sheet1!R1310C8</stp>
        <tr r="H1310" s="1"/>
      </tp>
      <tp t="s">
        <v>UNITED STATES</v>
        <stp/>
        <stp>##V3_BDPV12</stp>
        <stp>912827KT Govt</stp>
        <stp>COUNTRY_FULL_NAME</stp>
        <stp>[TREASURY.xlsx]Sheet1!R1318C8</stp>
        <tr r="H1318" s="1"/>
      </tp>
      <tp t="s">
        <v>UNITED STATES</v>
        <stp/>
        <stp>##V3_BDPV12</stp>
        <stp>912828DU Govt</stp>
        <stp>COUNTRY_FULL_NAME</stp>
        <stp>[TREASURY.xlsx]Sheet1!R1237C8</stp>
        <tr r="H1237" s="1"/>
      </tp>
      <tp t="s">
        <v>UNITED STATES</v>
        <stp/>
        <stp>##V3_BDPV12</stp>
        <stp>912810DR Govt</stp>
        <stp>COUNTRY_FULL_NAME</stp>
        <stp>[TREASURY.xlsx]Sheet1!R1447C8</stp>
        <tr r="H1447" s="1"/>
      </tp>
      <tp t="s">
        <v>S/A</v>
        <stp/>
        <stp>##V3_BDPV12</stp>
        <stp>912827NX Govt</stp>
        <stp>COUPON_FREQUENCY_DESCRIPTION</stp>
        <stp>[TREASURY.xlsx]Sheet1!R1385C10</stp>
        <tr r="J1385" s="1"/>
      </tp>
      <tp t="s">
        <v>S/A</v>
        <stp/>
        <stp>##V3_BDPV12</stp>
        <stp>912828NY Govt</stp>
        <stp>COUPON_FREQUENCY_DESCRIPTION</stp>
        <stp>[TREASURY.xlsx]Sheet1!R1258C10</stp>
        <tr r="J1258" s="1"/>
      </tp>
      <tp t="s">
        <v>UNITED STATES</v>
        <stp/>
        <stp>##V3_BDPV12</stp>
        <stp>912828ES Govt</stp>
        <stp>COUNTRY_FULL_NAME</stp>
        <stp>[TREASURY.xlsx]Sheet1!R1116C8</stp>
        <tr r="H1116" s="1"/>
      </tp>
      <tp t="s">
        <v>S/A</v>
        <stp/>
        <stp>##V3_BDPV12</stp>
        <stp>912828NZ Govt</stp>
        <stp>COUPON_FREQUENCY_DESCRIPTION</stp>
        <stp>[TREASURY.xlsx]Sheet1!R1295C10</stp>
        <tr r="J1295" s="1"/>
      </tp>
      <tp t="s">
        <v>S/A</v>
        <stp/>
        <stp>##V3_BDPV12</stp>
        <stp>912827NY Govt</stp>
        <stp>COUPON_FREQUENCY_DESCRIPTION</stp>
        <stp>[TREASURY.xlsx]Sheet1!R1170C10</stp>
        <tr r="J1170" s="1"/>
      </tp>
      <tp t="s">
        <v>S/A</v>
        <stp/>
        <stp>##V3_BDPV12</stp>
        <stp>912827NZ Govt</stp>
        <stp>COUPON_FREQUENCY_DESCRIPTION</stp>
        <stp>[TREASURY.xlsx]Sheet1!R1336C10</stp>
        <tr r="J1336" s="1"/>
      </tp>
      <tp t="s">
        <v>S/A</v>
        <stp/>
        <stp>##V3_BDPV12</stp>
        <stp>912827NU Govt</stp>
        <stp>COUPON_FREQUENCY_DESCRIPTION</stp>
        <stp>[TREASURY.xlsx]Sheet1!R1335C10</stp>
        <tr r="J1335" s="1"/>
      </tp>
      <tp t="s">
        <v>S/A</v>
        <stp/>
        <stp>##V3_BDPV12</stp>
        <stp>912827NT Govt</stp>
        <stp>COUPON_FREQUENCY_DESCRIPTION</stp>
        <stp>[TREASURY.xlsx]Sheet1!R1384C10</stp>
        <tr r="J1384" s="1"/>
      </tp>
      <tp t="s">
        <v>S/A</v>
        <stp/>
        <stp>##V3_BDPV12</stp>
        <stp>912827NW Govt</stp>
        <stp>COUPON_FREQUENCY_DESCRIPTION</stp>
        <stp>[TREASURY.xlsx]Sheet1!R1053C10</stp>
        <tr r="J1053" s="1"/>
      </tp>
      <tp t="s">
        <v>UNITED STATES</v>
        <stp/>
        <stp>##V3_BDPV12</stp>
        <stp>91282CCU Govt</stp>
        <stp>COUNTRY_FULL_NAME</stp>
        <stp>[TREASURY.xlsx]Sheet1!R6C8</stp>
        <tr r="H6" s="1"/>
      </tp>
      <tp t="s">
        <v>UNITED STATES</v>
        <stp/>
        <stp>##V3_BDPV12</stp>
        <stp>91282CCW Govt</stp>
        <stp>COUNTRY_FULL_NAME</stp>
        <stp>[TREASURY.xlsx]Sheet1!R4C8</stp>
        <tr r="H4" s="1"/>
      </tp>
      <tp t="s">
        <v>S/A</v>
        <stp/>
        <stp>##V3_BDPV12</stp>
        <stp>912828NW Govt</stp>
        <stp>COUPON_FREQUENCY_DESCRIPTION</stp>
        <stp>[TREASURY.xlsx]Sheet1!R1294C10</stp>
        <tr r="J1294" s="1"/>
      </tp>
      <tp t="s">
        <v>S/A</v>
        <stp/>
        <stp>##V3_BDPV12</stp>
        <stp>912827NR Govt</stp>
        <stp>COUPON_FREQUENCY_DESCRIPTION</stp>
        <stp>[TREASURY.xlsx]Sheet1!R1052C10</stp>
        <tr r="J1052" s="1"/>
      </tp>
      <tp t="s">
        <v>S/A</v>
        <stp/>
        <stp>##V3_BDPV12</stp>
        <stp>912828NQ Govt</stp>
        <stp>COUPON_FREQUENCY_DESCRIPTION</stp>
        <stp>[TREASURY.xlsx]Sheet1!R1293C10</stp>
        <tr r="J1293" s="1"/>
      </tp>
      <tp t="s">
        <v>S/A</v>
        <stp/>
        <stp>##V3_BDPV12</stp>
        <stp>912828NR Govt</stp>
        <stp>COUPON_FREQUENCY_DESCRIPTION</stp>
        <stp>[TREASURY.xlsx]Sheet1!R1257C10</stp>
        <tr r="J1257" s="1"/>
      </tp>
      <tp t="s">
        <v>S/A</v>
        <stp/>
        <stp>##V3_BDPV12</stp>
        <stp>912827NS Govt</stp>
        <stp>COUPON_FREQUENCY_DESCRIPTION</stp>
        <stp>[TREASURY.xlsx]Sheet1!R1334C10</stp>
        <tr r="J1334" s="1"/>
      </tp>
      <tp t="s">
        <v>USD</v>
        <stp/>
        <stp>##V3_BDPV12</stp>
        <stp>912828QL Govt</stp>
        <stp>CRNCY</stp>
        <stp>[TREASURY.xlsx]Sheet1!R401C7</stp>
        <tr r="G401" s="1"/>
      </tp>
      <tp t="s">
        <v>USD</v>
        <stp/>
        <stp>##V3_BDPV12</stp>
        <stp>912828QQ Govt</stp>
        <stp>CRNCY</stp>
        <stp>[TREASURY.xlsx]Sheet1!R991C7</stp>
        <tr r="G991" s="1"/>
      </tp>
      <tp t="s">
        <v>USD</v>
        <stp/>
        <stp>##V3_BDPV12</stp>
        <stp>912810PW Govt</stp>
        <stp>CRNCY</stp>
        <stp>[TREASURY.xlsx]Sheet1!R289C7</stp>
        <tr r="G289" s="1"/>
      </tp>
      <tp t="s">
        <v>USD</v>
        <stp/>
        <stp>##V3_BDPV12</stp>
        <stp>912828P9 Govt</stp>
        <stp>CRNCY</stp>
        <stp>[TREASURY.xlsx]Sheet1!R431C7</stp>
        <tr r="G431" s="1"/>
      </tp>
      <tp t="s">
        <v>USD</v>
        <stp/>
        <stp>##V3_BDPV12</stp>
        <stp>912828P2 Govt</stp>
        <stp>CRNCY</stp>
        <stp>[TREASURY.xlsx]Sheet1!R981C7</stp>
        <tr r="G981" s="1"/>
      </tp>
      <tp t="s">
        <v>USD</v>
        <stp/>
        <stp>##V3_BDPV12</stp>
        <stp>912828SL Govt</stp>
        <stp>CRNCY</stp>
        <stp>[TREASURY.xlsx]Sheet1!R511C7</stp>
        <tr r="G511" s="1"/>
      </tp>
      <tp t="s">
        <v>USD</v>
        <stp/>
        <stp>##V3_BDPV12</stp>
        <stp>912828SZ Govt</stp>
        <stp>CRNCY</stp>
        <stp>[TREASURY.xlsx]Sheet1!R551C7</stp>
        <tr r="G551" s="1"/>
      </tp>
      <tp t="s">
        <v>USD</v>
        <stp/>
        <stp>##V3_BDPV12</stp>
        <stp>912828S2 Govt</stp>
        <stp>CRNCY</stp>
        <stp>[TREASURY.xlsx]Sheet1!R391C7</stp>
        <tr r="G391" s="1"/>
      </tp>
      <tp t="s">
        <v>USD</v>
        <stp/>
        <stp>##V3_BDPV12</stp>
        <stp>912828S9 Govt</stp>
        <stp>CRNCY</stp>
        <stp>[TREASURY.xlsx]Sheet1!R301C7</stp>
        <tr r="G301" s="1"/>
      </tp>
      <tp t="s">
        <v>USD</v>
        <stp/>
        <stp>##V3_BDPV12</stp>
        <stp>912810RB Govt</stp>
        <stp>CRNCY</stp>
        <stp>[TREASURY.xlsx]Sheet1!R269C7</stp>
        <tr r="G269" s="1"/>
      </tp>
      <tp t="s">
        <v>USD</v>
        <stp/>
        <stp>##V3_BDPV12</stp>
        <stp>912810RH Govt</stp>
        <stp>CRNCY</stp>
        <stp>[TREASURY.xlsx]Sheet1!R259C7</stp>
        <tr r="G259" s="1"/>
      </tp>
      <tp t="s">
        <v>USD</v>
        <stp/>
        <stp>##V3_BDPV12</stp>
        <stp>912828UF Govt</stp>
        <stp>CRNCY</stp>
        <stp>[TREASURY.xlsx]Sheet1!R671C7</stp>
        <tr r="G671" s="1"/>
      </tp>
      <tp t="s">
        <v>USD</v>
        <stp/>
        <stp>##V3_BDPV12</stp>
        <stp>912828UQ Govt</stp>
        <stp>CRNCY</stp>
        <stp>[TREASURY.xlsx]Sheet1!R421C7</stp>
        <tr r="G421" s="1"/>
      </tp>
      <tp t="s">
        <v>USD</v>
        <stp/>
        <stp>##V3_BDPV12</stp>
        <stp>912828U3 Govt</stp>
        <stp>CRNCY</stp>
        <stp>[TREASURY.xlsx]Sheet1!R491C7</stp>
        <tr r="G491" s="1"/>
      </tp>
      <tp t="s">
        <v>USD</v>
        <stp/>
        <stp>##V3_BDPV12</stp>
        <stp>912828TW Govt</stp>
        <stp>CRNCY</stp>
        <stp>[TREASURY.xlsx]Sheet1!R361C7</stp>
        <tr r="G361" s="1"/>
      </tp>
      <tp t="s">
        <v>USD</v>
        <stp/>
        <stp>##V3_BDPV12</stp>
        <stp>912828T5 Govt</stp>
        <stp>CRNCY</stp>
        <stp>[TREASURY.xlsx]Sheet1!R631C7</stp>
        <tr r="G631" s="1"/>
      </tp>
      <tp t="s">
        <v>USD</v>
        <stp/>
        <stp>##V3_BDPV12</stp>
        <stp>912828T4 Govt</stp>
        <stp>CRNCY</stp>
        <stp>[TREASURY.xlsx]Sheet1!R871C7</stp>
        <tr r="G871" s="1"/>
      </tp>
      <tp t="s">
        <v>USD</v>
        <stp/>
        <stp>##V3_BDPV12</stp>
        <stp>912828WX Govt</stp>
        <stp>CRNCY</stp>
        <stp>[TREASURY.xlsx]Sheet1!R881C7</stp>
        <tr r="G881" s="1"/>
      </tp>
      <tp t="s">
        <v>USD</v>
        <stp/>
        <stp>##V3_BDPV12</stp>
        <stp>912828WR Govt</stp>
        <stp>CRNCY</stp>
        <stp>[TREASURY.xlsx]Sheet1!R341C7</stp>
        <tr r="G341" s="1"/>
      </tp>
      <tp t="s">
        <v>USD</v>
        <stp/>
        <stp>##V3_BDPV12</stp>
        <stp>912828W5 Govt</stp>
        <stp>CRNCY</stp>
        <stp>[TREASURY.xlsx]Sheet1!R281C7</stp>
        <tr r="G281" s="1"/>
      </tp>
      <tp t="s">
        <v>USD</v>
        <stp/>
        <stp>##V3_BDPV12</stp>
        <stp>912828W3 Govt</stp>
        <stp>CRNCY</stp>
        <stp>[TREASURY.xlsx]Sheet1!R681C7</stp>
        <tr r="G681" s="1"/>
      </tp>
      <tp t="s">
        <v>USD</v>
        <stp/>
        <stp>##V3_BDPV12</stp>
        <stp>912828W8 Govt</stp>
        <stp>CRNCY</stp>
        <stp>[TREASURY.xlsx]Sheet1!R221C7</stp>
        <tr r="G221" s="1"/>
      </tp>
      <tp t="s">
        <v>USD</v>
        <stp/>
        <stp>##V3_BDPV12</stp>
        <stp>912828YK Govt</stp>
        <stp>CRNCY</stp>
        <stp>[TREASURY.xlsx]Sheet1!R131C7</stp>
        <tr r="G131" s="1"/>
      </tp>
      <tp t="s">
        <v>USD</v>
        <stp/>
        <stp>##V3_BDPV12</stp>
        <stp>912828YW Govt</stp>
        <stp>CRNCY</stp>
        <stp>[TREASURY.xlsx]Sheet1!R141C7</stp>
        <tr r="G141" s="1"/>
      </tp>
      <tp t="s">
        <v>USD</v>
        <stp/>
        <stp>##V3_BDPV12</stp>
        <stp>912828ZD Govt</stp>
        <stp>CRNCY</stp>
        <stp>[TREASURY.xlsx]Sheet1!R121C7</stp>
        <tr r="G121" s="1"/>
      </tp>
      <tp t="s">
        <v>USD</v>
        <stp/>
        <stp>##V3_BDPV12</stp>
        <stp>912828ZW Govt</stp>
        <stp>CRNCY</stp>
        <stp>[TREASURY.xlsx]Sheet1!R101C7</stp>
        <tr r="G101" s="1"/>
      </tp>
      <tp t="s">
        <v>USD</v>
        <stp/>
        <stp>##V3_BDPV12</stp>
        <stp>912828ZS Govt</stp>
        <stp>CRNCY</stp>
        <stp>[TREASURY.xlsx]Sheet1!R171C7</stp>
        <tr r="G171" s="1"/>
      </tp>
      <tp t="s">
        <v>USD</v>
        <stp/>
        <stp>##V3_BDPV12</stp>
        <stp>912828ZX Govt</stp>
        <stp>CRNCY</stp>
        <stp>[TREASURY.xlsx]Sheet1!R111C7</stp>
        <tr r="G111" s="1"/>
      </tp>
      <tp t="s">
        <v>USD</v>
        <stp/>
        <stp>##V3_BDPV12</stp>
        <stp>912828AJ Govt</stp>
        <stp>CRNCY</stp>
        <stp>[TREASURY.xlsx]Sheet1!R531C7</stp>
        <tr r="G531" s="1"/>
      </tp>
      <tp t="s">
        <v>UNITED STATES</v>
        <stp/>
        <stp>##V3_BDPV12</stp>
        <stp>912828K6 Govt</stp>
        <stp>COUNTRY_FULL_NAME</stp>
        <stp>[TREASURY.xlsx]Sheet1!R1248C8</stp>
        <tr r="H1248" s="1"/>
      </tp>
      <tp t="s">
        <v>USD</v>
        <stp/>
        <stp>##V3_BDPV12</stp>
        <stp>912828A7 Govt</stp>
        <stp>CRNCY</stp>
        <stp>[TREASURY.xlsx]Sheet1!R481C7</stp>
        <tr r="G481" s="1"/>
      </tp>
      <tp t="s">
        <v>UNITED STATES</v>
        <stp/>
        <stp>##V3_BDPV12</stp>
        <stp>912827F7 Govt</stp>
        <stp>COUNTRY_FULL_NAME</stp>
        <stp>[TREASURY.xlsx]Sheet1!R1315C8</stp>
        <tr r="H1315" s="1"/>
      </tp>
      <tp t="s">
        <v>UNITED STATES</v>
        <stp/>
        <stp>##V3_BDPV12</stp>
        <stp>912827B7 Govt</stp>
        <stp>COUNTRY_FULL_NAME</stp>
        <stp>[TREASURY.xlsx]Sheet1!R1551C8</stp>
        <tr r="H1551" s="1"/>
      </tp>
      <tp t="s">
        <v>USD</v>
        <stp/>
        <stp>##V3_BDPV12</stp>
        <stp>912828CB Govt</stp>
        <stp>CRNCY</stp>
        <stp>[TREASURY.xlsx]Sheet1!R331C7</stp>
        <tr r="G331" s="1"/>
      </tp>
      <tp t="s">
        <v>UNITED STATES</v>
        <stp/>
        <stp>##V3_BDPV12</stp>
        <stp>912827D4 Govt</stp>
        <stp>COUNTRY_FULL_NAME</stp>
        <stp>[TREASURY.xlsx]Sheet1!R1557C8</stp>
        <tr r="H1557" s="1"/>
      </tp>
      <tp t="s">
        <v>USD</v>
        <stp/>
        <stp>##V3_BDPV12</stp>
        <stp>912828BC Govt</stp>
        <stp>CRNCY</stp>
        <stp>[TREASURY.xlsx]Sheet1!R641C7</stp>
        <tr r="G641" s="1"/>
      </tp>
      <tp t="s">
        <v>USD</v>
        <stp/>
        <stp>##V3_BDPV12</stp>
        <stp>912828BR Govt</stp>
        <stp>CRNCY</stp>
        <stp>[TREASURY.xlsx]Sheet1!R541C7</stp>
        <tr r="G541" s="1"/>
      </tp>
      <tp t="s">
        <v>USD</v>
        <stp/>
        <stp>##V3_BDPV12</stp>
        <stp>912828B8 Govt</stp>
        <stp>CRNCY</stp>
        <stp>[TREASURY.xlsx]Sheet1!R571C7</stp>
        <tr r="G571" s="1"/>
      </tp>
      <tp t="s">
        <v>USD</v>
        <stp/>
        <stp>##V3_BDPV12</stp>
        <stp>912828B9 Govt</stp>
        <stp>CRNCY</stp>
        <stp>[TREASURY.xlsx]Sheet1!R371C7</stp>
        <tr r="G371" s="1"/>
      </tp>
      <tp t="s">
        <v>USD</v>
        <stp/>
        <stp>##V3_BDPV12</stp>
        <stp>912810EN Govt</stp>
        <stp>CRNCY</stp>
        <stp>[TREASURY.xlsx]Sheet1!R319C7</stp>
        <tr r="G319" s="1"/>
      </tp>
      <tp t="s">
        <v>USD</v>
        <stp/>
        <stp>##V3_BDPV12</stp>
        <stp>912828EV Govt</stp>
        <stp>CRNCY</stp>
        <stp>[TREASURY.xlsx]Sheet1!R841C7</stp>
        <tr r="G841" s="1"/>
      </tp>
      <tp t="s">
        <v>S/A</v>
        <stp/>
        <stp>##V3_BDPV12</stp>
        <stp>912827N9 Govt</stp>
        <stp>COUPON_FREQUENCY_DESCRIPTION</stp>
        <stp>[TREASURY.xlsx]Sheet1!R1330C10</stp>
        <tr r="J1330" s="1"/>
      </tp>
      <tp t="s">
        <v>UNITED STATES</v>
        <stp/>
        <stp>##V3_BDPV12</stp>
        <stp>912827G2 Govt</stp>
        <stp>COUNTRY_FULL_NAME</stp>
        <stp>[TREASURY.xlsx]Sheet1!R1034C8</stp>
        <tr r="H1034" s="1"/>
      </tp>
      <tp t="s">
        <v>UNITED STATES</v>
        <stp/>
        <stp>##V3_BDPV12</stp>
        <stp>912828A2 Govt</stp>
        <stp>COUNTRY_FULL_NAME</stp>
        <stp>[TREASURY.xlsx]Sheet1!R1232C8</stp>
        <tr r="H1232" s="1"/>
      </tp>
      <tp t="s">
        <v>USD</v>
        <stp/>
        <stp>##V3_BDPV12</stp>
        <stp>912828DB Govt</stp>
        <stp>CRNCY</stp>
        <stp>[TREASURY.xlsx]Sheet1!R591C7</stp>
        <tr r="G591" s="1"/>
      </tp>
      <tp t="s">
        <v>USD</v>
        <stp/>
        <stp>##V3_BDPV12</stp>
        <stp>912810DA Govt</stp>
        <stp>CRNCY</stp>
        <stp>[TREASURY.xlsx]Sheet1!R529C7</stp>
        <tr r="G529" s="1"/>
      </tp>
      <tp t="s">
        <v>USD</v>
        <stp/>
        <stp>##V3_BDPV12</stp>
        <stp>912828DD Govt</stp>
        <stp>CRNCY</stp>
        <stp>[TREASURY.xlsx]Sheet1!R791C7</stp>
        <tr r="G791" s="1"/>
      </tp>
      <tp t="s">
        <v>USD</v>
        <stp/>
        <stp>##V3_BDPV12</stp>
        <stp>912810DJ Govt</stp>
        <stp>CRNCY</stp>
        <stp>[TREASURY.xlsx]Sheet1!R399C7</stp>
        <tr r="G399" s="1"/>
      </tp>
      <tp t="s">
        <v>USD</v>
        <stp/>
        <stp>##V3_BDPV12</stp>
        <stp>912810DW Govt</stp>
        <stp>CRNCY</stp>
        <stp>[TREASURY.xlsx]Sheet1!R609C7</stp>
        <tr r="G609" s="1"/>
      </tp>
      <tp t="s">
        <v>USD</v>
        <stp/>
        <stp>##V3_BDPV12</stp>
        <stp>912810DZ Govt</stp>
        <stp>CRNCY</stp>
        <stp>[TREASURY.xlsx]Sheet1!R699C7</stp>
        <tr r="G699" s="1"/>
      </tp>
      <tp t="s">
        <v>UNITED STATES</v>
        <stp/>
        <stp>##V3_BDPV12</stp>
        <stp>912827C3 Govt</stp>
        <stp>COUNTRY_FULL_NAME</stp>
        <stp>[TREASURY.xlsx]Sheet1!R1480C8</stp>
        <tr r="H1480" s="1"/>
      </tp>
      <tp t="s">
        <v>USD</v>
        <stp/>
        <stp>##V3_BDPV12</stp>
        <stp>912828D4 Govt</stp>
        <stp>CRNCY</stp>
        <stp>[TREASURY.xlsx]Sheet1!R961C7</stp>
        <tr r="G961" s="1"/>
      </tp>
      <tp t="s">
        <v>USD</v>
        <stp/>
        <stp>##V3_BDPV12</stp>
        <stp>912828GA Govt</stp>
        <stp>CRNCY</stp>
        <stp>[TREASURY.xlsx]Sheet1!R801C7</stp>
        <tr r="G801" s="1"/>
      </tp>
      <tp t="s">
        <v>USD</v>
        <stp/>
        <stp>##V3_BDPV12</stp>
        <stp>912828F6 Govt</stp>
        <stp>CRNCY</stp>
        <stp>[TREASURY.xlsx]Sheet1!R411C7</stp>
        <tr r="G411" s="1"/>
      </tp>
      <tp t="s">
        <v>USD</v>
        <stp/>
        <stp>##V3_BDPV12</stp>
        <stp>912828HV Govt</stp>
        <stp>CRNCY</stp>
        <stp>[TREASURY.xlsx]Sheet1!R651C7</stp>
        <tr r="G651" s="1"/>
      </tp>
      <tp t="s">
        <v>USD</v>
        <stp/>
        <stp>##V3_BDPV12</stp>
        <stp>912828HT Govt</stp>
        <stp>CRNCY</stp>
        <stp>[TREASURY.xlsx]Sheet1!R851C7</stp>
        <tr r="G851" s="1"/>
      </tp>
      <tp t="s">
        <v>USD</v>
        <stp/>
        <stp>##V3_BDPV12</stp>
        <stp>912828H2 Govt</stp>
        <stp>CRNCY</stp>
        <stp>[TREASURY.xlsx]Sheet1!R581C7</stp>
        <tr r="G581" s="1"/>
      </tp>
      <tp t="s">
        <v>USD</v>
        <stp/>
        <stp>##V3_BDPV12</stp>
        <stp>912828KJ Govt</stp>
        <stp>CRNCY</stp>
        <stp>[TREASURY.xlsx]Sheet1!R561C7</stp>
        <tr r="G561" s="1"/>
      </tp>
      <tp t="s">
        <v>S/A</v>
        <stp/>
        <stp>##V3_BDPV12</stp>
        <stp>912827N4 Govt</stp>
        <stp>COUPON_FREQUENCY_DESCRIPTION</stp>
        <stp>[TREASURY.xlsx]Sheet1!R1048C10</stp>
        <tr r="J1048" s="1"/>
      </tp>
      <tp t="s">
        <v>USD</v>
        <stp/>
        <stp>##V3_BDPV12</stp>
        <stp>912828JD Govt</stp>
        <stp>CRNCY</stp>
        <stp>[TREASURY.xlsx]Sheet1!R971C7</stp>
        <tr r="G971" s="1"/>
      </tp>
      <tp t="s">
        <v>USD</v>
        <stp/>
        <stp>##V3_BDPV12</stp>
        <stp>912828JT Govt</stp>
        <stp>CRNCY</stp>
        <stp>[TREASURY.xlsx]Sheet1!R471C7</stp>
        <tr r="G471" s="1"/>
      </tp>
      <tp t="s">
        <v>USD</v>
        <stp/>
        <stp>##V3_BDPV12</stp>
        <stp>912828JY Govt</stp>
        <stp>CRNCY</stp>
        <stp>[TREASURY.xlsx]Sheet1!R691C7</stp>
        <tr r="G691" s="1"/>
      </tp>
      <tp t="s">
        <v>USD</v>
        <stp/>
        <stp>##V3_BDPV12</stp>
        <stp>912828JQ Govt</stp>
        <stp>CRNCY</stp>
        <stp>[TREASURY.xlsx]Sheet1!R811C7</stp>
        <tr r="G811" s="1"/>
      </tp>
      <tp t="s">
        <v>USD</v>
        <stp/>
        <stp>##V3_BDPV12</stp>
        <stp>912828J8 Govt</stp>
        <stp>CRNCY</stp>
        <stp>[TREASURY.xlsx]Sheet1!R451C7</stp>
        <tr r="G451" s="1"/>
      </tp>
      <tp t="s">
        <v>USD</v>
        <stp/>
        <stp>##V3_BDPV12</stp>
        <stp>912828MM Govt</stp>
        <stp>CRNCY</stp>
        <stp>[TREASURY.xlsx]Sheet1!R821C7</stp>
        <tr r="G821" s="1"/>
      </tp>
      <tp t="s">
        <v>USD</v>
        <stp/>
        <stp>##V3_BDPV12</stp>
        <stp>912828MS Govt</stp>
        <stp>CRNCY</stp>
        <stp>[TREASURY.xlsx]Sheet1!R861C7</stp>
        <tr r="G861" s="1"/>
      </tp>
      <tp t="s">
        <v>USD</v>
        <stp/>
        <stp>##V3_BDPV12</stp>
        <stp>912828L5 Govt</stp>
        <stp>CRNCY</stp>
        <stp>[TREASURY.xlsx]Sheet1!R161C7</stp>
        <tr r="G161" s="1"/>
      </tp>
      <tp t="s">
        <v>UNITED STATES</v>
        <stp/>
        <stp>##V3_BDPV12</stp>
        <stp>912827A8 Govt</stp>
        <stp>COUNTRY_FULL_NAME</stp>
        <stp>[TREASURY.xlsx]Sheet1!R1032C8</stp>
        <tr r="H1032" s="1"/>
      </tp>
      <tp t="s">
        <v>UNITED STATES</v>
        <stp/>
        <stp>##V3_BDPV12</stp>
        <stp>912827G8 Govt</stp>
        <stp>COUNTRY_FULL_NAME</stp>
        <stp>[TREASURY.xlsx]Sheet1!R1374C8</stp>
        <tr r="H1374" s="1"/>
      </tp>
      <tp t="s">
        <v>USD</v>
        <stp/>
        <stp>##V3_BDPV12</stp>
        <stp>912828NT Govt</stp>
        <stp>CRNCY</stp>
        <stp>[TREASURY.xlsx]Sheet1!R351C7</stp>
        <tr r="G351" s="1"/>
      </tp>
      <tp t="s">
        <v>S/A</v>
        <stp/>
        <stp>##V3_BDPV12</stp>
        <stp>912827N2 Govt</stp>
        <stp>COUPON_FREQUENCY_DESCRIPTION</stp>
        <stp>[TREASURY.xlsx]Sheet1!R1329C10</stp>
        <tr r="J1329" s="1"/>
      </tp>
      <tp t="s">
        <v>UNITED STATES</v>
        <stp/>
        <stp>##V3_BDPV12</stp>
        <stp>912827F9 Govt</stp>
        <stp>COUNTRY_FULL_NAME</stp>
        <stp>[TREASURY.xlsx]Sheet1!R1155C8</stp>
        <tr r="H1155" s="1"/>
      </tp>
      <tp t="s">
        <v>USD</v>
        <stp/>
        <stp>##V3_BDPV12</stp>
        <stp>912828N6 Govt</stp>
        <stp>CRNCY</stp>
        <stp>[TREASURY.xlsx]Sheet1!R621C7</stp>
        <tr r="G621" s="1"/>
      </tp>
      <tp>
        <v>1.2758921679980426</v>
        <stp/>
        <stp>##V3_BDPV12</stp>
        <stp>9128284V Govt</stp>
        <stp>YLD_YTM_BID</stp>
        <stp>[TREASURY.xlsx]Sheet1!R23C4</stp>
        <tr r="D23" s="1"/>
      </tp>
      <tp>
        <v>0.5</v>
        <stp/>
        <stp>##V3_BDPV12</stp>
        <stp>91282CAU Govt</stp>
        <stp>CPN</stp>
        <stp>[TREASURY.xlsx]Sheet1!R102C3</stp>
        <tr r="C102" s="1"/>
      </tp>
      <tp>
        <v>2</v>
        <stp/>
        <stp>##V3_BDPV12</stp>
        <stp>912828XQ Govt</stp>
        <stp>CPN</stp>
        <stp>[TREASURY.xlsx]Sheet1!R206C3</stp>
        <tr r="C206" s="1"/>
      </tp>
      <tp>
        <v>1.875</v>
        <stp/>
        <stp>##V3_BDPV12</stp>
        <stp>9128282U Govt</stp>
        <stp>CPN</stp>
        <stp>[TREASURY.xlsx]Sheet1!R252C3</stp>
        <tr r="C252" s="1"/>
      </tp>
      <tp>
        <v>2.75</v>
        <stp/>
        <stp>##V3_BDPV12</stp>
        <stp>9128284S Govt</stp>
        <stp>CPN</stp>
        <stp>[TREASURY.xlsx]Sheet1!R294C3</stp>
        <tr r="C294" s="1"/>
      </tp>
      <tp>
        <v>1.625</v>
        <stp/>
        <stp>##V3_BDPV12</stp>
        <stp>912828WW Govt</stp>
        <stp>CPN</stp>
        <stp>[TREASURY.xlsx]Sheet1!R340C3</stp>
        <tr r="C340" s="1"/>
      </tp>
      <tp>
        <v>2.625</v>
        <stp/>
        <stp>##V3_BDPV12</stp>
        <stp>9128284P Govt</stp>
        <stp>CPN</stp>
        <stp>[TREASURY.xlsx]Sheet1!R367C3</stp>
        <tr r="C367" s="1"/>
      </tp>
      <tp>
        <v>2.5</v>
        <stp/>
        <stp>##V3_BDPV12</stp>
        <stp>912828VS Govt</stp>
        <stp>CPN</stp>
        <stp>[TREASURY.xlsx]Sheet1!R134C3</stp>
        <tr r="C134" s="1"/>
      </tp>
      <tp>
        <v>0.25</v>
        <stp/>
        <stp>##V3_BDPV12</stp>
        <stp>912828ZU Govt</stp>
        <stp>CPN</stp>
        <stp>[TREASURY.xlsx]Sheet1!R162C3</stp>
        <tr r="C162" s="1"/>
      </tp>
      <tp>
        <v>2.5</v>
        <stp/>
        <stp>##V3_BDPV12</stp>
        <stp>912828HV Govt</stp>
        <stp>CPN</stp>
        <stp>[TREASURY.xlsx]Sheet1!R651C3</stp>
        <tr r="C651" s="1"/>
      </tp>
      <tp>
        <v>7.625</v>
        <stp/>
        <stp>##V3_BDPV12</stp>
        <stp>912827ZS Govt</stp>
        <stp>CPN</stp>
        <stp>[TREASURY.xlsx]Sheet1!R954C3</stp>
        <tr r="C954" s="1"/>
      </tp>
      <tp>
        <v>8.75</v>
        <stp/>
        <stp>##V3_BDPV12</stp>
        <stp>912827XP Govt</stp>
        <stp>CPN</stp>
        <stp>[TREASURY.xlsx]Sheet1!R937C3</stp>
        <tr r="C937" s="1"/>
      </tp>
      <tp>
        <v>14.5</v>
        <stp/>
        <stp>##V3_BDPV12</stp>
        <stp>912827LU Govt</stp>
        <stp>CPN</stp>
        <stp>[TREASURY.xlsx]Sheet1!R892C3</stp>
        <tr r="C892" s="1"/>
      </tp>
      <tp>
        <v>11.25</v>
        <stp/>
        <stp>##V3_BDPV12</stp>
        <stp>912827RW Govt</stp>
        <stp>CPN</stp>
        <stp>[TREASURY.xlsx]Sheet1!R830C3</stp>
        <tr r="C830" s="1"/>
      </tp>
      <tp>
        <v>9.375</v>
        <stp/>
        <stp>##V3_BDPV12</stp>
        <stp>912827SU Govt</stp>
        <stp>CPN</stp>
        <stp>[TREASURY.xlsx]Sheet1!R832C3</stp>
        <tr r="C832" s="1"/>
      </tp>
      <tp>
        <v>2.375</v>
        <stp/>
        <stp>##V3_BDPV12</stp>
        <stp>912828LQ Govt</stp>
        <stp>CPN</stp>
        <stp>[TREASURY.xlsx]Sheet1!R486C3</stp>
        <tr r="C486" s="1"/>
      </tp>
      <tp>
        <v>0.25</v>
        <stp/>
        <stp>##V3_BDPV12</stp>
        <stp>912828RS Govt</stp>
        <stp>CPN</stp>
        <stp>[TREASURY.xlsx]Sheet1!R444C3</stp>
        <tr r="C444" s="1"/>
      </tp>
      <tp>
        <v>4</v>
        <stp/>
        <stp>##V3_BDPV12</stp>
        <stp>912828DP Govt</stp>
        <stp>CPN</stp>
        <stp>[TREASURY.xlsx]Sheet1!R517C3</stp>
        <tr r="C517" s="1"/>
      </tp>
      <tp>
        <v>8.5</v>
        <stp/>
        <stp>##V3_BDPV12</stp>
        <stp>912827UW Govt</stp>
        <stp>CPN</stp>
        <stp>[TREASURY.xlsx]Sheet1!R460C3</stp>
        <tr r="C460" s="1"/>
      </tp>
      <tp>
        <v>4.5</v>
        <stp/>
        <stp>##V3_BDPV12</stp>
        <stp>912828EV Govt</stp>
        <stp>CPN</stp>
        <stp>[TREASURY.xlsx]Sheet1!R841C3</stp>
        <tr r="C841" s="1"/>
      </tp>
      <tp>
        <v>8.875</v>
        <stp/>
        <stp>##V3_BDPV12</stp>
        <stp>912827KV Govt</stp>
        <stp>CPN</stp>
        <stp>[TREASURY.xlsx]Sheet1!R711C3</stp>
        <tr r="C711" s="1"/>
      </tp>
      <tp>
        <v>2.375</v>
        <stp/>
        <stp>##V3_BDPV12</stp>
        <stp>912828KT Govt</stp>
        <stp>CPN</stp>
        <stp>[TREASURY.xlsx]Sheet1!R973C3</stp>
        <tr r="C973" s="1"/>
      </tp>
      <tp t="s">
        <v>#N/A N/A</v>
        <stp/>
        <stp>##V3_BDPV12</stp>
        <stp>912827KU Govt</stp>
        <stp>YLD_YTM_BID</stp>
        <stp>[TREASURY.xlsx]Sheet1!R683C4</stp>
        <tr r="D683" s="1"/>
      </tp>
      <tp t="s">
        <v>#N/A N/A</v>
        <stp/>
        <stp>##V3_BDPV12</stp>
        <stp>912827YR Govt</stp>
        <stp>YLD_YTM_BID</stp>
        <stp>[TREASURY.xlsx]Sheet1!R684C4</stp>
        <tr r="D684" s="1"/>
      </tp>
      <tp t="s">
        <v>#N/A N/A</v>
        <stp/>
        <stp>##V3_BDPV12</stp>
        <stp>912828LP Govt</stp>
        <stp>YLD_YTM_BID</stp>
        <stp>[TREASURY.xlsx]Sheet1!R816C4</stp>
        <tr r="D816" s="1"/>
      </tp>
      <tp t="s">
        <v>#N/A N/A</v>
        <stp/>
        <stp>##V3_BDPV12</stp>
        <stp>912828KU Govt</stp>
        <stp>YLD_YTM_BID</stp>
        <stp>[TREASURY.xlsx]Sheet1!R813C4</stp>
        <tr r="D813" s="1"/>
      </tp>
      <tp t="s">
        <v>#N/A N/A</v>
        <stp/>
        <stp>##V3_BDPV12</stp>
        <stp>912827VR Govt</stp>
        <stp>YLD_YTM_BID</stp>
        <stp>[TREASURY.xlsx]Sheet1!R764C4</stp>
        <tr r="D764" s="1"/>
      </tp>
      <tp t="s">
        <v>#N/A N/A</v>
        <stp/>
        <stp>##V3_BDPV12</stp>
        <stp>912828GR Govt</stp>
        <stp>YLD_YTM_BID</stp>
        <stp>[TREASURY.xlsx]Sheet1!R504C4</stp>
        <tr r="D504" s="1"/>
      </tp>
      <tp t="s">
        <v>#N/A N/A</v>
        <stp/>
        <stp>##V3_BDPV12</stp>
        <stp>912828BU Govt</stp>
        <stp>YLD_YTM_BID</stp>
        <stp>[TREASURY.xlsx]Sheet1!R533C4</stp>
        <tr r="D533" s="1"/>
      </tp>
      <tp t="s">
        <v>#N/A N/A</v>
        <stp/>
        <stp>##V3_BDPV12</stp>
        <stp>912828UT Govt</stp>
        <stp>YLD_YTM_BID</stp>
        <stp>[TREASURY.xlsx]Sheet1!R552C4</stp>
        <tr r="D552" s="1"/>
      </tp>
      <tp>
        <v>7.125</v>
        <stp/>
        <stp>##V3_BDPV12</stp>
        <stp>912810EP Govt</stp>
        <stp>CPN</stp>
        <stp>[TREASURY.xlsx]Sheet1!R317C3</stp>
        <tr r="C317" s="1"/>
      </tp>
      <tp>
        <v>7.625</v>
        <stp/>
        <stp>##V3_BDPV12</stp>
        <stp>912810ET Govt</stp>
        <stp>CPN</stp>
        <stp>[TREASURY.xlsx]Sheet1!R313C3</stp>
        <tr r="C313" s="1"/>
      </tp>
      <tp t="s">
        <v>#N/A N/A</v>
        <stp/>
        <stp>##V3_BDPV12</stp>
        <stp>912828AS Govt</stp>
        <stp>YLD_YTM_BID</stp>
        <stp>[TREASURY.xlsx]Sheet1!R785C4</stp>
        <tr r="D785" s="1"/>
      </tp>
      <tp t="s">
        <v>#N/A N/A</v>
        <stp/>
        <stp>##V3_BDPV12</stp>
        <stp>912828DV Govt</stp>
        <stp>YLD_YTM_BID</stp>
        <stp>[TREASURY.xlsx]Sheet1!R620C4</stp>
        <tr r="D620" s="1"/>
      </tp>
      <tp t="s">
        <v>#N/A N/A</v>
        <stp/>
        <stp>##V3_BDPV12</stp>
        <stp>912828GS Govt</stp>
        <stp>YLD_YTM_BID</stp>
        <stp>[TREASURY.xlsx]Sheet1!R615C4</stp>
        <tr r="D615" s="1"/>
      </tp>
      <tp t="s">
        <v>#N/A N/A</v>
        <stp/>
        <stp>##V3_BDPV12</stp>
        <stp>912828ER Govt</stp>
        <stp>YLD_YTM_BID</stp>
        <stp>[TREASURY.xlsx]Sheet1!R604C4</stp>
        <tr r="D604" s="1"/>
      </tp>
      <tp>
        <v>0.14426342401248859</v>
        <stp/>
        <stp>##V3_BDPV12</stp>
        <stp>912828YW Govt</stp>
        <stp>YLD_YTM_BID</stp>
        <stp>[TREASURY.xlsx]Sheet1!R141C4</stp>
        <tr r="D141" s="1"/>
      </tp>
      <tp>
        <v>0.72591971044173331</v>
        <stp/>
        <stp>##V3_BDPV12</stp>
        <stp>912828ZW Govt</stp>
        <stp>YLD_YTM_BID</stp>
        <stp>[TREASURY.xlsx]Sheet1!R101C4</stp>
        <tr r="D101" s="1"/>
      </tp>
      <tp>
        <v>9.375</v>
        <stp/>
        <stp>##V3_BDPV12</stp>
        <stp>912810DU Govt</stp>
        <stp>CPN</stp>
        <stp>[TREASURY.xlsx]Sheet1!R432C3</stp>
        <tr r="C432" s="1"/>
      </tp>
      <tp t="s">
        <v>#N/A N/A</v>
        <stp/>
        <stp>##V3_BDPV12</stp>
        <stp>912828MP Govt</stp>
        <stp>YLD_YTM_BID</stp>
        <stp>[TREASURY.xlsx]Sheet1!R386C4</stp>
        <tr r="D386" s="1"/>
      </tp>
      <tp>
        <v>10.625</v>
        <stp/>
        <stp>##V3_BDPV12</stp>
        <stp>912810DS Govt</stp>
        <stp>CPN</stp>
        <stp>[TREASURY.xlsx]Sheet1!R454C3</stp>
        <tr r="C454" s="1"/>
      </tp>
      <tp t="s">
        <v>#N/A N/A</v>
        <stp/>
        <stp>##V3_BDPV12</stp>
        <stp>912828TW Govt</stp>
        <stp>YLD_YTM_BID</stp>
        <stp>[TREASURY.xlsx]Sheet1!R361C4</stp>
        <tr r="D361" s="1"/>
      </tp>
      <tp>
        <v>7.6915980130937422E-2</v>
        <stp/>
        <stp>##V3_BDPV12</stp>
        <stp>9128286U Govt</stp>
        <stp>YLD_YTM_BID</stp>
        <stp>[TREASURY.xlsx]Sheet1!R233C4</stp>
        <tr r="D233" s="1"/>
      </tp>
      <tp>
        <v>2.25</v>
        <stp/>
        <stp>##V3_BDPV12</stp>
        <stp>9128283F Govt</stp>
        <stp>CPN</stp>
        <stp>[TREASURY.xlsx]Sheet1!R65C3</stp>
        <tr r="C65" s="1"/>
      </tp>
      <tp t="s">
        <v>UNITED STATES</v>
        <stp/>
        <stp>##V3_BDPV12</stp>
        <stp>912810DG Govt</stp>
        <stp>COUNTRY_FULL_NAME</stp>
        <stp>[TREASURY.xlsx]Sheet1!R1516C8</stp>
        <tr r="H1516" s="1"/>
      </tp>
      <tp t="s">
        <v>USD</v>
        <stp/>
        <stp>##V3_BDPV12</stp>
        <stp>9128283G Govt</stp>
        <stp>CRNCY</stp>
        <stp>[TREASURY.xlsx]Sheet1!R380C7</stp>
        <tr r="G380" s="1"/>
      </tp>
      <tp t="s">
        <v>USD</v>
        <stp/>
        <stp>##V3_BDPV12</stp>
        <stp>9128283L Govt</stp>
        <stp>CRNCY</stp>
        <stp>[TREASURY.xlsx]Sheet1!R350C7</stp>
        <tr r="G350" s="1"/>
      </tp>
      <tp t="s">
        <v>USD</v>
        <stp/>
        <stp>##V3_BDPV12</stp>
        <stp>9128282D Govt</stp>
        <stp>CRNCY</stp>
        <stp>[TREASURY.xlsx]Sheet1!R260C7</stp>
        <tr r="G260" s="1"/>
      </tp>
      <tp t="s">
        <v>USD</v>
        <stp/>
        <stp>##V3_BDPV12</stp>
        <stp>9128282T Govt</stp>
        <stp>CRNCY</stp>
        <stp>[TREASURY.xlsx]Sheet1!R330C7</stp>
        <tr r="G330" s="1"/>
      </tp>
      <tp t="s">
        <v>UNITED STATES</v>
        <stp/>
        <stp>##V3_BDPV12</stp>
        <stp>912828FE Govt</stp>
        <stp>COUNTRY_FULL_NAME</stp>
        <stp>[TREASURY.xlsx]Sheet1!R1274C8</stp>
        <tr r="H1274" s="1"/>
      </tp>
      <tp t="s">
        <v>UNITED STATES</v>
        <stp/>
        <stp>##V3_BDPV12</stp>
        <stp>912810CE Govt</stp>
        <stp>COUNTRY_FULL_NAME</stp>
        <stp>[TREASURY.xlsx]Sheet1!R1441C8</stp>
        <tr r="H1441" s="1"/>
      </tp>
      <tp t="s">
        <v>USD</v>
        <stp/>
        <stp>##V3_BDPV12</stp>
        <stp>9128285N Govt</stp>
        <stp>CRNCY</stp>
        <stp>[TREASURY.xlsx]Sheet1!R290C7</stp>
        <tr r="G290" s="1"/>
      </tp>
      <tp t="s">
        <v>USD</v>
        <stp/>
        <stp>##V3_BDPV12</stp>
        <stp>9128285U Govt</stp>
        <stp>CRNCY</stp>
        <stp>[TREASURY.xlsx]Sheet1!R160C7</stp>
        <tr r="G160" s="1"/>
      </tp>
      <tp t="s">
        <v>USD</v>
        <stp/>
        <stp>##V3_BDPV12</stp>
        <stp>9128285Q Govt</stp>
        <stp>CRNCY</stp>
        <stp>[TREASURY.xlsx]Sheet1!R410C7</stp>
        <tr r="G410" s="1"/>
      </tp>
      <tp t="s">
        <v>USD</v>
        <stp/>
        <stp>##V3_BDPV12</stp>
        <stp>9128285R Govt</stp>
        <stp>CRNCY</stp>
        <stp>[TREASURY.xlsx]Sheet1!R140C7</stp>
        <tr r="G140" s="1"/>
      </tp>
      <tp t="s">
        <v>USD</v>
        <stp/>
        <stp>##V3_BDPV12</stp>
        <stp>9128285Z Govt</stp>
        <stp>CRNCY</stp>
        <stp>[TREASURY.xlsx]Sheet1!R220C7</stp>
        <tr r="G220" s="1"/>
      </tp>
      <tp t="s">
        <v>8/31/2023</v>
        <stp/>
        <stp>##V3_BDPV12</stp>
        <stp>91282CCU Govt</stp>
        <stp>MATURITY</stp>
        <stp>[TREASURY.xlsx]Sheet1!R6C5</stp>
        <tr r="E6" s="1"/>
      </tp>
      <tp t="s">
        <v>UNITED STATES</v>
        <stp/>
        <stp>##V3_BDPV12</stp>
        <stp>912810DB Govt</stp>
        <stp>COUNTRY_FULL_NAME</stp>
        <stp>[TREASURY.xlsx]Sheet1!R1346C8</stp>
        <tr r="H1346" s="1"/>
      </tp>
      <tp t="s">
        <v>USD</v>
        <stp/>
        <stp>##V3_BDPV12</stp>
        <stp>9128284G Govt</stp>
        <stp>CRNCY</stp>
        <stp>[TREASURY.xlsx]Sheet1!R390C7</stp>
        <tr r="G390" s="1"/>
      </tp>
      <tp t="s">
        <v>#N/A N/A</v>
        <stp/>
        <stp>##V3_BDPV12</stp>
        <stp>912827SS Govt</stp>
        <stp>YLD_YTM_BID</stp>
        <stp>[TREASURY.xlsx]Sheet1!R1188C4</stp>
        <tr r="D1188" s="1"/>
      </tp>
      <tp t="s">
        <v>#N/A N/A</v>
        <stp/>
        <stp>##V3_BDPV12</stp>
        <stp>912827P7 Govt</stp>
        <stp>YLD_YTM_BID</stp>
        <stp>[TREASURY.xlsx]Sheet1!R1338C4</stp>
        <tr r="D1338" s="1"/>
      </tp>
      <tp t="s">
        <v>#N/A N/A</v>
        <stp/>
        <stp>##V3_BDPV12</stp>
        <stp>912827WM Govt</stp>
        <stp>YLD_YTM_BID</stp>
        <stp>[TREASURY.xlsx]Sheet1!R1418C4</stp>
        <tr r="D1418" s="1"/>
      </tp>
      <tp t="s">
        <v>#N/A N/A</v>
        <stp/>
        <stp>##V3_BDPV12</stp>
        <stp>912827PB Govt</stp>
        <stp>YLD_YTM_BID</stp>
        <stp>[TREASURY.xlsx]Sheet1!R1388C4</stp>
        <tr r="D1388" s="1"/>
      </tp>
      <tp t="s">
        <v>#N/A N/A</v>
        <stp/>
        <stp>##V3_BDPV12</stp>
        <stp>912827SZ Govt</stp>
        <stp>YLD_YTM_BID</stp>
        <stp>[TREASURY.xlsx]Sheet1!R1068C4</stp>
        <tr r="D1068" s="1"/>
      </tp>
      <tp t="s">
        <v>#N/A N/A</v>
        <stp/>
        <stp>##V3_BDPV12</stp>
        <stp>912827Q7 Govt</stp>
        <stp>YLD_YTM_BID</stp>
        <stp>[TREASURY.xlsx]Sheet1!R1178C4</stp>
        <tr r="D1178" s="1"/>
      </tp>
      <tp t="s">
        <v>#N/A N/A</v>
        <stp/>
        <stp>##V3_BDPV12</stp>
        <stp>912827TK Govt</stp>
        <stp>YLD_YTM_BID</stp>
        <stp>[TREASURY.xlsx]Sheet1!R1508C4</stp>
        <tr r="D1508" s="1"/>
      </tp>
      <tp t="s">
        <v>#N/A N/A</v>
        <stp/>
        <stp>##V3_BDPV12</stp>
        <stp>912827QM Govt</stp>
        <stp>YLD_YTM_BID</stp>
        <stp>[TREASURY.xlsx]Sheet1!R1058C4</stp>
        <tr r="D1058" s="1"/>
      </tp>
      <tp t="s">
        <v>#N/A N/A</v>
        <stp/>
        <stp>##V3_BDPV12</stp>
        <stp>912827UU Govt</stp>
        <stp>YLD_YTM_BID</stp>
        <stp>[TREASURY.xlsx]Sheet1!R1408C4</stp>
        <tr r="D1408" s="1"/>
      </tp>
      <tp t="s">
        <v>#N/A N/A</v>
        <stp/>
        <stp>##V3_BDPV12</stp>
        <stp>912827VM Govt</stp>
        <stp>YLD_YTM_BID</stp>
        <stp>[TREASURY.xlsx]Sheet1!R1088C4</stp>
        <tr r="D1088" s="1"/>
      </tp>
      <tp t="s">
        <v>#N/A N/A</v>
        <stp/>
        <stp>##V3_BDPV12</stp>
        <stp>912827SG Govt</stp>
        <stp>YLD_YTM_BID</stp>
        <stp>[TREASURY.xlsx]Sheet1!R1588C4</stp>
        <tr r="D1588" s="1"/>
      </tp>
      <tp t="s">
        <v>#N/A N/A</v>
        <stp/>
        <stp>##V3_BDPV12</stp>
        <stp>912827R9 Govt</stp>
        <stp>YLD_YTM_BID</stp>
        <stp>[TREASURY.xlsx]Sheet1!R1578C4</stp>
        <tr r="D1578" s="1"/>
      </tp>
      <tp t="s">
        <v>#N/A N/A</v>
        <stp/>
        <stp>##V3_BDPV12</stp>
        <stp>912827TD Govt</stp>
        <stp>YLD_YTM_BID</stp>
        <stp>[TREASURY.xlsx]Sheet1!R1398C4</stp>
        <tr r="D1398" s="1"/>
      </tp>
      <tp t="s">
        <v>#N/A N/A</v>
        <stp/>
        <stp>##V3_BDPV12</stp>
        <stp>912827U8 Govt</stp>
        <stp>YLD_YTM_BID</stp>
        <stp>[TREASURY.xlsx]Sheet1!R1198C4</stp>
        <tr r="D1198" s="1"/>
      </tp>
      <tp t="s">
        <v>#N/A N/A</v>
        <stp/>
        <stp>##V3_BDPV12</stp>
        <stp>912827UH Govt</stp>
        <stp>YLD_YTM_BID</stp>
        <stp>[TREASURY.xlsx]Sheet1!R1078C4</stp>
        <tr r="D1078" s="1"/>
      </tp>
      <tp t="s">
        <v>#N/A N/A</v>
        <stp/>
        <stp>##V3_BDPV12</stp>
        <stp>912827WL Govt</stp>
        <stp>YLD_YTM_BID</stp>
        <stp>[TREASURY.xlsx]Sheet1!R1208C4</stp>
        <tr r="D1208" s="1"/>
      </tp>
      <tp t="s">
        <v>#N/A N/A</v>
        <stp/>
        <stp>##V3_BDPV12</stp>
        <stp>912827QV Govt</stp>
        <stp>YLD_YTM_BID</stp>
        <stp>[TREASURY.xlsx]Sheet1!R1498C4</stp>
        <tr r="D1498" s="1"/>
      </tp>
      <tp t="s">
        <v>#N/A N/A</v>
        <stp/>
        <stp>##V3_BDPV12</stp>
        <stp>912827XW Govt</stp>
        <stp>YLD_YTM_BID</stp>
        <stp>[TREASURY.xlsx]Sheet1!R1218C4</stp>
        <tr r="D1218" s="1"/>
      </tp>
      <tp t="s">
        <v>#N/A N/A</v>
        <stp/>
        <stp>##V3_BDPV12</stp>
        <stp>912827ZB Govt</stp>
        <stp>YLD_YTM_BID</stp>
        <stp>[TREASURY.xlsx]Sheet1!R1228C4</stp>
        <tr r="D1228" s="1"/>
      </tp>
      <tp t="s">
        <v>#N/A N/A</v>
        <stp/>
        <stp>##V3_BDPV12</stp>
        <stp>912827Y2 Govt</stp>
        <stp>YLD_YTM_BID</stp>
        <stp>[TREASURY.xlsx]Sheet1!R1098C4</stp>
        <tr r="D1098" s="1"/>
      </tp>
      <tp t="s">
        <v>#N/A N/A</v>
        <stp/>
        <stp>##V3_BDPV12</stp>
        <stp>912827Z3 Govt</stp>
        <stp>YLD_YTM_BID</stp>
        <stp>[TREASURY.xlsx]Sheet1!R1608C4</stp>
        <tr r="D1608" s="1"/>
      </tp>
      <tp t="s">
        <v>#N/A N/A</v>
        <stp/>
        <stp>##V3_BDPV12</stp>
        <stp>912827XN Govt</stp>
        <stp>YLD_YTM_BID</stp>
        <stp>[TREASURY.xlsx]Sheet1!R1598C4</stp>
        <tr r="D1598" s="1"/>
      </tp>
      <tp t="s">
        <v>#N/A N/A</v>
        <stp/>
        <stp>##V3_BDPV12</stp>
        <stp>912827E8 Govt</stp>
        <stp>YLD_YTM_BID</stp>
        <stp>[TREASURY.xlsx]Sheet1!R1558C4</stp>
        <tr r="D1558" s="1"/>
      </tp>
      <tp t="s">
        <v>#N/A N/A</v>
        <stp/>
        <stp>##V3_BDPV12</stp>
        <stp>912827B8 Govt</stp>
        <stp>YLD_YTM_BID</stp>
        <stp>[TREASURY.xlsx]Sheet1!R1478C4</stp>
        <tr r="D1478" s="1"/>
      </tp>
      <tp t="s">
        <v>#N/A N/A</v>
        <stp/>
        <stp>##V3_BDPV12</stp>
        <stp>912827A9 Govt</stp>
        <stp>YLD_YTM_BID</stp>
        <stp>[TREASURY.xlsx]Sheet1!R1548C4</stp>
        <tr r="D1548" s="1"/>
      </tp>
      <tp t="s">
        <v>#N/A N/A</v>
        <stp/>
        <stp>##V3_BDPV12</stp>
        <stp>912827J8 Govt</stp>
        <stp>YLD_YTM_BID</stp>
        <stp>[TREASURY.xlsx]Sheet1!R1038C4</stp>
        <tr r="D1038" s="1"/>
      </tp>
      <tp t="s">
        <v>#N/A N/A</v>
        <stp/>
        <stp>##V3_BDPV12</stp>
        <stp>912827M3 Govt</stp>
        <stp>YLD_YTM_BID</stp>
        <stp>[TREASURY.xlsx]Sheet1!R1568C4</stp>
        <tr r="D1568" s="1"/>
      </tp>
      <tp t="s">
        <v>#N/A N/A</v>
        <stp/>
        <stp>##V3_BDPV12</stp>
        <stp>912827KT Govt</stp>
        <stp>YLD_YTM_BID</stp>
        <stp>[TREASURY.xlsx]Sheet1!R1318C4</stp>
        <tr r="D1318" s="1"/>
      </tp>
      <tp t="s">
        <v>#N/A N/A</v>
        <stp/>
        <stp>##V3_BDPV12</stp>
        <stp>912827H7 Govt</stp>
        <stp>YLD_YTM_BID</stp>
        <stp>[TREASURY.xlsx]Sheet1!R1158C4</stp>
        <tr r="D1158" s="1"/>
      </tp>
      <tp t="s">
        <v>#N/A N/A</v>
        <stp/>
        <stp>##V3_BDPV12</stp>
        <stp>912827N4 Govt</stp>
        <stp>YLD_YTM_BID</stp>
        <stp>[TREASURY.xlsx]Sheet1!R1048C4</stp>
        <tr r="D1048" s="1"/>
      </tp>
      <tp t="s">
        <v>#N/A N/A</v>
        <stp/>
        <stp>##V3_BDPV12</stp>
        <stp>912827J5 Govt</stp>
        <stp>YLD_YTM_BID</stp>
        <stp>[TREASURY.xlsx]Sheet1!R1488C4</stp>
        <tr r="D1488" s="1"/>
      </tp>
      <tp t="s">
        <v>#N/A N/A</v>
        <stp/>
        <stp>##V3_BDPV12</stp>
        <stp>912827MU Govt</stp>
        <stp>YLD_YTM_BID</stp>
        <stp>[TREASURY.xlsx]Sheet1!R1328C4</stp>
        <tr r="D1328" s="1"/>
      </tp>
      <tp t="s">
        <v>#N/A N/A</v>
        <stp/>
        <stp>##V3_BDPV12</stp>
        <stp>912827LD Govt</stp>
        <stp>YLD_YTM_BID</stp>
        <stp>[TREASURY.xlsx]Sheet1!R1378C4</stp>
        <tr r="D1378" s="1"/>
      </tp>
      <tp t="s">
        <v>#N/A N/A</v>
        <stp/>
        <stp>##V3_BDPV12</stp>
        <stp>912827MZ Govt</stp>
        <stp>YLD_YTM_BID</stp>
        <stp>[TREASURY.xlsx]Sheet1!R1168C4</stp>
        <tr r="D1168" s="1"/>
      </tp>
      <tp t="s">
        <v>#N/A N/A</v>
        <stp/>
        <stp>##V3_BDPV12</stp>
        <stp>9128272B Govt</stp>
        <stp>YLD_YTM_BID</stp>
        <stp>[TREASURY.xlsx]Sheet1!R1008C4</stp>
        <tr r="D1008" s="1"/>
      </tp>
      <tp t="s">
        <v>#N/A N/A</v>
        <stp/>
        <stp>##V3_BDPV12</stp>
        <stp>9128276V Govt</stp>
        <stp>YLD_YTM_BID</stp>
        <stp>[TREASURY.xlsx]Sheet1!R1468C4</stp>
        <tr r="D1468" s="1"/>
      </tp>
      <tp t="s">
        <v>#N/A N/A</v>
        <stp/>
        <stp>##V3_BDPV12</stp>
        <stp>9128276L Govt</stp>
        <stp>YLD_YTM_BID</stp>
        <stp>[TREASURY.xlsx]Sheet1!R1538C4</stp>
        <tr r="D1538" s="1"/>
      </tp>
      <tp t="s">
        <v>#N/A N/A</v>
        <stp/>
        <stp>##V3_BDPV12</stp>
        <stp>9128274C Govt</stp>
        <stp>YLD_YTM_BID</stp>
        <stp>[TREASURY.xlsx]Sheet1!R1458C4</stp>
        <tr r="D1458" s="1"/>
      </tp>
      <tp t="s">
        <v>#N/A N/A</v>
        <stp/>
        <stp>##V3_BDPV12</stp>
        <stp>9128273Q Govt</stp>
        <stp>YLD_YTM_BID</stp>
        <stp>[TREASURY.xlsx]Sheet1!R1358C4</stp>
        <tr r="D1358" s="1"/>
      </tp>
      <tp t="s">
        <v>#N/A N/A</v>
        <stp/>
        <stp>##V3_BDPV12</stp>
        <stp>9128273J Govt</stp>
        <stp>YLD_YTM_BID</stp>
        <stp>[TREASURY.xlsx]Sheet1!R1528C4</stp>
        <tr r="D1528" s="1"/>
      </tp>
      <tp t="s">
        <v>#N/A N/A</v>
        <stp/>
        <stp>##V3_BDPV12</stp>
        <stp>9128272K Govt</stp>
        <stp>YLD_YTM_BID</stp>
        <stp>[TREASURY.xlsx]Sheet1!R1518C4</stp>
        <tr r="D1518" s="1"/>
      </tp>
      <tp t="s">
        <v>#N/A N/A</v>
        <stp/>
        <stp>##V3_BDPV12</stp>
        <stp>9128277H Govt</stp>
        <stp>YLD_YTM_BID</stp>
        <stp>[TREASURY.xlsx]Sheet1!R1028C4</stp>
        <tr r="D1028" s="1"/>
      </tp>
      <tp t="s">
        <v>#N/A N/A</v>
        <stp/>
        <stp>##V3_BDPV12</stp>
        <stp>9128274X Govt</stp>
        <stp>YLD_YTM_BID</stp>
        <stp>[TREASURY.xlsx]Sheet1!R1368C4</stp>
        <tr r="D1368" s="1"/>
      </tp>
      <tp t="s">
        <v>#N/A N/A</v>
        <stp/>
        <stp>##V3_BDPV12</stp>
        <stp>9128275R Govt</stp>
        <stp>YLD_YTM_BID</stp>
        <stp>[TREASURY.xlsx]Sheet1!R1018C4</stp>
        <tr r="D1018" s="1"/>
      </tp>
      <tp t="s">
        <v>UNITED STATES</v>
        <stp/>
        <stp>##V3_BDPV12</stp>
        <stp>912828KC Govt</stp>
        <stp>COUNTRY_FULL_NAME</stp>
        <stp>[TREASURY.xlsx]Sheet1!R1249C8</stp>
        <tr r="H1249" s="1"/>
      </tp>
      <tp t="s">
        <v>USD</v>
        <stp/>
        <stp>##V3_BDPV12</stp>
        <stp>9128286G Govt</stp>
        <stp>CRNCY</stp>
        <stp>[TREASURY.xlsx]Sheet1!R240C7</stp>
        <tr r="G240" s="1"/>
      </tp>
      <tp t="s">
        <v>USD</v>
        <stp/>
        <stp>##V3_BDPV12</stp>
        <stp>9128286Z Govt</stp>
        <stp>CRNCY</stp>
        <stp>[TREASURY.xlsx]Sheet1!R200C7</stp>
        <tr r="G200" s="1"/>
      </tp>
      <tp t="s">
        <v>T 8 1/2 02/29/92</v>
        <stp/>
        <stp>##V3_BDPV12</stp>
        <stp>912827YP Govt</stp>
        <stp>SECURITY_NAME</stp>
        <stp>[TREASURY.xlsx]Sheet1!R1606C16</stp>
        <tr r="P1606" s="1"/>
      </tp>
      <tp t="s">
        <v>#N/A N/A</v>
        <stp/>
        <stp>##V3_BDPV12</stp>
        <stp>912828PD Govt</stp>
        <stp>YLD_YTM_BID</stp>
        <stp>[TREASURY.xlsx]Sheet1!R1298C4</stp>
        <tr r="D1298" s="1"/>
      </tp>
      <tp t="s">
        <v>#N/A N/A</v>
        <stp/>
        <stp>##V3_BDPV12</stp>
        <stp>912828RZ Govt</stp>
        <stp>YLD_YTM_BID</stp>
        <stp>[TREASURY.xlsx]Sheet1!R1268C4</stp>
        <tr r="D1268" s="1"/>
      </tp>
      <tp t="s">
        <v>#N/A N/A</v>
        <stp/>
        <stp>##V3_BDPV12</stp>
        <stp>912828VK Govt</stp>
        <stp>YLD_YTM_BID</stp>
        <stp>[TREASURY.xlsx]Sheet1!R1148C4</stp>
        <tr r="D1148" s="1"/>
      </tp>
      <tp t="s">
        <v>#N/A N/A</v>
        <stp/>
        <stp>##V3_BDPV12</stp>
        <stp>912828UY Govt</stp>
        <stp>YLD_YTM_BID</stp>
        <stp>[TREASURY.xlsx]Sheet1!R1138C4</stp>
        <tr r="D1138" s="1"/>
      </tp>
      <tp t="s">
        <v>#N/A N/A</v>
        <stp/>
        <stp>##V3_BDPV12</stp>
        <stp>912828B3 Govt</stp>
        <stp>YLD_YTM_BID</stp>
        <stp>[TREASURY.xlsx]Sheet1!R1108C4</stp>
        <tr r="D1108" s="1"/>
      </tp>
      <tp>
        <v>13.375</v>
        <stp/>
        <stp>##V3_BDPV12</stp>
        <stp>912810CW Govt</stp>
        <stp>CPN</stp>
        <stp>[TREASURY.xlsx]Sheet1!R1618C3</stp>
        <tr r="C1618" s="1"/>
      </tp>
      <tp t="s">
        <v>#N/A N/A</v>
        <stp/>
        <stp>##V3_BDPV12</stp>
        <stp>912828DS Govt</stp>
        <stp>YLD_YTM_BID</stp>
        <stp>[TREASURY.xlsx]Sheet1!R1428C4</stp>
        <tr r="D1428" s="1"/>
      </tp>
      <tp>
        <v>11.75</v>
        <stp/>
        <stp>##V3_BDPV12</stp>
        <stp>912810DN Govt</stp>
        <stp>CPN</stp>
        <stp>[TREASURY.xlsx]Sheet1!R1348C3</stp>
        <tr r="C1348" s="1"/>
      </tp>
      <tp>
        <v>9.125</v>
        <stp/>
        <stp>##V3_BDPV12</stp>
        <stp>912810CG Govt</stp>
        <stp>CPN</stp>
        <stp>[TREASURY.xlsx]Sheet1!R1308C3</stp>
        <tr r="C1308" s="1"/>
      </tp>
      <tp>
        <v>8.75</v>
        <stp/>
        <stp>##V3_BDPV12</stp>
        <stp>912810DY Govt</stp>
        <stp>CPN</stp>
        <stp>[TREASURY.xlsx]Sheet1!R1448C3</stp>
        <tr r="C1448" s="1"/>
      </tp>
      <tp t="s">
        <v>#N/A N/A</v>
        <stp/>
        <stp>##V3_BDPV12</stp>
        <stp>912828F8 Govt</stp>
        <stp>YLD_YTM_BID</stp>
        <stp>[TREASURY.xlsx]Sheet1!R1118C4</stp>
        <tr r="D1118" s="1"/>
      </tp>
      <tp t="s">
        <v>#N/A N/A</v>
        <stp/>
        <stp>##V3_BDPV12</stp>
        <stp>912828EJ Govt</stp>
        <stp>YLD_YTM_BID</stp>
        <stp>[TREASURY.xlsx]Sheet1!R1238C4</stp>
        <tr r="D1238" s="1"/>
      </tp>
      <tp t="s">
        <v>#N/A N/A</v>
        <stp/>
        <stp>##V3_BDPV12</stp>
        <stp>912828FX Govt</stp>
        <stp>YLD_YTM_BID</stp>
        <stp>[TREASURY.xlsx]Sheet1!R1278C4</stp>
        <tr r="D1278" s="1"/>
      </tp>
      <tp t="s">
        <v>#N/A N/A</v>
        <stp/>
        <stp>##V3_BDPV12</stp>
        <stp>912828K6 Govt</stp>
        <stp>YLD_YTM_BID</stp>
        <stp>[TREASURY.xlsx]Sheet1!R1248C4</stp>
        <tr r="D1248" s="1"/>
      </tp>
      <tp t="s">
        <v>#N/A N/A</v>
        <stp/>
        <stp>##V3_BDPV12</stp>
        <stp>912828KG Govt</stp>
        <stp>YLD_YTM_BID</stp>
        <stp>[TREASURY.xlsx]Sheet1!R1288C4</stp>
        <tr r="D1288" s="1"/>
      </tp>
      <tp t="s">
        <v>#N/A N/A</v>
        <stp/>
        <stp>##V3_BDPV12</stp>
        <stp>912828HP Govt</stp>
        <stp>YLD_YTM_BID</stp>
        <stp>[TREASURY.xlsx]Sheet1!R1438C4</stp>
        <tr r="D1438" s="1"/>
      </tp>
      <tp t="s">
        <v>#N/A N/A</v>
        <stp/>
        <stp>##V3_BDPV12</stp>
        <stp>912828NY Govt</stp>
        <stp>YLD_YTM_BID</stp>
        <stp>[TREASURY.xlsx]Sheet1!R1258C4</stp>
        <tr r="D1258" s="1"/>
      </tp>
      <tp t="s">
        <v>#N/A N/A</v>
        <stp/>
        <stp>##V3_BDPV12</stp>
        <stp>912828LH Govt</stp>
        <stp>YLD_YTM_BID</stp>
        <stp>[TREASURY.xlsx]Sheet1!R1128C4</stp>
        <tr r="D1128" s="1"/>
      </tp>
      <tp t="s">
        <v>T 5 5/8 11/30/99</v>
        <stp/>
        <stp>##V3_BDPV12</stp>
        <stp>9128273P Govt</stp>
        <stp>SECURITY_NAME</stp>
        <stp>[TREASURY.xlsx]Sheet1!R1530C16</stp>
        <tr r="P1530" s="1"/>
      </tp>
      <tp t="s">
        <v>T 6 5/8 03/31/02</v>
        <stp/>
        <stp>##V3_BDPV12</stp>
        <stp>9128272P Govt</stp>
        <stp>SECURITY_NAME</stp>
        <stp>[TREASURY.xlsx]Sheet1!R1519C16</stp>
        <tr r="P1519" s="1"/>
      </tp>
      <tp t="s">
        <v>T 8 5/8 08/31/90</v>
        <stp/>
        <stp>##V3_BDPV12</stp>
        <stp>912827WP Govt</stp>
        <stp>SECURITY_NAME</stp>
        <stp>[TREASURY.xlsx]Sheet1!R1419C16</stp>
        <tr r="P1419" s="1"/>
      </tp>
      <tp t="s">
        <v>T 13 7/8 02/28/83</v>
        <stp/>
        <stp>##V3_BDPV12</stp>
        <stp>912827LP Govt</stp>
        <stp>SECURITY_NAME</stp>
        <stp>[TREASURY.xlsx]Sheet1!R1491C16</stp>
        <tr r="P1491" s="1"/>
      </tp>
      <tp t="s">
        <v>T 2 1/8 01/31/10</v>
        <stp/>
        <stp>##V3_BDPV12</stp>
        <stp>912828HP Govt</stp>
        <stp>SECURITY_NAME</stp>
        <stp>[TREASURY.xlsx]Sheet1!R1438C16</stp>
        <tr r="P1438" s="1"/>
      </tp>
      <tp t="s">
        <v>T 4 11/15/12</v>
        <stp/>
        <stp>##V3_BDPV12</stp>
        <stp>912828AP Govt</stp>
        <stp>SECURITY_NAME</stp>
        <stp>[TREASURY.xlsx]Sheet1!R1424C16</stp>
        <tr r="P1424" s="1"/>
      </tp>
      <tp t="s">
        <v>T 7 3/4 11/30/89</v>
        <stp/>
        <stp>##V3_BDPV12</stp>
        <stp>912827VP Govt</stp>
        <stp>SECURITY_NAME</stp>
        <stp>[TREASURY.xlsx]Sheet1!R1204C16</stp>
        <tr r="P1204" s="1"/>
      </tp>
      <tp t="s">
        <v>T 6 1/4 02/28/89</v>
        <stp/>
        <stp>##V3_BDPV12</stp>
        <stp>912827UP Govt</stp>
        <stp>SECURITY_NAME</stp>
        <stp>[TREASURY.xlsx]Sheet1!R1202C16</stp>
        <tr r="P1202" s="1"/>
      </tp>
      <tp t="s">
        <v>T 1 1/2 10/31/10</v>
        <stp/>
        <stp>##V3_BDPV12</stp>
        <stp>912828JP Govt</stp>
        <stp>SECURITY_NAME</stp>
        <stp>[TREASURY.xlsx]Sheet1!R1286C16</stp>
        <tr r="P1286" s="1"/>
      </tp>
      <tp t="s">
        <v>T 4 7/8 08/15/09</v>
        <stp/>
        <stp>##V3_BDPV12</stp>
        <stp>912828FP Govt</stp>
        <stp>SECURITY_NAME</stp>
        <stp>[TREASURY.xlsx]Sheet1!R1276C16</stp>
        <tr r="P1276" s="1"/>
      </tp>
      <tp t="s">
        <v>T 0 1/4 02/28/15</v>
        <stp/>
        <stp>##V3_BDPV12</stp>
        <stp>912828UP Govt</stp>
        <stp>SECURITY_NAME</stp>
        <stp>[TREASURY.xlsx]Sheet1!R1145C16</stp>
        <tr r="P1145" s="1"/>
      </tp>
      <tp t="s">
        <v>T 10 1/2 08/15/95</v>
        <stp/>
        <stp>##V3_BDPV12</stp>
        <stp>912827SP Govt</stp>
        <stp>SECURITY_NAME</stp>
        <stp>[TREASURY.xlsx]Sheet1!R1186C16</stp>
        <tr r="P1186" s="1"/>
      </tp>
      <tp t="s">
        <v>T 6 7/8 05/15/89</v>
        <stp/>
        <stp>##V3_BDPV12</stp>
        <stp>912827TP Govt</stp>
        <stp>SECURITY_NAME</stp>
        <stp>[TREASURY.xlsx]Sheet1!R1193C16</stp>
        <tr r="P1193" s="1"/>
      </tp>
      <tp t="s">
        <v>T 1 3/8 05/15/12</v>
        <stp/>
        <stp>##V3_BDPV12</stp>
        <stp>912828KP Govt</stp>
        <stp>SECURITY_NAME</stp>
        <stp>[TREASURY.xlsx]Sheet1!R1125C16</stp>
        <tr r="P1125" s="1"/>
      </tp>
      <tp t="s">
        <v>UNITED STATES</v>
        <stp/>
        <stp>##V3_BDPV12</stp>
        <stp>912828GH Govt</stp>
        <stp>COUNTRY_FULL_NAME</stp>
        <stp>[TREASURY.xlsx]Sheet1!R1435C8</stp>
        <tr r="H1435" s="1"/>
      </tp>
      <tp t="s">
        <v>T 5 1/2 08/31/01</v>
        <stp/>
        <stp>##V3_BDPV12</stp>
        <stp>9128275P Govt</stp>
        <stp>SECURITY_NAME</stp>
        <stp>[TREASURY.xlsx]Sheet1!R1016C16</stp>
        <tr r="P1016" s="1"/>
      </tp>
      <tp t="s">
        <v>UNITED STATES</v>
        <stp/>
        <stp>##V3_BDPV12</stp>
        <stp>912810BX Govt</stp>
        <stp>COUNTRY_FULL_NAME</stp>
        <stp>[TREASURY.xlsx]Sheet1!R1440C8</stp>
        <tr r="H1440" s="1"/>
      </tp>
      <tp t="s">
        <v>USD</v>
        <stp/>
        <stp>##V3_BDPV12</stp>
        <stp>912810QC Govt</stp>
        <stp>CRNCY</stp>
        <stp>[TREASURY.xlsx]Sheet1!R318C7</stp>
        <tr r="G318" s="1"/>
      </tp>
      <tp t="s">
        <v>USD</v>
        <stp/>
        <stp>##V3_BDPV12</stp>
        <stp>912828QG Govt</stp>
        <stp>CRNCY</stp>
        <stp>[TREASURY.xlsx]Sheet1!R990C7</stp>
        <tr r="G990" s="1"/>
      </tp>
      <tp t="s">
        <v>USD</v>
        <stp/>
        <stp>##V3_BDPV12</stp>
        <stp>912810QK Govt</stp>
        <stp>CRNCY</stp>
        <stp>[TREASURY.xlsx]Sheet1!R238C7</stp>
        <tr r="G238" s="1"/>
      </tp>
      <tp t="s">
        <v>USD</v>
        <stp/>
        <stp>##V3_BDPV12</stp>
        <stp>912828QP Govt</stp>
        <stp>CRNCY</stp>
        <stp>[TREASURY.xlsx]Sheet1!R550C7</stp>
        <tr r="G550" s="1"/>
      </tp>
      <tp t="s">
        <v>USD</v>
        <stp/>
        <stp>##V3_BDPV12</stp>
        <stp>912828PJ Govt</stp>
        <stp>CRNCY</stp>
        <stp>[TREASURY.xlsx]Sheet1!R630C7</stp>
        <tr r="G630" s="1"/>
      </tp>
      <tp t="s">
        <v>USD</v>
        <stp/>
        <stp>##V3_BDPV12</stp>
        <stp>912828SH Govt</stp>
        <stp>CRNCY</stp>
        <stp>[TREASURY.xlsx]Sheet1!R360C7</stp>
        <tr r="G360" s="1"/>
      </tp>
      <tp t="s">
        <v>USD</v>
        <stp/>
        <stp>##V3_BDPV12</stp>
        <stp>912828SN Govt</stp>
        <stp>CRNCY</stp>
        <stp>[TREASURY.xlsx]Sheet1!R670C7</stp>
        <tr r="G670" s="1"/>
      </tp>
      <tp t="s">
        <v>USD</v>
        <stp/>
        <stp>##V3_BDPV12</stp>
        <stp>912828SX Govt</stp>
        <stp>CRNCY</stp>
        <stp>[TREASURY.xlsx]Sheet1!R870C7</stp>
        <tr r="G870" s="1"/>
      </tp>
      <tp t="s">
        <v>USD</v>
        <stp/>
        <stp>##V3_BDPV12</stp>
        <stp>912810RP Govt</stp>
        <stp>CRNCY</stp>
        <stp>[TREASURY.xlsx]Sheet1!R278C7</stp>
        <tr r="G278" s="1"/>
      </tp>
      <tp t="s">
        <v>USD</v>
        <stp/>
        <stp>##V3_BDPV12</stp>
        <stp>912828RT Govt</stp>
        <stp>CRNCY</stp>
        <stp>[TREASURY.xlsx]Sheet1!R420C7</stp>
        <tr r="G420" s="1"/>
      </tp>
      <tp t="s">
        <v>USD</v>
        <stp/>
        <stp>##V3_BDPV12</stp>
        <stp>912828R3 Govt</stp>
        <stp>CRNCY</stp>
        <stp>[TREASURY.xlsx]Sheet1!R130C7</stp>
        <tr r="G130" s="1"/>
      </tp>
      <tp t="s">
        <v>USD</v>
        <stp/>
        <stp>##V3_BDPV12</stp>
        <stp>912828UB Govt</stp>
        <stp>CRNCY</stp>
        <stp>[TREASURY.xlsx]Sheet1!R540C7</stp>
        <tr r="G540" s="1"/>
      </tp>
      <tp t="s">
        <v>USD</v>
        <stp/>
        <stp>##V3_BDPV12</stp>
        <stp>912828TA Govt</stp>
        <stp>CRNCY</stp>
        <stp>[TREASURY.xlsx]Sheet1!R520C7</stp>
        <tr r="G520" s="1"/>
      </tp>
      <tp t="s">
        <v>USD</v>
        <stp/>
        <stp>##V3_BDPV12</stp>
        <stp>912828TS Govt</stp>
        <stp>CRNCY</stp>
        <stp>[TREASURY.xlsx]Sheet1!R490C7</stp>
        <tr r="G490" s="1"/>
      </tp>
      <tp t="s">
        <v>USD</v>
        <stp/>
        <stp>##V3_BDPV12</stp>
        <stp>912828WG Govt</stp>
        <stp>CRNCY</stp>
        <stp>[TREASURY.xlsx]Sheet1!R370C7</stp>
        <tr r="G370" s="1"/>
      </tp>
      <tp t="s">
        <v>USD</v>
        <stp/>
        <stp>##V3_BDPV12</stp>
        <stp>912828WF Govt</stp>
        <stp>CRNCY</stp>
        <stp>[TREASURY.xlsx]Sheet1!R680C7</stp>
        <tr r="G680" s="1"/>
      </tp>
      <tp t="s">
        <v>USD</v>
        <stp/>
        <stp>##V3_BDPV12</stp>
        <stp>912828WW Govt</stp>
        <stp>CRNCY</stp>
        <stp>[TREASURY.xlsx]Sheet1!R340C7</stp>
        <tr r="G340" s="1"/>
      </tp>
      <tp t="s">
        <v>USD</v>
        <stp/>
        <stp>##V3_BDPV12</stp>
        <stp>912828W6 Govt</stp>
        <stp>CRNCY</stp>
        <stp>[TREASURY.xlsx]Sheet1!R480C7</stp>
        <tr r="G480" s="1"/>
      </tp>
      <tp t="s">
        <v>USD</v>
        <stp/>
        <stp>##V3_BDPV12</stp>
        <stp>912828VQ Govt</stp>
        <stp>CRNCY</stp>
        <stp>[TREASURY.xlsx]Sheet1!R880C7</stp>
        <tr r="G880" s="1"/>
      </tp>
      <tp t="s">
        <v>USD</v>
        <stp/>
        <stp>##V3_BDPV12</stp>
        <stp>912828V2 Govt</stp>
        <stp>CRNCY</stp>
        <stp>[TREASURY.xlsx]Sheet1!R250C7</stp>
        <tr r="G250" s="1"/>
      </tp>
      <tp t="s">
        <v>USD</v>
        <stp/>
        <stp>##V3_BDPV12</stp>
        <stp>912828YZ Govt</stp>
        <stp>CRNCY</stp>
        <stp>[TREASURY.xlsx]Sheet1!R170C7</stp>
        <tr r="G170" s="1"/>
      </tp>
      <tp t="s">
        <v>USD</v>
        <stp/>
        <stp>##V3_BDPV12</stp>
        <stp>912828X7 Govt</stp>
        <stp>CRNCY</stp>
        <stp>[TREASURY.xlsx]Sheet1!R300C7</stp>
        <tr r="G300" s="1"/>
      </tp>
      <tp t="s">
        <v>USD</v>
        <stp/>
        <stp>##V3_BDPV12</stp>
        <stp>912828ZA Govt</stp>
        <stp>CRNCY</stp>
        <stp>[TREASURY.xlsx]Sheet1!R190C7</stp>
        <tr r="G190" s="1"/>
      </tp>
      <tp t="s">
        <v>USD</v>
        <stp/>
        <stp>##V3_BDPV12</stp>
        <stp>912828Z2 Govt</stp>
        <stp>CRNCY</stp>
        <stp>[TREASURY.xlsx]Sheet1!R210C7</stp>
        <tr r="G210" s="1"/>
      </tp>
      <tp t="s">
        <v>USD</v>
        <stp/>
        <stp>##V3_BDPV12</stp>
        <stp>912828AE Govt</stp>
        <stp>CRNCY</stp>
        <stp>[TREASURY.xlsx]Sheet1!R530C7</stp>
        <tr r="G530" s="1"/>
      </tp>
      <tp t="s">
        <v>UNITED STATES</v>
        <stp/>
        <stp>##V3_BDPV12</stp>
        <stp>912827B6 Govt</stp>
        <stp>COUNTRY_FULL_NAME</stp>
        <stp>[TREASURY.xlsx]Sheet1!R1550C8</stp>
        <tr r="H1550" s="1"/>
      </tp>
      <tp t="s">
        <v>USD</v>
        <stp/>
        <stp>##V3_BDPV12</stp>
        <stp>912828A6 Govt</stp>
        <stp>CRNCY</stp>
        <stp>[TREASURY.xlsx]Sheet1!R580C7</stp>
        <tr r="G580" s="1"/>
      </tp>
      <tp t="s">
        <v>USD</v>
        <stp/>
        <stp>##V3_BDPV12</stp>
        <stp>912828A9 Govt</stp>
        <stp>CRNCY</stp>
        <stp>[TREASURY.xlsx]Sheet1!R640C7</stp>
        <tr r="G640" s="1"/>
      </tp>
      <tp t="s">
        <v>UNITED STATES</v>
        <stp/>
        <stp>##V3_BDPV12</stp>
        <stp>912828B7 Govt</stp>
        <stp>COUNTRY_FULL_NAME</stp>
        <stp>[TREASURY.xlsx]Sheet1!R1270C8</stp>
        <tr r="H1270" s="1"/>
      </tp>
      <tp t="s">
        <v>USD</v>
        <stp/>
        <stp>##V3_BDPV12</stp>
        <stp>912828CK Govt</stp>
        <stp>CRNCY</stp>
        <stp>[TREASURY.xlsx]Sheet1!R790C7</stp>
        <tr r="G790" s="1"/>
      </tp>
      <tp t="s">
        <v>USD</v>
        <stp/>
        <stp>##V3_BDPV12</stp>
        <stp>912828CR Govt</stp>
        <stp>CRNCY</stp>
        <stp>[TREASURY.xlsx]Sheet1!R510C7</stp>
        <tr r="G510" s="1"/>
      </tp>
      <tp t="s">
        <v>UNITED STATES</v>
        <stp/>
        <stp>##V3_BDPV12</stp>
        <stp>912827G4 Govt</stp>
        <stp>COUNTRY_FULL_NAME</stp>
        <stp>[TREASURY.xlsx]Sheet1!R1035C8</stp>
        <tr r="H1035" s="1"/>
      </tp>
      <tp t="s">
        <v>USD</v>
        <stp/>
        <stp>##V3_BDPV12</stp>
        <stp>912828BN Govt</stp>
        <stp>CRNCY</stp>
        <stp>[TREASURY.xlsx]Sheet1!R960C7</stp>
        <tr r="G960" s="1"/>
      </tp>
      <tp t="s">
        <v>UNITED STATES</v>
        <stp/>
        <stp>##V3_BDPV12</stp>
        <stp>912827K5 Govt</stp>
        <stp>COUNTRY_FULL_NAME</stp>
        <stp>[TREASURY.xlsx]Sheet1!R1159C8</stp>
        <tr r="H1159" s="1"/>
      </tp>
      <tp t="s">
        <v>USD</v>
        <stp/>
        <stp>##V3_BDPV12</stp>
        <stp>912828B6 Govt</stp>
        <stp>CRNCY</stp>
        <stp>[TREASURY.xlsx]Sheet1!R110C7</stp>
        <tr r="G110" s="1"/>
      </tp>
      <tp t="s">
        <v>UNITED STATES</v>
        <stp/>
        <stp>##V3_BDPV12</stp>
        <stp>912828A5 Govt</stp>
        <stp>COUNTRY_FULL_NAME</stp>
        <stp>[TREASURY.xlsx]Sheet1!R1233C8</stp>
        <tr r="H1233" s="1"/>
      </tp>
      <tp t="s">
        <v>UNITED STATES</v>
        <stp/>
        <stp>##V3_BDPV12</stp>
        <stp>912827C5 Govt</stp>
        <stp>COUNTRY_FULL_NAME</stp>
        <stp>[TREASURY.xlsx]Sheet1!R1481C8</stp>
        <tr r="H1481" s="1"/>
      </tp>
      <tp t="s">
        <v>UNITED STATES</v>
        <stp/>
        <stp>##V3_BDPV12</stp>
        <stp>912827J5 Govt</stp>
        <stp>COUNTRY_FULL_NAME</stp>
        <stp>[TREASURY.xlsx]Sheet1!R1488C8</stp>
        <tr r="H1488" s="1"/>
      </tp>
      <tp t="s">
        <v>UNITED STATES</v>
        <stp/>
        <stp>##V3_BDPV12</stp>
        <stp>912827A5 Govt</stp>
        <stp>COUNTRY_FULL_NAME</stp>
        <stp>[TREASURY.xlsx]Sheet1!R1473C8</stp>
        <tr r="H1473" s="1"/>
      </tp>
      <tp t="s">
        <v>USD</v>
        <stp/>
        <stp>##V3_BDPV12</stp>
        <stp>912810EQ Govt</stp>
        <stp>CRNCY</stp>
        <stp>[TREASURY.xlsx]Sheet1!R298C7</stp>
        <tr r="G298" s="1"/>
      </tp>
      <tp t="s">
        <v>USD</v>
        <stp/>
        <stp>##V3_BDPV12</stp>
        <stp>912810EY Govt</stp>
        <stp>CRNCY</stp>
        <stp>[TREASURY.xlsx]Sheet1!R328C7</stp>
        <tr r="G328" s="1"/>
      </tp>
      <tp t="s">
        <v>UNITED STATES</v>
        <stp/>
        <stp>##V3_BDPV12</stp>
        <stp>912827K2 Govt</stp>
        <stp>COUNTRY_FULL_NAME</stp>
        <stp>[TREASURY.xlsx]Sheet1!R1489C8</stp>
        <tr r="H1489" s="1"/>
      </tp>
      <tp t="s">
        <v>USD</v>
        <stp/>
        <stp>##V3_BDPV12</stp>
        <stp>912828DF Govt</stp>
        <stp>CRNCY</stp>
        <stp>[TREASURY.xlsx]Sheet1!R840C7</stp>
        <tr r="G840" s="1"/>
      </tp>
      <tp t="s">
        <v>USD</v>
        <stp/>
        <stp>##V3_BDPV12</stp>
        <stp>912810DP Govt</stp>
        <stp>CRNCY</stp>
        <stp>[TREASURY.xlsx]Sheet1!R698C7</stp>
        <tr r="G698" s="1"/>
      </tp>
      <tp t="s">
        <v>USD</v>
        <stp/>
        <stp>##V3_BDPV12</stp>
        <stp>912828DV Govt</stp>
        <stp>CRNCY</stp>
        <stp>[TREASURY.xlsx]Sheet1!R620C7</stp>
        <tr r="G620" s="1"/>
      </tp>
      <tp t="s">
        <v>UNITED STATES</v>
        <stp/>
        <stp>##V3_BDPV12</stp>
        <stp>912827K3 Govt</stp>
        <stp>COUNTRY_FULL_NAME</stp>
        <stp>[TREASURY.xlsx]Sheet1!R1039C8</stp>
        <tr r="H1039" s="1"/>
      </tp>
      <tp t="s">
        <v>UNITED STATES</v>
        <stp/>
        <stp>##V3_BDPV12</stp>
        <stp>912827F3 Govt</stp>
        <stp>COUNTRY_FULL_NAME</stp>
        <stp>[TREASURY.xlsx]Sheet1!R1314C8</stp>
        <tr r="H1314" s="1"/>
      </tp>
      <tp t="s">
        <v>USD</v>
        <stp/>
        <stp>##V3_BDPV12</stp>
        <stp>912828G5 Govt</stp>
        <stp>CRNCY</stp>
        <stp>[TREASURY.xlsx]Sheet1!R230C7</stp>
        <tr r="G230" s="1"/>
      </tp>
      <tp t="s">
        <v>USD</v>
        <stp/>
        <stp>##V3_BDPV12</stp>
        <stp>912828G7 Govt</stp>
        <stp>CRNCY</stp>
        <stp>[TREASURY.xlsx]Sheet1!R560C7</stp>
        <tr r="G560" s="1"/>
      </tp>
      <tp t="s">
        <v>USD</v>
        <stp/>
        <stp>##V3_BDPV12</stp>
        <stp>912828FD Govt</stp>
        <stp>CRNCY</stp>
        <stp>[TREASURY.xlsx]Sheet1!R650C7</stp>
        <tr r="G650" s="1"/>
      </tp>
      <tp t="s">
        <v>USD</v>
        <stp/>
        <stp>##V3_BDPV12</stp>
        <stp>912810FM Govt</stp>
        <stp>CRNCY</stp>
        <stp>[TREASURY.xlsx]Sheet1!R188C7</stp>
        <tr r="G188" s="1"/>
      </tp>
      <tp t="s">
        <v>USD</v>
        <stp/>
        <stp>##V3_BDPV12</stp>
        <stp>912828FS Govt</stp>
        <stp>CRNCY</stp>
        <stp>[TREASURY.xlsx]Sheet1!R800C7</stp>
        <tr r="G800" s="1"/>
      </tp>
      <tp t="s">
        <v>USD</v>
        <stp/>
        <stp>##V3_BDPV12</stp>
        <stp>912828HF Govt</stp>
        <stp>CRNCY</stp>
        <stp>[TREASURY.xlsx]Sheet1!R970C7</stp>
        <tr r="G970" s="1"/>
      </tp>
      <tp t="s">
        <v>USD</v>
        <stp/>
        <stp>##V3_BDPV12</stp>
        <stp>912828HH Govt</stp>
        <stp>CRNCY</stp>
        <stp>[TREASURY.xlsx]Sheet1!R470C7</stp>
        <tr r="G470" s="1"/>
      </tp>
      <tp t="s">
        <v>USD</v>
        <stp/>
        <stp>##V3_BDPV12</stp>
        <stp>912828HE Govt</stp>
        <stp>CRNCY</stp>
        <stp>[TREASURY.xlsx]Sheet1!R850C7</stp>
        <tr r="G850" s="1"/>
      </tp>
      <tp t="s">
        <v>USD</v>
        <stp/>
        <stp>##V3_BDPV12</stp>
        <stp>912828HY Govt</stp>
        <stp>CRNCY</stp>
        <stp>[TREASURY.xlsx]Sheet1!R450C7</stp>
        <tr r="G450" s="1"/>
      </tp>
      <tp t="s">
        <v>USD</v>
        <stp/>
        <stp>##V3_BDPV12</stp>
        <stp>912828JM Govt</stp>
        <stp>CRNCY</stp>
        <stp>[TREASURY.xlsx]Sheet1!R810C7</stp>
        <tr r="G810" s="1"/>
      </tp>
      <tp t="s">
        <v>USD</v>
        <stp/>
        <stp>##V3_BDPV12</stp>
        <stp>912828JJ Govt</stp>
        <stp>CRNCY</stp>
        <stp>[TREASURY.xlsx]Sheet1!R690C7</stp>
        <tr r="G690" s="1"/>
      </tp>
      <tp t="s">
        <v>USD</v>
        <stp/>
        <stp>##V3_BDPV12</stp>
        <stp>912828MJ Govt</stp>
        <stp>CRNCY</stp>
        <stp>[TREASURY.xlsx]Sheet1!R820C7</stp>
        <tr r="G820" s="1"/>
      </tp>
      <tp t="s">
        <v>USD</v>
        <stp/>
        <stp>##V3_BDPV12</stp>
        <stp>912828MG Govt</stp>
        <stp>CRNCY</stp>
        <stp>[TREASURY.xlsx]Sheet1!R860C7</stp>
        <tr r="G860" s="1"/>
      </tp>
      <tp t="s">
        <v>USD</v>
        <stp/>
        <stp>##V3_BDPV12</stp>
        <stp>912828M8 Govt</stp>
        <stp>CRNCY</stp>
        <stp>[TREASURY.xlsx]Sheet1!R150C7</stp>
        <tr r="G150" s="1"/>
      </tp>
      <tp t="s">
        <v>USD</v>
        <stp/>
        <stp>##V3_BDPV12</stp>
        <stp>912828L6 Govt</stp>
        <stp>CRNCY</stp>
        <stp>[TREASURY.xlsx]Sheet1!R430C7</stp>
        <tr r="G430" s="1"/>
      </tp>
      <tp t="s">
        <v>UNITED STATES</v>
        <stp/>
        <stp>##V3_BDPV12</stp>
        <stp>912827F8 Govt</stp>
        <stp>COUNTRY_FULL_NAME</stp>
        <stp>[TREASURY.xlsx]Sheet1!R1154C8</stp>
        <tr r="H1154" s="1"/>
      </tp>
      <tp t="s">
        <v>UNITED STATES</v>
        <stp/>
        <stp>##V3_BDPV12</stp>
        <stp>912827J8 Govt</stp>
        <stp>COUNTRY_FULL_NAME</stp>
        <stp>[TREASURY.xlsx]Sheet1!R1038C8</stp>
        <tr r="H1038" s="1"/>
      </tp>
      <tp t="s">
        <v>USD</v>
        <stp/>
        <stp>##V3_BDPV12</stp>
        <stp>912828NX Govt</stp>
        <stp>CRNCY</stp>
        <stp>[TREASURY.xlsx]Sheet1!R980C7</stp>
        <tr r="G980" s="1"/>
      </tp>
      <tp t="s">
        <v>USD</v>
        <stp/>
        <stp>##V3_BDPV12</stp>
        <stp>912828N2 Govt</stp>
        <stp>CRNCY</stp>
        <stp>[TREASURY.xlsx]Sheet1!R440C7</stp>
        <tr r="G440" s="1"/>
      </tp>
      <tp t="s">
        <v>USD</v>
        <stp/>
        <stp>##V3_BDPV12</stp>
        <stp>912828N5 Govt</stp>
        <stp>CRNCY</stp>
        <stp>[TREASURY.xlsx]Sheet1!R600C7</stp>
        <tr r="G600" s="1"/>
      </tp>
      <tp t="s">
        <v>#N/A N/A</v>
        <stp/>
        <stp>##V3_BDPV12</stp>
        <stp>912810CT Govt</stp>
        <stp>YLD_YTM_BID</stp>
        <stp>[TREASURY.xlsx]Sheet1!R501C4</stp>
        <tr r="D501" s="1"/>
      </tp>
      <tp>
        <v>2.5</v>
        <stp/>
        <stp>##V3_BDPV12</stp>
        <stp>9128283V Govt</stp>
        <stp>CPN</stp>
        <stp>[TREASURY.xlsx]Sheet1!R242C3</stp>
        <tr r="C242" s="1"/>
      </tp>
      <tp>
        <v>1.875</v>
        <stp/>
        <stp>##V3_BDPV12</stp>
        <stp>9128282P Govt</stp>
        <stp>CPN</stp>
        <stp>[TREASURY.xlsx]Sheet1!R214C3</stp>
        <tr r="C214" s="1"/>
      </tp>
      <tp>
        <v>1.25</v>
        <stp/>
        <stp>##V3_BDPV12</stp>
        <stp>912828NV Govt</stp>
        <stp>CPN</stp>
        <stp>[TREASURY.xlsx]Sheet1!R382C3</stp>
        <tr r="C382" s="1"/>
      </tp>
      <tp>
        <v>3.75</v>
        <stp/>
        <stp>##V3_BDPV12</stp>
        <stp>912828JR Govt</stp>
        <stp>CPN</stp>
        <stp>[TREASURY.xlsx]Sheet1!R396C3</stp>
        <tr r="C396" s="1"/>
      </tp>
      <tp t="s">
        <v>#N/A N/A</v>
        <stp/>
        <stp>##V3_BDPV12</stp>
        <stp>912810CP Govt</stp>
        <stp>YLD_YTM_BID</stp>
        <stp>[TREASURY.xlsx]Sheet1!R405C4</stp>
        <tr r="D405" s="1"/>
      </tp>
      <tp>
        <v>1.375</v>
        <stp/>
        <stp>##V3_BDPV12</stp>
        <stp>9128282V Govt</stp>
        <stp>CPN</stp>
        <stp>[TREASURY.xlsx]Sheet1!R362C3</stp>
        <tr r="C362" s="1"/>
      </tp>
      <tp>
        <v>2</v>
        <stp/>
        <stp>##V3_BDPV12</stp>
        <stp>9128283Q Govt</stp>
        <stp>CPN</stp>
        <stp>[TREASURY.xlsx]Sheet1!R375C3</stp>
        <tr r="C375" s="1"/>
      </tp>
      <tp>
        <v>1.25</v>
        <stp/>
        <stp>##V3_BDPV12</stp>
        <stp>9128282T Govt</stp>
        <stp>CPN</stp>
        <stp>[TREASURY.xlsx]Sheet1!R330C3</stp>
        <tr r="C330" s="1"/>
      </tp>
      <tp>
        <v>0.125</v>
        <stp/>
        <stp>##V3_BDPV12</stp>
        <stp>912828ZR Govt</stp>
        <stp>CPN</stp>
        <stp>[TREASURY.xlsx]Sheet1!R136C3</stp>
        <tr r="C136" s="1"/>
      </tp>
      <tp>
        <v>2.5</v>
        <stp/>
        <stp>##V3_BDPV12</stp>
        <stp>912828CW Govt</stp>
        <stp>CPN</stp>
        <stp>[TREASURY.xlsx]Sheet1!R603C3</stp>
        <tr r="C603" s="1"/>
      </tp>
      <tp>
        <v>1.5</v>
        <stp/>
        <stp>##V3_BDPV12</stp>
        <stp>912828AV Govt</stp>
        <stp>CPN</stp>
        <stp>[TREASURY.xlsx]Sheet1!R602C3</stp>
        <tr r="C602" s="1"/>
      </tp>
      <tp>
        <v>1.5</v>
        <stp/>
        <stp>##V3_BDPV12</stp>
        <stp>912828JW Govt</stp>
        <stp>CPN</stp>
        <stp>[TREASURY.xlsx]Sheet1!R643C3</stp>
        <tr r="C643" s="1"/>
      </tp>
      <tp>
        <v>2.625</v>
        <stp/>
        <stp>##V3_BDPV12</stp>
        <stp>912828KR Govt</stp>
        <stp>CPN</stp>
        <stp>[TREASURY.xlsx]Sheet1!R676C3</stp>
        <tr r="C676" s="1"/>
      </tp>
      <tp>
        <v>7.875</v>
        <stp/>
        <stp>##V3_BDPV12</stp>
        <stp>912827UV Govt</stp>
        <stp>CPN</stp>
        <stp>[TREASURY.xlsx]Sheet1!R922C3</stp>
        <tr r="C922" s="1"/>
      </tp>
      <tp>
        <v>0.25</v>
        <stp/>
        <stp>##V3_BDPV12</stp>
        <stp>912828SW Govt</stp>
        <stp>CPN</stp>
        <stp>[TREASURY.xlsx]Sheet1!R653C3</stp>
        <tr r="C653" s="1"/>
      </tp>
      <tp>
        <v>0.5</v>
        <stp/>
        <stp>##V3_BDPV12</stp>
        <stp>912828PV Govt</stp>
        <stp>CPN</stp>
        <stp>[TREASURY.xlsx]Sheet1!R652C3</stp>
        <tr r="C652" s="1"/>
      </tp>
      <tp>
        <v>10.5</v>
        <stp/>
        <stp>##V3_BDPV12</stp>
        <stp>912827PP Govt</stp>
        <stp>CPN</stp>
        <stp>[TREASURY.xlsx]Sheet1!R904C3</stp>
        <tr r="C904" s="1"/>
      </tp>
      <tp>
        <v>2.5</v>
        <stp/>
        <stp>##V3_BDPV12</stp>
        <stp>9128284Q Govt</stp>
        <stp>CPN</stp>
        <stp>[TREASURY.xlsx]Sheet1!R675C3</stp>
        <tr r="C675" s="1"/>
      </tp>
      <tp>
        <v>3.5</v>
        <stp/>
        <stp>##V3_BDPV12</stp>
        <stp>912828DW Govt</stp>
        <stp>CPN</stp>
        <stp>[TREASURY.xlsx]Sheet1!R793C3</stp>
        <tr r="C793" s="1"/>
      </tp>
      <tp>
        <v>3.375</v>
        <stp/>
        <stp>##V3_BDPV12</stp>
        <stp>912828BQ Govt</stp>
        <stp>CPN</stp>
        <stp>[TREASURY.xlsx]Sheet1!R435C3</stp>
        <tr r="C435" s="1"/>
      </tp>
      <tp>
        <v>3.5</v>
        <stp/>
        <stp>##V3_BDPV12</stp>
        <stp>912828HR Govt</stp>
        <stp>CPN</stp>
        <stp>[TREASURY.xlsx]Sheet1!R476C3</stp>
        <tr r="C476" s="1"/>
      </tp>
      <tp>
        <v>1.375</v>
        <stp/>
        <stp>##V3_BDPV12</stp>
        <stp>912828RT Govt</stp>
        <stp>CPN</stp>
        <stp>[TREASURY.xlsx]Sheet1!R420C3</stp>
        <tr r="C420" s="1"/>
      </tp>
      <tp>
        <v>0.625</v>
        <stp/>
        <stp>##V3_BDPV12</stp>
        <stp>912828VR Govt</stp>
        <stp>CPN</stp>
        <stp>[TREASURY.xlsx]Sheet1!R566C3</stp>
        <tr r="C566" s="1"/>
      </tp>
      <tp>
        <v>1.5</v>
        <stp/>
        <stp>##V3_BDPV12</stp>
        <stp>912828QR Govt</stp>
        <stp>CPN</stp>
        <stp>[TREASURY.xlsx]Sheet1!R866C3</stp>
        <tr r="C866" s="1"/>
      </tp>
      <tp>
        <v>0.875</v>
        <stp/>
        <stp>##V3_BDPV12</stp>
        <stp>912828JV Govt</stp>
        <stp>CPN</stp>
        <stp>[TREASURY.xlsx]Sheet1!R972C3</stp>
        <tr r="C972" s="1"/>
      </tp>
      <tp>
        <v>10</v>
        <stp/>
        <stp>##V3_BDPV12</stp>
        <stp>912827PQ Govt</stp>
        <stp>CPN</stp>
        <stp>[TREASURY.xlsx]Sheet1!R665C3</stp>
        <tr r="C665" s="1"/>
      </tp>
      <tp>
        <v>1</v>
        <stp/>
        <stp>##V3_BDPV12</stp>
        <stp>912828PQ Govt</stp>
        <stp>CPN</stp>
        <stp>[TREASURY.xlsx]Sheet1!R985C3</stp>
        <tr r="C985" s="1"/>
      </tp>
      <tp>
        <v>4</v>
        <stp/>
        <stp>##V3_BDPV12</stp>
        <stp>9128274T Govt</stp>
        <stp>CPN</stp>
        <stp>[TREASURY.xlsx]Sheet1!R610C3</stp>
        <tr r="C610" s="1"/>
      </tp>
      <tp t="s">
        <v>#N/A N/A</v>
        <stp/>
        <stp>##V3_BDPV12</stp>
        <stp>912827KW Govt</stp>
        <stp>YLD_YTM_BID</stp>
        <stp>[TREASURY.xlsx]Sheet1!R392C4</stp>
        <tr r="D392" s="1"/>
      </tp>
      <tp t="s">
        <v>#N/A N/A</v>
        <stp/>
        <stp>##V3_BDPV12</stp>
        <stp>912828EP Govt</stp>
        <stp>YLD_YTM_BID</stp>
        <stp>[TREASURY.xlsx]Sheet1!R965C4</stp>
        <tr r="D965" s="1"/>
      </tp>
      <tp t="s">
        <v>#N/A N/A</v>
        <stp/>
        <stp>##V3_BDPV12</stp>
        <stp>912828SP Govt</stp>
        <stp>YLD_YTM_BID</stp>
        <stp>[TREASURY.xlsx]Sheet1!R995C4</stp>
        <tr r="D995" s="1"/>
      </tp>
      <tp t="s">
        <v>#N/A N/A</v>
        <stp/>
        <stp>##V3_BDPV12</stp>
        <stp>912828SS Govt</stp>
        <stp>YLD_YTM_BID</stp>
        <stp>[TREASURY.xlsx]Sheet1!R996C4</stp>
        <tr r="D996" s="1"/>
      </tp>
      <tp t="s">
        <v>#N/A N/A</v>
        <stp/>
        <stp>##V3_BDPV12</stp>
        <stp>912828RQ Govt</stp>
        <stp>YLD_YTM_BID</stp>
        <stp>[TREASURY.xlsx]Sheet1!R994C4</stp>
        <tr r="D994" s="1"/>
      </tp>
      <tp t="s">
        <v>#N/A N/A</v>
        <stp/>
        <stp>##V3_BDPV12</stp>
        <stp>912828PS Govt</stp>
        <stp>YLD_YTM_BID</stp>
        <stp>[TREASURY.xlsx]Sheet1!R986C4</stp>
        <tr r="D986" s="1"/>
      </tp>
      <tp t="s">
        <v>#N/A N/A</v>
        <stp/>
        <stp>##V3_BDPV12</stp>
        <stp>912828EW Govt</stp>
        <stp>YLD_YTM_BID</stp>
        <stp>[TREASURY.xlsx]Sheet1!R842C4</stp>
        <tr r="D842" s="1"/>
      </tp>
      <tp t="s">
        <v>#N/A N/A</v>
        <stp/>
        <stp>##V3_BDPV12</stp>
        <stp>912828HT Govt</stp>
        <stp>YLD_YTM_BID</stp>
        <stp>[TREASURY.xlsx]Sheet1!R851C4</stp>
        <tr r="D851" s="1"/>
      </tp>
      <tp t="s">
        <v>#N/A N/A</v>
        <stp/>
        <stp>##V3_BDPV12</stp>
        <stp>912828LR Govt</stp>
        <stp>YLD_YTM_BID</stp>
        <stp>[TREASURY.xlsx]Sheet1!R817C4</stp>
        <tr r="D817" s="1"/>
      </tp>
      <tp t="s">
        <v>#N/A N/A</v>
        <stp/>
        <stp>##V3_BDPV12</stp>
        <stp>912828NP Govt</stp>
        <stp>YLD_YTM_BID</stp>
        <stp>[TREASURY.xlsx]Sheet1!R865C4</stp>
        <tr r="D865" s="1"/>
      </tp>
      <tp t="s">
        <v>#N/A N/A</v>
        <stp/>
        <stp>##V3_BDPV12</stp>
        <stp>912828TQ Govt</stp>
        <stp>YLD_YTM_BID</stp>
        <stp>[TREASURY.xlsx]Sheet1!R874C4</stp>
        <tr r="D874" s="1"/>
      </tp>
      <tp t="s">
        <v>#N/A N/A</v>
        <stp/>
        <stp>##V3_BDPV12</stp>
        <stp>912828XV Govt</stp>
        <stp>YLD_YTM_BID</stp>
        <stp>[TREASURY.xlsx]Sheet1!R883C4</stp>
        <tr r="D883" s="1"/>
      </tp>
      <tp t="s">
        <v>#N/A N/A</v>
        <stp/>
        <stp>##V3_BDPV12</stp>
        <stp>9128274W Govt</stp>
        <stp>YLD_YTM_BID</stp>
        <stp>[TREASURY.xlsx]Sheet1!R522C4</stp>
        <tr r="D522" s="1"/>
      </tp>
      <tp t="s">
        <v>#N/A N/A</v>
        <stp/>
        <stp>##V3_BDPV12</stp>
        <stp>912828EQ Govt</stp>
        <stp>YLD_YTM_BID</stp>
        <stp>[TREASURY.xlsx]Sheet1!R524C4</stp>
        <tr r="D524" s="1"/>
      </tp>
      <tp t="s">
        <v>#N/A N/A</v>
        <stp/>
        <stp>##V3_BDPV12</stp>
        <stp>912828FQ Govt</stp>
        <stp>YLD_YTM_BID</stp>
        <stp>[TREASURY.xlsx]Sheet1!R534C4</stp>
        <tr r="D534" s="1"/>
      </tp>
      <tp t="s">
        <v>#N/A N/A</v>
        <stp/>
        <stp>##V3_BDPV12</stp>
        <stp>9128286V Govt</stp>
        <stp>YLD_YTM_BID</stp>
        <stp>[TREASURY.xlsx]Sheet1!R523C4</stp>
        <tr r="D523" s="1"/>
      </tp>
      <tp t="s">
        <v>#N/A N/A</v>
        <stp/>
        <stp>##V3_BDPV12</stp>
        <stp>912828JT Govt</stp>
        <stp>YLD_YTM_BID</stp>
        <stp>[TREASURY.xlsx]Sheet1!R471C4</stp>
        <tr r="D471" s="1"/>
      </tp>
      <tp>
        <v>4.375</v>
        <stp/>
        <stp>##V3_BDPV12</stp>
        <stp>912810QQ Govt</stp>
        <stp>CPN</stp>
        <stp>[TREASURY.xlsx]Sheet1!R315C3</stp>
        <tr r="C315" s="1"/>
      </tp>
      <tp t="s">
        <v>#N/A N/A</v>
        <stp/>
        <stp>##V3_BDPV12</stp>
        <stp>912827KP Govt</stp>
        <stp>YLD_YTM_BID</stp>
        <stp>[TREASURY.xlsx]Sheet1!R885C4</stp>
        <tr r="D885" s="1"/>
      </tp>
      <tp t="s">
        <v>#N/A N/A</v>
        <stp/>
        <stp>##V3_BDPV12</stp>
        <stp>912828UV Govt</stp>
        <stp>YLD_YTM_BID</stp>
        <stp>[TREASURY.xlsx]Sheet1!R693C4</stp>
        <tr r="D693" s="1"/>
      </tp>
      <tp t="s">
        <v>#N/A N/A</v>
        <stp/>
        <stp>##V3_BDPV12</stp>
        <stp>912827YS Govt</stp>
        <stp>YLD_YTM_BID</stp>
        <stp>[TREASURY.xlsx]Sheet1!R946C4</stp>
        <tr r="D946" s="1"/>
      </tp>
      <tp>
        <v>0.34426091797295866</v>
        <stp/>
        <stp>##V3_BDPV12</stp>
        <stp>9128285U Govt</stp>
        <stp>YLD_YTM_BID</stp>
        <stp>[TREASURY.xlsx]Sheet1!R160C4</stp>
        <tr r="D160" s="1"/>
      </tp>
      <tp>
        <v>0.58653533262394886</v>
        <stp/>
        <stp>##V3_BDPV12</stp>
        <stp>9128283P Govt</stp>
        <stp>YLD_YTM_BID</stp>
        <stp>[TREASURY.xlsx]Sheet1!R185C4</stp>
        <tr r="D185" s="1"/>
      </tp>
      <tp t="s">
        <v>#N/A N/A</v>
        <stp/>
        <stp>##V3_BDPV12</stp>
        <stp>912828NT Govt</stp>
        <stp>YLD_YTM_BID</stp>
        <stp>[TREASURY.xlsx]Sheet1!R351C4</stp>
        <tr r="D351" s="1"/>
      </tp>
      <tp>
        <v>0.69494169643298964</v>
        <stp/>
        <stp>##V3_BDPV12</stp>
        <stp>9128284R Govt</stp>
        <stp>YLD_YTM_BID</stp>
        <stp>[TREASURY.xlsx]Sheet1!R257C4</stp>
        <tr r="D257" s="1"/>
      </tp>
      <tp>
        <v>0.96212680294064445</v>
        <stp/>
        <stp>##V3_BDPV12</stp>
        <stp>9128282A Govt</stp>
        <stp>YLD_YTM_BID</stp>
        <stp>[TREASURY.xlsx]Sheet1!R56C4</stp>
        <tr r="D56" s="1"/>
      </tp>
      <tp>
        <v>2.625</v>
        <stp/>
        <stp>##V3_BDPV12</stp>
        <stp>9128286B Govt</stp>
        <stp>CPN</stp>
        <stp>[TREASURY.xlsx]Sheet1!R43C3</stp>
        <tr r="C43" s="1"/>
      </tp>
      <tp>
        <v>1.3034158763924046</v>
        <stp/>
        <stp>##V3_BDPV12</stp>
        <stp>9128285M Govt</stp>
        <stp>YLD_YTM_BID</stp>
        <stp>[TREASURY.xlsx]Sheet1!R51C4</stp>
        <tr r="D51" s="1"/>
      </tp>
      <tp>
        <v>2.875</v>
        <stp/>
        <stp>##V3_BDPV12</stp>
        <stp>9128284N Govt</stp>
        <stp>CPN</stp>
        <stp>[TREASURY.xlsx]Sheet1!R71C3</stp>
        <tr r="C71" s="1"/>
      </tp>
      <tp t="s">
        <v>S/A</v>
        <stp/>
        <stp>##V3_BDPV12</stp>
        <stp>912828LL Govt</stp>
        <stp>COUPON_FREQUENCY_DESCRIPTION</stp>
        <stp>[TREASURY.xlsx]Sheet1!R1290C10</stp>
        <tr r="J1290" s="1"/>
      </tp>
      <tp t="s">
        <v>UNITED STATES</v>
        <stp/>
        <stp>##V3_BDPV12</stp>
        <stp>912810BG Govt</stp>
        <stp>COUNTRY_FULL_NAME</stp>
        <stp>[TREASURY.xlsx]Sheet1!R1513C8</stp>
        <tr r="H1513" s="1"/>
      </tp>
      <tp t="s">
        <v>USD</v>
        <stp/>
        <stp>##V3_BDPV12</stp>
        <stp>9128283S Govt</stp>
        <stp>CRNCY</stp>
        <stp>[TREASURY.xlsx]Sheet1!R433C7</stp>
        <tr r="G433" s="1"/>
      </tp>
      <tp>
        <v>0.125</v>
        <stp/>
        <stp>##V3_BDPV12</stp>
        <stp>912828UY Govt</stp>
        <stp>CPN</stp>
        <stp>[TREASURY.xlsx]Sheet1!R1138C3</stp>
        <tr r="C1138" s="1"/>
      </tp>
      <tp>
        <v>1.375</v>
        <stp/>
        <stp>##V3_BDPV12</stp>
        <stp>912828VK Govt</stp>
        <stp>CPN</stp>
        <stp>[TREASURY.xlsx]Sheet1!R1148C3</stp>
        <tr r="C1148" s="1"/>
      </tp>
      <tp>
        <v>0.25</v>
        <stp/>
        <stp>##V3_BDPV12</stp>
        <stp>912828RZ Govt</stp>
        <stp>CPN</stp>
        <stp>[TREASURY.xlsx]Sheet1!R1268C3</stp>
        <tr r="C1268" s="1"/>
      </tp>
      <tp>
        <v>0.375</v>
        <stp/>
        <stp>##V3_BDPV12</stp>
        <stp>912828PD Govt</stp>
        <stp>CPN</stp>
        <stp>[TREASURY.xlsx]Sheet1!R1298C3</stp>
        <tr r="C1298" s="1"/>
      </tp>
      <tp>
        <v>4.625</v>
        <stp/>
        <stp>##V3_BDPV12</stp>
        <stp>912828FX Govt</stp>
        <stp>CPN</stp>
        <stp>[TREASURY.xlsx]Sheet1!R1278C3</stp>
        <tr r="C1278" s="1"/>
      </tp>
      <tp t="s">
        <v>#N/A N/A</v>
        <stp/>
        <stp>##V3_BDPV12</stp>
        <stp>912810CG Govt</stp>
        <stp>YLD_YTM_BID</stp>
        <stp>[TREASURY.xlsx]Sheet1!R1308C4</stp>
        <tr r="D1308" s="1"/>
      </tp>
      <tp t="s">
        <v>#N/A N/A</v>
        <stp/>
        <stp>##V3_BDPV12</stp>
        <stp>912810DY Govt</stp>
        <stp>YLD_YTM_BID</stp>
        <stp>[TREASURY.xlsx]Sheet1!R1448C4</stp>
        <tr r="D1448" s="1"/>
      </tp>
      <tp>
        <v>0.375</v>
        <stp/>
        <stp>##V3_BDPV12</stp>
        <stp>912828F8 Govt</stp>
        <stp>CPN</stp>
        <stp>[TREASURY.xlsx]Sheet1!R1118C3</stp>
        <tr r="C1118" s="1"/>
      </tp>
      <tp>
        <v>4.25</v>
        <stp/>
        <stp>##V3_BDPV12</stp>
        <stp>912828EJ Govt</stp>
        <stp>CPN</stp>
        <stp>[TREASURY.xlsx]Sheet1!R1238C3</stp>
        <tr r="C1238" s="1"/>
      </tp>
      <tp>
        <v>3.625</v>
        <stp/>
        <stp>##V3_BDPV12</stp>
        <stp>912828DS Govt</stp>
        <stp>CPN</stp>
        <stp>[TREASURY.xlsx]Sheet1!R1428C3</stp>
        <tr r="C1428" s="1"/>
      </tp>
      <tp t="s">
        <v>#N/A N/A</v>
        <stp/>
        <stp>##V3_BDPV12</stp>
        <stp>912810DN Govt</stp>
        <stp>YLD_YTM_BID</stp>
        <stp>[TREASURY.xlsx]Sheet1!R1348C4</stp>
        <tr r="D1348" s="1"/>
      </tp>
      <tp>
        <v>1.5</v>
        <stp/>
        <stp>##V3_BDPV12</stp>
        <stp>912828B3 Govt</stp>
        <stp>CPN</stp>
        <stp>[TREASURY.xlsx]Sheet1!R1108C3</stp>
        <tr r="C1108" s="1"/>
      </tp>
      <tp t="s">
        <v>#N/A N/A</v>
        <stp/>
        <stp>##V3_BDPV12</stp>
        <stp>912810CW Govt</stp>
        <stp>YLD_YTM_BID</stp>
        <stp>[TREASURY.xlsx]Sheet1!R1618C4</stp>
        <tr r="D1618" s="1"/>
      </tp>
      <tp>
        <v>2.125</v>
        <stp/>
        <stp>##V3_BDPV12</stp>
        <stp>912828HP Govt</stp>
        <stp>CPN</stp>
        <stp>[TREASURY.xlsx]Sheet1!R1438C3</stp>
        <tr r="C1438" s="1"/>
      </tp>
      <tp>
        <v>0.75</v>
        <stp/>
        <stp>##V3_BDPV12</stp>
        <stp>912828NY Govt</stp>
        <stp>CPN</stp>
        <stp>[TREASURY.xlsx]Sheet1!R1258C3</stp>
        <tr r="C1258" s="1"/>
      </tp>
      <tp>
        <v>1.75</v>
        <stp/>
        <stp>##V3_BDPV12</stp>
        <stp>912828LH Govt</stp>
        <stp>CPN</stp>
        <stp>[TREASURY.xlsx]Sheet1!R1128C3</stp>
        <tr r="C1128" s="1"/>
      </tp>
      <tp>
        <v>0.5</v>
        <stp/>
        <stp>##V3_BDPV12</stp>
        <stp>912828K6 Govt</stp>
        <stp>CPN</stp>
        <stp>[TREASURY.xlsx]Sheet1!R1248C3</stp>
        <tr r="C1248" s="1"/>
      </tp>
      <tp>
        <v>1.375</v>
        <stp/>
        <stp>##V3_BDPV12</stp>
        <stp>912828KG Govt</stp>
        <stp>CPN</stp>
        <stp>[TREASURY.xlsx]Sheet1!R1288C3</stp>
        <tr r="C1288" s="1"/>
      </tp>
      <tp t="s">
        <v>S/A</v>
        <stp/>
        <stp>##V3_BDPV12</stp>
        <stp>912828LM Govt</stp>
        <stp>COUPON_FREQUENCY_DESCRIPTION</stp>
        <stp>[TREASURY.xlsx]Sheet1!R1129C10</stp>
        <tr r="J1129" s="1"/>
      </tp>
      <tp t="s">
        <v>USD</v>
        <stp/>
        <stp>##V3_BDPV12</stp>
        <stp>9128282B Govt</stp>
        <stp>CRNCY</stp>
        <stp>[TREASURY.xlsx]Sheet1!R373C7</stp>
        <tr r="G373" s="1"/>
      </tp>
      <tp t="s">
        <v>S/A</v>
        <stp/>
        <stp>##V3_BDPV12</stp>
        <stp>912827LH Govt</stp>
        <stp>COUPON_FREQUENCY_DESCRIPTION</stp>
        <stp>[TREASURY.xlsx]Sheet1!R1566C10</stp>
        <tr r="J1566" s="1"/>
      </tp>
      <tp t="s">
        <v>USD</v>
        <stp/>
        <stp>##V3_BDPV12</stp>
        <stp>9128285A Govt</stp>
        <stp>CRNCY</stp>
        <stp>[TREASURY.xlsx]Sheet1!R283C7</stp>
        <tr r="G283" s="1"/>
      </tp>
      <tp t="s">
        <v>USD</v>
        <stp/>
        <stp>##V3_BDPV12</stp>
        <stp>9128285L Govt</stp>
        <stp>CRNCY</stp>
        <stp>[TREASURY.xlsx]Sheet1!R193C7</stp>
        <tr r="G193" s="1"/>
      </tp>
      <tp t="s">
        <v>UNITED STATES</v>
        <stp/>
        <stp>##V3_BDPV12</stp>
        <stp>912810EB Govt</stp>
        <stp>COUNTRY_FULL_NAME</stp>
        <stp>[TREASURY.xlsx]Sheet1!R1624C8</stp>
        <tr r="H1624" s="1"/>
      </tp>
      <tp t="s">
        <v>S/A</v>
        <stp/>
        <stp>##V3_BDPV12</stp>
        <stp>912827LK Govt</stp>
        <stp>COUPON_FREQUENCY_DESCRIPTION</stp>
        <stp>[TREASURY.xlsx]Sheet1!R1042C10</stp>
        <tr r="J1042" s="1"/>
      </tp>
      <tp t="s">
        <v>USD</v>
        <stp/>
        <stp>##V3_BDPV12</stp>
        <stp>9128286U Govt</stp>
        <stp>CRNCY</stp>
        <stp>[TREASURY.xlsx]Sheet1!R233C7</stp>
        <tr r="G233" s="1"/>
      </tp>
      <tp t="s">
        <v>USD</v>
        <stp/>
        <stp>##V3_BDPV12</stp>
        <stp>9128286V Govt</stp>
        <stp>CRNCY</stp>
        <stp>[TREASURY.xlsx]Sheet1!R523C7</stp>
        <tr r="G523" s="1"/>
      </tp>
      <tp t="s">
        <v>S/A</v>
        <stp/>
        <stp>##V3_BDPV12</stp>
        <stp>912828LH Govt</stp>
        <stp>COUPON_FREQUENCY_DESCRIPTION</stp>
        <stp>[TREASURY.xlsx]Sheet1!R1128C10</stp>
        <tr r="J1128" s="1"/>
      </tp>
      <tp t="s">
        <v>UNITED STATES</v>
        <stp/>
        <stp>##V3_BDPV12</stp>
        <stp>912810CN Govt</stp>
        <stp>COUNTRY_FULL_NAME</stp>
        <stp>[TREASURY.xlsx]Sheet1!R1442C8</stp>
        <tr r="H1442" s="1"/>
      </tp>
      <tp t="s">
        <v>9/15/2024</v>
        <stp/>
        <stp>##V3_BDPV12</stp>
        <stp>91282CCX Govt</stp>
        <stp>MATURITY</stp>
        <stp>[TREASURY.xlsx]Sheet1!R5C5</stp>
        <tr r="E5" s="1"/>
      </tp>
      <tp t="s">
        <v>S/A</v>
        <stp/>
        <stp>##V3_BDPV12</stp>
        <stp>912827LD Govt</stp>
        <stp>COUPON_FREQUENCY_DESCRIPTION</stp>
        <stp>[TREASURY.xlsx]Sheet1!R1378C10</stp>
        <tr r="J1378" s="1"/>
      </tp>
      <tp t="s">
        <v>T 6 5/8 04/30/02</v>
        <stp/>
        <stp>##V3_BDPV12</stp>
        <stp>9128272S Govt</stp>
        <stp>SECURITY_NAME</stp>
        <stp>[TREASURY.xlsx]Sheet1!R1520C16</stp>
        <tr r="P1520" s="1"/>
      </tp>
      <tp t="s">
        <v>T 5 5/8 12/31/02</v>
        <stp/>
        <stp>##V3_BDPV12</stp>
        <stp>9128273S Govt</stp>
        <stp>SECURITY_NAME</stp>
        <stp>[TREASURY.xlsx]Sheet1!R1531C16</stp>
        <tr r="P1531" s="1"/>
      </tp>
      <tp t="s">
        <v>T 4 3/4 01/31/03</v>
        <stp/>
        <stp>##V3_BDPV12</stp>
        <stp>9128276S Govt</stp>
        <stp>SECURITY_NAME</stp>
        <stp>[TREASURY.xlsx]Sheet1!R1540C16</stp>
        <tr r="P1540" s="1"/>
      </tp>
      <tp t="s">
        <v>S/A</v>
        <stp/>
        <stp>##V3_BDPV12</stp>
        <stp>912827LG Govt</stp>
        <stp>COUPON_FREQUENCY_DESCRIPTION</stp>
        <stp>[TREASURY.xlsx]Sheet1!R1321C10</stp>
        <tr r="J1321" s="1"/>
      </tp>
      <tp t="s">
        <v>T 8 3/4 09/30/92</v>
        <stp/>
        <stp>##V3_BDPV12</stp>
        <stp>912827WS Govt</stp>
        <stp>SECURITY_NAME</stp>
        <stp>[TREASURY.xlsx]Sheet1!R1420C16</stp>
        <tr r="P1420" s="1"/>
      </tp>
      <tp t="s">
        <v>T 6 3/4 03/31/91</v>
        <stp/>
        <stp>##V3_BDPV12</stp>
        <stp>912827US Govt</stp>
        <stp>SECURITY_NAME</stp>
        <stp>[TREASURY.xlsx]Sheet1!R1407C16</stp>
        <tr r="P1407" s="1"/>
      </tp>
      <tp t="s">
        <v>T 3 5/8 04/30/07</v>
        <stp/>
        <stp>##V3_BDPV12</stp>
        <stp>912828DS Govt</stp>
        <stp>SECURITY_NAME</stp>
        <stp>[TREASURY.xlsx]Sheet1!R1428C16</stp>
        <tr r="P1428" s="1"/>
      </tp>
      <tp t="s">
        <v>T 11 7/8 10/15/89</v>
        <stp/>
        <stp>##V3_BDPV12</stp>
        <stp>912827NS Govt</stp>
        <stp>SECURITY_NAME</stp>
        <stp>[TREASURY.xlsx]Sheet1!R1334C16</stp>
        <tr r="P1334" s="1"/>
      </tp>
      <tp t="s">
        <v>T 11 3/4 04/30/86</v>
        <stp/>
        <stp>##V3_BDPV12</stp>
        <stp>912827QS Govt</stp>
        <stp>SECURITY_NAME</stp>
        <stp>[TREASURY.xlsx]Sheet1!R1393C16</stp>
        <tr r="P1393" s="1"/>
      </tp>
      <tp t="s">
        <v>T 10 3/4 07/15/90</v>
        <stp/>
        <stp>##V3_BDPV12</stp>
        <stp>912827PS Govt</stp>
        <stp>SECURITY_NAME</stp>
        <stp>[TREASURY.xlsx]Sheet1!R1390C16</stp>
        <tr r="P1390" s="1"/>
      </tp>
      <tp t="s">
        <v>T 1 1/4 05/31/19</v>
        <stp/>
        <stp>##V3_BDPV12</stp>
        <stp>912828XS Govt</stp>
        <stp>SECURITY_NAME</stp>
        <stp>[TREASURY.xlsx]Sheet1!R1307C16</stp>
        <tr r="P1307" s="1"/>
      </tp>
      <tp>
        <v>6.5</v>
        <stp/>
        <stp>##V3_BDPV12</stp>
        <stp>912827U8 Govt</stp>
        <stp>CPN</stp>
        <stp>[TREASURY.xlsx]Sheet1!R1198C3</stp>
        <tr r="C1198" s="1"/>
      </tp>
      <tp>
        <v>6.625</v>
        <stp/>
        <stp>##V3_BDPV12</stp>
        <stp>912827UH Govt</stp>
        <stp>CPN</stp>
        <stp>[TREASURY.xlsx]Sheet1!R1078C3</stp>
        <tr r="C1078" s="1"/>
      </tp>
      <tp>
        <v>8.375</v>
        <stp/>
        <stp>##V3_BDPV12</stp>
        <stp>912827WL Govt</stp>
        <stp>CPN</stp>
        <stp>[TREASURY.xlsx]Sheet1!R1208C3</stp>
        <tr r="C1208" s="1"/>
      </tp>
      <tp>
        <v>12.625</v>
        <stp/>
        <stp>##V3_BDPV12</stp>
        <stp>912827QV Govt</stp>
        <stp>CPN</stp>
        <stp>[TREASURY.xlsx]Sheet1!R1498C3</stp>
        <tr r="C1498" s="1"/>
      </tp>
      <tp>
        <v>8</v>
        <stp/>
        <stp>##V3_BDPV12</stp>
        <stp>912827VM Govt</stp>
        <stp>CPN</stp>
        <stp>[TREASURY.xlsx]Sheet1!R1088C3</stp>
        <tr r="C1088" s="1"/>
      </tp>
      <tp>
        <v>9.875</v>
        <stp/>
        <stp>##V3_BDPV12</stp>
        <stp>912827SG Govt</stp>
        <stp>CPN</stp>
        <stp>[TREASURY.xlsx]Sheet1!R1588C3</stp>
        <tr r="C1588" s="1"/>
      </tp>
      <tp>
        <v>7.25</v>
        <stp/>
        <stp>##V3_BDPV12</stp>
        <stp>912827R9 Govt</stp>
        <stp>CPN</stp>
        <stp>[TREASURY.xlsx]Sheet1!R1578C3</stp>
        <tr r="C1578" s="1"/>
      </tp>
      <tp>
        <v>8.125</v>
        <stp/>
        <stp>##V3_BDPV12</stp>
        <stp>912827TD Govt</stp>
        <stp>CPN</stp>
        <stp>[TREASURY.xlsx]Sheet1!R1398C3</stp>
        <tr r="C1398" s="1"/>
      </tp>
      <tp>
        <v>6.5</v>
        <stp/>
        <stp>##V3_BDPV12</stp>
        <stp>912827Q7 Govt</stp>
        <stp>CPN</stp>
        <stp>[TREASURY.xlsx]Sheet1!R1178C3</stp>
        <tr r="C1178" s="1"/>
      </tp>
      <tp>
        <v>7.125</v>
        <stp/>
        <stp>##V3_BDPV12</stp>
        <stp>912827TK Govt</stp>
        <stp>CPN</stp>
        <stp>[TREASURY.xlsx]Sheet1!R1508C3</stp>
        <tr r="C1508" s="1"/>
      </tp>
      <tp>
        <v>10.875</v>
        <stp/>
        <stp>##V3_BDPV12</stp>
        <stp>912827QM Govt</stp>
        <stp>CPN</stp>
        <stp>[TREASURY.xlsx]Sheet1!R1058C3</stp>
        <tr r="C1058" s="1"/>
      </tp>
      <tp>
        <v>7.125</v>
        <stp/>
        <stp>##V3_BDPV12</stp>
        <stp>912827UU Govt</stp>
        <stp>CPN</stp>
        <stp>[TREASURY.xlsx]Sheet1!R1408C3</stp>
        <tr r="C1408" s="1"/>
      </tp>
      <tp>
        <v>9</v>
        <stp/>
        <stp>##V3_BDPV12</stp>
        <stp>912827SS Govt</stp>
        <stp>CPN</stp>
        <stp>[TREASURY.xlsx]Sheet1!R1188C3</stp>
        <tr r="C1188" s="1"/>
      </tp>
      <tp>
        <v>6.5</v>
        <stp/>
        <stp>##V3_BDPV12</stp>
        <stp>912827P7 Govt</stp>
        <stp>CPN</stp>
        <stp>[TREASURY.xlsx]Sheet1!R1338C3</stp>
        <tr r="C1338" s="1"/>
      </tp>
      <tp>
        <v>8.75</v>
        <stp/>
        <stp>##V3_BDPV12</stp>
        <stp>912827WM Govt</stp>
        <stp>CPN</stp>
        <stp>[TREASURY.xlsx]Sheet1!R1418C3</stp>
        <tr r="C1418" s="1"/>
      </tp>
      <tp>
        <v>9.25</v>
        <stp/>
        <stp>##V3_BDPV12</stp>
        <stp>912827PB Govt</stp>
        <stp>CPN</stp>
        <stp>[TREASURY.xlsx]Sheet1!R1388C3</stp>
        <tr r="C1388" s="1"/>
      </tp>
      <tp>
        <v>9.125</v>
        <stp/>
        <stp>##V3_BDPV12</stp>
        <stp>912827SZ Govt</stp>
        <stp>CPN</stp>
        <stp>[TREASURY.xlsx]Sheet1!R1068C3</stp>
        <tr r="C1068" s="1"/>
      </tp>
      <tp>
        <v>6.5</v>
        <stp/>
        <stp>##V3_BDPV12</stp>
        <stp>912827Z3 Govt</stp>
        <stp>CPN</stp>
        <stp>[TREASURY.xlsx]Sheet1!R1608C3</stp>
        <tr r="C1608" s="1"/>
      </tp>
      <tp>
        <v>9.125</v>
        <stp/>
        <stp>##V3_BDPV12</stp>
        <stp>912827XN Govt</stp>
        <stp>CPN</stp>
        <stp>[TREASURY.xlsx]Sheet1!R1598C3</stp>
        <tr r="C1598" s="1"/>
      </tp>
      <tp>
        <v>8.5</v>
        <stp/>
        <stp>##V3_BDPV12</stp>
        <stp>912827ZB Govt</stp>
        <stp>CPN</stp>
        <stp>[TREASURY.xlsx]Sheet1!R1228C3</stp>
        <tr r="C1228" s="1"/>
      </tp>
      <tp>
        <v>6.5</v>
        <stp/>
        <stp>##V3_BDPV12</stp>
        <stp>912827Y2 Govt</stp>
        <stp>CPN</stp>
        <stp>[TREASURY.xlsx]Sheet1!R1098C3</stp>
        <tr r="C1098" s="1"/>
      </tp>
      <tp>
        <v>8</v>
        <stp/>
        <stp>##V3_BDPV12</stp>
        <stp>912827XW Govt</stp>
        <stp>CPN</stp>
        <stp>[TREASURY.xlsx]Sheet1!R1218C3</stp>
        <tr r="C1218" s="1"/>
      </tp>
      <tp>
        <v>6.75</v>
        <stp/>
        <stp>##V3_BDPV12</stp>
        <stp>912827A9 Govt</stp>
        <stp>CPN</stp>
        <stp>[TREASURY.xlsx]Sheet1!R1548C3</stp>
        <tr r="C1548" s="1"/>
      </tp>
      <tp>
        <v>6.875</v>
        <stp/>
        <stp>##V3_BDPV12</stp>
        <stp>912827B8 Govt</stp>
        <stp>CPN</stp>
        <stp>[TREASURY.xlsx]Sheet1!R1478C3</stp>
        <tr r="C1478" s="1"/>
      </tp>
      <tp>
        <v>7</v>
        <stp/>
        <stp>##V3_BDPV12</stp>
        <stp>912827E8 Govt</stp>
        <stp>CPN</stp>
        <stp>[TREASURY.xlsx]Sheet1!R1558C3</stp>
        <tr r="C1558" s="1"/>
      </tp>
      <tp>
        <v>14.125</v>
        <stp/>
        <stp>##V3_BDPV12</stp>
        <stp>912827MZ Govt</stp>
        <stp>CPN</stp>
        <stp>[TREASURY.xlsx]Sheet1!R1168C3</stp>
        <tr r="C1168" s="1"/>
      </tp>
      <tp>
        <v>5.125</v>
        <stp/>
        <stp>##V3_BDPV12</stp>
        <stp>912827N4 Govt</stp>
        <stp>CPN</stp>
        <stp>[TREASURY.xlsx]Sheet1!R1048C3</stp>
        <tr r="C1048" s="1"/>
      </tp>
      <tp>
        <v>4.25</v>
        <stp/>
        <stp>##V3_BDPV12</stp>
        <stp>912827J5 Govt</stp>
        <stp>CPN</stp>
        <stp>[TREASURY.xlsx]Sheet1!R1488C3</stp>
        <tr r="C1488" s="1"/>
      </tp>
      <tp>
        <v>15</v>
        <stp/>
        <stp>##V3_BDPV12</stp>
        <stp>912827MU Govt</stp>
        <stp>CPN</stp>
        <stp>[TREASURY.xlsx]Sheet1!R1328C3</stp>
        <tr r="C1328" s="1"/>
      </tp>
      <tp>
        <v>12.125</v>
        <stp/>
        <stp>##V3_BDPV12</stp>
        <stp>912827LD Govt</stp>
        <stp>CPN</stp>
        <stp>[TREASURY.xlsx]Sheet1!R1378C3</stp>
        <tr r="C1378" s="1"/>
      </tp>
      <tp>
        <v>3.875</v>
        <stp/>
        <stp>##V3_BDPV12</stp>
        <stp>912827M3 Govt</stp>
        <stp>CPN</stp>
        <stp>[TREASURY.xlsx]Sheet1!R1568C3</stp>
        <tr r="C1568" s="1"/>
      </tp>
      <tp>
        <v>9.625</v>
        <stp/>
        <stp>##V3_BDPV12</stp>
        <stp>912827KT Govt</stp>
        <stp>CPN</stp>
        <stp>[TREASURY.xlsx]Sheet1!R1318C3</stp>
        <tr r="C1318" s="1"/>
      </tp>
      <tp>
        <v>4.625</v>
        <stp/>
        <stp>##V3_BDPV12</stp>
        <stp>912827H7 Govt</stp>
        <stp>CPN</stp>
        <stp>[TREASURY.xlsx]Sheet1!R1158C3</stp>
        <tr r="C1158" s="1"/>
      </tp>
      <tp>
        <v>3.875</v>
        <stp/>
        <stp>##V3_BDPV12</stp>
        <stp>912827J8 Govt</stp>
        <stp>CPN</stp>
        <stp>[TREASURY.xlsx]Sheet1!R1038C3</stp>
        <tr r="C1038" s="1"/>
      </tp>
      <tp>
        <v>5.875</v>
        <stp/>
        <stp>##V3_BDPV12</stp>
        <stp>9128275R Govt</stp>
        <stp>CPN</stp>
        <stp>[TREASURY.xlsx]Sheet1!R1018C3</stp>
        <tr r="C1018" s="1"/>
      </tp>
      <tp t="s">
        <v>T 8 1/4 12/31/91</v>
        <stp/>
        <stp>##V3_BDPV12</stp>
        <stp>912827VS Govt</stp>
        <stp>SECURITY_NAME</stp>
        <stp>[TREASURY.xlsx]Sheet1!R1205C16</stp>
        <tr r="P1205" s="1"/>
      </tp>
      <tp>
        <v>5.875</v>
        <stp/>
        <stp>##V3_BDPV12</stp>
        <stp>9128273J Govt</stp>
        <stp>CPN</stp>
        <stp>[TREASURY.xlsx]Sheet1!R1528C3</stp>
        <tr r="C1528" s="1"/>
      </tp>
      <tp>
        <v>5.875</v>
        <stp/>
        <stp>##V3_BDPV12</stp>
        <stp>9128272K Govt</stp>
        <stp>CPN</stp>
        <stp>[TREASURY.xlsx]Sheet1!R1518C3</stp>
        <tr r="C1518" s="1"/>
      </tp>
      <tp>
        <v>3.25</v>
        <stp/>
        <stp>##V3_BDPV12</stp>
        <stp>9128277H Govt</stp>
        <stp>CPN</stp>
        <stp>[TREASURY.xlsx]Sheet1!R1028C3</stp>
        <tr r="C1028" s="1"/>
      </tp>
      <tp>
        <v>4.625</v>
        <stp/>
        <stp>##V3_BDPV12</stp>
        <stp>9128274X Govt</stp>
        <stp>CPN</stp>
        <stp>[TREASURY.xlsx]Sheet1!R1368C3</stp>
        <tr r="C1368" s="1"/>
      </tp>
      <tp>
        <v>5.625</v>
        <stp/>
        <stp>##V3_BDPV12</stp>
        <stp>9128274C Govt</stp>
        <stp>CPN</stp>
        <stp>[TREASURY.xlsx]Sheet1!R1458C3</stp>
        <tr r="C1458" s="1"/>
      </tp>
      <tp>
        <v>5.75</v>
        <stp/>
        <stp>##V3_BDPV12</stp>
        <stp>9128273Q Govt</stp>
        <stp>CPN</stp>
        <stp>[TREASURY.xlsx]Sheet1!R1358C3</stp>
        <tr r="C1358" s="1"/>
      </tp>
      <tp>
        <v>5.625</v>
        <stp/>
        <stp>##V3_BDPV12</stp>
        <stp>9128272B Govt</stp>
        <stp>CPN</stp>
        <stp>[TREASURY.xlsx]Sheet1!R1008C3</stp>
        <tr r="C1008" s="1"/>
      </tp>
      <tp>
        <v>4.25</v>
        <stp/>
        <stp>##V3_BDPV12</stp>
        <stp>9128276V Govt</stp>
        <stp>CPN</stp>
        <stp>[TREASURY.xlsx]Sheet1!R1468C3</stp>
        <tr r="C1468" s="1"/>
      </tp>
      <tp>
        <v>6</v>
        <stp/>
        <stp>##V3_BDPV12</stp>
        <stp>9128276L Govt</stp>
        <stp>CPN</stp>
        <stp>[TREASURY.xlsx]Sheet1!R1538C3</stp>
        <tr r="C1538" s="1"/>
      </tp>
      <tp t="s">
        <v>T 2 02/28/10</v>
        <stp/>
        <stp>##V3_BDPV12</stp>
        <stp>912828HS Govt</stp>
        <stp>SECURITY_NAME</stp>
        <stp>[TREASURY.xlsx]Sheet1!R1245C16</stp>
        <tr r="P1245" s="1"/>
      </tp>
      <tp t="s">
        <v>T 1 1/4 11/30/10</v>
        <stp/>
        <stp>##V3_BDPV12</stp>
        <stp>912828JS Govt</stp>
        <stp>SECURITY_NAME</stp>
        <stp>[TREASURY.xlsx]Sheet1!R1247C16</stp>
        <tr r="P1247" s="1"/>
      </tp>
      <tp t="s">
        <v>T 9 09/30/87</v>
        <stp/>
        <stp>##V3_BDPV12</stp>
        <stp>912827SS Govt</stp>
        <stp>SECURITY_NAME</stp>
        <stp>[TREASURY.xlsx]Sheet1!R1188C16</stp>
        <tr r="P1188" s="1"/>
      </tp>
      <tp t="s">
        <v>T 4 1/4 01/15/11</v>
        <stp/>
        <stp>##V3_BDPV12</stp>
        <stp>912828ES Govt</stp>
        <stp>SECURITY_NAME</stp>
        <stp>[TREASURY.xlsx]Sheet1!R1116C16</stp>
        <tr r="P1116" s="1"/>
      </tp>
      <tp t="s">
        <v>T 0 3/8 03/15/16</v>
        <stp/>
        <stp>##V3_BDPV12</stp>
        <stp>912828US Govt</stp>
        <stp>SECURITY_NAME</stp>
        <stp>[TREASURY.xlsx]Sheet1!R1137C16</stp>
        <tr r="P1137" s="1"/>
      </tp>
      <tp t="s">
        <v>UNITED STATES</v>
        <stp/>
        <stp>##V3_BDPV12</stp>
        <stp>912828EH Govt</stp>
        <stp>COUNTRY_FULL_NAME</stp>
        <stp>[TREASURY.xlsx]Sheet1!R1114C8</stp>
        <tr r="H1114" s="1"/>
      </tp>
      <tp t="s">
        <v>T 5 7/8 11/15/04</v>
        <stp/>
        <stp>##V3_BDPV12</stp>
        <stp>9128275S Govt</stp>
        <stp>SECURITY_NAME</stp>
        <stp>[TREASURY.xlsx]Sheet1!R1019C16</stp>
        <tr r="P1019" s="1"/>
      </tp>
      <tp t="s">
        <v>T 14 1/8 12/31/85</v>
        <stp/>
        <stp>##V3_BDPV12</stp>
        <stp>912827MS Govt</stp>
        <stp>SECURITY_NAME</stp>
        <stp>[TREASURY.xlsx]Sheet1!R1046C16</stp>
        <tr r="P1046" s="1"/>
      </tp>
      <tp t="s">
        <v>T 13 3/8 03/31/85</v>
        <stp/>
        <stp>##V3_BDPV12</stp>
        <stp>912827LS Govt</stp>
        <stp>SECURITY_NAME</stp>
        <stp>[TREASURY.xlsx]Sheet1!R1043C16</stp>
        <tr r="P1043" s="1"/>
      </tp>
      <tp t="s">
        <v>S/A</v>
        <stp/>
        <stp>##V3_BDPV12</stp>
        <stp>912828LC Govt</stp>
        <stp>COUPON_FREQUENCY_DESCRIPTION</stp>
        <stp>[TREASURY.xlsx]Sheet1!R1289C10</stp>
        <tr r="J1289" s="1"/>
      </tp>
      <tp t="s">
        <v>S/A</v>
        <stp/>
        <stp>##V3_BDPV12</stp>
        <stp>912827LB Govt</stp>
        <stp>COUPON_FREQUENCY_DESCRIPTION</stp>
        <stp>[TREASURY.xlsx]Sheet1!R1320C10</stp>
        <tr r="J1320" s="1"/>
      </tp>
      <tp t="s">
        <v>S/A</v>
        <stp/>
        <stp>##V3_BDPV12</stp>
        <stp>912827LZ Govt</stp>
        <stp>COUPON_FREQUENCY_DESCRIPTION</stp>
        <stp>[TREASURY.xlsx]Sheet1!R1567C10</stp>
        <tr r="J1567" s="1"/>
      </tp>
      <tp t="s">
        <v>UNITED STATES</v>
        <stp/>
        <stp>##V3_BDPV12</stp>
        <stp>912828GW Govt</stp>
        <stp>COUNTRY_FULL_NAME</stp>
        <stp>[TREASURY.xlsx]Sheet1!R1436C8</stp>
        <tr r="H1436" s="1"/>
      </tp>
      <tp t="s">
        <v>UNITED STATES</v>
        <stp/>
        <stp>##V3_BDPV12</stp>
        <stp>912828FR Govt</stp>
        <stp>COUNTRY_FULL_NAME</stp>
        <stp>[TREASURY.xlsx]Sheet1!R1277C8</stp>
        <tr r="H1277" s="1"/>
      </tp>
      <tp t="s">
        <v>S/A</v>
        <stp/>
        <stp>##V3_BDPV12</stp>
        <stp>912827LT Govt</stp>
        <stp>COUPON_FREQUENCY_DESCRIPTION</stp>
        <stp>[TREASURY.xlsx]Sheet1!R1379C10</stp>
        <tr r="J1379" s="1"/>
      </tp>
      <tp t="s">
        <v>UNITED STATES</v>
        <stp/>
        <stp>##V3_BDPV12</stp>
        <stp>91282CCS Govt</stp>
        <stp>COUNTRY_FULL_NAME</stp>
        <stp>[TREASURY.xlsx]Sheet1!R2C8</stp>
        <tr r="H2" s="1"/>
      </tp>
      <tp t="s">
        <v>S/A</v>
        <stp/>
        <stp>##V3_BDPV12</stp>
        <stp>912827LP Govt</stp>
        <stp>COUPON_FREQUENCY_DESCRIPTION</stp>
        <stp>[TREASURY.xlsx]Sheet1!R1491C10</stp>
        <tr r="J1491" s="1"/>
      </tp>
      <tp t="s">
        <v>S/A</v>
        <stp/>
        <stp>##V3_BDPV12</stp>
        <stp>912828LV Govt</stp>
        <stp>COUPON_FREQUENCY_DESCRIPTION</stp>
        <stp>[TREASURY.xlsx]Sheet1!R1291C10</stp>
        <tr r="J1291" s="1"/>
      </tp>
      <tp t="s">
        <v>S/A</v>
        <stp/>
        <stp>##V3_BDPV12</stp>
        <stp>912827LW Govt</stp>
        <stp>COUPON_FREQUENCY_DESCRIPTION</stp>
        <stp>[TREASURY.xlsx]Sheet1!R1380C10</stp>
        <tr r="J1380" s="1"/>
      </tp>
      <tp t="s">
        <v>S/A</v>
        <stp/>
        <stp>##V3_BDPV12</stp>
        <stp>912827LQ Govt</stp>
        <stp>COUPON_FREQUENCY_DESCRIPTION</stp>
        <stp>[TREASURY.xlsx]Sheet1!R1322C10</stp>
        <tr r="J1322" s="1"/>
      </tp>
      <tp t="s">
        <v>S/A</v>
        <stp/>
        <stp>##V3_BDPV12</stp>
        <stp>912827LS Govt</stp>
        <stp>COUPON_FREQUENCY_DESCRIPTION</stp>
        <stp>[TREASURY.xlsx]Sheet1!R1043C10</stp>
        <tr r="J1043" s="1"/>
      </tp>
      <tp t="s">
        <v>S/A</v>
        <stp/>
        <stp>##V3_BDPV12</stp>
        <stp>912827LR Govt</stp>
        <stp>COUPON_FREQUENCY_DESCRIPTION</stp>
        <stp>[TREASURY.xlsx]Sheet1!R1323C10</stp>
        <tr r="J1323" s="1"/>
      </tp>
      <tp t="s">
        <v>USD</v>
        <stp/>
        <stp>##V3_BDPV12</stp>
        <stp>912828Q3 Govt</stp>
        <stp>CRNCY</stp>
        <stp>[TREASURY.xlsx]Sheet1!R413C7</stp>
        <tr r="G413" s="1"/>
      </tp>
      <tp t="s">
        <v>USD</v>
        <stp/>
        <stp>##V3_BDPV12</stp>
        <stp>912828Q4 Govt</stp>
        <stp>CRNCY</stp>
        <stp>[TREASURY.xlsx]Sheet1!R423C7</stp>
        <tr r="G423" s="1"/>
      </tp>
      <tp t="s">
        <v>USD</v>
        <stp/>
        <stp>##V3_BDPV12</stp>
        <stp>912828PL Govt</stp>
        <stp>CRNCY</stp>
        <stp>[TREASURY.xlsx]Sheet1!R983C7</stp>
        <tr r="G983" s="1"/>
      </tp>
      <tp t="s">
        <v>USD</v>
        <stp/>
        <stp>##V3_BDPV12</stp>
        <stp>912828PM Govt</stp>
        <stp>CRNCY</stp>
        <stp>[TREASURY.xlsx]Sheet1!R593C7</stp>
        <tr r="G593" s="1"/>
      </tp>
      <tp t="s">
        <v>USD</v>
        <stp/>
        <stp>##V3_BDPV12</stp>
        <stp>912828SD Govt</stp>
        <stp>CRNCY</stp>
        <stp>[TREASURY.xlsx]Sheet1!R623C7</stp>
        <tr r="G623" s="1"/>
      </tp>
      <tp t="s">
        <v>USD</v>
        <stp/>
        <stp>##V3_BDPV12</stp>
        <stp>912828SW Govt</stp>
        <stp>CRNCY</stp>
        <stp>[TREASURY.xlsx]Sheet1!R653C7</stp>
        <tr r="G653" s="1"/>
      </tp>
      <tp t="s">
        <v>USD</v>
        <stp/>
        <stp>##V3_BDPV12</stp>
        <stp>912828RJ Govt</stp>
        <stp>CRNCY</stp>
        <stp>[TREASURY.xlsx]Sheet1!R993C7</stp>
        <tr r="G993" s="1"/>
      </tp>
      <tp t="s">
        <v>USD</v>
        <stp/>
        <stp>##V3_BDPV12</stp>
        <stp>912828RC Govt</stp>
        <stp>CRNCY</stp>
        <stp>[TREASURY.xlsx]Sheet1!R333C7</stp>
        <tr r="G333" s="1"/>
      </tp>
      <tp t="s">
        <v>USD</v>
        <stp/>
        <stp>##V3_BDPV12</stp>
        <stp>912828RM Govt</stp>
        <stp>CRNCY</stp>
        <stp>[TREASURY.xlsx]Sheet1!R563C7</stp>
        <tr r="G563" s="1"/>
      </tp>
      <tp t="s">
        <v>USD</v>
        <stp/>
        <stp>##V3_BDPV12</stp>
        <stp>912828R7 Govt</stp>
        <stp>CRNCY</stp>
        <stp>[TREASURY.xlsx]Sheet1!R383C7</stp>
        <tr r="G383" s="1"/>
      </tp>
      <tp t="s">
        <v>USD</v>
        <stp/>
        <stp>##V3_BDPV12</stp>
        <stp>912828UV Govt</stp>
        <stp>CRNCY</stp>
        <stp>[TREASURY.xlsx]Sheet1!R693C7</stp>
        <tr r="G693" s="1"/>
      </tp>
      <tp t="s">
        <v>USD</v>
        <stp/>
        <stp>##V3_BDPV12</stp>
        <stp>912828U8 Govt</stp>
        <stp>CRNCY</stp>
        <stp>[TREASURY.xlsx]Sheet1!R213C7</stp>
        <tr r="G213" s="1"/>
      </tp>
      <tp t="s">
        <v>USD</v>
        <stp/>
        <stp>##V3_BDPV12</stp>
        <stp>912828TM Govt</stp>
        <stp>CRNCY</stp>
        <stp>[TREASURY.xlsx]Sheet1!R873C7</stp>
        <tr r="G873" s="1"/>
      </tp>
      <tp t="s">
        <v>USD</v>
        <stp/>
        <stp>##V3_BDPV12</stp>
        <stp>912828WS Govt</stp>
        <stp>CRNCY</stp>
        <stp>[TREASURY.xlsx]Sheet1!R543C7</stp>
        <tr r="G543" s="1"/>
      </tp>
      <tp t="s">
        <v>USD</v>
        <stp/>
        <stp>##V3_BDPV12</stp>
        <stp>912828W9 Govt</stp>
        <stp>CRNCY</stp>
        <stp>[TREASURY.xlsx]Sheet1!R363C7</stp>
        <tr r="G363" s="1"/>
      </tp>
      <tp t="s">
        <v>USD</v>
        <stp/>
        <stp>##V3_BDPV12</stp>
        <stp>912828VE Govt</stp>
        <stp>CRNCY</stp>
        <stp>[TREASURY.xlsx]Sheet1!R673C7</stp>
        <tr r="G673" s="1"/>
      </tp>
      <tp t="s">
        <v>USD</v>
        <stp/>
        <stp>##V3_BDPV12</stp>
        <stp>912828YE Govt</stp>
        <stp>CRNCY</stp>
        <stp>[TREASURY.xlsx]Sheet1!R143C7</stp>
        <tr r="G143" s="1"/>
      </tp>
      <tp t="s">
        <v>USD</v>
        <stp/>
        <stp>##V3_BDPV12</stp>
        <stp>912828YA Govt</stp>
        <stp>CRNCY</stp>
        <stp>[TREASURY.xlsx]Sheet1!R183C7</stp>
        <tr r="G183" s="1"/>
      </tp>
      <tp t="s">
        <v>USD</v>
        <stp/>
        <stp>##V3_BDPV12</stp>
        <stp>912828YM Govt</stp>
        <stp>CRNCY</stp>
        <stp>[TREASURY.xlsx]Sheet1!R113C7</stp>
        <tr r="G113" s="1"/>
      </tp>
      <tp t="s">
        <v>USD</v>
        <stp/>
        <stp>##V3_BDPV12</stp>
        <stp>912828XR Govt</stp>
        <stp>CRNCY</stp>
        <stp>[TREASURY.xlsx]Sheet1!R203C7</stp>
        <tr r="G203" s="1"/>
      </tp>
      <tp t="s">
        <v>USD</v>
        <stp/>
        <stp>##V3_BDPV12</stp>
        <stp>912828XV Govt</stp>
        <stp>CRNCY</stp>
        <stp>[TREASURY.xlsx]Sheet1!R883C7</stp>
        <tr r="G883" s="1"/>
      </tp>
      <tp t="s">
        <v>USD</v>
        <stp/>
        <stp>##V3_BDPV12</stp>
        <stp>912828XY Govt</stp>
        <stp>CRNCY</stp>
        <stp>[TREASURY.xlsx]Sheet1!R473C7</stp>
        <tr r="G473" s="1"/>
      </tp>
      <tp t="s">
        <v>USD</v>
        <stp/>
        <stp>##V3_BDPV12</stp>
        <stp>912828ZP Govt</stp>
        <stp>CRNCY</stp>
        <stp>[TREASURY.xlsx]Sheet1!R153C7</stp>
        <tr r="G153" s="1"/>
      </tp>
      <tp t="s">
        <v>UNITED STATES</v>
        <stp/>
        <stp>##V3_BDPV12</stp>
        <stp>912827G6 Govt</stp>
        <stp>COUNTRY_FULL_NAME</stp>
        <stp>[TREASURY.xlsx]Sheet1!R1036C8</stp>
        <tr r="H1036" s="1"/>
      </tp>
      <tp t="s">
        <v>USD</v>
        <stp/>
        <stp>##V3_BDPV12</stp>
        <stp>912828CJ Govt</stp>
        <stp>CRNCY</stp>
        <stp>[TREASURY.xlsx]Sheet1!R393C7</stp>
        <tr r="G393" s="1"/>
      </tp>
      <tp t="s">
        <v>USD</v>
        <stp/>
        <stp>##V3_BDPV12</stp>
        <stp>912828CM Govt</stp>
        <stp>CRNCY</stp>
        <stp>[TREASURY.xlsx]Sheet1!R493C7</stp>
        <tr r="G493" s="1"/>
      </tp>
      <tp t="s">
        <v>USD</v>
        <stp/>
        <stp>##V3_BDPV12</stp>
        <stp>912828CW Govt</stp>
        <stp>CRNCY</stp>
        <stp>[TREASURY.xlsx]Sheet1!R603C7</stp>
        <tr r="G603" s="1"/>
      </tp>
      <tp t="s">
        <v>UNITED STATES</v>
        <stp/>
        <stp>##V3_BDPV12</stp>
        <stp>912828F4 Govt</stp>
        <stp>COUNTRY_FULL_NAME</stp>
        <stp>[TREASURY.xlsx]Sheet1!R1117C8</stp>
        <tr r="H1117" s="1"/>
      </tp>
      <tp t="s">
        <v>USD</v>
        <stp/>
        <stp>##V3_BDPV12</stp>
        <stp>912828BM Govt</stp>
        <stp>CRNCY</stp>
        <stp>[TREASURY.xlsx]Sheet1!R453C7</stp>
        <tr r="G453" s="1"/>
      </tp>
      <tp t="s">
        <v>USD</v>
        <stp/>
        <stp>##V3_BDPV12</stp>
        <stp>912828BL Govt</stp>
        <stp>CRNCY</stp>
        <stp>[TREASURY.xlsx]Sheet1!R513C7</stp>
        <tr r="G513" s="1"/>
      </tp>
      <tp t="s">
        <v>USD</v>
        <stp/>
        <stp>##V3_BDPV12</stp>
        <stp>912828BU Govt</stp>
        <stp>CRNCY</stp>
        <stp>[TREASURY.xlsx]Sheet1!R533C7</stp>
        <tr r="G533" s="1"/>
      </tp>
      <tp t="s">
        <v>UNITED STATES</v>
        <stp/>
        <stp>##V3_BDPV12</stp>
        <stp>912827G5 Govt</stp>
        <stp>COUNTRY_FULL_NAME</stp>
        <stp>[TREASURY.xlsx]Sheet1!R1156C8</stp>
        <tr r="H1156" s="1"/>
      </tp>
      <tp t="s">
        <v>USD</v>
        <stp/>
        <stp>##V3_BDPV12</stp>
        <stp>912828DN Govt</stp>
        <stp>CRNCY</stp>
        <stp>[TREASURY.xlsx]Sheet1!R963C7</stp>
        <tr r="G963" s="1"/>
      </tp>
      <tp t="s">
        <v>USD</v>
        <stp/>
        <stp>##V3_BDPV12</stp>
        <stp>912828DW Govt</stp>
        <stp>CRNCY</stp>
        <stp>[TREASURY.xlsx]Sheet1!R793C7</stp>
        <tr r="G793" s="1"/>
      </tp>
      <tp t="s">
        <v>S/A</v>
        <stp/>
        <stp>##V3_BDPV12</stp>
        <stp>912827L8 Govt</stp>
        <stp>COUPON_FREQUENCY_DESCRIPTION</stp>
        <stp>[TREASURY.xlsx]Sheet1!R1319C10</stp>
        <tr r="J1319" s="1"/>
      </tp>
      <tp t="s">
        <v>UNITED STATES</v>
        <stp/>
        <stp>##V3_BDPV12</stp>
        <stp>912827A3 Govt</stp>
        <stp>COUNTRY_FULL_NAME</stp>
        <stp>[TREASURY.xlsx]Sheet1!R1030C8</stp>
        <tr r="H1030" s="1"/>
      </tp>
      <tp t="s">
        <v>USD</v>
        <stp/>
        <stp>##V3_BDPV12</stp>
        <stp>912828D6 Govt</stp>
        <stp>CRNCY</stp>
        <stp>[TREASURY.xlsx]Sheet1!R613C7</stp>
        <tr r="G613" s="1"/>
      </tp>
      <tp t="s">
        <v>USD</v>
        <stp/>
        <stp>##V3_BDPV12</stp>
        <stp>912828GP Govt</stp>
        <stp>CRNCY</stp>
        <stp>[TREASURY.xlsx]Sheet1!R803C7</stp>
        <tr r="G803" s="1"/>
      </tp>
      <tp t="s">
        <v>USD</v>
        <stp/>
        <stp>##V3_BDPV12</stp>
        <stp>912828FH Govt</stp>
        <stp>CRNCY</stp>
        <stp>[TREASURY.xlsx]Sheet1!R843C7</stp>
        <tr r="G843" s="1"/>
      </tp>
      <tp t="s">
        <v>S/A</v>
        <stp/>
        <stp>##V3_BDPV12</stp>
        <stp>912828L8 Govt</stp>
        <stp>COUPON_FREQUENCY_DESCRIPTION</stp>
        <stp>[TREASURY.xlsx]Sheet1!R1127C10</stp>
        <tr r="J1127" s="1"/>
      </tp>
      <tp t="s">
        <v>S/A</v>
        <stp/>
        <stp>##V3_BDPV12</stp>
        <stp>912827L3 Govt</stp>
        <stp>COUPON_FREQUENCY_DESCRIPTION</stp>
        <stp>[TREASURY.xlsx]Sheet1!R1564C10</stp>
        <tr r="J1564" s="1"/>
      </tp>
      <tp t="s">
        <v>S/A</v>
        <stp/>
        <stp>##V3_BDPV12</stp>
        <stp>912827L6 Govt</stp>
        <stp>COUPON_FREQUENCY_DESCRIPTION</stp>
        <stp>[TREASURY.xlsx]Sheet1!R1041C10</stp>
        <tr r="J1041" s="1"/>
      </tp>
      <tp t="s">
        <v>USD</v>
        <stp/>
        <stp>##V3_BDPV12</stp>
        <stp>912828HM Govt</stp>
        <stp>CRNCY</stp>
        <stp>[TREASURY.xlsx]Sheet1!R573C7</stp>
        <tr r="G573" s="1"/>
      </tp>
      <tp t="s">
        <v>USD</v>
        <stp/>
        <stp>##V3_BDPV12</stp>
        <stp>912828KQ Govt</stp>
        <stp>CRNCY</stp>
        <stp>[TREASURY.xlsx]Sheet1!R583C7</stp>
        <tr r="G583" s="1"/>
      </tp>
      <tp t="s">
        <v>USD</v>
        <stp/>
        <stp>##V3_BDPV12</stp>
        <stp>912828KT Govt</stp>
        <stp>CRNCY</stp>
        <stp>[TREASURY.xlsx]Sheet1!R973C7</stp>
        <tr r="G973" s="1"/>
      </tp>
      <tp t="s">
        <v>USD</v>
        <stp/>
        <stp>##V3_BDPV12</stp>
        <stp>912828KU Govt</stp>
        <stp>CRNCY</stp>
        <stp>[TREASURY.xlsx]Sheet1!R813C7</stp>
        <tr r="G813" s="1"/>
      </tp>
      <tp t="s">
        <v>S/A</v>
        <stp/>
        <stp>##V3_BDPV12</stp>
        <stp>912827L4 Govt</stp>
        <stp>COUPON_FREQUENCY_DESCRIPTION</stp>
        <stp>[TREASURY.xlsx]Sheet1!R1040C10</stp>
        <tr r="J1040" s="1"/>
      </tp>
      <tp t="s">
        <v>USD</v>
        <stp/>
        <stp>##V3_BDPV12</stp>
        <stp>912828JC Govt</stp>
        <stp>CRNCY</stp>
        <stp>[TREASURY.xlsx]Sheet1!R853C7</stp>
        <tr r="G853" s="1"/>
      </tp>
      <tp t="s">
        <v>USD</v>
        <stp/>
        <stp>##V3_BDPV12</stp>
        <stp>912828JW Govt</stp>
        <stp>CRNCY</stp>
        <stp>[TREASURY.xlsx]Sheet1!R643C7</stp>
        <tr r="G643" s="1"/>
      </tp>
      <tp t="s">
        <v>USD</v>
        <stp/>
        <stp>##V3_BDPV12</stp>
        <stp>912828J5 Govt</stp>
        <stp>CRNCY</stp>
        <stp>[TREASURY.xlsx]Sheet1!R403C7</stp>
        <tr r="G403" s="1"/>
      </tp>
      <tp t="s">
        <v>USD</v>
        <stp/>
        <stp>##V3_BDPV12</stp>
        <stp>912828MQ Govt</stp>
        <stp>CRNCY</stp>
        <stp>[TREASURY.xlsx]Sheet1!R483C7</stp>
        <tr r="G483" s="1"/>
      </tp>
      <tp t="s">
        <v>USD</v>
        <stp/>
        <stp>##V3_BDPV12</stp>
        <stp>912828MR Govt</stp>
        <stp>CRNCY</stp>
        <stp>[TREASURY.xlsx]Sheet1!R823C7</stp>
        <tr r="G823" s="1"/>
      </tp>
      <tp t="s">
        <v>S/A</v>
        <stp/>
        <stp>##V3_BDPV12</stp>
        <stp>912827L7 Govt</stp>
        <stp>COUPON_FREQUENCY_DESCRIPTION</stp>
        <stp>[TREASURY.xlsx]Sheet1!R1565C10</stp>
        <tr r="J1565" s="1"/>
      </tp>
      <tp t="s">
        <v>USD</v>
        <stp/>
        <stp>##V3_BDPV12</stp>
        <stp>912828M7 Govt</stp>
        <stp>CRNCY</stp>
        <stp>[TREASURY.xlsx]Sheet1!R443C7</stp>
        <tr r="G443" s="1"/>
      </tp>
      <tp t="s">
        <v>USD</v>
        <stp/>
        <stp>##V3_BDPV12</stp>
        <stp>912828LY Govt</stp>
        <stp>CRNCY</stp>
        <stp>[TREASURY.xlsx]Sheet1!R353C7</stp>
        <tr r="G353" s="1"/>
      </tp>
      <tp t="s">
        <v>S/A</v>
        <stp/>
        <stp>##V3_BDPV12</stp>
        <stp>912827L2 Govt</stp>
        <stp>COUPON_FREQUENCY_DESCRIPTION</stp>
        <stp>[TREASURY.xlsx]Sheet1!R1163C10</stp>
        <tr r="J1163" s="1"/>
      </tp>
      <tp t="s">
        <v>USD</v>
        <stp/>
        <stp>##V3_BDPV12</stp>
        <stp>912828L2 Govt</stp>
        <stp>CRNCY</stp>
        <stp>[TREASURY.xlsx]Sheet1!R173C7</stp>
        <tr r="G173" s="1"/>
      </tp>
      <tp t="s">
        <v>UNITED STATES</v>
        <stp/>
        <stp>##V3_BDPV12</stp>
        <stp>912827C8 Govt</stp>
        <stp>COUNTRY_FULL_NAME</stp>
        <stp>[TREASURY.xlsx]Sheet1!R1482C8</stp>
        <tr r="H1482" s="1"/>
      </tp>
      <tp t="s">
        <v>UNITED STATES</v>
        <stp/>
        <stp>##V3_BDPV12</stp>
        <stp>912827D8 Govt</stp>
        <stp>COUNTRY_FULL_NAME</stp>
        <stp>[TREASURY.xlsx]Sheet1!R1485C8</stp>
        <tr r="H1485" s="1"/>
      </tp>
      <tp t="s">
        <v>USD</v>
        <stp/>
        <stp>##V3_BDPV12</stp>
        <stp>912828NL Govt</stp>
        <stp>CRNCY</stp>
        <stp>[TREASURY.xlsx]Sheet1!R863C7</stp>
        <tr r="G863" s="1"/>
      </tp>
      <tp t="s">
        <v>UNITED STATES</v>
        <stp/>
        <stp>##V3_BDPV12</stp>
        <stp>912827G9 Govt</stp>
        <stp>COUNTRY_FULL_NAME</stp>
        <stp>[TREASURY.xlsx]Sheet1!R1486C8</stp>
        <tr r="H1486" s="1"/>
      </tp>
      <tp t="s">
        <v>USD</v>
        <stp/>
        <stp>##V3_BDPV12</stp>
        <stp>912828N4 Govt</stp>
        <stp>CRNCY</stp>
        <stp>[TREASURY.xlsx]Sheet1!R463C7</stp>
        <tr r="G463" s="1"/>
      </tp>
      <tp t="s">
        <v>USD</v>
        <stp/>
        <stp>##V3_BDPV12</stp>
        <stp>912828N8 Govt</stp>
        <stp>CRNCY</stp>
        <stp>[TREASURY.xlsx]Sheet1!R343C7</stp>
        <tr r="G343" s="1"/>
      </tp>
      <tp t="s">
        <v>FIXED</v>
        <stp/>
        <stp>##V3_BDPV12</stp>
        <stp>912810DL Govt</stp>
        <stp>CPN_TYP</stp>
        <stp>[TREASURY.xlsx]Sheet1!R1620C11</stp>
        <tr r="K1620" s="1"/>
      </tp>
      <tp t="s">
        <v>FIXED</v>
        <stp/>
        <stp>##V3_BDPV12</stp>
        <stp>912810DH Govt</stp>
        <stp>CPN_TYP</stp>
        <stp>[TREASURY.xlsx]Sheet1!R1619C11</stp>
        <tr r="K1619" s="1"/>
      </tp>
      <tp t="s">
        <v>FIXED</v>
        <stp/>
        <stp>##V3_BDPV12</stp>
        <stp>912810DT Govt</stp>
        <stp>CPN_TYP</stp>
        <stp>[TREASURY.xlsx]Sheet1!R1622C11</stp>
        <tr r="K1622" s="1"/>
      </tp>
      <tp t="s">
        <v>FIXED</v>
        <stp/>
        <stp>##V3_BDPV12</stp>
        <stp>912810DQ Govt</stp>
        <stp>CPN_TYP</stp>
        <stp>[TREASURY.xlsx]Sheet1!R1621C11</stp>
        <tr r="K1621" s="1"/>
      </tp>
      <tp t="s">
        <v>FIXED</v>
        <stp/>
        <stp>##V3_BDPV12</stp>
        <stp>912810EB Govt</stp>
        <stp>CPN_TYP</stp>
        <stp>[TREASURY.xlsx]Sheet1!R1624C11</stp>
        <tr r="K1624" s="1"/>
      </tp>
      <tp t="s">
        <v>FIXED</v>
        <stp/>
        <stp>##V3_BDPV12</stp>
        <stp>912810CK Govt</stp>
        <stp>CPN_TYP</stp>
        <stp>[TREASURY.xlsx]Sheet1!R1309C11</stp>
        <tr r="K1309" s="1"/>
      </tp>
      <tp t="s">
        <v>FIXED</v>
        <stp/>
        <stp>##V3_BDPV12</stp>
        <stp>912810CG Govt</stp>
        <stp>CPN_TYP</stp>
        <stp>[TREASURY.xlsx]Sheet1!R1308C11</stp>
        <tr r="K1308" s="1"/>
      </tp>
      <tp t="s">
        <v>FIXED</v>
        <stp/>
        <stp>##V3_BDPV12</stp>
        <stp>912810DC Govt</stp>
        <stp>CPN_TYP</stp>
        <stp>[TREASURY.xlsx]Sheet1!R1443C11</stp>
        <tr r="K1443" s="1"/>
      </tp>
      <tp t="s">
        <v>FIXED</v>
        <stp/>
        <stp>##V3_BDPV12</stp>
        <stp>912810DD Govt</stp>
        <stp>CPN_TYP</stp>
        <stp>[TREASURY.xlsx]Sheet1!R1444C11</stp>
        <tr r="K1444" s="1"/>
      </tp>
      <tp t="s">
        <v>FIXED</v>
        <stp/>
        <stp>##V3_BDPV12</stp>
        <stp>912810DY Govt</stp>
        <stp>CPN_TYP</stp>
        <stp>[TREASURY.xlsx]Sheet1!R1448C11</stp>
        <tr r="K1448" s="1"/>
      </tp>
      <tp t="s">
        <v>FIXED</v>
        <stp/>
        <stp>##V3_BDPV12</stp>
        <stp>912810CR Govt</stp>
        <stp>CPN_TYP</stp>
        <stp>[TREASURY.xlsx]Sheet1!R1344C11</stp>
        <tr r="K1344" s="1"/>
      </tp>
      <tp t="s">
        <v>FIXED</v>
        <stp/>
        <stp>##V3_BDPV12</stp>
        <stp>912810DR Govt</stp>
        <stp>CPN_TYP</stp>
        <stp>[TREASURY.xlsx]Sheet1!R1447C11</stp>
        <tr r="K1447" s="1"/>
      </tp>
      <tp t="s">
        <v>FIXED</v>
        <stp/>
        <stp>##V3_BDPV12</stp>
        <stp>912810CV Govt</stp>
        <stp>CPN_TYP</stp>
        <stp>[TREASURY.xlsx]Sheet1!R1310C11</stp>
        <tr r="K1310" s="1"/>
      </tp>
      <tp t="s">
        <v>FIXED</v>
        <stp/>
        <stp>##V3_BDPV12</stp>
        <stp>912810CU Govt</stp>
        <stp>CPN_TYP</stp>
        <stp>[TREASURY.xlsx]Sheet1!R1345C11</stp>
        <tr r="K1345" s="1"/>
      </tp>
      <tp t="s">
        <v>FIXED</v>
        <stp/>
        <stp>##V3_BDPV12</stp>
        <stp>912810DG Govt</stp>
        <stp>CPN_TYP</stp>
        <stp>[TREASURY.xlsx]Sheet1!R1516C11</stp>
        <tr r="K1516" s="1"/>
      </tp>
      <tp t="s">
        <v>FIXED</v>
        <stp/>
        <stp>##V3_BDPV12</stp>
        <stp>912810EA Govt</stp>
        <stp>CPN_TYP</stp>
        <stp>[TREASURY.xlsx]Sheet1!R1445C11</stp>
        <tr r="K1445" s="1"/>
      </tp>
      <tp t="s">
        <v>FIXED</v>
        <stp/>
        <stp>##V3_BDPV12</stp>
        <stp>912810CM Govt</stp>
        <stp>CPN_TYP</stp>
        <stp>[TREASURY.xlsx]Sheet1!R1515C11</stp>
        <tr r="K1515" s="1"/>
      </tp>
      <tp t="s">
        <v>FIXED</v>
        <stp/>
        <stp>##V3_BDPV12</stp>
        <stp>912810EG Govt</stp>
        <stp>CPN_TYP</stp>
        <stp>[TREASURY.xlsx]Sheet1!R1349C11</stp>
        <tr r="K1349" s="1"/>
      </tp>
      <tp t="s">
        <v>FIXED</v>
        <stp/>
        <stp>##V3_BDPV12</stp>
        <stp>912810BX Govt</stp>
        <stp>CPN_TYP</stp>
        <stp>[TREASURY.xlsx]Sheet1!R1440C11</stp>
        <tr r="K1440" s="1"/>
      </tp>
      <tp t="s">
        <v>FIXED</v>
        <stp/>
        <stp>##V3_BDPV12</stp>
        <stp>912810BU Govt</stp>
        <stp>CPN_TYP</stp>
        <stp>[TREASURY.xlsx]Sheet1!R1439C11</stp>
        <tr r="K1439" s="1"/>
      </tp>
      <tp t="s">
        <v>FIXED</v>
        <stp/>
        <stp>##V3_BDPV12</stp>
        <stp>912810DK Govt</stp>
        <stp>CPN_TYP</stp>
        <stp>[TREASURY.xlsx]Sheet1!R1347C11</stp>
        <tr r="K1347" s="1"/>
      </tp>
      <tp t="s">
        <v>FIXED</v>
        <stp/>
        <stp>##V3_BDPV12</stp>
        <stp>912810DN Govt</stp>
        <stp>CPN_TYP</stp>
        <stp>[TREASURY.xlsx]Sheet1!R1348C11</stp>
        <tr r="K1348" s="1"/>
      </tp>
      <tp t="s">
        <v>FIXED</v>
        <stp/>
        <stp>##V3_BDPV12</stp>
        <stp>912810CN Govt</stp>
        <stp>CPN_TYP</stp>
        <stp>[TREASURY.xlsx]Sheet1!R1442C11</stp>
        <tr r="K1442" s="1"/>
      </tp>
      <tp t="s">
        <v>FIXED</v>
        <stp/>
        <stp>##V3_BDPV12</stp>
        <stp>912810BG Govt</stp>
        <stp>CPN_TYP</stp>
        <stp>[TREASURY.xlsx]Sheet1!R1513C11</stp>
        <tr r="K1513" s="1"/>
      </tp>
      <tp t="s">
        <v>FIXED</v>
        <stp/>
        <stp>##V3_BDPV12</stp>
        <stp>912810DB Govt</stp>
        <stp>CPN_TYP</stp>
        <stp>[TREASURY.xlsx]Sheet1!R1346C11</stp>
        <tr r="K1346" s="1"/>
      </tp>
      <tp t="s">
        <v>FIXED</v>
        <stp/>
        <stp>##V3_BDPV12</stp>
        <stp>912810DF Govt</stp>
        <stp>CPN_TYP</stp>
        <stp>[TREASURY.xlsx]Sheet1!R1312C11</stp>
        <tr r="K1312" s="1"/>
      </tp>
      <tp t="s">
        <v>FIXED</v>
        <stp/>
        <stp>##V3_BDPV12</stp>
        <stp>912810DE Govt</stp>
        <stp>CPN_TYP</stp>
        <stp>[TREASURY.xlsx]Sheet1!R1311C11</stp>
        <tr r="K1311" s="1"/>
      </tp>
      <tp t="s">
        <v>FIXED</v>
        <stp/>
        <stp>##V3_BDPV12</stp>
        <stp>912810CE Govt</stp>
        <stp>CPN_TYP</stp>
        <stp>[TREASURY.xlsx]Sheet1!R1441C11</stp>
        <tr r="K1441" s="1"/>
      </tp>
      <tp t="s">
        <v>FIXED</v>
        <stp/>
        <stp>##V3_BDPV12</stp>
        <stp>912810CZ Govt</stp>
        <stp>CPN_TYP</stp>
        <stp>[TREASURY.xlsx]Sheet1!R1446C11</stp>
        <tr r="K1446" s="1"/>
      </tp>
      <tp t="s">
        <v>FIXED</v>
        <stp/>
        <stp>##V3_BDPV12</stp>
        <stp>912810BZ Govt</stp>
        <stp>CPN_TYP</stp>
        <stp>[TREASURY.xlsx]Sheet1!R1514C11</stp>
        <tr r="K1514" s="1"/>
      </tp>
      <tp t="s">
        <v>FIXED</v>
        <stp/>
        <stp>##V3_BDPV12</stp>
        <stp>912810CL Govt</stp>
        <stp>CPN_TYP</stp>
        <stp>[TREASURY.xlsx]Sheet1!R1617C11</stp>
        <tr r="K1617" s="1"/>
      </tp>
      <tp t="s">
        <v>FIXED</v>
        <stp/>
        <stp>##V3_BDPV12</stp>
        <stp>912810CW Govt</stp>
        <stp>CPN_TYP</stp>
        <stp>[TREASURY.xlsx]Sheet1!R1618C11</stp>
        <tr r="K1618" s="1"/>
      </tp>
      <tp t="s">
        <v>FIXED</v>
        <stp/>
        <stp>##V3_BDPV12</stp>
        <stp>912810CQ Govt</stp>
        <stp>CPN_TYP</stp>
        <stp>[TREASURY.xlsx]Sheet1!R1623C11</stp>
        <tr r="K1623" s="1"/>
      </tp>
      <tp>
        <v>2.875</v>
        <stp/>
        <stp>##V3_BDPV12</stp>
        <stp>9128284R Govt</stp>
        <stp>CPN</stp>
        <stp>[TREASURY.xlsx]Sheet1!R257C3</stp>
        <tr r="C257" s="1"/>
      </tp>
      <tp>
        <v>2.625</v>
        <stp/>
        <stp>##V3_BDPV12</stp>
        <stp>912828NT Govt</stp>
        <stp>CPN</stp>
        <stp>[TREASURY.xlsx]Sheet1!R351C3</stp>
        <tr r="C351" s="1"/>
      </tp>
      <tp>
        <v>2.625</v>
        <stp/>
        <stp>##V3_BDPV12</stp>
        <stp>9128285U Govt</stp>
        <stp>CPN</stp>
        <stp>[TREASURY.xlsx]Sheet1!R160C3</stp>
        <tr r="C160" s="1"/>
      </tp>
      <tp>
        <v>2.25</v>
        <stp/>
        <stp>##V3_BDPV12</stp>
        <stp>9128283P Govt</stp>
        <stp>CPN</stp>
        <stp>[TREASURY.xlsx]Sheet1!R185C3</stp>
        <tr r="C185" s="1"/>
      </tp>
      <tp>
        <v>8.5</v>
        <stp/>
        <stp>##V3_BDPV12</stp>
        <stp>912827YS Govt</stp>
        <stp>CPN</stp>
        <stp>[TREASURY.xlsx]Sheet1!R946C3</stp>
        <tr r="C946" s="1"/>
      </tp>
      <tp>
        <v>1.125</v>
        <stp/>
        <stp>##V3_BDPV12</stp>
        <stp>912828UV Govt</stp>
        <stp>CPN</stp>
        <stp>[TREASURY.xlsx]Sheet1!R693C3</stp>
        <tr r="C693" s="1"/>
      </tp>
      <tp>
        <v>14.25</v>
        <stp/>
        <stp>##V3_BDPV12</stp>
        <stp>912827KP Govt</stp>
        <stp>CPN</stp>
        <stp>[TREASURY.xlsx]Sheet1!R885C3</stp>
        <tr r="C885" s="1"/>
      </tp>
      <tp>
        <v>2</v>
        <stp/>
        <stp>##V3_BDPV12</stp>
        <stp>912828JT Govt</stp>
        <stp>CPN</stp>
        <stp>[TREASURY.xlsx]Sheet1!R471C3</stp>
        <tr r="C471" s="1"/>
      </tp>
      <tp>
        <v>1.934982133547718</v>
        <stp/>
        <stp>##V3_BDPV12</stp>
        <stp>912810QQ Govt</stp>
        <stp>YLD_YTM_BID</stp>
        <stp>[TREASURY.xlsx]Sheet1!R315C4</stp>
        <tr r="D315" s="1"/>
      </tp>
      <tp>
        <v>4.375</v>
        <stp/>
        <stp>##V3_BDPV12</stp>
        <stp>912828EQ Govt</stp>
        <stp>CPN</stp>
        <stp>[TREASURY.xlsx]Sheet1!R524C3</stp>
        <tr r="C524" s="1"/>
      </tp>
      <tp>
        <v>4.875</v>
        <stp/>
        <stp>##V3_BDPV12</stp>
        <stp>912828FQ Govt</stp>
        <stp>CPN</stp>
        <stp>[TREASURY.xlsx]Sheet1!R534C3</stp>
        <tr r="C534" s="1"/>
      </tp>
      <tp>
        <v>2.125</v>
        <stp/>
        <stp>##V3_BDPV12</stp>
        <stp>9128286V Govt</stp>
        <stp>CPN</stp>
        <stp>[TREASURY.xlsx]Sheet1!R523C3</stp>
        <tr r="C523" s="1"/>
      </tp>
      <tp>
        <v>4.625</v>
        <stp/>
        <stp>##V3_BDPV12</stp>
        <stp>9128274W Govt</stp>
        <stp>CPN</stp>
        <stp>[TREASURY.xlsx]Sheet1!R522C3</stp>
        <tr r="C522" s="1"/>
      </tp>
      <tp>
        <v>4.5</v>
        <stp/>
        <stp>##V3_BDPV12</stp>
        <stp>912828EW Govt</stp>
        <stp>CPN</stp>
        <stp>[TREASURY.xlsx]Sheet1!R842C3</stp>
        <tr r="C842" s="1"/>
      </tp>
      <tp>
        <v>2.75</v>
        <stp/>
        <stp>##V3_BDPV12</stp>
        <stp>912828HT Govt</stp>
        <stp>CPN</stp>
        <stp>[TREASURY.xlsx]Sheet1!R851C3</stp>
        <tr r="C851" s="1"/>
      </tp>
      <tp>
        <v>1.375</v>
        <stp/>
        <stp>##V3_BDPV12</stp>
        <stp>912828LR Govt</stp>
        <stp>CPN</stp>
        <stp>[TREASURY.xlsx]Sheet1!R817C3</stp>
        <tr r="C817" s="1"/>
      </tp>
      <tp>
        <v>1.75</v>
        <stp/>
        <stp>##V3_BDPV12</stp>
        <stp>912828NP Govt</stp>
        <stp>CPN</stp>
        <stp>[TREASURY.xlsx]Sheet1!R865C3</stp>
        <tr r="C865" s="1"/>
      </tp>
      <tp>
        <v>0.25</v>
        <stp/>
        <stp>##V3_BDPV12</stp>
        <stp>912828TQ Govt</stp>
        <stp>CPN</stp>
        <stp>[TREASURY.xlsx]Sheet1!R874C3</stp>
        <tr r="C874" s="1"/>
      </tp>
      <tp>
        <v>1.25</v>
        <stp/>
        <stp>##V3_BDPV12</stp>
        <stp>912828XV Govt</stp>
        <stp>CPN</stp>
        <stp>[TREASURY.xlsx]Sheet1!R883C3</stp>
        <tr r="C883" s="1"/>
      </tp>
      <tp>
        <v>4.25</v>
        <stp/>
        <stp>##V3_BDPV12</stp>
        <stp>912828EP Govt</stp>
        <stp>CPN</stp>
        <stp>[TREASURY.xlsx]Sheet1!R965C3</stp>
        <tr r="C965" s="1"/>
      </tp>
      <tp>
        <v>0.375</v>
        <stp/>
        <stp>##V3_BDPV12</stp>
        <stp>912828RQ Govt</stp>
        <stp>CPN</stp>
        <stp>[TREASURY.xlsx]Sheet1!R994C3</stp>
        <tr r="C994" s="1"/>
      </tp>
      <tp>
        <v>0.375</v>
        <stp/>
        <stp>##V3_BDPV12</stp>
        <stp>912828SP Govt</stp>
        <stp>CPN</stp>
        <stp>[TREASURY.xlsx]Sheet1!R995C3</stp>
        <tr r="C995" s="1"/>
      </tp>
      <tp>
        <v>0.875</v>
        <stp/>
        <stp>##V3_BDPV12</stp>
        <stp>912828SS Govt</stp>
        <stp>CPN</stp>
        <stp>[TREASURY.xlsx]Sheet1!R996C3</stp>
        <tr r="C996" s="1"/>
      </tp>
      <tp>
        <v>2</v>
        <stp/>
        <stp>##V3_BDPV12</stp>
        <stp>912828PS Govt</stp>
        <stp>CPN</stp>
        <stp>[TREASURY.xlsx]Sheet1!R986C3</stp>
        <tr r="C986" s="1"/>
      </tp>
      <tp>
        <v>8.875</v>
        <stp/>
        <stp>##V3_BDPV12</stp>
        <stp>912827KW Govt</stp>
        <stp>CPN</stp>
        <stp>[TREASURY.xlsx]Sheet1!R392C3</stp>
        <tr r="C392" s="1"/>
      </tp>
      <tp t="s">
        <v>#N/A N/A</v>
        <stp/>
        <stp>##V3_BDPV12</stp>
        <stp>912828JV Govt</stp>
        <stp>YLD_YTM_BID</stp>
        <stp>[TREASURY.xlsx]Sheet1!R972C4</stp>
        <tr r="D972" s="1"/>
      </tp>
      <tp t="s">
        <v>#N/A N/A</v>
        <stp/>
        <stp>##V3_BDPV12</stp>
        <stp>912827PQ Govt</stp>
        <stp>YLD_YTM_BID</stp>
        <stp>[TREASURY.xlsx]Sheet1!R665C4</stp>
        <tr r="D665" s="1"/>
      </tp>
      <tp t="s">
        <v>#N/A N/A</v>
        <stp/>
        <stp>##V3_BDPV12</stp>
        <stp>912828PQ Govt</stp>
        <stp>YLD_YTM_BID</stp>
        <stp>[TREASURY.xlsx]Sheet1!R985C4</stp>
        <tr r="D985" s="1"/>
      </tp>
      <tp t="s">
        <v>#N/A N/A</v>
        <stp/>
        <stp>##V3_BDPV12</stp>
        <stp>9128274T Govt</stp>
        <stp>YLD_YTM_BID</stp>
        <stp>[TREASURY.xlsx]Sheet1!R610C4</stp>
        <tr r="D610" s="1"/>
      </tp>
      <tp t="s">
        <v>#N/A N/A</v>
        <stp/>
        <stp>##V3_BDPV12</stp>
        <stp>912828QR Govt</stp>
        <stp>YLD_YTM_BID</stp>
        <stp>[TREASURY.xlsx]Sheet1!R866C4</stp>
        <tr r="D866" s="1"/>
      </tp>
      <tp t="s">
        <v>#N/A N/A</v>
        <stp/>
        <stp>##V3_BDPV12</stp>
        <stp>912828VR Govt</stp>
        <stp>YLD_YTM_BID</stp>
        <stp>[TREASURY.xlsx]Sheet1!R566C4</stp>
        <tr r="D566" s="1"/>
      </tp>
      <tp t="s">
        <v>#N/A N/A</v>
        <stp/>
        <stp>##V3_BDPV12</stp>
        <stp>912828BQ Govt</stp>
        <stp>YLD_YTM_BID</stp>
        <stp>[TREASURY.xlsx]Sheet1!R435C4</stp>
        <tr r="D435" s="1"/>
      </tp>
      <tp t="s">
        <v>#N/A N/A</v>
        <stp/>
        <stp>##V3_BDPV12</stp>
        <stp>912828HR Govt</stp>
        <stp>YLD_YTM_BID</stp>
        <stp>[TREASURY.xlsx]Sheet1!R476C4</stp>
        <tr r="D476" s="1"/>
      </tp>
      <tp t="s">
        <v>#N/A N/A</v>
        <stp/>
        <stp>##V3_BDPV12</stp>
        <stp>912828RT Govt</stp>
        <stp>YLD_YTM_BID</stp>
        <stp>[TREASURY.xlsx]Sheet1!R420C4</stp>
        <tr r="D420" s="1"/>
      </tp>
      <tp t="s">
        <v>#N/A N/A</v>
        <stp/>
        <stp>##V3_BDPV12</stp>
        <stp>912828DW Govt</stp>
        <stp>YLD_YTM_BID</stp>
        <stp>[TREASURY.xlsx]Sheet1!R793C4</stp>
        <tr r="D793" s="1"/>
      </tp>
      <tp t="s">
        <v>#N/A N/A</v>
        <stp/>
        <stp>##V3_BDPV12</stp>
        <stp>912828CW Govt</stp>
        <stp>YLD_YTM_BID</stp>
        <stp>[TREASURY.xlsx]Sheet1!R603C4</stp>
        <tr r="D603" s="1"/>
      </tp>
      <tp t="s">
        <v>#N/A N/A</v>
        <stp/>
        <stp>##V3_BDPV12</stp>
        <stp>912828AV Govt</stp>
        <stp>YLD_YTM_BID</stp>
        <stp>[TREASURY.xlsx]Sheet1!R602C4</stp>
        <tr r="D602" s="1"/>
      </tp>
      <tp t="s">
        <v>#N/A N/A</v>
        <stp/>
        <stp>##V3_BDPV12</stp>
        <stp>912828JW Govt</stp>
        <stp>YLD_YTM_BID</stp>
        <stp>[TREASURY.xlsx]Sheet1!R643C4</stp>
        <tr r="D643" s="1"/>
      </tp>
      <tp t="s">
        <v>#N/A N/A</v>
        <stp/>
        <stp>##V3_BDPV12</stp>
        <stp>912828KR Govt</stp>
        <stp>YLD_YTM_BID</stp>
        <stp>[TREASURY.xlsx]Sheet1!R676C4</stp>
        <tr r="D676" s="1"/>
      </tp>
      <tp t="s">
        <v>#N/A N/A</v>
        <stp/>
        <stp>##V3_BDPV12</stp>
        <stp>912828SW Govt</stp>
        <stp>YLD_YTM_BID</stp>
        <stp>[TREASURY.xlsx]Sheet1!R653C4</stp>
        <tr r="D653" s="1"/>
      </tp>
      <tp t="s">
        <v>#N/A N/A</v>
        <stp/>
        <stp>##V3_BDPV12</stp>
        <stp>912827UV Govt</stp>
        <stp>YLD_YTM_BID</stp>
        <stp>[TREASURY.xlsx]Sheet1!R922C4</stp>
        <tr r="D922" s="1"/>
      </tp>
      <tp t="s">
        <v>#N/A N/A</v>
        <stp/>
        <stp>##V3_BDPV12</stp>
        <stp>912828PV Govt</stp>
        <stp>YLD_YTM_BID</stp>
        <stp>[TREASURY.xlsx]Sheet1!R652C4</stp>
        <tr r="D652" s="1"/>
      </tp>
      <tp t="s">
        <v>#N/A N/A</v>
        <stp/>
        <stp>##V3_BDPV12</stp>
        <stp>912827PP Govt</stp>
        <stp>YLD_YTM_BID</stp>
        <stp>[TREASURY.xlsx]Sheet1!R904C4</stp>
        <tr r="D904" s="1"/>
      </tp>
      <tp t="s">
        <v>#N/A N/A</v>
        <stp/>
        <stp>##V3_BDPV12</stp>
        <stp>9128284Q Govt</stp>
        <stp>YLD_YTM_BID</stp>
        <stp>[TREASURY.xlsx]Sheet1!R675C4</stp>
        <tr r="D675" s="1"/>
      </tp>
      <tp>
        <v>8.2926121437120928E-2</v>
        <stp/>
        <stp>##V3_BDPV12</stp>
        <stp>912828ZR Govt</stp>
        <stp>YLD_YTM_BID</stp>
        <stp>[TREASURY.xlsx]Sheet1!R136C4</stp>
        <tr r="D136" s="1"/>
      </tp>
      <tp t="s">
        <v>#N/A N/A</v>
        <stp/>
        <stp>##V3_BDPV12</stp>
        <stp>912828NV Govt</stp>
        <stp>YLD_YTM_BID</stp>
        <stp>[TREASURY.xlsx]Sheet1!R382C4</stp>
        <tr r="D382" s="1"/>
      </tp>
      <tp>
        <v>10</v>
        <stp/>
        <stp>##V3_BDPV12</stp>
        <stp>912810CP Govt</stp>
        <stp>CPN</stp>
        <stp>[TREASURY.xlsx]Sheet1!R405C3</stp>
        <tr r="C405" s="1"/>
      </tp>
      <tp t="s">
        <v>#N/A N/A</v>
        <stp/>
        <stp>##V3_BDPV12</stp>
        <stp>912828JR Govt</stp>
        <stp>YLD_YTM_BID</stp>
        <stp>[TREASURY.xlsx]Sheet1!R396C4</stp>
        <tr r="D396" s="1"/>
      </tp>
      <tp t="s">
        <v>#N/A N/A</v>
        <stp/>
        <stp>##V3_BDPV12</stp>
        <stp>9128282V Govt</stp>
        <stp>YLD_YTM_BID</stp>
        <stp>[TREASURY.xlsx]Sheet1!R362C4</stp>
        <tr r="D362" s="1"/>
      </tp>
      <tp t="s">
        <v>#N/A N/A</v>
        <stp/>
        <stp>##V3_BDPV12</stp>
        <stp>9128283Q Govt</stp>
        <stp>YLD_YTM_BID</stp>
        <stp>[TREASURY.xlsx]Sheet1!R375C4</stp>
        <tr r="D375" s="1"/>
      </tp>
      <tp t="s">
        <v>#N/A N/A</v>
        <stp/>
        <stp>##V3_BDPV12</stp>
        <stp>9128282T Govt</stp>
        <stp>YLD_YTM_BID</stp>
        <stp>[TREASURY.xlsx]Sheet1!R330C4</stp>
        <tr r="D330" s="1"/>
      </tp>
      <tp>
        <v>11.75</v>
        <stp/>
        <stp>##V3_BDPV12</stp>
        <stp>912810CT Govt</stp>
        <stp>CPN</stp>
        <stp>[TREASURY.xlsx]Sheet1!R501C3</stp>
        <tr r="C501" s="1"/>
      </tp>
      <tp>
        <v>0.60161615888368469</v>
        <stp/>
        <stp>##V3_BDPV12</stp>
        <stp>9128283V Govt</stp>
        <stp>YLD_YTM_BID</stp>
        <stp>[TREASURY.xlsx]Sheet1!R242C4</stp>
        <tr r="D242" s="1"/>
      </tp>
      <tp>
        <v>9.2498932594467717E-2</v>
        <stp/>
        <stp>##V3_BDPV12</stp>
        <stp>9128282P Govt</stp>
        <stp>YLD_YTM_BID</stp>
        <stp>[TREASURY.xlsx]Sheet1!R214C4</stp>
        <tr r="D214" s="1"/>
      </tp>
      <tp>
        <v>1.5</v>
        <stp/>
        <stp>##V3_BDPV12</stp>
        <stp>9128282A Govt</stp>
        <stp>CPN</stp>
        <stp>[TREASURY.xlsx]Sheet1!R56C3</stp>
        <tr r="C56" s="1"/>
      </tp>
      <tp>
        <v>1.3323567323681558</v>
        <stp/>
        <stp>##V3_BDPV12</stp>
        <stp>9128286B Govt</stp>
        <stp>YLD_YTM_BID</stp>
        <stp>[TREASURY.xlsx]Sheet1!R43C4</stp>
        <tr r="D43" s="1"/>
      </tp>
      <tp>
        <v>3.125</v>
        <stp/>
        <stp>##V3_BDPV12</stp>
        <stp>9128285M Govt</stp>
        <stp>CPN</stp>
        <stp>[TREASURY.xlsx]Sheet1!R51C3</stp>
        <tr r="C51" s="1"/>
      </tp>
      <tp>
        <v>1.2422006625305184</v>
        <stp/>
        <stp>##V3_BDPV12</stp>
        <stp>9128284N Govt</stp>
        <stp>YLD_YTM_BID</stp>
        <stp>[TREASURY.xlsx]Sheet1!R71C4</stp>
        <tr r="D71" s="1"/>
      </tp>
      <tp t="s">
        <v>T 0 1/4 03/15/24</v>
        <stp/>
        <stp>##V3_BDPV12</stp>
        <stp>91282CBR Govt</stp>
        <stp>SECURITY_NAME</stp>
        <stp>[TREASURY.xlsx]Sheet1!R55C16</stp>
        <tr r="P55" s="1"/>
      </tp>
      <tp t="s">
        <v>T 0 3/4 04/30/26</v>
        <stp/>
        <stp>##V3_BDPV12</stp>
        <stp>91282CBW Govt</stp>
        <stp>SECURITY_NAME</stp>
        <stp>[TREASURY.xlsx]Sheet1!R29C16</stp>
        <tr r="P29" s="1"/>
      </tp>
      <tp t="s">
        <v>T 1 1/4 03/31/28</v>
        <stp/>
        <stp>##V3_BDPV12</stp>
        <stp>91282CBS Govt</stp>
        <stp>SECURITY_NAME</stp>
        <stp>[TREASURY.xlsx]Sheet1!R75C16</stp>
        <tr r="P75" s="1"/>
      </tp>
      <tp t="s">
        <v>T 0 1/2 02/28/26</v>
        <stp/>
        <stp>##V3_BDPV12</stp>
        <stp>91282CBQ Govt</stp>
        <stp>SECURITY_NAME</stp>
        <stp>[TREASURY.xlsx]Sheet1!R30C16</stp>
        <tr r="P30" s="1"/>
      </tp>
      <tp t="s">
        <v>T 0 3/4 03/31/26</v>
        <stp/>
        <stp>##V3_BDPV12</stp>
        <stp>91282CBT Govt</stp>
        <stp>SECURITY_NAME</stp>
        <stp>[TREASURY.xlsx]Sheet1!R52C16</stp>
        <tr r="P52" s="1"/>
      </tp>
      <tp t="s">
        <v>T 0 1/8 03/31/23</v>
        <stp/>
        <stp>##V3_BDPV12</stp>
        <stp>91282CBU Govt</stp>
        <stp>SECURITY_NAME</stp>
        <stp>[TREASURY.xlsx]Sheet1!R53C16</stp>
        <tr r="P53" s="1"/>
      </tp>
      <tp t="s">
        <v>T 0 1/8 04/30/23</v>
        <stp/>
        <stp>##V3_BDPV12</stp>
        <stp>91282CBX Govt</stp>
        <stp>SECURITY_NAME</stp>
        <stp>[TREASURY.xlsx]Sheet1!R72C16</stp>
        <tr r="P72" s="1"/>
      </tp>
      <tp t="s">
        <v>T 0 3/8 04/15/24</v>
        <stp/>
        <stp>##V3_BDPV12</stp>
        <stp>91282CBV Govt</stp>
        <stp>SECURITY_NAME</stp>
        <stp>[TREASURY.xlsx]Sheet1!R89C16</stp>
        <tr r="P89" s="1"/>
      </tp>
      <tp t="s">
        <v>T 1 1/8 02/29/28</v>
        <stp/>
        <stp>##V3_BDPV12</stp>
        <stp>91282CBP Govt</stp>
        <stp>SECURITY_NAME</stp>
        <stp>[TREASURY.xlsx]Sheet1!R86C16</stp>
        <tr r="P86" s="1"/>
      </tp>
      <tp t="s">
        <v>T 0 3/8 12/31/25</v>
        <stp/>
        <stp>##V3_BDPV12</stp>
        <stp>91282CBC Govt</stp>
        <stp>SECURITY_NAME</stp>
        <stp>[TREASURY.xlsx]Sheet1!R41C16</stp>
        <tr r="P41" s="1"/>
      </tp>
      <tp t="s">
        <v>T 0 1/8 12/15/23</v>
        <stp/>
        <stp>##V3_BDPV12</stp>
        <stp>91282CBA Govt</stp>
        <stp>SECURITY_NAME</stp>
        <stp>[TREASURY.xlsx]Sheet1!R78C16</stp>
        <tr r="P78" s="1"/>
      </tp>
      <tp t="s">
        <v>T 0 1/8 02/28/23</v>
        <stp/>
        <stp>##V3_BDPV12</stp>
        <stp>91282CBN Govt</stp>
        <stp>SECURITY_NAME</stp>
        <stp>[TREASURY.xlsx]Sheet1!R82C16</stp>
        <tr r="P82" s="1"/>
      </tp>
      <tp t="s">
        <v>T 0 1/8 01/31/23</v>
        <stp/>
        <stp>##V3_BDPV12</stp>
        <stp>91282CBG Govt</stp>
        <stp>SECURITY_NAME</stp>
        <stp>[TREASURY.xlsx]Sheet1!R57C16</stp>
        <tr r="P57" s="1"/>
      </tp>
      <tp t="s">
        <v>T 0 1/8 12/31/22</v>
        <stp/>
        <stp>##V3_BDPV12</stp>
        <stp>91282CBD Govt</stp>
        <stp>SECURITY_NAME</stp>
        <stp>[TREASURY.xlsx]Sheet1!R50C16</stp>
        <tr r="P50" s="1"/>
      </tp>
      <tp t="s">
        <v>T 0 3/8 01/31/26</v>
        <stp/>
        <stp>##V3_BDPV12</stp>
        <stp>91282CBH Govt</stp>
        <stp>SECURITY_NAME</stp>
        <stp>[TREASURY.xlsx]Sheet1!R59C16</stp>
        <tr r="P59" s="1"/>
      </tp>
      <tp t="s">
        <v>T 1 1/8 02/15/31</v>
        <stp/>
        <stp>##V3_BDPV12</stp>
        <stp>91282CBL Govt</stp>
        <stp>SECURITY_NAME</stp>
        <stp>[TREASURY.xlsx]Sheet1!R14C16</stp>
        <tr r="P14" s="1"/>
      </tp>
      <tp t="s">
        <v>S/A</v>
        <stp/>
        <stp>##V3_BDPV12</stp>
        <stp>912828ML Govt</stp>
        <stp>COUPON_FREQUENCY_DESCRIPTION</stp>
        <stp>[TREASURY.xlsx]Sheet1!R1253C10</stp>
        <tr r="J1253" s="1"/>
      </tp>
      <tp t="s">
        <v>T 0 3/8 08/15/24</v>
        <stp/>
        <stp>##V3_BDPV12</stp>
        <stp>91282CCT Govt</stp>
        <stp>SECURITY_NAME</stp>
        <stp>[TREASURY.xlsx]Sheet1!R16C16</stp>
        <tr r="P16" s="1"/>
      </tp>
      <tp t="s">
        <v>T 0 5/8 07/31/26</v>
        <stp/>
        <stp>##V3_BDPV12</stp>
        <stp>91282CCP Govt</stp>
        <stp>SECURITY_NAME</stp>
        <stp>[TREASURY.xlsx]Sheet1!R19C16</stp>
        <tr r="P19" s="1"/>
      </tp>
      <tp t="s">
        <v>T 1 07/31/28</v>
        <stp/>
        <stp>##V3_BDPV12</stp>
        <stp>91282CCR Govt</stp>
        <stp>SECURITY_NAME</stp>
        <stp>[TREASURY.xlsx]Sheet1!R20C16</stp>
        <tr r="P20" s="1"/>
      </tp>
      <tp t="s">
        <v>T 1 1/4 09/30/28</v>
        <stp/>
        <stp>##V3_BDPV12</stp>
        <stp>91282CCY Govt</stp>
        <stp>SECURITY_NAME</stp>
        <stp>[TREASURY.xlsx]Sheet1!R13C16</stp>
        <tr r="P13" s="1"/>
      </tp>
      <tp t="s">
        <v>T 0 3/4 05/31/26</v>
        <stp/>
        <stp>##V3_BDPV12</stp>
        <stp>91282CCF Govt</stp>
        <stp>SECURITY_NAME</stp>
        <stp>[TREASURY.xlsx]Sheet1!R34C16</stp>
        <tr r="P34" s="1"/>
      </tp>
      <tp t="s">
        <v>T 0 1/4 06/15/24</v>
        <stp/>
        <stp>##V3_BDPV12</stp>
        <stp>91282CCG Govt</stp>
        <stp>SECURITY_NAME</stp>
        <stp>[TREASURY.xlsx]Sheet1!R47C16</stp>
        <tr r="P47" s="1"/>
      </tp>
      <tp t="s">
        <v>T 1 5/8 05/15/31</v>
        <stp/>
        <stp>##V3_BDPV12</stp>
        <stp>91282CCB Govt</stp>
        <stp>SECURITY_NAME</stp>
        <stp>[TREASURY.xlsx]Sheet1!R12C16</stp>
        <tr r="P12" s="1"/>
      </tp>
      <tp t="s">
        <v>T 1 1/4 05/31/28</v>
        <stp/>
        <stp>##V3_BDPV12</stp>
        <stp>91282CCE Govt</stp>
        <stp>SECURITY_NAME</stp>
        <stp>[TREASURY.xlsx]Sheet1!R77C16</stp>
        <tr r="P77" s="1"/>
      </tp>
      <tp t="s">
        <v>T 0 1/8 05/31/23</v>
        <stp/>
        <stp>##V3_BDPV12</stp>
        <stp>91282CCD Govt</stp>
        <stp>SECURITY_NAME</stp>
        <stp>[TREASURY.xlsx]Sheet1!R58C16</stp>
        <tr r="P58" s="1"/>
      </tp>
      <tp t="s">
        <v>T 0 3/8 07/15/24</v>
        <stp/>
        <stp>##V3_BDPV12</stp>
        <stp>91282CCL Govt</stp>
        <stp>SECURITY_NAME</stp>
        <stp>[TREASURY.xlsx]Sheet1!R32C16</stp>
        <tr r="P32" s="1"/>
      </tp>
      <tp t="s">
        <v>T 0 1/8 07/31/23</v>
        <stp/>
        <stp>##V3_BDPV12</stp>
        <stp>91282CCN Govt</stp>
        <stp>SECURITY_NAME</stp>
        <stp>[TREASURY.xlsx]Sheet1!R24C16</stp>
        <tr r="P24" s="1"/>
      </tp>
      <tp t="s">
        <v>T 0 1/4 05/15/24</v>
        <stp/>
        <stp>##V3_BDPV12</stp>
        <stp>91282CCC Govt</stp>
        <stp>SECURITY_NAME</stp>
        <stp>[TREASURY.xlsx]Sheet1!R88C16</stp>
        <tr r="P88" s="1"/>
      </tp>
      <tp t="s">
        <v>T 1 1/4 06/30/28</v>
        <stp/>
        <stp>##V3_BDPV12</stp>
        <stp>91282CCH Govt</stp>
        <stp>SECURITY_NAME</stp>
        <stp>[TREASURY.xlsx]Sheet1!R36C16</stp>
        <tr r="P36" s="1"/>
      </tp>
      <tp t="s">
        <v>T 0 7/8 06/30/26</v>
        <stp/>
        <stp>##V3_BDPV12</stp>
        <stp>91282CCJ Govt</stp>
        <stp>SECURITY_NAME</stp>
        <stp>[TREASURY.xlsx]Sheet1!R22C16</stp>
        <tr r="P22" s="1"/>
      </tp>
      <tp t="s">
        <v>T 0 1/8 06/30/23</v>
        <stp/>
        <stp>##V3_BDPV12</stp>
        <stp>91282CCK Govt</stp>
        <stp>SECURITY_NAME</stp>
        <stp>[TREASURY.xlsx]Sheet1!R33C16</stp>
        <tr r="P33" s="1"/>
      </tp>
      <tp t="s">
        <v>S/A</v>
        <stp/>
        <stp>##V3_BDPV12</stp>
        <stp>912827ML Govt</stp>
        <stp>COUPON_FREQUENCY_DESCRIPTION</stp>
        <stp>[TREASURY.xlsx]Sheet1!R1325C10</stp>
        <tr r="J1325" s="1"/>
      </tp>
      <tp t="s">
        <v>USD</v>
        <stp/>
        <stp>##V3_BDPV12</stp>
        <stp>9128283V Govt</stp>
        <stp>CRNCY</stp>
        <stp>[TREASURY.xlsx]Sheet1!R242C7</stp>
        <tr r="G242" s="1"/>
      </tp>
      <tp>
        <v>1.75</v>
        <stp/>
        <stp>##V3_BDPV12</stp>
        <stp>912828WC Govt</stp>
        <stp>CPN</stp>
        <stp>[TREASURY.xlsx]Sheet1!R1139C3</stp>
        <tr r="C1139" s="1"/>
      </tp>
      <tp>
        <v>0.875</v>
        <stp/>
        <stp>##V3_BDPV12</stp>
        <stp>912828VW Govt</stp>
        <stp>CPN</stp>
        <stp>[TREASURY.xlsx]Sheet1!R1149C3</stp>
        <tr r="C1149" s="1"/>
      </tp>
      <tp>
        <v>0.75</v>
        <stp/>
        <stp>##V3_BDPV12</stp>
        <stp>912828P5 Govt</stp>
        <stp>CPN</stp>
        <stp>[TREASURY.xlsx]Sheet1!R1259C3</stp>
        <tr r="C1259" s="1"/>
      </tp>
      <tp>
        <v>1.875</v>
        <stp/>
        <stp>##V3_BDPV12</stp>
        <stp>912828PF Govt</stp>
        <stp>CPN</stp>
        <stp>[TREASURY.xlsx]Sheet1!R1299C3</stp>
        <tr r="C1299" s="1"/>
      </tp>
      <tp t="s">
        <v>#N/A N/A</v>
        <stp/>
        <stp>##V3_BDPV12</stp>
        <stp>912810DH Govt</stp>
        <stp>YLD_YTM_BID</stp>
        <stp>[TREASURY.xlsx]Sheet1!R1619C4</stp>
        <tr r="D1619" s="1"/>
      </tp>
      <tp>
        <v>4.625</v>
        <stp/>
        <stp>##V3_BDPV12</stp>
        <stp>912828FZ Govt</stp>
        <stp>CPN</stp>
        <stp>[TREASURY.xlsx]Sheet1!R1279C3</stp>
        <tr r="C1279" s="1"/>
      </tp>
      <tp>
        <v>3.5</v>
        <stp/>
        <stp>##V3_BDPV12</stp>
        <stp>912828DE Govt</stp>
        <stp>CPN</stp>
        <stp>[TREASURY.xlsx]Sheet1!R1109C3</stp>
        <tr r="C1109" s="1"/>
      </tp>
      <tp t="s">
        <v>#N/A N/A</v>
        <stp/>
        <stp>##V3_BDPV12</stp>
        <stp>912810CK Govt</stp>
        <stp>YLD_YTM_BID</stp>
        <stp>[TREASURY.xlsx]Sheet1!R1309C4</stp>
        <tr r="D1309" s="1"/>
      </tp>
      <tp>
        <v>4.625</v>
        <stp/>
        <stp>##V3_BDPV12</stp>
        <stp>912828GK Govt</stp>
        <stp>CPN</stp>
        <stp>[TREASURY.xlsx]Sheet1!R1119C3</stp>
        <tr r="C1119" s="1"/>
      </tp>
      <tp>
        <v>4.625</v>
        <stp/>
        <stp>##V3_BDPV12</stp>
        <stp>912828EY Govt</stp>
        <stp>CPN</stp>
        <stp>[TREASURY.xlsx]Sheet1!R1239C3</stp>
        <tr r="C1239" s="1"/>
      </tp>
      <tp t="s">
        <v>#N/A N/A</v>
        <stp/>
        <stp>##V3_BDPV12</stp>
        <stp>912810EG Govt</stp>
        <stp>YLD_YTM_BID</stp>
        <stp>[TREASURY.xlsx]Sheet1!R1349C4</stp>
        <tr r="D1349" s="1"/>
      </tp>
      <tp t="s">
        <v>#N/A N/A</v>
        <stp/>
        <stp>##V3_BDPV12</stp>
        <stp>912810BU Govt</stp>
        <stp>YLD_YTM_BID</stp>
        <stp>[TREASURY.xlsx]Sheet1!R1439C4</stp>
        <tr r="D1439" s="1"/>
      </tp>
      <tp>
        <v>3.625</v>
        <stp/>
        <stp>##V3_BDPV12</stp>
        <stp>912828DX Govt</stp>
        <stp>CPN</stp>
        <stp>[TREASURY.xlsx]Sheet1!R1429C3</stp>
        <tr r="C1429" s="1"/>
      </tp>
      <tp>
        <v>1.375</v>
        <stp/>
        <stp>##V3_BDPV12</stp>
        <stp>912828LM Govt</stp>
        <stp>CPN</stp>
        <stp>[TREASURY.xlsx]Sheet1!R1129C3</stp>
        <tr r="C1129" s="1"/>
      </tp>
      <tp>
        <v>2.625</v>
        <stp/>
        <stp>##V3_BDPV12</stp>
        <stp>912828LC Govt</stp>
        <stp>CPN</stp>
        <stp>[TREASURY.xlsx]Sheet1!R1289C3</stp>
        <tr r="C1289" s="1"/>
      </tp>
      <tp>
        <v>1.375</v>
        <stp/>
        <stp>##V3_BDPV12</stp>
        <stp>912828KC Govt</stp>
        <stp>CPN</stp>
        <stp>[TREASURY.xlsx]Sheet1!R1249C3</stp>
        <tr r="C1249" s="1"/>
      </tp>
      <tp>
        <v>2.25</v>
        <stp/>
        <stp>##V3_BDPV12</stp>
        <stp>9128283X Govt</stp>
        <stp>CPN</stp>
        <stp>[TREASURY.xlsx]Sheet1!R1269C3</stp>
        <tr r="C1269" s="1"/>
      </tp>
      <tp t="s">
        <v>UNITED STATES</v>
        <stp/>
        <stp>##V3_BDPV12</stp>
        <stp>912810DD Govt</stp>
        <stp>COUNTRY_FULL_NAME</stp>
        <stp>[TREASURY.xlsx]Sheet1!R1444C8</stp>
        <tr r="H1444" s="1"/>
      </tp>
      <tp t="s">
        <v>T 0 1/4 10/31/25</v>
        <stp/>
        <stp>##V3_BDPV12</stp>
        <stp>91282CAT Govt</stp>
        <stp>SECURITY_NAME</stp>
        <stp>[TREASURY.xlsx]Sheet1!R39C16</stp>
        <tr r="P39" s="1"/>
      </tp>
      <tp t="s">
        <v>T 0 7/8 11/15/30</v>
        <stp/>
        <stp>##V3_BDPV12</stp>
        <stp>91282CAV Govt</stp>
        <stp>SECURITY_NAME</stp>
        <stp>[TREASURY.xlsx]Sheet1!R17C16</stp>
        <tr r="P17" s="1"/>
      </tp>
      <tp t="s">
        <v>T 0 1/8 10/31/22</v>
        <stp/>
        <stp>##V3_BDPV12</stp>
        <stp>91282CAR Govt</stp>
        <stp>SECURITY_NAME</stp>
        <stp>[TREASURY.xlsx]Sheet1!R64C16</stp>
        <tr r="P64" s="1"/>
      </tp>
      <tp t="s">
        <v>T 0 1/8 11/30/22</v>
        <stp/>
        <stp>##V3_BDPV12</stp>
        <stp>91282CAX Govt</stp>
        <stp>SECURITY_NAME</stp>
        <stp>[TREASURY.xlsx]Sheet1!R67C16</stp>
        <tr r="P67" s="1"/>
      </tp>
      <tp t="s">
        <v>T 0 3/8 11/30/25</v>
        <stp/>
        <stp>##V3_BDPV12</stp>
        <stp>91282CAZ Govt</stp>
        <stp>SECURITY_NAME</stp>
        <stp>[TREASURY.xlsx]Sheet1!R45C16</stp>
        <tr r="P45" s="1"/>
      </tp>
      <tp t="s">
        <v>USD</v>
        <stp/>
        <stp>##V3_BDPV12</stp>
        <stp>9128282U Govt</stp>
        <stp>CRNCY</stp>
        <stp>[TREASURY.xlsx]Sheet1!R252C7</stp>
        <tr r="G252" s="1"/>
      </tp>
      <tp t="s">
        <v>USD</v>
        <stp/>
        <stp>##V3_BDPV12</stp>
        <stp>9128282V Govt</stp>
        <stp>CRNCY</stp>
        <stp>[TREASURY.xlsx]Sheet1!R362C7</stp>
        <tr r="G362" s="1"/>
      </tp>
      <tp t="s">
        <v>T 0 5/8 08/15/30</v>
        <stp/>
        <stp>##V3_BDPV12</stp>
        <stp>91282CAE Govt</stp>
        <stp>SECURITY_NAME</stp>
        <stp>[TREASURY.xlsx]Sheet1!R18C16</stp>
        <tr r="P18" s="1"/>
      </tp>
      <tp t="s">
        <v>USD</v>
        <stp/>
        <stp>##V3_BDPV12</stp>
        <stp>9128282S Govt</stp>
        <stp>CRNCY</stp>
        <stp>[TREASURY.xlsx]Sheet1!R212C7</stp>
        <tr r="G212" s="1"/>
      </tp>
      <tp t="s">
        <v>T 0 1/4 08/31/25</v>
        <stp/>
        <stp>##V3_BDPV12</stp>
        <stp>91282CAJ Govt</stp>
        <stp>SECURITY_NAME</stp>
        <stp>[TREASURY.xlsx]Sheet1!R49C16</stp>
        <tr r="P49" s="1"/>
      </tp>
      <tp t="s">
        <v>T 0 1/8 09/15/23</v>
        <stp/>
        <stp>##V3_BDPV12</stp>
        <stp>91282CAK Govt</stp>
        <stp>SECURITY_NAME</stp>
        <stp>[TREASURY.xlsx]Sheet1!R60C16</stp>
        <tr r="P60" s="1"/>
      </tp>
      <tp t="s">
        <v>T 0 1/4 07/31/25</v>
        <stp/>
        <stp>##V3_BDPV12</stp>
        <stp>91282CAB Govt</stp>
        <stp>SECURITY_NAME</stp>
        <stp>[TREASURY.xlsx]Sheet1!R99C16</stp>
        <tr r="P99" s="1"/>
      </tp>
      <tp t="s">
        <v>T 0 1/8 09/30/22</v>
        <stp/>
        <stp>##V3_BDPV12</stp>
        <stp>91282CAN Govt</stp>
        <stp>SECURITY_NAME</stp>
        <stp>[TREASURY.xlsx]Sheet1!R46C16</stp>
        <tr r="P46" s="1"/>
      </tp>
      <tp t="s">
        <v>T 0 1/4 09/30/25</v>
        <stp/>
        <stp>##V3_BDPV12</stp>
        <stp>91282CAM Govt</stp>
        <stp>SECURITY_NAME</stp>
        <stp>[TREASURY.xlsx]Sheet1!R42C16</stp>
        <tr r="P42" s="1"/>
      </tp>
      <tp t="s">
        <v>S/A</v>
        <stp/>
        <stp>##V3_BDPV12</stp>
        <stp>912827MM Govt</stp>
        <stp>COUPON_FREQUENCY_DESCRIPTION</stp>
        <stp>[TREASURY.xlsx]Sheet1!R1045C10</stp>
        <tr r="J1045" s="1"/>
      </tp>
      <tp t="s">
        <v>S/A</v>
        <stp/>
        <stp>##V3_BDPV12</stp>
        <stp>912827MN Govt</stp>
        <stp>COUPON_FREQUENCY_DESCRIPTION</stp>
        <stp>[TREASURY.xlsx]Sheet1!R1326C10</stp>
        <tr r="J1326" s="1"/>
      </tp>
      <tp t="s">
        <v>USD</v>
        <stp/>
        <stp>##V3_BDPV12</stp>
        <stp>9128285B Govt</stp>
        <stp>CRNCY</stp>
        <stp>[TREASURY.xlsx]Sheet1!R442C7</stp>
        <tr r="G442" s="1"/>
      </tp>
      <tp t="s">
        <v>USD</v>
        <stp/>
        <stp>##V3_BDPV12</stp>
        <stp>9128285X Govt</stp>
        <stp>CRNCY</stp>
        <stp>[TREASURY.xlsx]Sheet1!R372C7</stp>
        <tr r="G372" s="1"/>
      </tp>
      <tp t="s">
        <v>USD</v>
        <stp/>
        <stp>##V3_BDPV12</stp>
        <stp>9128284D Govt</stp>
        <stp>CRNCY</stp>
        <stp>[TREASURY.xlsx]Sheet1!R202C7</stp>
        <tr r="G202" s="1"/>
      </tp>
      <tp t="s">
        <v>T 0 1/4 09/30/23</v>
        <stp/>
        <stp>##V3_BDPV12</stp>
        <stp>91282CDA Govt</stp>
        <stp>SECURITY_NAME</stp>
        <stp>[TREASURY.xlsx]Sheet1!R11C16</stp>
        <tr r="P11" s="1"/>
      </tp>
      <tp t="s">
        <v>8/31/2026</v>
        <stp/>
        <stp>##V3_BDPV12</stp>
        <stp>91282CCW Govt</stp>
        <stp>MATURITY</stp>
        <stp>[TREASURY.xlsx]Sheet1!R4C5</stp>
        <tr r="E4" s="1"/>
      </tp>
      <tp t="s">
        <v>USD</v>
        <stp/>
        <stp>##V3_BDPV12</stp>
        <stp>9128286C Govt</stp>
        <stp>CRNCY</stp>
        <stp>[TREASURY.xlsx]Sheet1!R272C7</stp>
        <tr r="G272" s="1"/>
      </tp>
      <tp t="s">
        <v>USD</v>
        <stp/>
        <stp>##V3_BDPV12</stp>
        <stp>9128286S Govt</stp>
        <stp>CRNCY</stp>
        <stp>[TREASURY.xlsx]Sheet1!R322C7</stp>
        <tr r="G322" s="1"/>
      </tp>
      <tp t="s">
        <v>UNITED STATES</v>
        <stp/>
        <stp>##V3_BDPV12</stp>
        <stp>912810EA Govt</stp>
        <stp>COUNTRY_FULL_NAME</stp>
        <stp>[TREASURY.xlsx]Sheet1!R1445C8</stp>
        <tr r="H1445" s="1"/>
      </tp>
      <tp t="s">
        <v>T 10 3/4 08/15/05</v>
        <stp/>
        <stp>##V3_BDPV12</stp>
        <stp>912810DR Govt</stp>
        <stp>SECURITY_NAME</stp>
        <stp>[TREASURY.xlsx]Sheet1!R1447C16</stp>
        <tr r="P1447" s="1"/>
      </tp>
      <tp t="s">
        <v>T 4 1/2 09/30/00</v>
        <stp/>
        <stp>##V3_BDPV12</stp>
        <stp>9128274R Govt</stp>
        <stp>SECURITY_NAME</stp>
        <stp>[TREASURY.xlsx]Sheet1!R1532C16</stp>
        <tr r="P1532" s="1"/>
      </tp>
      <tp t="s">
        <v>T 6 3/8 04/30/99</v>
        <stp/>
        <stp>##V3_BDPV12</stp>
        <stp>9128272R Govt</stp>
        <stp>SECURITY_NAME</stp>
        <stp>[TREASURY.xlsx]Sheet1!R1453C16</stp>
        <tr r="P1453" s="1"/>
      </tp>
      <tp t="s">
        <v>S/A</v>
        <stp/>
        <stp>##V3_BDPV12</stp>
        <stp>912827MD Govt</stp>
        <stp>COUPON_FREQUENCY_DESCRIPTION</stp>
        <stp>[TREASURY.xlsx]Sheet1!R1167C10</stp>
        <tr r="J1167" s="1"/>
      </tp>
      <tp t="s">
        <v>UNITED STATES</v>
        <stp/>
        <stp>##V3_BDPV12</stp>
        <stp>912828EM Govt</stp>
        <stp>COUNTRY_FULL_NAME</stp>
        <stp>[TREASURY.xlsx]Sheet1!R1115C8</stp>
        <tr r="H1115" s="1"/>
      </tp>
      <tp t="s">
        <v>T 13 12/31/83</v>
        <stp/>
        <stp>##V3_BDPV12</stp>
        <stp>912827MR Govt</stp>
        <stp>SECURITY_NAME</stp>
        <stp>[TREASURY.xlsx]Sheet1!R1327C16</stp>
        <tr r="P1327" s="1"/>
      </tp>
      <tp t="s">
        <v>T 12 5/8 03/31/83</v>
        <stp/>
        <stp>##V3_BDPV12</stp>
        <stp>912827LR Govt</stp>
        <stp>SECURITY_NAME</stp>
        <stp>[TREASURY.xlsx]Sheet1!R1323C16</stp>
        <tr r="P1323" s="1"/>
      </tp>
      <tp t="s">
        <v>T 10 1/2 06/30/87</v>
        <stp/>
        <stp>##V3_BDPV12</stp>
        <stp>912827PR Govt</stp>
        <stp>SECURITY_NAME</stp>
        <stp>[TREASURY.xlsx]Sheet1!R1341C16</stp>
        <tr r="P1341" s="1"/>
      </tp>
      <tp t="s">
        <v>T 5 5/8 12/31/99</v>
        <stp/>
        <stp>##V3_BDPV12</stp>
        <stp>9128273R Govt</stp>
        <stp>SECURITY_NAME</stp>
        <stp>[TREASURY.xlsx]Sheet1!R1359C16</stp>
        <tr r="P1359" s="1"/>
      </tp>
      <tp t="s">
        <v>T 9 5/8 11/15/90</v>
        <stp/>
        <stp>##V3_BDPV12</stp>
        <stp>912827SR Govt</stp>
        <stp>SECURITY_NAME</stp>
        <stp>[TREASURY.xlsx]Sheet1!R1396C16</stp>
        <tr r="P1396" s="1"/>
      </tp>
      <tp>
        <v>6.625</v>
        <stp/>
        <stp>##V3_BDPV12</stp>
        <stp>912827T3 Govt</stp>
        <stp>CPN</stp>
        <stp>[TREASURY.xlsx]Sheet1!R1069C3</stp>
        <tr r="C1069" s="1"/>
      </tp>
      <tp>
        <v>6.25</v>
        <stp/>
        <stp>##V3_BDPV12</stp>
        <stp>912827UG Govt</stp>
        <stp>CPN</stp>
        <stp>[TREASURY.xlsx]Sheet1!R1199C3</stp>
        <tr r="C1199" s="1"/>
      </tp>
      <tp>
        <v>10.875</v>
        <stp/>
        <stp>##V3_BDPV12</stp>
        <stp>912827PD Govt</stp>
        <stp>CPN</stp>
        <stp>[TREASURY.xlsx]Sheet1!R1569C3</stp>
        <tr r="C1569" s="1"/>
      </tp>
      <tp>
        <v>6.625</v>
        <stp/>
        <stp>##V3_BDPV12</stp>
        <stp>912827UQ Govt</stp>
        <stp>CPN</stp>
        <stp>[TREASURY.xlsx]Sheet1!R1079C3</stp>
        <tr r="C1079" s="1"/>
      </tp>
      <tp>
        <v>8.5</v>
        <stp/>
        <stp>##V3_BDPV12</stp>
        <stp>912827WV Govt</stp>
        <stp>CPN</stp>
        <stp>[TREASURY.xlsx]Sheet1!R1209C3</stp>
        <tr r="C1209" s="1"/>
      </tp>
      <tp>
        <v>7.125</v>
        <stp/>
        <stp>##V3_BDPV12</stp>
        <stp>912827R4 Govt</stp>
        <stp>CPN</stp>
        <stp>[TREASURY.xlsx]Sheet1!R1499C3</stp>
        <tr r="C1499" s="1"/>
      </tp>
      <tp>
        <v>9.625</v>
        <stp/>
        <stp>##V3_BDPV12</stp>
        <stp>912827SK Govt</stp>
        <stp>CPN</stp>
        <stp>[TREASURY.xlsx]Sheet1!R1589C3</stp>
        <tr r="C1589" s="1"/>
      </tp>
      <tp>
        <v>7.375</v>
        <stp/>
        <stp>##V3_BDPV12</stp>
        <stp>912827VZ Govt</stp>
        <stp>CPN</stp>
        <stp>[TREASURY.xlsx]Sheet1!R1089C3</stp>
        <tr r="C1089" s="1"/>
      </tp>
      <tp>
        <v>11.875</v>
        <stp/>
        <stp>##V3_BDPV12</stp>
        <stp>912827RF Govt</stp>
        <stp>CPN</stp>
        <stp>[TREASURY.xlsx]Sheet1!R1579C3</stp>
        <tr r="C1579" s="1"/>
      </tp>
      <tp>
        <v>8.875</v>
        <stp/>
        <stp>##V3_BDPV12</stp>
        <stp>912827TF Govt</stp>
        <stp>CPN</stp>
        <stp>[TREASURY.xlsx]Sheet1!R1399C3</stp>
        <tr r="C1399" s="1"/>
      </tp>
      <tp>
        <v>11.75</v>
        <stp/>
        <stp>##V3_BDPV12</stp>
        <stp>912827QN Govt</stp>
        <stp>CPN</stp>
        <stp>[TREASURY.xlsx]Sheet1!R1179C3</stp>
        <tr r="C1179" s="1"/>
      </tp>
      <tp>
        <v>7.25</v>
        <stp/>
        <stp>##V3_BDPV12</stp>
        <stp>912827TL Govt</stp>
        <stp>CPN</stp>
        <stp>[TREASURY.xlsx]Sheet1!R1509C3</stp>
        <tr r="C1509" s="1"/>
      </tp>
      <tp>
        <v>12.5</v>
        <stp/>
        <stp>##V3_BDPV12</stp>
        <stp>912827QT Govt</stp>
        <stp>CPN</stp>
        <stp>[TREASURY.xlsx]Sheet1!R1059C3</stp>
        <tr r="C1059" s="1"/>
      </tp>
      <tp>
        <v>7.375</v>
        <stp/>
        <stp>##V3_BDPV12</stp>
        <stp>912827UZ Govt</stp>
        <stp>CPN</stp>
        <stp>[TREASURY.xlsx]Sheet1!R1409C3</stp>
        <tr r="C1409" s="1"/>
      </tp>
      <tp>
        <v>8.5</v>
        <stp/>
        <stp>##V3_BDPV12</stp>
        <stp>912827SW Govt</stp>
        <stp>CPN</stp>
        <stp>[TREASURY.xlsx]Sheet1!R1189C3</stp>
        <tr r="C1189" s="1"/>
      </tp>
      <tp>
        <v>5.875</v>
        <stp/>
        <stp>##V3_BDPV12</stp>
        <stp>912827P9 Govt</stp>
        <stp>CPN</stp>
        <stp>[TREASURY.xlsx]Sheet1!R1339C3</stp>
        <tr r="C1339" s="1"/>
      </tp>
      <tp>
        <v>10.5</v>
        <stp/>
        <stp>##V3_BDPV12</stp>
        <stp>912827PJ Govt</stp>
        <stp>CPN</stp>
        <stp>[TREASURY.xlsx]Sheet1!R1389C3</stp>
        <tr r="C1389" s="1"/>
      </tp>
      <tp>
        <v>8.625</v>
        <stp/>
        <stp>##V3_BDPV12</stp>
        <stp>912827WP Govt</stp>
        <stp>CPN</stp>
        <stp>[TREASURY.xlsx]Sheet1!R1419C3</stp>
        <tr r="C1419" s="1"/>
      </tp>
      <tp>
        <v>6.375</v>
        <stp/>
        <stp>##V3_BDPV12</stp>
        <stp>912827Z5 Govt</stp>
        <stp>CPN</stp>
        <stp>[TREASURY.xlsx]Sheet1!R1609C3</stp>
        <tr r="C1609" s="1"/>
      </tp>
      <tp>
        <v>7.875</v>
        <stp/>
        <stp>##V3_BDPV12</stp>
        <stp>912827XV Govt</stp>
        <stp>CPN</stp>
        <stp>[TREASURY.xlsx]Sheet1!R1599C3</stp>
        <tr r="C1599" s="1"/>
      </tp>
      <tp>
        <v>8.125</v>
        <stp/>
        <stp>##V3_BDPV12</stp>
        <stp>912827ZF Govt</stp>
        <stp>CPN</stp>
        <stp>[TREASURY.xlsx]Sheet1!R1229C3</stp>
        <tr r="C1229" s="1"/>
      </tp>
      <tp>
        <v>6.25</v>
        <stp/>
        <stp>##V3_BDPV12</stp>
        <stp>912827Y6 Govt</stp>
        <stp>CPN</stp>
        <stp>[TREASURY.xlsx]Sheet1!R1099C3</stp>
        <tr r="C1099" s="1"/>
      </tp>
      <tp>
        <v>6.625</v>
        <stp/>
        <stp>##V3_BDPV12</stp>
        <stp>912827Y7 Govt</stp>
        <stp>CPN</stp>
        <stp>[TREASURY.xlsx]Sheet1!R1219C3</stp>
        <tr r="C1219" s="1"/>
      </tp>
      <tp>
        <v>7</v>
        <stp/>
        <stp>##V3_BDPV12</stp>
        <stp>912827B3 Govt</stp>
        <stp>CPN</stp>
        <stp>[TREASURY.xlsx]Sheet1!R1549C3</stp>
        <tr r="C1549" s="1"/>
      </tp>
      <tp>
        <v>6.375</v>
        <stp/>
        <stp>##V3_BDPV12</stp>
        <stp>912827C2 Govt</stp>
        <stp>CPN</stp>
        <stp>[TREASURY.xlsx]Sheet1!R1479C3</stp>
        <tr r="C1479" s="1"/>
      </tp>
      <tp>
        <v>7.125</v>
        <stp/>
        <stp>##V3_BDPV12</stp>
        <stp>912827A2 Govt</stp>
        <stp>CPN</stp>
        <stp>[TREASURY.xlsx]Sheet1!R1029C3</stp>
        <tr r="C1029" s="1"/>
      </tp>
      <tp>
        <v>7.5</v>
        <stp/>
        <stp>##V3_BDPV12</stp>
        <stp>912827F4 Govt</stp>
        <stp>CPN</stp>
        <stp>[TREASURY.xlsx]Sheet1!R1559C3</stp>
        <tr r="C1559" s="1"/>
      </tp>
      <tp>
        <v>5.125</v>
        <stp/>
        <stp>##V3_BDPV12</stp>
        <stp>912827N2 Govt</stp>
        <stp>CPN</stp>
        <stp>[TREASURY.xlsx]Sheet1!R1329C3</stp>
        <tr r="C1329" s="1"/>
      </tp>
      <tp>
        <v>13.75</v>
        <stp/>
        <stp>##V3_BDPV12</stp>
        <stp>912827NF Govt</stp>
        <stp>CPN</stp>
        <stp>[TREASURY.xlsx]Sheet1!R1049C3</stp>
        <tr r="C1049" s="1"/>
      </tp>
      <tp>
        <v>3.875</v>
        <stp/>
        <stp>##V3_BDPV12</stp>
        <stp>912827K2 Govt</stp>
        <stp>CPN</stp>
        <stp>[TREASURY.xlsx]Sheet1!R1489C3</stp>
        <tr r="C1489" s="1"/>
      </tp>
      <tp>
        <v>5.75</v>
        <stp/>
        <stp>##V3_BDPV12</stp>
        <stp>912827L8 Govt</stp>
        <stp>CPN</stp>
        <stp>[TREASURY.xlsx]Sheet1!R1319C3</stp>
        <tr r="C1319" s="1"/>
      </tp>
      <tp>
        <v>13.75</v>
        <stp/>
        <stp>##V3_BDPV12</stp>
        <stp>912827NG Govt</stp>
        <stp>CPN</stp>
        <stp>[TREASURY.xlsx]Sheet1!R1169C3</stp>
        <tr r="C1169" s="1"/>
      </tp>
      <tp>
        <v>13.25</v>
        <stp/>
        <stp>##V3_BDPV12</stp>
        <stp>912827LT Govt</stp>
        <stp>CPN</stp>
        <stp>[TREASURY.xlsx]Sheet1!R1379C3</stp>
        <tr r="C1379" s="1"/>
      </tp>
      <tp>
        <v>3.875</v>
        <stp/>
        <stp>##V3_BDPV12</stp>
        <stp>912827K5 Govt</stp>
        <stp>CPN</stp>
        <stp>[TREASURY.xlsx]Sheet1!R1159C3</stp>
        <tr r="C1159" s="1"/>
      </tp>
      <tp>
        <v>5.125</v>
        <stp/>
        <stp>##V3_BDPV12</stp>
        <stp>912827K3 Govt</stp>
        <stp>CPN</stp>
        <stp>[TREASURY.xlsx]Sheet1!R1039C3</stp>
        <tr r="C1039" s="1"/>
      </tp>
      <tp>
        <v>5.875</v>
        <stp/>
        <stp>##V3_BDPV12</stp>
        <stp>9128275S Govt</stp>
        <stp>CPN</stp>
        <stp>[TREASURY.xlsx]Sheet1!R1019C3</stp>
        <tr r="C1019" s="1"/>
      </tp>
      <tp>
        <v>5.875</v>
        <stp/>
        <stp>##V3_BDPV12</stp>
        <stp>9128272C Govt</stp>
        <stp>CPN</stp>
        <stp>[TREASURY.xlsx]Sheet1!R1449C3</stp>
        <tr r="C1449" s="1"/>
      </tp>
      <tp>
        <v>5.5</v>
        <stp/>
        <stp>##V3_BDPV12</stp>
        <stp>9128275G Govt</stp>
        <stp>CPN</stp>
        <stp>[TREASURY.xlsx]Sheet1!R1369C3</stp>
        <tr r="C1369" s="1"/>
      </tp>
      <tp>
        <v>5.75</v>
        <stp/>
        <stp>##V3_BDPV12</stp>
        <stp>9128273L Govt</stp>
        <stp>CPN</stp>
        <stp>[TREASURY.xlsx]Sheet1!R1529C3</stp>
        <tr r="C1529" s="1"/>
      </tp>
      <tp t="s">
        <v>T 8 1/4 06/30/91</v>
        <stp/>
        <stp>##V3_BDPV12</stp>
        <stp>912827XR Govt</stp>
        <stp>SECURITY_NAME</stp>
        <stp>[TREASURY.xlsx]Sheet1!R1216C16</stp>
        <tr r="P1216" s="1"/>
      </tp>
      <tp>
        <v>6.625</v>
        <stp/>
        <stp>##V3_BDPV12</stp>
        <stp>9128272P Govt</stp>
        <stp>CPN</stp>
        <stp>[TREASURY.xlsx]Sheet1!R1519C3</stp>
        <tr r="C1519" s="1"/>
      </tp>
      <tp>
        <v>5.75</v>
        <stp/>
        <stp>##V3_BDPV12</stp>
        <stp>9128274D Govt</stp>
        <stp>CPN</stp>
        <stp>[TREASURY.xlsx]Sheet1!R1459C3</stp>
        <tr r="C1459" s="1"/>
      </tp>
      <tp>
        <v>5.625</v>
        <stp/>
        <stp>##V3_BDPV12</stp>
        <stp>9128273R Govt</stp>
        <stp>CPN</stp>
        <stp>[TREASURY.xlsx]Sheet1!R1359C3</stp>
        <tr r="C1359" s="1"/>
      </tp>
      <tp>
        <v>6.125</v>
        <stp/>
        <stp>##V3_BDPV12</stp>
        <stp>9128272E Govt</stp>
        <stp>CPN</stp>
        <stp>[TREASURY.xlsx]Sheet1!R1009C3</stp>
        <tr r="C1009" s="1"/>
      </tp>
      <tp>
        <v>4.625</v>
        <stp/>
        <stp>##V3_BDPV12</stp>
        <stp>9128276X Govt</stp>
        <stp>CPN</stp>
        <stp>[TREASURY.xlsx]Sheet1!R1469C3</stp>
        <tr r="C1469" s="1"/>
      </tp>
      <tp>
        <v>5.125</v>
        <stp/>
        <stp>##V3_BDPV12</stp>
        <stp>9128276Q Govt</stp>
        <stp>CPN</stp>
        <stp>[TREASURY.xlsx]Sheet1!R1539C3</stp>
        <tr r="C1539" s="1"/>
      </tp>
      <tp t="s">
        <v>T 2 3/8 07/31/17</v>
        <stp/>
        <stp>##V3_BDPV12</stp>
        <stp>912828NR Govt</stp>
        <stp>SECURITY_NAME</stp>
        <stp>[TREASURY.xlsx]Sheet1!R1257C16</stp>
        <tr r="P1257" s="1"/>
      </tp>
      <tp t="s">
        <v>T 4 7/8 08/31/08</v>
        <stp/>
        <stp>##V3_BDPV12</stp>
        <stp>912828FR Govt</stp>
        <stp>SECURITY_NAME</stp>
        <stp>[TREASURY.xlsx]Sheet1!R1277C16</stp>
        <tr r="P1277" s="1"/>
      </tp>
      <tp t="s">
        <v>T 0 5/8 01/31/13</v>
        <stp/>
        <stp>##V3_BDPV12</stp>
        <stp>912828PR Govt</stp>
        <stp>SECURITY_NAME</stp>
        <stp>[TREASURY.xlsx]Sheet1!R1260C16</stp>
        <tr r="P1260" s="1"/>
      </tp>
      <tp t="s">
        <v>S/A</v>
        <stp/>
        <stp>##V3_BDPV12</stp>
        <stp>912828MA Govt</stp>
        <stp>COUPON_FREQUENCY_DESCRIPTION</stp>
        <stp>[TREASURY.xlsx]Sheet1!R1252C10</stp>
        <tr r="J1252" s="1"/>
      </tp>
      <tp t="s">
        <v>T 9 1/4 08/15/83</v>
        <stp/>
        <stp>##V3_BDPV12</stp>
        <stp>912827KR Govt</stp>
        <stp>SECURITY_NAME</stp>
        <stp>[TREASURY.xlsx]Sheet1!R1161C16</stp>
        <tr r="P1161" s="1"/>
      </tp>
      <tp t="s">
        <v>T 0 3/4 02/28/18</v>
        <stp/>
        <stp>##V3_BDPV12</stp>
        <stp>912828UR Govt</stp>
        <stp>SECURITY_NAME</stp>
        <stp>[TREASURY.xlsx]Sheet1!R1146C16</stp>
        <tr r="P1146" s="1"/>
      </tp>
      <tp t="s">
        <v>T 0 1/4 04/30/14</v>
        <stp/>
        <stp>##V3_BDPV12</stp>
        <stp>912828SR Govt</stp>
        <stp>SECURITY_NAME</stp>
        <stp>[TREASURY.xlsx]Sheet1!R1142C16</stp>
        <tr r="P1142" s="1"/>
      </tp>
      <tp t="s">
        <v>T 7 1/8 05/31/88</v>
        <stp/>
        <stp>##V3_BDPV12</stp>
        <stp>912827TR Govt</stp>
        <stp>SECURITY_NAME</stp>
        <stp>[TREASURY.xlsx]Sheet1!R1194C16</stp>
        <tr r="P1194" s="1"/>
      </tp>
      <tp t="s">
        <v>S/A</v>
        <stp/>
        <stp>##V3_BDPV12</stp>
        <stp>912827MC Govt</stp>
        <stp>COUPON_FREQUENCY_DESCRIPTION</stp>
        <stp>[TREASURY.xlsx]Sheet1!R1324C10</stp>
        <tr r="J1324" s="1"/>
      </tp>
      <tp t="s">
        <v>T 11 1/2 11/15/95</v>
        <stp/>
        <stp>##V3_BDPV12</stp>
        <stp>912810CR Govt</stp>
        <stp>SECURITY_NAME</stp>
        <stp>[TREASURY.xlsx]Sheet1!R1344C16</stp>
        <tr r="P1344" s="1"/>
      </tp>
      <tp t="s">
        <v>T 5 7/8 10/31/01</v>
        <stp/>
        <stp>##V3_BDPV12</stp>
        <stp>9128275R Govt</stp>
        <stp>SECURITY_NAME</stp>
        <stp>[TREASURY.xlsx]Sheet1!R1018C16</stp>
        <tr r="P1018" s="1"/>
      </tp>
      <tp t="s">
        <v>T 12 1/4 09/30/86</v>
        <stp/>
        <stp>##V3_BDPV12</stp>
        <stp>912827NR Govt</stp>
        <stp>SECURITY_NAME</stp>
        <stp>[TREASURY.xlsx]Sheet1!R1052C16</stp>
        <tr r="P1052" s="1"/>
      </tp>
      <tp t="s">
        <v>T 6 3/8 03/31/89</v>
        <stp/>
        <stp>##V3_BDPV12</stp>
        <stp>912827UR Govt</stp>
        <stp>SECURITY_NAME</stp>
        <stp>[TREASURY.xlsx]Sheet1!R1080C16</stp>
        <tr r="P1080" s="1"/>
      </tp>
      <tp t="s">
        <v>S/A</v>
        <stp/>
        <stp>##V3_BDPV12</stp>
        <stp>912827MX Govt</stp>
        <stp>COUPON_FREQUENCY_DESCRIPTION</stp>
        <stp>[TREASURY.xlsx]Sheet1!R1382C10</stp>
        <tr r="J1382" s="1"/>
      </tp>
      <tp t="s">
        <v>S/A</v>
        <stp/>
        <stp>##V3_BDPV12</stp>
        <stp>912827MZ Govt</stp>
        <stp>COUPON_FREQUENCY_DESCRIPTION</stp>
        <stp>[TREASURY.xlsx]Sheet1!R1168C10</stp>
        <tr r="J1168" s="1"/>
      </tp>
      <tp t="s">
        <v>S/A</v>
        <stp/>
        <stp>##V3_BDPV12</stp>
        <stp>912828MZ Govt</stp>
        <stp>COUPON_FREQUENCY_DESCRIPTION</stp>
        <stp>[TREASURY.xlsx]Sheet1!R1255C10</stp>
        <tr r="J1255" s="1"/>
      </tp>
      <tp t="s">
        <v>UNITED STATES</v>
        <stp/>
        <stp>##V3_BDPV12</stp>
        <stp>912828FP Govt</stp>
        <stp>COUNTRY_FULL_NAME</stp>
        <stp>[TREASURY.xlsx]Sheet1!R1276C8</stp>
        <tr r="H1276" s="1"/>
      </tp>
      <tp t="s">
        <v>UNITED STATES</v>
        <stp/>
        <stp>##V3_BDPV12</stp>
        <stp>912828HP Govt</stp>
        <stp>COUNTRY_FULL_NAME</stp>
        <stp>[TREASURY.xlsx]Sheet1!R1438C8</stp>
        <tr r="H1438" s="1"/>
      </tp>
      <tp t="s">
        <v>UNITED STATES</v>
        <stp/>
        <stp>##V3_BDPV12</stp>
        <stp>912810CQ Govt</stp>
        <stp>COUNTRY_FULL_NAME</stp>
        <stp>[TREASURY.xlsx]Sheet1!R1623C8</stp>
        <tr r="H1623" s="1"/>
      </tp>
      <tp t="s">
        <v>S/A</v>
        <stp/>
        <stp>##V3_BDPV12</stp>
        <stp>912828MT Govt</stp>
        <stp>COUPON_FREQUENCY_DESCRIPTION</stp>
        <stp>[TREASURY.xlsx]Sheet1!R1254C10</stp>
        <tr r="J1254" s="1"/>
      </tp>
      <tp t="s">
        <v>S/A</v>
        <stp/>
        <stp>##V3_BDPV12</stp>
        <stp>912827MU Govt</stp>
        <stp>COUPON_FREQUENCY_DESCRIPTION</stp>
        <stp>[TREASURY.xlsx]Sheet1!R1328C10</stp>
        <tr r="J1328" s="1"/>
      </tp>
      <tp t="s">
        <v>UNITED STATES</v>
        <stp/>
        <stp>##V3_BDPV12</stp>
        <stp>912810SX Govt</stp>
        <stp>COUNTRY_FULL_NAME</stp>
        <stp>[TREASURY.xlsx]Sheet1!R8C8</stp>
        <tr r="H8" s="1"/>
      </tp>
      <tp t="s">
        <v>S/A</v>
        <stp/>
        <stp>##V3_BDPV12</stp>
        <stp>912827MW Govt</stp>
        <stp>COUPON_FREQUENCY_DESCRIPTION</stp>
        <stp>[TREASURY.xlsx]Sheet1!R1047C10</stp>
        <tr r="J1047" s="1"/>
      </tp>
      <tp t="s">
        <v>S/A</v>
        <stp/>
        <stp>##V3_BDPV12</stp>
        <stp>912827MV Govt</stp>
        <stp>COUPON_FREQUENCY_DESCRIPTION</stp>
        <stp>[TREASURY.xlsx]Sheet1!R1381C10</stp>
        <tr r="J1381" s="1"/>
      </tp>
      <tp t="s">
        <v>S/A</v>
        <stp/>
        <stp>##V3_BDPV12</stp>
        <stp>912827MS Govt</stp>
        <stp>COUPON_FREQUENCY_DESCRIPTION</stp>
        <stp>[TREASURY.xlsx]Sheet1!R1046C10</stp>
        <tr r="J1046" s="1"/>
      </tp>
      <tp t="s">
        <v>S/A</v>
        <stp/>
        <stp>##V3_BDPV12</stp>
        <stp>912827MR Govt</stp>
        <stp>COUPON_FREQUENCY_DESCRIPTION</stp>
        <stp>[TREASURY.xlsx]Sheet1!R1327C10</stp>
        <tr r="J1327" s="1"/>
      </tp>
      <tp t="s">
        <v>USD</v>
        <stp/>
        <stp>##V3_BDPV12</stp>
        <stp>912828QS Govt</stp>
        <stp>CRNCY</stp>
        <stp>[TREASURY.xlsx]Sheet1!R992C7</stp>
        <tr r="G992" s="1"/>
      </tp>
      <tp t="s">
        <v>USD</v>
        <stp/>
        <stp>##V3_BDPV12</stp>
        <stp>912828PK Govt</stp>
        <stp>CRNCY</stp>
        <stp>[TREASURY.xlsx]Sheet1!R982C7</stp>
        <tr r="G982" s="1"/>
      </tp>
      <tp t="s">
        <v>USD</v>
        <stp/>
        <stp>##V3_BDPV12</stp>
        <stp>912828PV Govt</stp>
        <stp>CRNCY</stp>
        <stp>[TREASURY.xlsx]Sheet1!R652C7</stp>
        <tr r="G652" s="1"/>
      </tp>
      <tp t="s">
        <v>USD</v>
        <stp/>
        <stp>##V3_BDPV12</stp>
        <stp>912828P3 Govt</stp>
        <stp>CRNCY</stp>
        <stp>[TREASURY.xlsx]Sheet1!R222C7</stp>
        <tr r="G222" s="1"/>
      </tp>
      <tp t="s">
        <v>USD</v>
        <stp/>
        <stp>##V3_BDPV12</stp>
        <stp>912828S6 Govt</stp>
        <stp>CRNCY</stp>
        <stp>[TREASURY.xlsx]Sheet1!R692C7</stp>
        <tr r="G692" s="1"/>
      </tp>
      <tp t="s">
        <v>USD</v>
        <stp/>
        <stp>##V3_BDPV12</stp>
        <stp>912828UM Govt</stp>
        <stp>CRNCY</stp>
        <stp>[TREASURY.xlsx]Sheet1!R472C7</stp>
        <tr r="G472" s="1"/>
      </tp>
      <tp t="s">
        <v>USD</v>
        <stp/>
        <stp>##V3_BDPV12</stp>
        <stp>912828UT Govt</stp>
        <stp>CRNCY</stp>
        <stp>[TREASURY.xlsx]Sheet1!R552C7</stp>
        <tr r="G552" s="1"/>
      </tp>
      <tp t="s">
        <v>USD</v>
        <stp/>
        <stp>##V3_BDPV12</stp>
        <stp>912828U6 Govt</stp>
        <stp>CRNCY</stp>
        <stp>[TREASURY.xlsx]Sheet1!R232C7</stp>
        <tr r="G232" s="1"/>
      </tp>
      <tp t="s">
        <v>USD</v>
        <stp/>
        <stp>##V3_BDPV12</stp>
        <stp>912828TD Govt</stp>
        <stp>CRNCY</stp>
        <stp>[TREASURY.xlsx]Sheet1!R872C7</stp>
        <tr r="G872" s="1"/>
      </tp>
      <tp t="s">
        <v>USD</v>
        <stp/>
        <stp>##V3_BDPV12</stp>
        <stp>912828TR Govt</stp>
        <stp>CRNCY</stp>
        <stp>[TREASURY.xlsx]Sheet1!R402C7</stp>
        <tr r="G402" s="1"/>
      </tp>
      <tp t="s">
        <v>USD</v>
        <stp/>
        <stp>##V3_BDPV12</stp>
        <stp>912828T2 Govt</stp>
        <stp>CRNCY</stp>
        <stp>[TREASURY.xlsx]Sheet1!R192C7</stp>
        <tr r="G192" s="1"/>
      </tp>
      <tp t="s">
        <v>USD</v>
        <stp/>
        <stp>##V3_BDPV12</stp>
        <stp>912828WD Govt</stp>
        <stp>CRNCY</stp>
        <stp>[TREASURY.xlsx]Sheet1!R682C7</stp>
        <tr r="G682" s="1"/>
      </tp>
      <tp t="s">
        <v>USD</v>
        <stp/>
        <stp>##V3_BDPV12</stp>
        <stp>912828WJ Govt</stp>
        <stp>CRNCY</stp>
        <stp>[TREASURY.xlsx]Sheet1!R182C7</stp>
        <tr r="G182" s="1"/>
      </tp>
      <tp t="s">
        <v>USD</v>
        <stp/>
        <stp>##V3_BDPV12</stp>
        <stp>912828VH Govt</stp>
        <stp>CRNCY</stp>
        <stp>[TREASURY.xlsx]Sheet1!R632C7</stp>
        <tr r="G632" s="1"/>
      </tp>
      <tp t="s">
        <v>USD</v>
        <stp/>
        <stp>##V3_BDPV12</stp>
        <stp>912828V7 Govt</stp>
        <stp>CRNCY</stp>
        <stp>[TREASURY.xlsx]Sheet1!R262C7</stp>
        <tr r="G262" s="1"/>
      </tp>
      <tp t="s">
        <v>USD</v>
        <stp/>
        <stp>##V3_BDPV12</stp>
        <stp>912828XB Govt</stp>
        <stp>CRNCY</stp>
        <stp>[TREASURY.xlsx]Sheet1!R122C7</stp>
        <tr r="G122" s="1"/>
      </tp>
      <tp t="s">
        <v>USD</v>
        <stp/>
        <stp>##V3_BDPV12</stp>
        <stp>912828X9 Govt</stp>
        <stp>CRNCY</stp>
        <stp>[TREASURY.xlsx]Sheet1!R882C7</stp>
        <tr r="G882" s="1"/>
      </tp>
      <tp t="s">
        <v>USD</v>
        <stp/>
        <stp>##V3_BDPV12</stp>
        <stp>912828ZE Govt</stp>
        <stp>CRNCY</stp>
        <stp>[TREASURY.xlsx]Sheet1!R112C7</stp>
        <tr r="G112" s="1"/>
      </tp>
      <tp t="s">
        <v>USD</v>
        <stp/>
        <stp>##V3_BDPV12</stp>
        <stp>912828ZU Govt</stp>
        <stp>CRNCY</stp>
        <stp>[TREASURY.xlsx]Sheet1!R162C7</stp>
        <tr r="G162" s="1"/>
      </tp>
      <tp t="s">
        <v>USD</v>
        <stp/>
        <stp>##V3_BDPV12</stp>
        <stp>912828AD Govt</stp>
        <stp>CRNCY</stp>
        <stp>[TREASURY.xlsx]Sheet1!R412C7</stp>
        <tr r="G412" s="1"/>
      </tp>
      <tp t="s">
        <v>USD</v>
        <stp/>
        <stp>##V3_BDPV12</stp>
        <stp>912828AQ Govt</stp>
        <stp>CRNCY</stp>
        <stp>[TREASURY.xlsx]Sheet1!R512C7</stp>
        <tr r="G512" s="1"/>
      </tp>
      <tp t="s">
        <v>USD</v>
        <stp/>
        <stp>##V3_BDPV12</stp>
        <stp>912828AV Govt</stp>
        <stp>CRNCY</stp>
        <stp>[TREASURY.xlsx]Sheet1!R602C7</stp>
        <tr r="G602" s="1"/>
      </tp>
      <tp t="s">
        <v>USD</v>
        <stp/>
        <stp>##V3_BDPV12</stp>
        <stp>912828AX Govt</stp>
        <stp>CRNCY</stp>
        <stp>[TREASURY.xlsx]Sheet1!R502C7</stp>
        <tr r="G502" s="1"/>
      </tp>
      <tp t="s">
        <v>UNITED STATES</v>
        <stp/>
        <stp>##V3_BDPV12</stp>
        <stp>912827H7 Govt</stp>
        <stp>COUNTRY_FULL_NAME</stp>
        <stp>[TREASURY.xlsx]Sheet1!R1158C8</stp>
        <tr r="H1158" s="1"/>
      </tp>
      <tp t="s">
        <v>UNITED STATES</v>
        <stp/>
        <stp>##V3_BDPV12</stp>
        <stp>912827A7 Govt</stp>
        <stp>COUNTRY_FULL_NAME</stp>
        <stp>[TREASURY.xlsx]Sheet1!R1031C8</stp>
        <tr r="H1031" s="1"/>
      </tp>
      <tp t="s">
        <v>UNITED STATES</v>
        <stp/>
        <stp>##V3_BDPV12</stp>
        <stp>912827G7 Govt</stp>
        <stp>COUNTRY_FULL_NAME</stp>
        <stp>[TREASURY.xlsx]Sheet1!R1037C8</stp>
        <tr r="H1037" s="1"/>
      </tp>
      <tp t="s">
        <v>USD</v>
        <stp/>
        <stp>##V3_BDPV12</stp>
        <stp>912828CS Govt</stp>
        <stp>CRNCY</stp>
        <stp>[TREASURY.xlsx]Sheet1!R462C7</stp>
        <tr r="G462" s="1"/>
      </tp>
      <tp t="s">
        <v>USD</v>
        <stp/>
        <stp>##V3_BDPV12</stp>
        <stp>912828C5 Govt</stp>
        <stp>CRNCY</stp>
        <stp>[TREASURY.xlsx]Sheet1!R342C7</stp>
        <tr r="G342" s="1"/>
      </tp>
      <tp t="s">
        <v>UNITED STATES</v>
        <stp/>
        <stp>##V3_BDPV12</stp>
        <stp>912827C4 Govt</stp>
        <stp>COUNTRY_FULL_NAME</stp>
        <stp>[TREASURY.xlsx]Sheet1!R1553C8</stp>
        <tr r="H1553" s="1"/>
      </tp>
      <tp t="s">
        <v>USD</v>
        <stp/>
        <stp>##V3_BDPV12</stp>
        <stp>912828C4 Govt</stp>
        <stp>CRNCY</stp>
        <stp>[TREASURY.xlsx]Sheet1!R492C7</stp>
        <tr r="G492" s="1"/>
      </tp>
      <tp t="s">
        <v>USD</v>
        <stp/>
        <stp>##V3_BDPV12</stp>
        <stp>912828BB Govt</stp>
        <stp>CRNCY</stp>
        <stp>[TREASURY.xlsx]Sheet1!R482C7</stp>
        <tr r="G482" s="1"/>
      </tp>
      <tp t="s">
        <v>USD</v>
        <stp/>
        <stp>##V3_BDPV12</stp>
        <stp>912828BJ Govt</stp>
        <stp>CRNCY</stp>
        <stp>[TREASURY.xlsx]Sheet1!R642C7</stp>
        <tr r="G642" s="1"/>
      </tp>
      <tp t="s">
        <v>USD</v>
        <stp/>
        <stp>##V3_BDPV12</stp>
        <stp>912828BH Govt</stp>
        <stp>CRNCY</stp>
        <stp>[TREASURY.xlsx]Sheet1!R452C7</stp>
        <tr r="G452" s="1"/>
      </tp>
      <tp t="s">
        <v>UNITED STATES</v>
        <stp/>
        <stp>##V3_BDPV12</stp>
        <stp>912827D5 Govt</stp>
        <stp>COUNTRY_FULL_NAME</stp>
        <stp>[TREASURY.xlsx]Sheet1!R1484C8</stp>
        <tr r="H1484" s="1"/>
      </tp>
      <tp t="s">
        <v>USD</v>
        <stp/>
        <stp>##V3_BDPV12</stp>
        <stp>912828EZ Govt</stp>
        <stp>CRNCY</stp>
        <stp>[TREASURY.xlsx]Sheet1!R572C7</stp>
        <tr r="G572" s="1"/>
      </tp>
      <tp t="s">
        <v>USD</v>
        <stp/>
        <stp>##V3_BDPV12</stp>
        <stp>912828EW Govt</stp>
        <stp>CRNCY</stp>
        <stp>[TREASURY.xlsx]Sheet1!R842C7</stp>
        <tr r="G842" s="1"/>
      </tp>
      <tp t="s">
        <v>USD</v>
        <stp/>
        <stp>##V3_BDPV12</stp>
        <stp>912828DL Govt</stp>
        <stp>CRNCY</stp>
        <stp>[TREASURY.xlsx]Sheet1!R962C7</stp>
        <tr r="G962" s="1"/>
      </tp>
      <tp t="s">
        <v>USD</v>
        <stp/>
        <stp>##V3_BDPV12</stp>
        <stp>912828DC Govt</stp>
        <stp>CRNCY</stp>
        <stp>[TREASURY.xlsx]Sheet1!R352C7</stp>
        <tr r="G352" s="1"/>
      </tp>
      <tp t="s">
        <v>USD</v>
        <stp/>
        <stp>##V3_BDPV12</stp>
        <stp>912828DR Govt</stp>
        <stp>CRNCY</stp>
        <stp>[TREASURY.xlsx]Sheet1!R792C7</stp>
        <tr r="G792" s="1"/>
      </tp>
      <tp t="s">
        <v>USD</v>
        <stp/>
        <stp>##V3_BDPV12</stp>
        <stp>912828D7 Govt</stp>
        <stp>CRNCY</stp>
        <stp>[TREASURY.xlsx]Sheet1!R332C7</stp>
        <tr r="G332" s="1"/>
      </tp>
      <tp t="s">
        <v>USD</v>
        <stp/>
        <stp>##V3_BDPV12</stp>
        <stp>912828GJ Govt</stp>
        <stp>CRNCY</stp>
        <stp>[TREASURY.xlsx]Sheet1!R802C7</stp>
        <tr r="G802" s="1"/>
      </tp>
      <tp t="s">
        <v>USD</v>
        <stp/>
        <stp>##V3_BDPV12</stp>
        <stp>912828GQ Govt</stp>
        <stp>CRNCY</stp>
        <stp>[TREASURY.xlsx]Sheet1!R672C7</stp>
        <tr r="G672" s="1"/>
      </tp>
      <tp t="s">
        <v>S/A</v>
        <stp/>
        <stp>##V3_BDPV12</stp>
        <stp>912827M9 Govt</stp>
        <stp>COUPON_FREQUENCY_DESCRIPTION</stp>
        <stp>[TREASURY.xlsx]Sheet1!R1166C10</stp>
        <tr r="J1166" s="1"/>
      </tp>
      <tp t="s">
        <v>USD</v>
        <stp/>
        <stp>##V3_BDPV12</stp>
        <stp>912828G9 Govt</stp>
        <stp>CRNCY</stp>
        <stp>[TREASURY.xlsx]Sheet1!R422C7</stp>
        <tr r="G422" s="1"/>
      </tp>
      <tp t="s">
        <v>USD</v>
        <stp/>
        <stp>##V3_BDPV12</stp>
        <stp>912828FM Govt</stp>
        <stp>CRNCY</stp>
        <stp>[TREASURY.xlsx]Sheet1!R532C7</stp>
        <tr r="G532" s="1"/>
      </tp>
      <tp t="s">
        <v>S/A</v>
        <stp/>
        <stp>##V3_BDPV12</stp>
        <stp>912827M3 Govt</stp>
        <stp>COUPON_FREQUENCY_DESCRIPTION</stp>
        <stp>[TREASURY.xlsx]Sheet1!R1568C10</stp>
        <tr r="J1568" s="1"/>
      </tp>
      <tp t="s">
        <v>S/A</v>
        <stp/>
        <stp>##V3_BDPV12</stp>
        <stp>912827M7 Govt</stp>
        <stp>COUPON_FREQUENCY_DESCRIPTION</stp>
        <stp>[TREASURY.xlsx]Sheet1!R1044C10</stp>
        <tr r="J1044" s="1"/>
      </tp>
      <tp t="s">
        <v>USD</v>
        <stp/>
        <stp>##V3_BDPV12</stp>
        <stp>912828KE Govt</stp>
        <stp>CRNCY</stp>
        <stp>[TREASURY.xlsx]Sheet1!R582C7</stp>
        <tr r="G582" s="1"/>
      </tp>
      <tp t="s">
        <v>USD</v>
        <stp/>
        <stp>##V3_BDPV12</stp>
        <stp>912828KF Govt</stp>
        <stp>CRNCY</stp>
        <stp>[TREASURY.xlsx]Sheet1!R812C7</stp>
        <tr r="G812" s="1"/>
      </tp>
      <tp t="s">
        <v>S/A</v>
        <stp/>
        <stp>##V3_BDPV12</stp>
        <stp>912828M6 Govt</stp>
        <stp>COUPON_FREQUENCY_DESCRIPTION</stp>
        <stp>[TREASURY.xlsx]Sheet1!R1251C10</stp>
        <tr r="J1251" s="1"/>
      </tp>
      <tp t="s">
        <v>USD</v>
        <stp/>
        <stp>##V3_BDPV12</stp>
        <stp>912828JH Govt</stp>
        <stp>CRNCY</stp>
        <stp>[TREASURY.xlsx]Sheet1!R542C7</stp>
        <tr r="G542" s="1"/>
      </tp>
      <tp t="s">
        <v>USD</v>
        <stp/>
        <stp>##V3_BDPV12</stp>
        <stp>912828JV Govt</stp>
        <stp>CRNCY</stp>
        <stp>[TREASURY.xlsx]Sheet1!R972C7</stp>
        <tr r="G972" s="1"/>
      </tp>
      <tp t="s">
        <v>S/A</v>
        <stp/>
        <stp>##V3_BDPV12</stp>
        <stp>912827M4 Govt</stp>
        <stp>COUPON_FREQUENCY_DESCRIPTION</stp>
        <stp>[TREASURY.xlsx]Sheet1!R1165C10</stp>
        <tr r="J1165" s="1"/>
      </tp>
      <tp t="s">
        <v>USD</v>
        <stp/>
        <stp>##V3_BDPV12</stp>
        <stp>912828J9 Govt</stp>
        <stp>CRNCY</stp>
        <stp>[TREASURY.xlsx]Sheet1!R852C7</stp>
        <tr r="G852" s="1"/>
      </tp>
      <tp t="s">
        <v>USD</v>
        <stp/>
        <stp>##V3_BDPV12</stp>
        <stp>912828MN Govt</stp>
        <stp>CRNCY</stp>
        <stp>[TREASURY.xlsx]Sheet1!R822C7</stp>
        <tr r="G822" s="1"/>
      </tp>
      <tp t="s">
        <v>USD</v>
        <stp/>
        <stp>##V3_BDPV12</stp>
        <stp>912828M9 Govt</stp>
        <stp>CRNCY</stp>
        <stp>[TREASURY.xlsx]Sheet1!R592C7</stp>
        <tr r="G592" s="1"/>
      </tp>
      <tp t="s">
        <v>S/A</v>
        <stp/>
        <stp>##V3_BDPV12</stp>
        <stp>912827M2 Govt</stp>
        <stp>COUPON_FREQUENCY_DESCRIPTION</stp>
        <stp>[TREASURY.xlsx]Sheet1!R1164C10</stp>
        <tr r="J1164" s="1"/>
      </tp>
      <tp t="s">
        <v>USD</v>
        <stp/>
        <stp>##V3_BDPV12</stp>
        <stp>912828NG Govt</stp>
        <stp>CRNCY</stp>
        <stp>[TREASURY.xlsx]Sheet1!R562C7</stp>
        <tr r="G562" s="1"/>
      </tp>
      <tp t="s">
        <v>USD</v>
        <stp/>
        <stp>##V3_BDPV12</stp>
        <stp>912828NH Govt</stp>
        <stp>CRNCY</stp>
        <stp>[TREASURY.xlsx]Sheet1!R622C7</stp>
        <tr r="G622" s="1"/>
      </tp>
      <tp t="s">
        <v>USD</v>
        <stp/>
        <stp>##V3_BDPV12</stp>
        <stp>912828NC Govt</stp>
        <stp>CRNCY</stp>
        <stp>[TREASURY.xlsx]Sheet1!R862C7</stp>
        <tr r="G862" s="1"/>
      </tp>
      <tp t="s">
        <v>USD</v>
        <stp/>
        <stp>##V3_BDPV12</stp>
        <stp>912828NV Govt</stp>
        <stp>CRNCY</stp>
        <stp>[TREASURY.xlsx]Sheet1!R382C7</stp>
        <tr r="G382" s="1"/>
      </tp>
      <tp t="s">
        <v>UNITED STATES</v>
        <stp/>
        <stp>##V3_BDPV12</stp>
        <stp>912827B9 Govt</stp>
        <stp>COUNTRY_FULL_NAME</stp>
        <stp>[TREASURY.xlsx]Sheet1!R1552C8</stp>
        <tr r="H1552" s="1"/>
      </tp>
      <tp t="s">
        <v>#N/A N/A</v>
        <stp/>
        <stp>##V3_BDPV12</stp>
        <stp>912810CS Govt</stp>
        <stp>YLD_YTM_BID</stp>
        <stp>[TREASURY.xlsx]Sheet1!R660C4</stp>
        <tr r="D660" s="1"/>
      </tp>
      <tp t="s">
        <v>#N/A N/A</v>
        <stp/>
        <stp>##V3_BDPV12</stp>
        <stp>912810DZ Govt</stp>
        <stp>YLD_YTM_BID</stp>
        <stp>[TREASURY.xlsx]Sheet1!R699C4</stp>
        <tr r="D699" s="1"/>
      </tp>
      <tp>
        <v>1.75</v>
        <stp/>
        <stp>##V3_BDPV12</stp>
        <stp>912828SV Govt</stp>
        <stp>CPN</stp>
        <stp>[TREASURY.xlsx]Sheet1!R164C3</stp>
        <tr r="C164" s="1"/>
      </tp>
      <tp>
        <v>0.5</v>
        <stp/>
        <stp>##V3_BDPV12</stp>
        <stp>912828ZS Govt</stp>
        <stp>CPN</stp>
        <stp>[TREASURY.xlsx]Sheet1!R171C3</stp>
        <tr r="C171" s="1"/>
      </tp>
      <tp>
        <v>2.625</v>
        <stp/>
        <stp>##V3_BDPV12</stp>
        <stp>9128285R Govt</stp>
        <stp>CPN</stp>
        <stp>[TREASURY.xlsx]Sheet1!R140C3</stp>
        <tr r="C140" s="1"/>
      </tp>
      <tp>
        <v>2.0898564139259639</v>
        <stp/>
        <stp>##V3_BDPV12</stp>
        <stp>912810RQ Govt</stp>
        <stp>YLD_YTM_BID</stp>
        <stp>[TREASURY.xlsx]Sheet1!R172C4</stp>
        <tr r="D172" s="1"/>
      </tp>
      <tp>
        <v>11</v>
        <stp/>
        <stp>##V3_BDPV12</stp>
        <stp>912827RP Govt</stp>
        <stp>CPN</stp>
        <stp>[TREASURY.xlsx]Sheet1!R912C3</stp>
        <tr r="C912" s="1"/>
      </tp>
      <tp>
        <v>0.875</v>
        <stp/>
        <stp>##V3_BDPV12</stp>
        <stp>912828MQ Govt</stp>
        <stp>CPN</stp>
        <stp>[TREASURY.xlsx]Sheet1!R483C3</stp>
        <tr r="C483" s="1"/>
      </tp>
      <tp>
        <v>1.75</v>
        <stp/>
        <stp>##V3_BDPV12</stp>
        <stp>912828JZ Govt</stp>
        <stp>CPN</stp>
        <stp>[TREASURY.xlsx]Sheet1!R478C3</stp>
        <tr r="C478" s="1"/>
      </tp>
      <tp>
        <v>3.125</v>
        <stp/>
        <stp>##V3_BDPV12</stp>
        <stp>912828KQ Govt</stp>
        <stp>CPN</stp>
        <stp>[TREASURY.xlsx]Sheet1!R583C3</stp>
        <tr r="C583" s="1"/>
      </tp>
      <tp>
        <v>2.75</v>
        <stp/>
        <stp>##V3_BDPV12</stp>
        <stp>912828CR Govt</stp>
        <stp>CPN</stp>
        <stp>[TREASURY.xlsx]Sheet1!R510C3</stp>
        <tr r="C510" s="1"/>
      </tp>
      <tp>
        <v>0.75</v>
        <stp/>
        <stp>##V3_BDPV12</stp>
        <stp>912828NU Govt</stp>
        <stp>CPN</stp>
        <stp>[TREASURY.xlsx]Sheet1!R547C3</stp>
        <tr r="C547" s="1"/>
      </tp>
      <tp>
        <v>1.9890487630913047</v>
        <stp/>
        <stp>##V3_BDPV12</stp>
        <stp>912810QT Govt</stp>
        <stp>YLD_YTM_BID</stp>
        <stp>[TREASURY.xlsx]Sheet1!R237C4</stp>
        <tr r="D237" s="1"/>
      </tp>
      <tp>
        <v>6.5</v>
        <stp/>
        <stp>##V3_BDPV12</stp>
        <stp>9128275Z Govt</stp>
        <stp>CPN</stp>
        <stp>[TREASURY.xlsx]Sheet1!R428C3</stp>
        <tr r="C428" s="1"/>
      </tp>
      <tp>
        <v>12.75</v>
        <stp/>
        <stp>##V3_BDPV12</stp>
        <stp>912827MQ Govt</stp>
        <stp>CPN</stp>
        <stp>[TREASURY.xlsx]Sheet1!R723C3</stp>
        <tr r="C723" s="1"/>
      </tp>
      <tp>
        <v>3.25</v>
        <stp/>
        <stp>##V3_BDPV12</stp>
        <stp>912828MV Govt</stp>
        <stp>CPN</stp>
        <stp>[TREASURY.xlsx]Sheet1!R824C3</stp>
        <tr r="C824" s="1"/>
      </tp>
      <tp>
        <v>10.5</v>
        <stp/>
        <stp>##V3_BDPV12</stp>
        <stp>912827NV Govt</stp>
        <stp>CPN</stp>
        <stp>[TREASURY.xlsx]Sheet1!R734C3</stp>
        <tr r="C734" s="1"/>
      </tp>
      <tp>
        <v>3</v>
        <stp/>
        <stp>##V3_BDPV12</stp>
        <stp>912828MS Govt</stp>
        <stp>CPN</stp>
        <stp>[TREASURY.xlsx]Sheet1!R861C3</stp>
        <tr r="C861" s="1"/>
      </tp>
      <tp>
        <v>11.5</v>
        <stp/>
        <stp>##V3_BDPV12</stp>
        <stp>912827QP Govt</stp>
        <stp>CPN</stp>
        <stp>[TREASURY.xlsx]Sheet1!R742C3</stp>
        <tr r="C742" s="1"/>
      </tp>
      <tp>
        <v>7</v>
        <stp/>
        <stp>##V3_BDPV12</stp>
        <stp>912827UT Govt</stp>
        <stp>CPN</stp>
        <stp>[TREASURY.xlsx]Sheet1!R756C3</stp>
        <tr r="C756" s="1"/>
      </tp>
      <tp>
        <v>8.25</v>
        <stp/>
        <stp>##V3_BDPV12</stp>
        <stp>912827VQ Govt</stp>
        <stp>CPN</stp>
        <stp>[TREASURY.xlsx]Sheet1!R763C3</stp>
        <tr r="C763" s="1"/>
      </tp>
      <tp t="s">
        <v>#N/A N/A</v>
        <stp/>
        <stp>##V3_BDPV12</stp>
        <stp>912828FS Govt</stp>
        <stp>YLD_YTM_BID</stp>
        <stp>[TREASURY.xlsx]Sheet1!R800C4</stp>
        <tr r="D800" s="1"/>
      </tp>
      <tp t="s">
        <v>#N/A N/A</v>
        <stp/>
        <stp>##V3_BDPV12</stp>
        <stp>912828GP Govt</stp>
        <stp>YLD_YTM_BID</stp>
        <stp>[TREASURY.xlsx]Sheet1!R803C4</stp>
        <tr r="D803" s="1"/>
      </tp>
      <tp t="s">
        <v>#N/A N/A</v>
        <stp/>
        <stp>##V3_BDPV12</stp>
        <stp>912828GV Govt</stp>
        <stp>YLD_YTM_BID</stp>
        <stp>[TREASURY.xlsx]Sheet1!R805C4</stp>
        <tr r="D805" s="1"/>
      </tp>
      <tp t="s">
        <v>#N/A N/A</v>
        <stp/>
        <stp>##V3_BDPV12</stp>
        <stp>912828FV Govt</stp>
        <stp>YLD_YTM_BID</stp>
        <stp>[TREASURY.xlsx]Sheet1!R845C4</stp>
        <tr r="D845" s="1"/>
      </tp>
      <tp t="s">
        <v>#N/A N/A</v>
        <stp/>
        <stp>##V3_BDPV12</stp>
        <stp>912827NP Govt</stp>
        <stp>YLD_YTM_BID</stp>
        <stp>[TREASURY.xlsx]Sheet1!R733C4</stp>
        <tr r="D733" s="1"/>
      </tp>
      <tp t="s">
        <v>#N/A N/A</v>
        <stp/>
        <stp>##V3_BDPV12</stp>
        <stp>912828QT Govt</stp>
        <stp>YLD_YTM_BID</stp>
        <stp>[TREASURY.xlsx]Sheet1!R867C4</stp>
        <tr r="D867" s="1"/>
      </tp>
      <tp t="s">
        <v>#N/A N/A</v>
        <stp/>
        <stp>##V3_BDPV12</stp>
        <stp>912828QU Govt</stp>
        <stp>YLD_YTM_BID</stp>
        <stp>[TREASURY.xlsx]Sheet1!R826C4</stp>
        <tr r="D826" s="1"/>
      </tp>
      <tp t="s">
        <v>#N/A N/A</v>
        <stp/>
        <stp>##V3_BDPV12</stp>
        <stp>912827TS Govt</stp>
        <stp>YLD_YTM_BID</stp>
        <stp>[TREASURY.xlsx]Sheet1!R750C4</stp>
        <tr r="D750" s="1"/>
      </tp>
      <tp t="s">
        <v>#N/A N/A</v>
        <stp/>
        <stp>##V3_BDPV12</stp>
        <stp>912828BR Govt</stp>
        <stp>YLD_YTM_BID</stp>
        <stp>[TREASURY.xlsx]Sheet1!R541C4</stp>
        <tr r="D541" s="1"/>
      </tp>
      <tp t="s">
        <v>#N/A N/A</v>
        <stp/>
        <stp>##V3_BDPV12</stp>
        <stp>912828AQ Govt</stp>
        <stp>YLD_YTM_BID</stp>
        <stp>[TREASURY.xlsx]Sheet1!R512C4</stp>
        <tr r="D512" s="1"/>
      </tp>
      <tp t="s">
        <v>#N/A N/A</v>
        <stp/>
        <stp>##V3_BDPV12</stp>
        <stp>912828FT Govt</stp>
        <stp>YLD_YTM_BID</stp>
        <stp>[TREASURY.xlsx]Sheet1!R597C4</stp>
        <tr r="D597" s="1"/>
      </tp>
      <tp>
        <v>4.75</v>
        <stp/>
        <stp>##V3_BDPV12</stp>
        <stp>912810PT Govt</stp>
        <stp>CPN</stp>
        <stp>[TREASURY.xlsx]Sheet1!R226C3</stp>
        <tr r="C226" s="1"/>
      </tp>
      <tp>
        <v>3.125</v>
        <stp/>
        <stp>##V3_BDPV12</stp>
        <stp>912810QU Govt</stp>
        <stp>CPN</stp>
        <stp>[TREASURY.xlsx]Sheet1!R287C3</stp>
        <tr r="C287" s="1"/>
      </tp>
      <tp t="s">
        <v>#N/A N/A</v>
        <stp/>
        <stp>##V3_BDPV12</stp>
        <stp>912828EU Govt</stp>
        <stp>YLD_YTM_BID</stp>
        <stp>[TREASURY.xlsx]Sheet1!R466C4</stp>
        <tr r="D466" s="1"/>
      </tp>
      <tp t="s">
        <v>#N/A N/A</v>
        <stp/>
        <stp>##V3_BDPV12</stp>
        <stp>912828BV Govt</stp>
        <stp>YLD_YTM_BID</stp>
        <stp>[TREASURY.xlsx]Sheet1!R495C4</stp>
        <tr r="D495" s="1"/>
      </tp>
      <tp t="s">
        <v>#N/A N/A</v>
        <stp/>
        <stp>##V3_BDPV12</stp>
        <stp>912828QZ Govt</stp>
        <stp>YLD_YTM_BID</stp>
        <stp>[TREASURY.xlsx]Sheet1!R449C4</stp>
        <tr r="D449" s="1"/>
      </tp>
      <tp t="s">
        <v>#N/A N/A</v>
        <stp/>
        <stp>##V3_BDPV12</stp>
        <stp>912828TS Govt</stp>
        <stp>YLD_YTM_BID</stp>
        <stp>[TREASURY.xlsx]Sheet1!R490C4</stp>
        <tr r="D490" s="1"/>
      </tp>
      <tp t="s">
        <v>#N/A N/A</v>
        <stp/>
        <stp>##V3_BDPV12</stp>
        <stp>912828ST Govt</stp>
        <stp>YLD_YTM_BID</stp>
        <stp>[TREASURY.xlsx]Sheet1!R497C4</stp>
        <tr r="D497" s="1"/>
      </tp>
      <tp t="s">
        <v>#N/A N/A</v>
        <stp/>
        <stp>##V3_BDPV12</stp>
        <stp>912828BT Govt</stp>
        <stp>YLD_YTM_BID</stp>
        <stp>[TREASURY.xlsx]Sheet1!R787C4</stp>
        <tr r="D787" s="1"/>
      </tp>
      <tp t="s">
        <v>#N/A N/A</v>
        <stp/>
        <stp>##V3_BDPV12</stp>
        <stp>912828CU Govt</stp>
        <stp>YLD_YTM_BID</stp>
        <stp>[TREASURY.xlsx]Sheet1!R636C4</stp>
        <tr r="D636" s="1"/>
      </tp>
      <tp t="s">
        <v>#N/A N/A</v>
        <stp/>
        <stp>##V3_BDPV12</stp>
        <stp>912828GQ Govt</stp>
        <stp>YLD_YTM_BID</stp>
        <stp>[TREASURY.xlsx]Sheet1!R672C4</stp>
        <tr r="D672" s="1"/>
      </tp>
      <tp>
        <v>1.125</v>
        <stp/>
        <stp>##V3_BDPV12</stp>
        <stp>912810SR Govt</stp>
        <stp>CPN</stp>
        <stp>[TREASURY.xlsx]Sheet1!R100C3</stp>
        <tr r="C100" s="1"/>
      </tp>
      <tp t="s">
        <v>#N/A N/A</v>
        <stp/>
        <stp>##V3_BDPV12</stp>
        <stp>912827ZP Govt</stp>
        <stp>YLD_YTM_BID</stp>
        <stp>[TREASURY.xlsx]Sheet1!R953C4</stp>
        <tr r="D953" s="1"/>
      </tp>
      <tp>
        <v>0.21504397462649918</v>
        <stp/>
        <stp>##V3_BDPV12</stp>
        <stp>912828ZP Govt</stp>
        <stp>YLD_YTM_BID</stp>
        <stp>[TREASURY.xlsx]Sheet1!R153C4</stp>
        <tr r="D153" s="1"/>
      </tp>
      <tp t="s">
        <v>#N/A N/A</v>
        <stp/>
        <stp>##V3_BDPV12</stp>
        <stp>912828WR Govt</stp>
        <stp>YLD_YTM_BID</stp>
        <stp>[TREASURY.xlsx]Sheet1!R341C4</stp>
        <tr r="D341" s="1"/>
      </tp>
      <tp>
        <v>0.71890939942105359</v>
        <stp/>
        <stp>##V3_BDPV12</stp>
        <stp>912828XZ Govt</stp>
        <stp>YLD_YTM_BID</stp>
        <stp>[TREASURY.xlsx]Sheet1!R279C4</stp>
        <tr r="D279" s="1"/>
      </tp>
      <tp>
        <v>0.42488243544372434</v>
        <stp/>
        <stp>##V3_BDPV12</stp>
        <stp>9128286R Govt</stp>
        <stp>YLD_YTM_BID</stp>
        <stp>[TREASURY.xlsx]Sheet1!R201C4</stp>
        <tr r="D201" s="1"/>
      </tp>
      <tp t="s">
        <v>S/A</v>
        <stp/>
        <stp>##V3_BDPV12</stp>
        <stp>91282CBM Govt</stp>
        <stp>COUPON_FREQUENCY_DESCRIPTION</stp>
        <stp>[TREASURY.xlsx]Sheet1!R107C10</stp>
        <tr r="J107" s="1"/>
      </tp>
      <tp t="s">
        <v>S/A</v>
        <stp/>
        <stp>##V3_BDPV12</stp>
        <stp>91282CBJ Govt</stp>
        <stp>COUPON_FREQUENCY_DESCRIPTION</stp>
        <stp>[TREASURY.xlsx]Sheet1!R123C10</stp>
        <tr r="J123" s="1"/>
      </tp>
      <tp t="s">
        <v>S/A</v>
        <stp/>
        <stp>##V3_BDPV12</stp>
        <stp>91282CBE Govt</stp>
        <stp>COUPON_FREQUENCY_DESCRIPTION</stp>
        <stp>[TREASURY.xlsx]Sheet1!R115C10</stp>
        <tr r="J115" s="1"/>
      </tp>
      <tp t="s">
        <v>S/A</v>
        <stp/>
        <stp>##V3_BDPV12</stp>
        <stp>91282CBB Govt</stp>
        <stp>COUPON_FREQUENCY_DESCRIPTION</stp>
        <stp>[TREASURY.xlsx]Sheet1!R114C10</stp>
        <tr r="J114" s="1"/>
      </tp>
      <tp t="s">
        <v>S/A</v>
        <stp/>
        <stp>##V3_BDPV12</stp>
        <stp>91282CBZ Govt</stp>
        <stp>COUPON_FREQUENCY_DESCRIPTION</stp>
        <stp>[TREASURY.xlsx]Sheet1!R126C10</stp>
        <tr r="J126" s="1"/>
      </tp>
      <tp t="s">
        <v>S/A</v>
        <stp/>
        <stp>##V3_BDPV12</stp>
        <stp>91282CAF Govt</stp>
        <stp>COUPON_FREQUENCY_DESCRIPTION</stp>
        <stp>[TREASURY.xlsx]Sheet1!R195C10</stp>
        <tr r="J195" s="1"/>
      </tp>
      <tp t="s">
        <v>S/A</v>
        <stp/>
        <stp>##V3_BDPV12</stp>
        <stp>91282CAH Govt</stp>
        <stp>COUPON_FREQUENCY_DESCRIPTION</stp>
        <stp>[TREASURY.xlsx]Sheet1!R167C10</stp>
        <tr r="J167" s="1"/>
      </tp>
      <tp t="s">
        <v>S/A</v>
        <stp/>
        <stp>##V3_BDPV12</stp>
        <stp>91282CAL Govt</stp>
        <stp>COUPON_FREQUENCY_DESCRIPTION</stp>
        <stp>[TREASURY.xlsx]Sheet1!R142C10</stp>
        <tr r="J142" s="1"/>
      </tp>
      <tp t="s">
        <v>S/A</v>
        <stp/>
        <stp>##V3_BDPV12</stp>
        <stp>91282CAD Govt</stp>
        <stp>COUPON_FREQUENCY_DESCRIPTION</stp>
        <stp>[TREASURY.xlsx]Sheet1!R132C10</stp>
        <tr r="J132" s="1"/>
      </tp>
      <tp t="s">
        <v>S/A</v>
        <stp/>
        <stp>##V3_BDPV12</stp>
        <stp>91282CAG Govt</stp>
        <stp>COUPON_FREQUENCY_DESCRIPTION</stp>
        <stp>[TREASURY.xlsx]Sheet1!R133C10</stp>
        <tr r="J133" s="1"/>
      </tp>
      <tp t="s">
        <v>S/A</v>
        <stp/>
        <stp>##V3_BDPV12</stp>
        <stp>91282CAC Govt</stp>
        <stp>COUPON_FREQUENCY_DESCRIPTION</stp>
        <stp>[TREASURY.xlsx]Sheet1!R120C10</stp>
        <tr r="J120" s="1"/>
      </tp>
      <tp t="s">
        <v>S/A</v>
        <stp/>
        <stp>##V3_BDPV12</stp>
        <stp>91282CAY Govt</stp>
        <stp>COUPON_FREQUENCY_DESCRIPTION</stp>
        <stp>[TREASURY.xlsx]Sheet1!R144C10</stp>
        <tr r="J144" s="1"/>
      </tp>
      <tp t="s">
        <v>S/A</v>
        <stp/>
        <stp>##V3_BDPV12</stp>
        <stp>91282CAW Govt</stp>
        <stp>COUPON_FREQUENCY_DESCRIPTION</stp>
        <stp>[TREASURY.xlsx]Sheet1!R109C10</stp>
        <tr r="J109" s="1"/>
      </tp>
      <tp t="s">
        <v>S/A</v>
        <stp/>
        <stp>##V3_BDPV12</stp>
        <stp>91282CAU Govt</stp>
        <stp>COUPON_FREQUENCY_DESCRIPTION</stp>
        <stp>[TREASURY.xlsx]Sheet1!R102C10</stp>
        <tr r="J102" s="1"/>
      </tp>
      <tp t="s">
        <v>S/A</v>
        <stp/>
        <stp>##V3_BDPV12</stp>
        <stp>91282CAP Govt</stp>
        <stp>COUPON_FREQUENCY_DESCRIPTION</stp>
        <stp>[TREASURY.xlsx]Sheet1!R151C10</stp>
        <tr r="J151" s="1"/>
      </tp>
      <tp t="s">
        <v>UNITED STATES</v>
        <stp/>
        <stp>##V3_BDPV12</stp>
        <stp>912827NF Govt</stp>
        <stp>COUNTRY_FULL_NAME</stp>
        <stp>[TREASURY.xlsx]Sheet1!R1049C8</stp>
        <tr r="H1049" s="1"/>
      </tp>
      <tp t="s">
        <v>UNITED STATES</v>
        <stp/>
        <stp>##V3_BDPV12</stp>
        <stp>912828BF Govt</stp>
        <stp>COUNTRY_FULL_NAME</stp>
        <stp>[TREASURY.xlsx]Sheet1!R1235C8</stp>
        <tr r="H1235" s="1"/>
      </tp>
      <tp t="s">
        <v>UNITED STATES</v>
        <stp/>
        <stp>##V3_BDPV12</stp>
        <stp>912827NG Govt</stp>
        <stp>COUNTRY_FULL_NAME</stp>
        <stp>[TREASURY.xlsx]Sheet1!R1169C8</stp>
        <tr r="H1169" s="1"/>
      </tp>
      <tp t="s">
        <v>UNITED STATES</v>
        <stp/>
        <stp>##V3_BDPV12</stp>
        <stp>912828FG Govt</stp>
        <stp>COUNTRY_FULL_NAME</stp>
        <stp>[TREASURY.xlsx]Sheet1!R1241C8</stp>
        <tr r="H1241" s="1"/>
      </tp>
      <tp t="s">
        <v>USD</v>
        <stp/>
        <stp>##V3_BDPV12</stp>
        <stp>9128283Q Govt</stp>
        <stp>CRNCY</stp>
        <stp>[TREASURY.xlsx]Sheet1!R375C7</stp>
        <tr r="G375" s="1"/>
      </tp>
      <tp t="s">
        <v>USD</v>
        <stp/>
        <stp>##V3_BDPV12</stp>
        <stp>9128283P Govt</stp>
        <stp>CRNCY</stp>
        <stp>[TREASURY.xlsx]Sheet1!R185C7</stp>
        <tr r="G185" s="1"/>
      </tp>
      <tp t="s">
        <v>USD</v>
        <stp/>
        <stp>##V3_BDPV12</stp>
        <stp>9128283Y Govt</stp>
        <stp>CRNCY</stp>
        <stp>[TREASURY.xlsx]Sheet1!R395C7</stp>
        <tr r="G395" s="1"/>
      </tp>
      <tp t="s">
        <v>USD</v>
        <stp/>
        <stp>##V3_BDPV12</stp>
        <stp>9128282F Govt</stp>
        <stp>CRNCY</stp>
        <stp>[TREASURY.xlsx]Sheet1!R345C7</stp>
        <tr r="G345" s="1"/>
      </tp>
      <tp t="s">
        <v>USD</v>
        <stp/>
        <stp>##V3_BDPV12</stp>
        <stp>9128282Y Govt</stp>
        <stp>CRNCY</stp>
        <stp>[TREASURY.xlsx]Sheet1!R145C7</stp>
        <tr r="G145" s="1"/>
      </tp>
      <tp t="s">
        <v>S/A</v>
        <stp/>
        <stp>##V3_BDPV12</stp>
        <stp>912828JL Govt</stp>
        <stp>COUPON_FREQUENCY_DESCRIPTION</stp>
        <stp>[TREASURY.xlsx]Sheet1!R1122C10</stp>
        <tr r="J1122" s="1"/>
      </tp>
      <tp t="s">
        <v>UNITED STATES</v>
        <stp/>
        <stp>##V3_BDPV12</stp>
        <stp>912828BE Govt</stp>
        <stp>COUNTRY_FULL_NAME</stp>
        <stp>[TREASURY.xlsx]Sheet1!R1425C8</stp>
        <tr r="H1425" s="1"/>
      </tp>
      <tp t="s">
        <v>USD</v>
        <stp/>
        <stp>##V3_BDPV12</stp>
        <stp>9128285C Govt</stp>
        <stp>CRNCY</stp>
        <stp>[TREASURY.xlsx]Sheet1!R205C7</stp>
        <tr r="G205" s="1"/>
      </tp>
      <tp t="s">
        <v>USD</v>
        <stp/>
        <stp>##V3_BDPV12</stp>
        <stp>9128284C Govt</stp>
        <stp>CRNCY</stp>
        <stp>[TREASURY.xlsx]Sheet1!R505C7</stp>
        <tr r="G505" s="1"/>
      </tp>
      <tp t="s">
        <v>USD</v>
        <stp/>
        <stp>##V3_BDPV12</stp>
        <stp>9128284F Govt</stp>
        <stp>CRNCY</stp>
        <stp>[TREASURY.xlsx]Sheet1!R285C7</stp>
        <tr r="G285" s="1"/>
      </tp>
      <tp t="s">
        <v>USD</v>
        <stp/>
        <stp>##V3_BDPV12</stp>
        <stp>9128284Q Govt</stp>
        <stp>CRNCY</stp>
        <stp>[TREASURY.xlsx]Sheet1!R675C7</stp>
        <tr r="G675" s="1"/>
      </tp>
      <tp t="s">
        <v>UNITED STATES</v>
        <stp/>
        <stp>##V3_BDPV12</stp>
        <stp>912810DC Govt</stp>
        <stp>COUNTRY_FULL_NAME</stp>
        <stp>[TREASURY.xlsx]Sheet1!R1443C8</stp>
        <tr r="H1443" s="1"/>
      </tp>
      <tp t="s">
        <v>USD</v>
        <stp/>
        <stp>##V3_BDPV12</stp>
        <stp>9128286F Govt</stp>
        <stp>CRNCY</stp>
        <stp>[TREASURY.xlsx]Sheet1!R225C7</stp>
        <tr r="G225" s="1"/>
      </tp>
      <tp t="s">
        <v>USD</v>
        <stp/>
        <stp>##V3_BDPV12</stp>
        <stp>9128286A Govt</stp>
        <stp>CRNCY</stp>
        <stp>[TREASURY.xlsx]Sheet1!R265C7</stp>
        <tr r="G265" s="1"/>
      </tp>
      <tp t="s">
        <v>T 8 1/4 05/15/05</v>
        <stp/>
        <stp>##V3_BDPV12</stp>
        <stp>912810BU Govt</stp>
        <stp>SECURITY_NAME</stp>
        <stp>[TREASURY.xlsx]Sheet1!R1439C16</stp>
        <tr r="P1439" s="1"/>
      </tp>
      <tp t="s">
        <v>T 8 1/4 10/31/90</v>
        <stp/>
        <stp>##V3_BDPV12</stp>
        <stp>912827WU Govt</stp>
        <stp>SECURITY_NAME</stp>
        <stp>[TREASURY.xlsx]Sheet1!R1422C16</stp>
        <tr r="P1422" s="1"/>
      </tp>
      <tp t="s">
        <v>T 7 1/4 06/30/90</v>
        <stp/>
        <stp>##V3_BDPV12</stp>
        <stp>912827TU Govt</stp>
        <stp>SECURITY_NAME</stp>
        <stp>[TREASURY.xlsx]Sheet1!R1401C16</stp>
        <tr r="P1401" s="1"/>
      </tp>
      <tp t="s">
        <v>T 7 1/8 04/30/89</v>
        <stp/>
        <stp>##V3_BDPV12</stp>
        <stp>912827UU Govt</stp>
        <stp>SECURITY_NAME</stp>
        <stp>[TREASURY.xlsx]Sheet1!R1408C16</stp>
        <tr r="P1408" s="1"/>
      </tp>
      <tp t="s">
        <v>T 7 3/8 01/31/90</v>
        <stp/>
        <stp>##V3_BDPV12</stp>
        <stp>912827VU Govt</stp>
        <stp>SECURITY_NAME</stp>
        <stp>[TREASURY.xlsx]Sheet1!R1412C16</stp>
        <tr r="P1412" s="1"/>
      </tp>
      <tp t="s">
        <v>T 4 5/8 02/28/03</v>
        <stp/>
        <stp>##V3_BDPV12</stp>
        <stp>9128276U Govt</stp>
        <stp>SECURITY_NAME</stp>
        <stp>[TREASURY.xlsx]Sheet1!R1467C16</stp>
        <tr r="P1467" s="1"/>
      </tp>
      <tp t="s">
        <v>T 6 5/8 05/15/07</v>
        <stp/>
        <stp>##V3_BDPV12</stp>
        <stp>9128272U Govt</stp>
        <stp>SECURITY_NAME</stp>
        <stp>[TREASURY.xlsx]Sheet1!R1454C16</stp>
        <tr r="P1454" s="1"/>
      </tp>
      <tp t="s">
        <v>T 5 3/8 01/31/00</v>
        <stp/>
        <stp>##V3_BDPV12</stp>
        <stp>9128273U Govt</stp>
        <stp>SECURITY_NAME</stp>
        <stp>[TREASURY.xlsx]Sheet1!R1455C16</stp>
        <tr r="P1455" s="1"/>
      </tp>
      <tp t="s">
        <v>T 13 1/8 05/15/94</v>
        <stp/>
        <stp>##V3_BDPV12</stp>
        <stp>912827QU Govt</stp>
        <stp>SECURITY_NAME</stp>
        <stp>[TREASURY.xlsx]Sheet1!R1497C16</stp>
        <tr r="P1497" s="1"/>
      </tp>
      <tp t="s">
        <v>UNITED STATES</v>
        <stp/>
        <stp>##V3_BDPV12</stp>
        <stp>912828AM Govt</stp>
        <stp>COUNTRY_FULL_NAME</stp>
        <stp>[TREASURY.xlsx]Sheet1!R1616C8</stp>
        <tr r="H1616" s="1"/>
      </tp>
      <tp t="s">
        <v>T 15 01/31/84</v>
        <stp/>
        <stp>##V3_BDPV12</stp>
        <stp>912827MU Govt</stp>
        <stp>SECURITY_NAME</stp>
        <stp>[TREASURY.xlsx]Sheet1!R1328C16</stp>
        <tr r="P1328" s="1"/>
      </tp>
      <tp t="s">
        <v>T 9 3/4 11/15/85</v>
        <stp/>
        <stp>##V3_BDPV12</stp>
        <stp>912827NU Govt</stp>
        <stp>SECURITY_NAME</stp>
        <stp>[TREASURY.xlsx]Sheet1!R1335C16</stp>
        <tr r="P1335" s="1"/>
      </tp>
      <tp t="s">
        <v>T 0 7/8 11/30/16</v>
        <stp/>
        <stp>##V3_BDPV12</stp>
        <stp>912828RU Govt</stp>
        <stp>SECURITY_NAME</stp>
        <stp>[TREASURY.xlsx]Sheet1!R1302C16</stp>
        <tr r="P1302" s="1"/>
      </tp>
      <tp t="s">
        <v>T 8 7/8 04/30/92</v>
        <stp/>
        <stp>##V3_BDPV12</stp>
        <stp>912827YU Govt</stp>
        <stp>SECURITY_NAME</stp>
        <stp>[TREASURY.xlsx]Sheet1!R1224C16</stp>
        <tr r="P1224" s="1"/>
      </tp>
      <tp t="s">
        <v>T 7 3/4 07/31/91</v>
        <stp/>
        <stp>##V3_BDPV12</stp>
        <stp>912827XU Govt</stp>
        <stp>SECURITY_NAME</stp>
        <stp>[TREASURY.xlsx]Sheet1!R1217C16</stp>
        <tr r="P1217" s="1"/>
      </tp>
      <tp t="s">
        <v>T 0 1/2 11/15/13</v>
        <stp/>
        <stp>##V3_BDPV12</stp>
        <stp>912828PU Govt</stp>
        <stp>SECURITY_NAME</stp>
        <stp>[TREASURY.xlsx]Sheet1!R1261C16</stp>
        <tr r="P1261" s="1"/>
      </tp>
      <tp t="s">
        <v>T 3 7/8 05/15/10</v>
        <stp/>
        <stp>##V3_BDPV12</stp>
        <stp>912828DU Govt</stp>
        <stp>SECURITY_NAME</stp>
        <stp>[TREASURY.xlsx]Sheet1!R1237C16</stp>
        <tr r="P1237" s="1"/>
      </tp>
      <tp t="s">
        <v>S/A</v>
        <stp/>
        <stp>##V3_BDPV12</stp>
        <stp>912828JA Govt</stp>
        <stp>COUPON_FREQUENCY_DESCRIPTION</stp>
        <stp>[TREASURY.xlsx]Sheet1!R1285C10</stp>
        <tr r="J1285" s="1"/>
      </tp>
      <tp t="s">
        <v>T 11 3/8 08/15/86</v>
        <stp/>
        <stp>##V3_BDPV12</stp>
        <stp>912827PU Govt</stp>
        <stp>SECURITY_NAME</stp>
        <stp>[TREASURY.xlsx]Sheet1!R1175C16</stp>
        <tr r="P1175" s="1"/>
      </tp>
      <tp t="s">
        <v>T 13 1/8 05/15/01</v>
        <stp/>
        <stp>##V3_BDPV12</stp>
        <stp>912810CU Govt</stp>
        <stp>SECURITY_NAME</stp>
        <stp>[TREASURY.xlsx]Sheet1!R1345C16</stp>
        <tr r="P1345" s="1"/>
      </tp>
      <tp t="s">
        <v>T 4 1/4 11/15/03</v>
        <stp/>
        <stp>##V3_BDPV12</stp>
        <stp>9128274U Govt</stp>
        <stp>SECURITY_NAME</stp>
        <stp>[TREASURY.xlsx]Sheet1!R1012C16</stp>
        <tr r="P1012" s="1"/>
      </tp>
      <tp t="s">
        <v>T 0 3/8 08/31/15</v>
        <stp/>
        <stp>##V3_BDPV12</stp>
        <stp>912828VU Govt</stp>
        <stp>SECURITY_NAME</stp>
        <stp>[TREASURY.xlsx]Sheet1!R1003C16</stp>
        <tr r="P1003" s="1"/>
      </tp>
      <tp t="s">
        <v>T 0 3/4 03/31/18</v>
        <stp/>
        <stp>##V3_BDPV12</stp>
        <stp>912828UU Govt</stp>
        <stp>SECURITY_NAME</stp>
        <stp>[TREASURY.xlsx]Sheet1!R1001C16</stp>
        <tr r="P1001" s="1"/>
      </tp>
      <tp t="s">
        <v>UNITED STATES</v>
        <stp/>
        <stp>##V3_BDPV12</stp>
        <stp>912810CR Govt</stp>
        <stp>COUNTRY_FULL_NAME</stp>
        <stp>[TREASURY.xlsx]Sheet1!R1344C8</stp>
        <tr r="H1344" s="1"/>
      </tp>
      <tp t="s">
        <v>S/A</v>
        <stp/>
        <stp>##V3_BDPV12</stp>
        <stp>912828JP Govt</stp>
        <stp>COUPON_FREQUENCY_DESCRIPTION</stp>
        <stp>[TREASURY.xlsx]Sheet1!R1286C10</stp>
        <tr r="J1286" s="1"/>
      </tp>
      <tp t="s">
        <v>UNITED STATES</v>
        <stp/>
        <stp>##V3_BDPV12</stp>
        <stp>912828DZ Govt</stp>
        <stp>COUNTRY_FULL_NAME</stp>
        <stp>[TREASURY.xlsx]Sheet1!R1273C8</stp>
        <tr r="H1273" s="1"/>
      </tp>
      <tp t="s">
        <v>S/A</v>
        <stp/>
        <stp>##V3_BDPV12</stp>
        <stp>912828JS Govt</stp>
        <stp>COUPON_FREQUENCY_DESCRIPTION</stp>
        <stp>[TREASURY.xlsx]Sheet1!R1247C10</stp>
        <tr r="J1247" s="1"/>
      </tp>
      <tp t="s">
        <v>UNITED STATES</v>
        <stp/>
        <stp>##V3_BDPV12</stp>
        <stp>912828GY Govt</stp>
        <stp>COUNTRY_FULL_NAME</stp>
        <stp>[TREASURY.xlsx]Sheet1!R1120C8</stp>
        <tr r="H1120" s="1"/>
      </tp>
      <tp t="s">
        <v>USD</v>
        <stp/>
        <stp>##V3_BDPV12</stp>
        <stp>912828QH Govt</stp>
        <stp>CRNCY</stp>
        <stp>[TREASURY.xlsx]Sheet1!R595C7</stp>
        <tr r="G595" s="1"/>
      </tp>
      <tp t="s">
        <v>USD</v>
        <stp/>
        <stp>##V3_BDPV12</stp>
        <stp>912828Q9 Govt</stp>
        <stp>CRNCY</stp>
        <stp>[TREASURY.xlsx]Sheet1!R425C7</stp>
        <tr r="G425" s="1"/>
      </tp>
      <tp t="s">
        <v>USD</v>
        <stp/>
        <stp>##V3_BDPV12</stp>
        <stp>912828PC Govt</stp>
        <stp>CRNCY</stp>
        <stp>[TREASURY.xlsx]Sheet1!R365C7</stp>
        <tr r="G365" s="1"/>
      </tp>
      <tp t="s">
        <v>USD</v>
        <stp/>
        <stp>##V3_BDPV12</stp>
        <stp>912828PZ Govt</stp>
        <stp>CRNCY</stp>
        <stp>[TREASURY.xlsx]Sheet1!R575C7</stp>
        <tr r="G575" s="1"/>
      </tp>
      <tp t="s">
        <v>USD</v>
        <stp/>
        <stp>##V3_BDPV12</stp>
        <stp>912828PX Govt</stp>
        <stp>CRNCY</stp>
        <stp>[TREASURY.xlsx]Sheet1!R355C7</stp>
        <tr r="G355" s="1"/>
      </tp>
      <tp t="s">
        <v>USD</v>
        <stp/>
        <stp>##V3_BDPV12</stp>
        <stp>912828PQ Govt</stp>
        <stp>CRNCY</stp>
        <stp>[TREASURY.xlsx]Sheet1!R985C7</stp>
        <tr r="G985" s="1"/>
      </tp>
      <tp t="s">
        <v>USD</v>
        <stp/>
        <stp>##V3_BDPV12</stp>
        <stp>912828SP Govt</stp>
        <stp>CRNCY</stp>
        <stp>[TREASURY.xlsx]Sheet1!R995C7</stp>
        <tr r="G995" s="1"/>
      </tp>
      <tp t="s">
        <v>USD</v>
        <stp/>
        <stp>##V3_BDPV12</stp>
        <stp>912828S3 Govt</stp>
        <stp>CRNCY</stp>
        <stp>[TREASURY.xlsx]Sheet1!R305C7</stp>
        <tr r="G305" s="1"/>
      </tp>
      <tp t="s">
        <v>USD</v>
        <stp/>
        <stp>##V3_BDPV12</stp>
        <stp>912828R2 Govt</stp>
        <stp>CRNCY</stp>
        <stp>[TREASURY.xlsx]Sheet1!R245C7</stp>
        <tr r="G245" s="1"/>
      </tp>
      <tp t="s">
        <v>USD</v>
        <stp/>
        <stp>##V3_BDPV12</stp>
        <stp>912828UZ Govt</stp>
        <stp>CRNCY</stp>
        <stp>[TREASURY.xlsx]Sheet1!R445C7</stp>
        <tr r="G445" s="1"/>
      </tp>
      <tp t="s">
        <v>USD</v>
        <stp/>
        <stp>##V3_BDPV12</stp>
        <stp>912828TC Govt</stp>
        <stp>CRNCY</stp>
        <stp>[TREASURY.xlsx]Sheet1!R385C7</stp>
        <tr r="G385" s="1"/>
      </tp>
      <tp t="s">
        <v>USD</v>
        <stp/>
        <stp>##V3_BDPV12</stp>
        <stp>912828TK Govt</stp>
        <stp>CRNCY</stp>
        <stp>[TREASURY.xlsx]Sheet1!R565C7</stp>
        <tr r="G565" s="1"/>
      </tp>
      <tp t="s">
        <v>USD</v>
        <stp/>
        <stp>##V3_BDPV12</stp>
        <stp>912828TH Govt</stp>
        <stp>CRNCY</stp>
        <stp>[TREASURY.xlsx]Sheet1!R585C7</stp>
        <tr r="G585" s="1"/>
      </tp>
      <tp t="s">
        <v>USD</v>
        <stp/>
        <stp>##V3_BDPV12</stp>
        <stp>912828TZ Govt</stp>
        <stp>CRNCY</stp>
        <stp>[TREASURY.xlsx]Sheet1!R875C7</stp>
        <tr r="G875" s="1"/>
      </tp>
      <tp t="s">
        <v>USD</v>
        <stp/>
        <stp>##V3_BDPV12</stp>
        <stp>912828T6 Govt</stp>
        <stp>CRNCY</stp>
        <stp>[TREASURY.xlsx]Sheet1!R105C7</stp>
        <tr r="G105" s="1"/>
      </tp>
      <tp t="s">
        <v>USD</v>
        <stp/>
        <stp>##V3_BDPV12</stp>
        <stp>912828T9 Govt</stp>
        <stp>CRNCY</stp>
        <stp>[TREASURY.xlsx]Sheet1!R215C7</stp>
        <tr r="G215" s="1"/>
      </tp>
      <tp t="s">
        <v>USD</v>
        <stp/>
        <stp>##V3_BDPV12</stp>
        <stp>912828W7 Govt</stp>
        <stp>CRNCY</stp>
        <stp>[TREASURY.xlsx]Sheet1!R125C7</stp>
        <tr r="G125" s="1"/>
      </tp>
      <tp t="s">
        <v>USD</v>
        <stp/>
        <stp>##V3_BDPV12</stp>
        <stp>912828VZ Govt</stp>
        <stp>CRNCY</stp>
        <stp>[TREASURY.xlsx]Sheet1!R695C7</stp>
        <tr r="G695" s="1"/>
      </tp>
      <tp t="s">
        <v>USD</v>
        <stp/>
        <stp>##V3_BDPV12</stp>
        <stp>912828V5 Govt</stp>
        <stp>CRNCY</stp>
        <stp>[TREASURY.xlsx]Sheet1!R655C7</stp>
        <tr r="G655" s="1"/>
      </tp>
      <tp t="s">
        <v>USD</v>
        <stp/>
        <stp>##V3_BDPV12</stp>
        <stp>912828YC Govt</stp>
        <stp>CRNCY</stp>
        <stp>[TREASURY.xlsx]Sheet1!R335C7</stp>
        <tr r="G335" s="1"/>
      </tp>
      <tp t="s">
        <v>USD</v>
        <stp/>
        <stp>##V3_BDPV12</stp>
        <stp>912828YH Govt</stp>
        <stp>CRNCY</stp>
        <stp>[TREASURY.xlsx]Sheet1!R135C7</stp>
        <tr r="G135" s="1"/>
      </tp>
      <tp t="s">
        <v>USD</v>
        <stp/>
        <stp>##V3_BDPV12</stp>
        <stp>912828Y7 Govt</stp>
        <stp>CRNCY</stp>
        <stp>[TREASURY.xlsx]Sheet1!R255C7</stp>
        <tr r="G255" s="1"/>
      </tp>
      <tp t="s">
        <v>USD</v>
        <stp/>
        <stp>##V3_BDPV12</stp>
        <stp>912828XK Govt</stp>
        <stp>CRNCY</stp>
        <stp>[TREASURY.xlsx]Sheet1!R625C7</stp>
        <tr r="G625" s="1"/>
      </tp>
      <tp t="s">
        <v>USD</v>
        <stp/>
        <stp>##V3_BDPV12</stp>
        <stp>912828XT Govt</stp>
        <stp>CRNCY</stp>
        <stp>[TREASURY.xlsx]Sheet1!R155C7</stp>
        <tr r="G155" s="1"/>
      </tp>
      <tp t="s">
        <v>USD</v>
        <stp/>
        <stp>##V3_BDPV12</stp>
        <stp>912828ZM Govt</stp>
        <stp>CRNCY</stp>
        <stp>[TREASURY.xlsx]Sheet1!R175C7</stp>
        <tr r="G175" s="1"/>
      </tp>
      <tp t="s">
        <v>USD</v>
        <stp/>
        <stp>##V3_BDPV12</stp>
        <stp>912828ZH Govt</stp>
        <stp>CRNCY</stp>
        <stp>[TREASURY.xlsx]Sheet1!R165C7</stp>
        <tr r="G165" s="1"/>
      </tp>
      <tp t="s">
        <v>USD</v>
        <stp/>
        <stp>##V3_BDPV12</stp>
        <stp>912828AS Govt</stp>
        <stp>CRNCY</stp>
        <stp>[TREASURY.xlsx]Sheet1!R785C7</stp>
        <tr r="G785" s="1"/>
      </tp>
      <tp t="s">
        <v>USD</v>
        <stp/>
        <stp>##V3_BDPV12</stp>
        <stp>912828AT Govt</stp>
        <stp>CRNCY</stp>
        <stp>[TREASURY.xlsx]Sheet1!R635C7</stp>
        <tr r="G635" s="1"/>
      </tp>
      <tp t="s">
        <v>USD</v>
        <stp/>
        <stp>##V3_BDPV12</stp>
        <stp>912828AZ Govt</stp>
        <stp>CRNCY</stp>
        <stp>[TREASURY.xlsx]Sheet1!R415C7</stp>
        <tr r="G415" s="1"/>
      </tp>
      <tp t="s">
        <v>UNITED STATES</v>
        <stp/>
        <stp>##V3_BDPV12</stp>
        <stp>912827C6 Govt</stp>
        <stp>COUNTRY_FULL_NAME</stp>
        <stp>[TREASURY.xlsx]Sheet1!R1554C8</stp>
        <tr r="H1554" s="1"/>
      </tp>
      <tp t="s">
        <v>USD</v>
        <stp/>
        <stp>##V3_BDPV12</stp>
        <stp>912828A4 Govt</stp>
        <stp>CRNCY</stp>
        <stp>[TREASURY.xlsx]Sheet1!R555C7</stp>
        <tr r="G555" s="1"/>
      </tp>
      <tp t="s">
        <v>USD</v>
        <stp/>
        <stp>##V3_BDPV12</stp>
        <stp>912828CF Govt</stp>
        <stp>CRNCY</stp>
        <stp>[TREASURY.xlsx]Sheet1!R465C7</stp>
        <tr r="G465" s="1"/>
      </tp>
      <tp t="s">
        <v>USD</v>
        <stp/>
        <stp>##V3_BDPV12</stp>
        <stp>912828CC Govt</stp>
        <stp>CRNCY</stp>
        <stp>[TREASURY.xlsx]Sheet1!R325C7</stp>
        <tr r="G325" s="1"/>
      </tp>
      <tp t="s">
        <v>USD</v>
        <stp/>
        <stp>##V3_BDPV12</stp>
        <stp>912828BQ Govt</stp>
        <stp>CRNCY</stp>
        <stp>[TREASURY.xlsx]Sheet1!R435C7</stp>
        <tr r="G435" s="1"/>
      </tp>
      <tp t="s">
        <v>USD</v>
        <stp/>
        <stp>##V3_BDPV12</stp>
        <stp>912828BV Govt</stp>
        <stp>CRNCY</stp>
        <stp>[TREASURY.xlsx]Sheet1!R495C7</stp>
        <tr r="G495" s="1"/>
      </tp>
      <tp t="s">
        <v>USD</v>
        <stp/>
        <stp>##V3_BDPV12</stp>
        <stp>912828EE Govt</stp>
        <stp>CRNCY</stp>
        <stp>[TREASURY.xlsx]Sheet1!R795C7</stp>
        <tr r="G795" s="1"/>
      </tp>
      <tp t="s">
        <v>USD</v>
        <stp/>
        <stp>##V3_BDPV12</stp>
        <stp>912828EP Govt</stp>
        <stp>CRNCY</stp>
        <stp>[TREASURY.xlsx]Sheet1!R965C7</stp>
        <tr r="G965" s="1"/>
      </tp>
      <tp t="s">
        <v>S/A</v>
        <stp/>
        <stp>##V3_BDPV12</stp>
        <stp>912827J9 Govt</stp>
        <stp>COUPON_FREQUENCY_DESCRIPTION</stp>
        <stp>[TREASURY.xlsx]Sheet1!R1376C10</stp>
        <tr r="J1376" s="1"/>
      </tp>
      <tp t="s">
        <v>UNITED STATES</v>
        <stp/>
        <stp>##V3_BDPV12</stp>
        <stp>912827D2 Govt</stp>
        <stp>COUNTRY_FULL_NAME</stp>
        <stp>[TREASURY.xlsx]Sheet1!R1033C8</stp>
        <tr r="H1033" s="1"/>
      </tp>
      <tp t="s">
        <v>UNITED STATES</v>
        <stp/>
        <stp>##V3_BDPV12</stp>
        <stp>912827N2 Govt</stp>
        <stp>COUNTRY_FULL_NAME</stp>
        <stp>[TREASURY.xlsx]Sheet1!R1329C8</stp>
        <tr r="H1329" s="1"/>
      </tp>
      <tp t="s">
        <v>UNITED STATES</v>
        <stp/>
        <stp>##V3_BDPV12</stp>
        <stp>912828G2 Govt</stp>
        <stp>COUNTRY_FULL_NAME</stp>
        <stp>[TREASURY.xlsx]Sheet1!R1280C8</stp>
        <tr r="H1280" s="1"/>
      </tp>
      <tp t="s">
        <v>UNITED STATES</v>
        <stp/>
        <stp>##V3_BDPV12</stp>
        <stp>912827B2 Govt</stp>
        <stp>COUNTRY_FULL_NAME</stp>
        <stp>[TREASURY.xlsx]Sheet1!R1475C8</stp>
        <tr r="H1475" s="1"/>
      </tp>
      <tp t="s">
        <v>UNITED STATES</v>
        <stp/>
        <stp>##V3_BDPV12</stp>
        <stp>912827D3 Govt</stp>
        <stp>COUNTRY_FULL_NAME</stp>
        <stp>[TREASURY.xlsx]Sheet1!R1483C8</stp>
        <tr r="H1483" s="1"/>
      </tp>
      <tp t="s">
        <v>USD</v>
        <stp/>
        <stp>##V3_BDPV12</stp>
        <stp>912828D8 Govt</stp>
        <stp>CRNCY</stp>
        <stp>[TREASURY.xlsx]Sheet1!R545C7</stp>
        <tr r="G545" s="1"/>
      </tp>
      <tp t="s">
        <v>USD</v>
        <stp/>
        <stp>##V3_BDPV12</stp>
        <stp>912828GS Govt</stp>
        <stp>CRNCY</stp>
        <stp>[TREASURY.xlsx]Sheet1!R615C7</stp>
        <tr r="G615" s="1"/>
      </tp>
      <tp t="s">
        <v>USD</v>
        <stp/>
        <stp>##V3_BDPV12</stp>
        <stp>912828GV Govt</stp>
        <stp>CRNCY</stp>
        <stp>[TREASURY.xlsx]Sheet1!R805C7</stp>
        <tr r="G805" s="1"/>
      </tp>
      <tp t="s">
        <v>S/A</v>
        <stp/>
        <stp>##V3_BDPV12</stp>
        <stp>912827J8 Govt</stp>
        <stp>COUPON_FREQUENCY_DESCRIPTION</stp>
        <stp>[TREASURY.xlsx]Sheet1!R1038C10</stp>
        <tr r="J1038" s="1"/>
      </tp>
      <tp t="s">
        <v>USD</v>
        <stp/>
        <stp>##V3_BDPV12</stp>
        <stp>912828FF Govt</stp>
        <stp>CRNCY</stp>
        <stp>[TREASURY.xlsx]Sheet1!R475C7</stp>
        <tr r="G475" s="1"/>
      </tp>
      <tp t="s">
        <v>USD</v>
        <stp/>
        <stp>##V3_BDPV12</stp>
        <stp>912828FV Govt</stp>
        <stp>CRNCY</stp>
        <stp>[TREASURY.xlsx]Sheet1!R845C7</stp>
        <tr r="G845" s="1"/>
      </tp>
      <tp t="s">
        <v>T</v>
        <stp/>
        <stp>##V3_BDPV12</stp>
        <stp>91282CBH Govt</stp>
        <stp>TICKER</stp>
        <stp>[TREASURY.xlsx]Sheet1!R59C2</stp>
        <tr r="B59" s="1"/>
      </tp>
      <tp t="s">
        <v>T</v>
        <stp/>
        <stp>##V3_BDPV12</stp>
        <stp>91282CBW Govt</stp>
        <stp>TICKER</stp>
        <stp>[TREASURY.xlsx]Sheet1!R29C2</stp>
        <tr r="B29" s="1"/>
      </tp>
      <tp t="s">
        <v>T</v>
        <stp/>
        <stp>##V3_BDPV12</stp>
        <stp>91282CBV Govt</stp>
        <stp>TICKER</stp>
        <stp>[TREASURY.xlsx]Sheet1!R89C2</stp>
        <tr r="B89" s="1"/>
      </tp>
      <tp t="s">
        <v>USD</v>
        <stp/>
        <stp>##V3_BDPV12</stp>
        <stp>912828HK Govt</stp>
        <stp>CRNCY</stp>
        <stp>[TREASURY.xlsx]Sheet1!R525C7</stp>
        <tr r="G525" s="1"/>
      </tp>
      <tp t="s">
        <v>T</v>
        <stp/>
        <stp>##V3_BDPV12</stp>
        <stp>91282CCP Govt</stp>
        <stp>TICKER</stp>
        <stp>[TREASURY.xlsx]Sheet1!R19C2</stp>
        <tr r="B19" s="1"/>
      </tp>
      <tp t="s">
        <v>USD</v>
        <stp/>
        <stp>##V3_BDPV12</stp>
        <stp>912828H7 Govt</stp>
        <stp>CRNCY</stp>
        <stp>[TREASURY.xlsx]Sheet1!R605C7</stp>
        <tr r="G605" s="1"/>
      </tp>
      <tp t="s">
        <v>USD</v>
        <stp/>
        <stp>##V3_BDPV12</stp>
        <stp>912828JU Govt</stp>
        <stp>CRNCY</stp>
        <stp>[TREASURY.xlsx]Sheet1!R855C7</stp>
        <tr r="G855" s="1"/>
      </tp>
      <tp t="s">
        <v>T</v>
        <stp/>
        <stp>##V3_BDPV12</stp>
        <stp>91282CAJ Govt</stp>
        <stp>TICKER</stp>
        <stp>[TREASURY.xlsx]Sheet1!R49C2</stp>
        <tr r="B49" s="1"/>
      </tp>
      <tp t="s">
        <v>T</v>
        <stp/>
        <stp>##V3_BDPV12</stp>
        <stp>91282CAB Govt</stp>
        <stp>TICKER</stp>
        <stp>[TREASURY.xlsx]Sheet1!R99C2</stp>
        <tr r="B99" s="1"/>
      </tp>
      <tp t="s">
        <v>T</v>
        <stp/>
        <stp>##V3_BDPV12</stp>
        <stp>91282CAT Govt</stp>
        <stp>TICKER</stp>
        <stp>[TREASURY.xlsx]Sheet1!R39C2</stp>
        <tr r="B39" s="1"/>
      </tp>
      <tp t="s">
        <v>S/A</v>
        <stp/>
        <stp>##V3_BDPV12</stp>
        <stp>912827J6 Govt</stp>
        <stp>COUPON_FREQUENCY_DESCRIPTION</stp>
        <stp>[TREASURY.xlsx]Sheet1!R1317C10</stp>
        <tr r="J1317" s="1"/>
      </tp>
      <tp t="s">
        <v>USD</v>
        <stp/>
        <stp>##V3_BDPV12</stp>
        <stp>912828MX Govt</stp>
        <stp>CRNCY</stp>
        <stp>[TREASURY.xlsx]Sheet1!R825C7</stp>
        <tr r="G825" s="1"/>
      </tp>
      <tp t="s">
        <v>S/A</v>
        <stp/>
        <stp>##V3_BDPV12</stp>
        <stp>912827J7 Govt</stp>
        <stp>COUPON_FREQUENCY_DESCRIPTION</stp>
        <stp>[TREASURY.xlsx]Sheet1!R1562C10</stp>
        <tr r="J1562" s="1"/>
      </tp>
      <tp t="s">
        <v>USD</v>
        <stp/>
        <stp>##V3_BDPV12</stp>
        <stp>912828LJ Govt</stp>
        <stp>CRNCY</stp>
        <stp>[TREASURY.xlsx]Sheet1!R485C7</stp>
        <tr r="G485" s="1"/>
      </tp>
      <tp t="s">
        <v>USD</v>
        <stp/>
        <stp>##V3_BDPV12</stp>
        <stp>912828LG Govt</stp>
        <stp>CRNCY</stp>
        <stp>[TREASURY.xlsx]Sheet1!R815C7</stp>
        <tr r="G815" s="1"/>
      </tp>
      <tp t="s">
        <v>USD</v>
        <stp/>
        <stp>##V3_BDPV12</stp>
        <stp>912828LZ Govt</stp>
        <stp>CRNCY</stp>
        <stp>[TREASURY.xlsx]Sheet1!R515C7</stp>
        <tr r="G515" s="1"/>
      </tp>
      <tp t="s">
        <v>USD</v>
        <stp/>
        <stp>##V3_BDPV12</stp>
        <stp>912828LT Govt</stp>
        <stp>CRNCY</stp>
        <stp>[TREASURY.xlsx]Sheet1!R975C7</stp>
        <tr r="G975" s="1"/>
      </tp>
      <tp t="s">
        <v>USD</v>
        <stp/>
        <stp>##V3_BDPV12</stp>
        <stp>912828LX Govt</stp>
        <stp>CRNCY</stp>
        <stp>[TREASURY.xlsx]Sheet1!R535C7</stp>
        <tr r="G535" s="1"/>
      </tp>
      <tp t="s">
        <v>USD</v>
        <stp/>
        <stp>##V3_BDPV12</stp>
        <stp>912828ND Govt</stp>
        <stp>CRNCY</stp>
        <stp>[TREASURY.xlsx]Sheet1!R645C7</stp>
        <tr r="G645" s="1"/>
      </tp>
      <tp t="s">
        <v>USD</v>
        <stp/>
        <stp>##V3_BDPV12</stp>
        <stp>912828NP Govt</stp>
        <stp>CRNCY</stp>
        <stp>[TREASURY.xlsx]Sheet1!R865C7</stp>
        <tr r="G865" s="1"/>
      </tp>
      <tp t="s">
        <v>S/A</v>
        <stp/>
        <stp>##V3_BDPV12</stp>
        <stp>912827J5 Govt</stp>
        <stp>COUPON_FREQUENCY_DESCRIPTION</stp>
        <stp>[TREASURY.xlsx]Sheet1!R1488C10</stp>
        <tr r="J1488" s="1"/>
      </tp>
      <tp t="s">
        <v>S/A</v>
        <stp/>
        <stp>##V3_BDPV12</stp>
        <stp>912827J4 Govt</stp>
        <stp>COUPON_FREQUENCY_DESCRIPTION</stp>
        <stp>[TREASURY.xlsx]Sheet1!R1561C10</stp>
        <tr r="J1561" s="1"/>
      </tp>
      <tp t="s">
        <v>S/A</v>
        <stp/>
        <stp>##V3_BDPV12</stp>
        <stp>912828J3 Govt</stp>
        <stp>COUPON_FREQUENCY_DESCRIPTION</stp>
        <stp>[TREASURY.xlsx]Sheet1!R1246C10</stp>
        <tr r="J1246" s="1"/>
      </tp>
      <tp t="s">
        <v>UNITED STATES</v>
        <stp/>
        <stp>##V3_BDPV12</stp>
        <stp>912827E9 Govt</stp>
        <stp>COUNTRY_FULL_NAME</stp>
        <stp>[TREASURY.xlsx]Sheet1!R1372C8</stp>
        <tr r="H1372" s="1"/>
      </tp>
      <tp t="s">
        <v>S/A</v>
        <stp/>
        <stp>##V3_BDPV12</stp>
        <stp>912810SX Govt</stp>
        <stp>COUPON_FREQUENCY_DESCRIPTION</stp>
        <stp>[TREASURY.xlsx]Sheet1!R8C10</stp>
        <tr r="J8" s="1"/>
      </tp>
      <tp t="s">
        <v>S/A</v>
        <stp/>
        <stp>##V3_BDPV12</stp>
        <stp>91282CCX Govt</stp>
        <stp>COUPON_FREQUENCY_DESCRIPTION</stp>
        <stp>[TREASURY.xlsx]Sheet1!R5C10</stp>
        <tr r="J5" s="1"/>
      </tp>
      <tp>
        <v>2.75</v>
        <stp/>
        <stp>##V3_BDPV12</stp>
        <stp>912828XZ Govt</stp>
        <stp>CPN</stp>
        <stp>[TREASURY.xlsx]Sheet1!R279C3</stp>
        <tr r="C279" s="1"/>
      </tp>
      <tp>
        <v>2.25</v>
        <stp/>
        <stp>##V3_BDPV12</stp>
        <stp>9128286R Govt</stp>
        <stp>CPN</stp>
        <stp>[TREASURY.xlsx]Sheet1!R201C3</stp>
        <tr r="C201" s="1"/>
      </tp>
      <tp>
        <v>2.125</v>
        <stp/>
        <stp>##V3_BDPV12</stp>
        <stp>912828WR Govt</stp>
        <stp>CPN</stp>
        <stp>[TREASURY.xlsx]Sheet1!R341C3</stp>
        <tr r="C341" s="1"/>
      </tp>
      <tp>
        <v>0.125</v>
        <stp/>
        <stp>##V3_BDPV12</stp>
        <stp>912828ZP Govt</stp>
        <stp>CPN</stp>
        <stp>[TREASURY.xlsx]Sheet1!R153C3</stp>
        <tr r="C153" s="1"/>
      </tp>
      <tp>
        <v>2.375</v>
        <stp/>
        <stp>##V3_BDPV12</stp>
        <stp>912828CU Govt</stp>
        <stp>CPN</stp>
        <stp>[TREASURY.xlsx]Sheet1!R636C3</stp>
        <tr r="C636" s="1"/>
      </tp>
      <tp>
        <v>4.5</v>
        <stp/>
        <stp>##V3_BDPV12</stp>
        <stp>912828GQ Govt</stp>
        <stp>CPN</stp>
        <stp>[TREASURY.xlsx]Sheet1!R672C3</stp>
        <tr r="C672" s="1"/>
      </tp>
      <tp>
        <v>2.0223777723588396</v>
        <stp/>
        <stp>##V3_BDPV12</stp>
        <stp>912810SR Govt</stp>
        <stp>YLD_YTM_BID</stp>
        <stp>[TREASURY.xlsx]Sheet1!R100C4</stp>
        <tr r="D100" s="1"/>
      </tp>
      <tp>
        <v>7.375</v>
        <stp/>
        <stp>##V3_BDPV12</stp>
        <stp>912827ZP Govt</stp>
        <stp>CPN</stp>
        <stp>[TREASURY.xlsx]Sheet1!R953C3</stp>
        <tr r="C953" s="1"/>
      </tp>
      <tp>
        <v>3.375</v>
        <stp/>
        <stp>##V3_BDPV12</stp>
        <stp>912828BT Govt</stp>
        <stp>CPN</stp>
        <stp>[TREASURY.xlsx]Sheet1!R787C3</stp>
        <tr r="C787" s="1"/>
      </tp>
      <tp>
        <v>4.375</v>
        <stp/>
        <stp>##V3_BDPV12</stp>
        <stp>912828EU Govt</stp>
        <stp>CPN</stp>
        <stp>[TREASURY.xlsx]Sheet1!R466C3</stp>
        <tr r="C466" s="1"/>
      </tp>
      <tp>
        <v>3.25</v>
        <stp/>
        <stp>##V3_BDPV12</stp>
        <stp>912828BV Govt</stp>
        <stp>CPN</stp>
        <stp>[TREASURY.xlsx]Sheet1!R495C3</stp>
        <tr r="C495" s="1"/>
      </tp>
      <tp>
        <v>0.5</v>
        <stp/>
        <stp>##V3_BDPV12</stp>
        <stp>912828QZ Govt</stp>
        <stp>CPN</stp>
        <stp>[TREASURY.xlsx]Sheet1!R449C3</stp>
        <tr r="C449" s="1"/>
      </tp>
      <tp>
        <v>0.625</v>
        <stp/>
        <stp>##V3_BDPV12</stp>
        <stp>912828TS Govt</stp>
        <stp>CPN</stp>
        <stp>[TREASURY.xlsx]Sheet1!R490C3</stp>
        <tr r="C490" s="1"/>
      </tp>
      <tp>
        <v>1.25</v>
        <stp/>
        <stp>##V3_BDPV12</stp>
        <stp>912828ST Govt</stp>
        <stp>CPN</stp>
        <stp>[TREASURY.xlsx]Sheet1!R497C3</stp>
        <tr r="C497" s="1"/>
      </tp>
      <tp>
        <v>4.25</v>
        <stp/>
        <stp>##V3_BDPV12</stp>
        <stp>912828BR Govt</stp>
        <stp>CPN</stp>
        <stp>[TREASURY.xlsx]Sheet1!R541C3</stp>
        <tr r="C541" s="1"/>
      </tp>
      <tp>
        <v>2</v>
        <stp/>
        <stp>##V3_BDPV12</stp>
        <stp>912828AQ Govt</stp>
        <stp>CPN</stp>
        <stp>[TREASURY.xlsx]Sheet1!R512C3</stp>
        <tr r="C512" s="1"/>
      </tp>
      <tp>
        <v>4.625</v>
        <stp/>
        <stp>##V3_BDPV12</stp>
        <stp>912828FT Govt</stp>
        <stp>CPN</stp>
        <stp>[TREASURY.xlsx]Sheet1!R597C3</stp>
        <tr r="C597" s="1"/>
      </tp>
      <tp>
        <v>1.713868753954696</v>
        <stp/>
        <stp>##V3_BDPV12</stp>
        <stp>912810PT Govt</stp>
        <stp>YLD_YTM_BID</stp>
        <stp>[TREASURY.xlsx]Sheet1!R226C4</stp>
        <tr r="D226" s="1"/>
      </tp>
      <tp>
        <v>1.9891343608722345</v>
        <stp/>
        <stp>##V3_BDPV12</stp>
        <stp>912810QU Govt</stp>
        <stp>YLD_YTM_BID</stp>
        <stp>[TREASURY.xlsx]Sheet1!R287C4</stp>
        <tr r="D287" s="1"/>
      </tp>
      <tp>
        <v>4.5</v>
        <stp/>
        <stp>##V3_BDPV12</stp>
        <stp>912828GP Govt</stp>
        <stp>CPN</stp>
        <stp>[TREASURY.xlsx]Sheet1!R803C3</stp>
        <tr r="C803" s="1"/>
      </tp>
      <tp>
        <v>4.875</v>
        <stp/>
        <stp>##V3_BDPV12</stp>
        <stp>912828GV Govt</stp>
        <stp>CPN</stp>
        <stp>[TREASURY.xlsx]Sheet1!R805C3</stp>
        <tr r="C805" s="1"/>
      </tp>
      <tp>
        <v>4.625</v>
        <stp/>
        <stp>##V3_BDPV12</stp>
        <stp>912828FS Govt</stp>
        <stp>CPN</stp>
        <stp>[TREASURY.xlsx]Sheet1!R800C3</stp>
        <tr r="C800" s="1"/>
      </tp>
      <tp>
        <v>4.875</v>
        <stp/>
        <stp>##V3_BDPV12</stp>
        <stp>912828FV Govt</stp>
        <stp>CPN</stp>
        <stp>[TREASURY.xlsx]Sheet1!R845C3</stp>
        <tr r="C845" s="1"/>
      </tp>
      <tp>
        <v>12.625</v>
        <stp/>
        <stp>##V3_BDPV12</stp>
        <stp>912827NP Govt</stp>
        <stp>CPN</stp>
        <stp>[TREASURY.xlsx]Sheet1!R733C3</stp>
        <tr r="C733" s="1"/>
      </tp>
      <tp>
        <v>2.375</v>
        <stp/>
        <stp>##V3_BDPV12</stp>
        <stp>912828QT Govt</stp>
        <stp>CPN</stp>
        <stp>[TREASURY.xlsx]Sheet1!R867C3</stp>
        <tr r="C867" s="1"/>
      </tp>
      <tp>
        <v>0.625</v>
        <stp/>
        <stp>##V3_BDPV12</stp>
        <stp>912828QU Govt</stp>
        <stp>CPN</stp>
        <stp>[TREASURY.xlsx]Sheet1!R826C3</stp>
        <tr r="C826" s="1"/>
      </tp>
      <tp>
        <v>7.5</v>
        <stp/>
        <stp>##V3_BDPV12</stp>
        <stp>912827TS Govt</stp>
        <stp>CPN</stp>
        <stp>[TREASURY.xlsx]Sheet1!R750C3</stp>
        <tr r="C750" s="1"/>
      </tp>
      <tp t="s">
        <v>#N/A N/A</v>
        <stp/>
        <stp>##V3_BDPV12</stp>
        <stp>912827MQ Govt</stp>
        <stp>YLD_YTM_BID</stp>
        <stp>[TREASURY.xlsx]Sheet1!R723C4</stp>
        <tr r="D723" s="1"/>
      </tp>
      <tp t="s">
        <v>#N/A N/A</v>
        <stp/>
        <stp>##V3_BDPV12</stp>
        <stp>912828MV Govt</stp>
        <stp>YLD_YTM_BID</stp>
        <stp>[TREASURY.xlsx]Sheet1!R824C4</stp>
        <tr r="D824" s="1"/>
      </tp>
      <tp t="s">
        <v>#N/A N/A</v>
        <stp/>
        <stp>##V3_BDPV12</stp>
        <stp>912827NV Govt</stp>
        <stp>YLD_YTM_BID</stp>
        <stp>[TREASURY.xlsx]Sheet1!R734C4</stp>
        <tr r="D734" s="1"/>
      </tp>
      <tp t="s">
        <v>#N/A N/A</v>
        <stp/>
        <stp>##V3_BDPV12</stp>
        <stp>912828MS Govt</stp>
        <stp>YLD_YTM_BID</stp>
        <stp>[TREASURY.xlsx]Sheet1!R861C4</stp>
        <tr r="D861" s="1"/>
      </tp>
      <tp t="s">
        <v>#N/A N/A</v>
        <stp/>
        <stp>##V3_BDPV12</stp>
        <stp>912827QP Govt</stp>
        <stp>YLD_YTM_BID</stp>
        <stp>[TREASURY.xlsx]Sheet1!R742C4</stp>
        <tr r="D742" s="1"/>
      </tp>
      <tp t="s">
        <v>#N/A N/A</v>
        <stp/>
        <stp>##V3_BDPV12</stp>
        <stp>912827UT Govt</stp>
        <stp>YLD_YTM_BID</stp>
        <stp>[TREASURY.xlsx]Sheet1!R756C4</stp>
        <tr r="D756" s="1"/>
      </tp>
      <tp t="s">
        <v>#N/A N/A</v>
        <stp/>
        <stp>##V3_BDPV12</stp>
        <stp>912827VQ Govt</stp>
        <stp>YLD_YTM_BID</stp>
        <stp>[TREASURY.xlsx]Sheet1!R763C4</stp>
        <tr r="D763" s="1"/>
      </tp>
      <tp t="s">
        <v>#N/A N/A</v>
        <stp/>
        <stp>##V3_BDPV12</stp>
        <stp>9128275Z Govt</stp>
        <stp>YLD_YTM_BID</stp>
        <stp>[TREASURY.xlsx]Sheet1!R428C4</stp>
        <tr r="D428" s="1"/>
      </tp>
      <tp t="s">
        <v>#N/A N/A</v>
        <stp/>
        <stp>##V3_BDPV12</stp>
        <stp>912828CR Govt</stp>
        <stp>YLD_YTM_BID</stp>
        <stp>[TREASURY.xlsx]Sheet1!R510C4</stp>
        <tr r="D510" s="1"/>
      </tp>
      <tp t="s">
        <v>#N/A N/A</v>
        <stp/>
        <stp>##V3_BDPV12</stp>
        <stp>912828KQ Govt</stp>
        <stp>YLD_YTM_BID</stp>
        <stp>[TREASURY.xlsx]Sheet1!R583C4</stp>
        <tr r="D583" s="1"/>
      </tp>
      <tp t="s">
        <v>#N/A N/A</v>
        <stp/>
        <stp>##V3_BDPV12</stp>
        <stp>912828NU Govt</stp>
        <stp>YLD_YTM_BID</stp>
        <stp>[TREASURY.xlsx]Sheet1!R547C4</stp>
        <tr r="D547" s="1"/>
      </tp>
      <tp>
        <v>3.125</v>
        <stp/>
        <stp>##V3_BDPV12</stp>
        <stp>912810QT Govt</stp>
        <stp>CPN</stp>
        <stp>[TREASURY.xlsx]Sheet1!R237C3</stp>
        <tr r="C237" s="1"/>
      </tp>
      <tp t="s">
        <v>#N/A N/A</v>
        <stp/>
        <stp>##V3_BDPV12</stp>
        <stp>912828MQ Govt</stp>
        <stp>YLD_YTM_BID</stp>
        <stp>[TREASURY.xlsx]Sheet1!R483C4</stp>
        <tr r="D483" s="1"/>
      </tp>
      <tp t="s">
        <v>#N/A N/A</v>
        <stp/>
        <stp>##V3_BDPV12</stp>
        <stp>912828JZ Govt</stp>
        <stp>YLD_YTM_BID</stp>
        <stp>[TREASURY.xlsx]Sheet1!R478C4</stp>
        <tr r="D478" s="1"/>
      </tp>
      <tp>
        <v>2.5</v>
        <stp/>
        <stp>##V3_BDPV12</stp>
        <stp>912810RQ Govt</stp>
        <stp>CPN</stp>
        <stp>[TREASURY.xlsx]Sheet1!R172C3</stp>
        <tr r="C172" s="1"/>
      </tp>
      <tp t="s">
        <v>#N/A N/A</v>
        <stp/>
        <stp>##V3_BDPV12</stp>
        <stp>912827RP Govt</stp>
        <stp>YLD_YTM_BID</stp>
        <stp>[TREASURY.xlsx]Sheet1!R912C4</stp>
        <tr r="D912" s="1"/>
      </tp>
      <tp>
        <v>12.75</v>
        <stp/>
        <stp>##V3_BDPV12</stp>
        <stp>912810CS Govt</stp>
        <stp>CPN</stp>
        <stp>[TREASURY.xlsx]Sheet1!R660C3</stp>
        <tr r="C660" s="1"/>
      </tp>
      <tp>
        <v>8.875</v>
        <stp/>
        <stp>##V3_BDPV12</stp>
        <stp>912810DZ Govt</stp>
        <stp>CPN</stp>
        <stp>[TREASURY.xlsx]Sheet1!R699C3</stp>
        <tr r="C699" s="1"/>
      </tp>
      <tp>
        <v>7.432027704660063E-2</v>
        <stp/>
        <stp>##V3_BDPV12</stp>
        <stp>912828SV Govt</stp>
        <stp>YLD_YTM_BID</stp>
        <stp>[TREASURY.xlsx]Sheet1!R164C4</stp>
        <tr r="D164" s="1"/>
      </tp>
      <tp>
        <v>1.1136488982653223</v>
        <stp/>
        <stp>##V3_BDPV12</stp>
        <stp>912828ZS Govt</stp>
        <stp>YLD_YTM_BID</stp>
        <stp>[TREASURY.xlsx]Sheet1!R171C4</stp>
        <tr r="D171" s="1"/>
      </tp>
      <tp>
        <v>5.0899464076397748E-2</v>
        <stp/>
        <stp>##V3_BDPV12</stp>
        <stp>9128285R Govt</stp>
        <stp>YLD_YTM_BID</stp>
        <stp>[TREASURY.xlsx]Sheet1!R140C4</stp>
        <tr r="D140" s="1"/>
      </tp>
      <tp t="s">
        <v>FIXED</v>
        <stp/>
        <stp>##V3_BDPV12</stp>
        <stp>9128277L Govt</stp>
        <stp>CPN_TYP</stp>
        <stp>[TREASURY.xlsx]Sheet1!R1546C11</stp>
        <tr r="K1546" s="1"/>
      </tp>
      <tp t="s">
        <v>FIXED</v>
        <stp/>
        <stp>##V3_BDPV12</stp>
        <stp>9128277C Govt</stp>
        <stp>CPN_TYP</stp>
        <stp>[TREASURY.xlsx]Sheet1!R1544C11</stp>
        <tr r="K1544" s="1"/>
      </tp>
      <tp t="s">
        <v>FIXED</v>
        <stp/>
        <stp>##V3_BDPV12</stp>
        <stp>9128272E Govt</stp>
        <stp>CPN_TYP</stp>
        <stp>[TREASURY.xlsx]Sheet1!R1009C11</stp>
        <tr r="K1009" s="1"/>
      </tp>
      <tp t="s">
        <v>FIXED</v>
        <stp/>
        <stp>##V3_BDPV12</stp>
        <stp>9128277A Govt</stp>
        <stp>CPN_TYP</stp>
        <stp>[TREASURY.xlsx]Sheet1!R1543C11</stp>
        <tr r="K1543" s="1"/>
      </tp>
      <tp t="s">
        <v>FIXED</v>
        <stp/>
        <stp>##V3_BDPV12</stp>
        <stp>9128272B Govt</stp>
        <stp>CPN_TYP</stp>
        <stp>[TREASURY.xlsx]Sheet1!R1008C11</stp>
        <tr r="K1008" s="1"/>
      </tp>
      <tp t="s">
        <v>FIXED</v>
        <stp/>
        <stp>##V3_BDPV12</stp>
        <stp>9128276D Govt</stp>
        <stp>CPN_TYP</stp>
        <stp>[TREASURY.xlsx]Sheet1!R1465C11</stp>
        <tr r="K1465" s="1"/>
      </tp>
      <tp t="s">
        <v>FIXED</v>
        <stp/>
        <stp>##V3_BDPV12</stp>
        <stp>9128276F Govt</stp>
        <stp>CPN_TYP</stp>
        <stp>[TREASURY.xlsx]Sheet1!R1466C11</stp>
        <tr r="K1466" s="1"/>
      </tp>
      <tp t="s">
        <v>FIXED</v>
        <stp/>
        <stp>##V3_BDPV12</stp>
        <stp>9128277E Govt</stp>
        <stp>CPN_TYP</stp>
        <stp>[TREASURY.xlsx]Sheet1!R1545C11</stp>
        <tr r="K1545" s="1"/>
      </tp>
      <tp t="s">
        <v>FIXED</v>
        <stp/>
        <stp>##V3_BDPV12</stp>
        <stp>9128276X Govt</stp>
        <stp>CPN_TYP</stp>
        <stp>[TREASURY.xlsx]Sheet1!R1469C11</stp>
        <tr r="K1469" s="1"/>
      </tp>
      <tp t="s">
        <v>FIXED</v>
        <stp/>
        <stp>##V3_BDPV12</stp>
        <stp>9128276U Govt</stp>
        <stp>CPN_TYP</stp>
        <stp>[TREASURY.xlsx]Sheet1!R1467C11</stp>
        <tr r="K1467" s="1"/>
      </tp>
      <tp t="s">
        <v>FIXED</v>
        <stp/>
        <stp>##V3_BDPV12</stp>
        <stp>9128276V Govt</stp>
        <stp>CPN_TYP</stp>
        <stp>[TREASURY.xlsx]Sheet1!R1468C11</stp>
        <tr r="K1468" s="1"/>
      </tp>
      <tp t="s">
        <v>FIXED</v>
        <stp/>
        <stp>##V3_BDPV12</stp>
        <stp>9128276L Govt</stp>
        <stp>CPN_TYP</stp>
        <stp>[TREASURY.xlsx]Sheet1!R1538C11</stp>
        <tr r="K1538" s="1"/>
      </tp>
      <tp t="s">
        <v>FIXED</v>
        <stp/>
        <stp>##V3_BDPV12</stp>
        <stp>9128277M Govt</stp>
        <stp>CPN_TYP</stp>
        <stp>[TREASURY.xlsx]Sheet1!R1472C11</stp>
        <tr r="K1472" s="1"/>
      </tp>
      <tp t="s">
        <v>FIXED</v>
        <stp/>
        <stp>##V3_BDPV12</stp>
        <stp>9128276H Govt</stp>
        <stp>CPN_TYP</stp>
        <stp>[TREASURY.xlsx]Sheet1!R1537C11</stp>
        <tr r="K1537" s="1"/>
      </tp>
      <tp t="s">
        <v>FIXED</v>
        <stp/>
        <stp>##V3_BDPV12</stp>
        <stp>9128273G Govt</stp>
        <stp>CPN_TYP</stp>
        <stp>[TREASURY.xlsx]Sheet1!R1011C11</stp>
        <tr r="K1011" s="1"/>
      </tp>
      <tp t="s">
        <v>FIXED</v>
        <stp/>
        <stp>##V3_BDPV12</stp>
        <stp>9128276E Govt</stp>
        <stp>CPN_TYP</stp>
        <stp>[TREASURY.xlsx]Sheet1!R1536C11</stp>
        <tr r="K1536" s="1"/>
      </tp>
      <tp t="s">
        <v>FIXED</v>
        <stp/>
        <stp>##V3_BDPV12</stp>
        <stp>9128273C Govt</stp>
        <stp>CPN_TYP</stp>
        <stp>[TREASURY.xlsx]Sheet1!R1010C11</stp>
        <tr r="K1010" s="1"/>
      </tp>
      <tp t="s">
        <v>FIXED</v>
        <stp/>
        <stp>##V3_BDPV12</stp>
        <stp>9128277D Govt</stp>
        <stp>CPN_TYP</stp>
        <stp>[TREASURY.xlsx]Sheet1!R1470C11</stp>
        <tr r="K1470" s="1"/>
      </tp>
      <tp t="s">
        <v>FIXED</v>
        <stp/>
        <stp>##V3_BDPV12</stp>
        <stp>9128277G Govt</stp>
        <stp>CPN_TYP</stp>
        <stp>[TREASURY.xlsx]Sheet1!R1471C11</stp>
        <tr r="K1471" s="1"/>
      </tp>
      <tp t="s">
        <v>FIXED</v>
        <stp/>
        <stp>##V3_BDPV12</stp>
        <stp>9128276Y Govt</stp>
        <stp>CPN_TYP</stp>
        <stp>[TREASURY.xlsx]Sheet1!R1542C11</stp>
        <tr r="K1542" s="1"/>
      </tp>
      <tp t="s">
        <v>FIXED</v>
        <stp/>
        <stp>##V3_BDPV12</stp>
        <stp>9128276S Govt</stp>
        <stp>CPN_TYP</stp>
        <stp>[TREASURY.xlsx]Sheet1!R1540C11</stp>
        <tr r="K1540" s="1"/>
      </tp>
      <tp t="s">
        <v>FIXED</v>
        <stp/>
        <stp>##V3_BDPV12</stp>
        <stp>9128276Q Govt</stp>
        <stp>CPN_TYP</stp>
        <stp>[TREASURY.xlsx]Sheet1!R1539C11</stp>
        <tr r="K1539" s="1"/>
      </tp>
      <tp t="s">
        <v>FIXED</v>
        <stp/>
        <stp>##V3_BDPV12</stp>
        <stp>9128276W Govt</stp>
        <stp>CPN_TYP</stp>
        <stp>[TREASURY.xlsx]Sheet1!R1541C11</stp>
        <tr r="K1541" s="1"/>
      </tp>
      <tp t="s">
        <v>FIXED</v>
        <stp/>
        <stp>##V3_BDPV12</stp>
        <stp>9128274H Govt</stp>
        <stp>CPN_TYP</stp>
        <stp>[TREASURY.xlsx]Sheet1!R1460C11</stp>
        <tr r="K1460" s="1"/>
      </tp>
      <tp t="s">
        <v>FIXED</v>
        <stp/>
        <stp>##V3_BDPV12</stp>
        <stp>9128273K Govt</stp>
        <stp>CPN_TYP</stp>
        <stp>[TREASURY.xlsx]Sheet1!R1356C11</stp>
        <tr r="K1356" s="1"/>
      </tp>
      <tp t="s">
        <v>FIXED</v>
        <stp/>
        <stp>##V3_BDPV12</stp>
        <stp>9128274M Govt</stp>
        <stp>CPN_TYP</stp>
        <stp>[TREASURY.xlsx]Sheet1!R1461C11</stp>
        <tr r="K1461" s="1"/>
      </tp>
      <tp t="s">
        <v>FIXED</v>
        <stp/>
        <stp>##V3_BDPV12</stp>
        <stp>9128274N Govt</stp>
        <stp>CPN_TYP</stp>
        <stp>[TREASURY.xlsx]Sheet1!R1462C11</stp>
        <tr r="K1462" s="1"/>
      </tp>
      <tp t="s">
        <v>FIXED</v>
        <stp/>
        <stp>##V3_BDPV12</stp>
        <stp>9128273M Govt</stp>
        <stp>CPN_TYP</stp>
        <stp>[TREASURY.xlsx]Sheet1!R1357C11</stp>
        <tr r="K1357" s="1"/>
      </tp>
      <tp t="s">
        <v>FIXED</v>
        <stp/>
        <stp>##V3_BDPV12</stp>
        <stp>9128274C Govt</stp>
        <stp>CPN_TYP</stp>
        <stp>[TREASURY.xlsx]Sheet1!R1458C11</stp>
        <tr r="K1458" s="1"/>
      </tp>
      <tp t="s">
        <v>FIXED</v>
        <stp/>
        <stp>##V3_BDPV12</stp>
        <stp>9128273B Govt</stp>
        <stp>CPN_TYP</stp>
        <stp>[TREASURY.xlsx]Sheet1!R1353C11</stp>
        <tr r="K1353" s="1"/>
      </tp>
      <tp t="s">
        <v>FIXED</v>
        <stp/>
        <stp>##V3_BDPV12</stp>
        <stp>9128274A Govt</stp>
        <stp>CPN_TYP</stp>
        <stp>[TREASURY.xlsx]Sheet1!R1457C11</stp>
        <tr r="K1457" s="1"/>
      </tp>
      <tp t="s">
        <v>FIXED</v>
        <stp/>
        <stp>##V3_BDPV12</stp>
        <stp>9128273F Govt</stp>
        <stp>CPN_TYP</stp>
        <stp>[TREASURY.xlsx]Sheet1!R1355C11</stp>
        <tr r="K1355" s="1"/>
      </tp>
      <tp t="s">
        <v>FIXED</v>
        <stp/>
        <stp>##V3_BDPV12</stp>
        <stp>9128275C Govt</stp>
        <stp>CPN_TYP</stp>
        <stp>[TREASURY.xlsx]Sheet1!R1535C11</stp>
        <tr r="K1535" s="1"/>
      </tp>
      <tp t="s">
        <v>FIXED</v>
        <stp/>
        <stp>##V3_BDPV12</stp>
        <stp>9128274D Govt</stp>
        <stp>CPN_TYP</stp>
        <stp>[TREASURY.xlsx]Sheet1!R1459C11</stp>
        <tr r="K1459" s="1"/>
      </tp>
      <tp t="s">
        <v>FIXED</v>
        <stp/>
        <stp>##V3_BDPV12</stp>
        <stp>9128273D Govt</stp>
        <stp>CPN_TYP</stp>
        <stp>[TREASURY.xlsx]Sheet1!R1354C11</stp>
        <tr r="K1354" s="1"/>
      </tp>
      <tp t="s">
        <v>FIXED</v>
        <stp/>
        <stp>##V3_BDPV12</stp>
        <stp>9128273Z Govt</stp>
        <stp>CPN_TYP</stp>
        <stp>[TREASURY.xlsx]Sheet1!R1361C11</stp>
        <tr r="K1361" s="1"/>
      </tp>
      <tp t="s">
        <v>FIXED</v>
        <stp/>
        <stp>##V3_BDPV12</stp>
        <stp>9128273R Govt</stp>
        <stp>CPN_TYP</stp>
        <stp>[TREASURY.xlsx]Sheet1!R1359C11</stp>
        <tr r="K1359" s="1"/>
      </tp>
      <tp t="s">
        <v>FIXED</v>
        <stp/>
        <stp>##V3_BDPV12</stp>
        <stp>9128273Q Govt</stp>
        <stp>CPN_TYP</stp>
        <stp>[TREASURY.xlsx]Sheet1!R1358C11</stp>
        <tr r="K1358" s="1"/>
      </tp>
      <tp t="s">
        <v>FIXED</v>
        <stp/>
        <stp>##V3_BDPV12</stp>
        <stp>9128273V Govt</stp>
        <stp>CPN_TYP</stp>
        <stp>[TREASURY.xlsx]Sheet1!R1360C11</stp>
        <tr r="K1360" s="1"/>
      </tp>
      <tp t="s">
        <v>7/31/2020</v>
        <stp/>
        <stp>##V3_BDPV12</stp>
        <stp>912828Z5 Govt</stp>
        <stp>FIRST_CPN_DT</stp>
        <stp>[TREASURY.xlsx]Sheet1!R83C9</stp>
        <tr r="I83" s="1"/>
      </tp>
      <tp t="s">
        <v>5/15/2017</v>
        <stp/>
        <stp>##V3_BDPV12</stp>
        <stp>912828U2 Govt</stp>
        <stp>FIRST_CPN_DT</stp>
        <stp>[TREASURY.xlsx]Sheet1!R84C9</stp>
        <tr r="I84" s="1"/>
      </tp>
      <tp t="s">
        <v>8/15/2015</v>
        <stp/>
        <stp>##V3_BDPV12</stp>
        <stp>912828J2 Govt</stp>
        <stp>FIRST_CPN_DT</stp>
        <stp>[TREASURY.xlsx]Sheet1!R94C9</stp>
        <tr r="I94" s="1"/>
      </tp>
      <tp t="s">
        <v>2/15/2016</v>
        <stp/>
        <stp>##V3_BDPV12</stp>
        <stp>912828K7 Govt</stp>
        <stp>FIRST_CPN_DT</stp>
        <stp>[TREASURY.xlsx]Sheet1!R81C9</stp>
        <tr r="I81" s="1"/>
      </tp>
      <tp t="s">
        <v>FIXED</v>
        <stp/>
        <stp>##V3_BDPV12</stp>
        <stp>9128275L Govt</stp>
        <stp>CPN_TYP</stp>
        <stp>[TREASURY.xlsx]Sheet1!R1464C11</stp>
        <tr r="K1464" s="1"/>
      </tp>
      <tp t="s">
        <v>FIXED</v>
        <stp/>
        <stp>##V3_BDPV12</stp>
        <stp>9128272N Govt</stp>
        <stp>CPN_TYP</stp>
        <stp>[TREASURY.xlsx]Sheet1!R1352C11</stp>
        <tr r="K1352" s="1"/>
      </tp>
      <tp t="s">
        <v>FIXED</v>
        <stp/>
        <stp>##V3_BDPV12</stp>
        <stp>9128275A Govt</stp>
        <stp>CPN_TYP</stp>
        <stp>[TREASURY.xlsx]Sheet1!R1463C11</stp>
        <tr r="K1463" s="1"/>
      </tp>
      <tp t="s">
        <v>FIXED</v>
        <stp/>
        <stp>##V3_BDPV12</stp>
        <stp>9128272F Govt</stp>
        <stp>CPN_TYP</stp>
        <stp>[TREASURY.xlsx]Sheet1!R1351C11</stp>
        <tr r="K1351" s="1"/>
      </tp>
      <tp t="s">
        <v>FIXED</v>
        <stp/>
        <stp>##V3_BDPV12</stp>
        <stp>9128272D Govt</stp>
        <stp>CPN_TYP</stp>
        <stp>[TREASURY.xlsx]Sheet1!R1350C11</stp>
        <tr r="K1350" s="1"/>
      </tp>
      <tp t="s">
        <v>FIXED</v>
        <stp/>
        <stp>##V3_BDPV12</stp>
        <stp>9128274Z Govt</stp>
        <stp>CPN_TYP</stp>
        <stp>[TREASURY.xlsx]Sheet1!R1534C11</stp>
        <tr r="K1534" s="1"/>
      </tp>
      <tp t="s">
        <v>FIXED</v>
        <stp/>
        <stp>##V3_BDPV12</stp>
        <stp>9128274V Govt</stp>
        <stp>CPN_TYP</stp>
        <stp>[TREASURY.xlsx]Sheet1!R1533C11</stp>
        <tr r="K1533" s="1"/>
      </tp>
      <tp t="s">
        <v>FIXED</v>
        <stp/>
        <stp>##V3_BDPV12</stp>
        <stp>9128274R Govt</stp>
        <stp>CPN_TYP</stp>
        <stp>[TREASURY.xlsx]Sheet1!R1532C11</stp>
        <tr r="K1532" s="1"/>
      </tp>
      <tp t="s">
        <v>FIXED</v>
        <stp/>
        <stp>##V3_BDPV12</stp>
        <stp>9128273L Govt</stp>
        <stp>CPN_TYP</stp>
        <stp>[TREASURY.xlsx]Sheet1!R1529C11</stp>
        <tr r="K1529" s="1"/>
      </tp>
      <tp t="s">
        <v>FIXED</v>
        <stp/>
        <stp>##V3_BDPV12</stp>
        <stp>9128275H Govt</stp>
        <stp>CPN_TYP</stp>
        <stp>[TREASURY.xlsx]Sheet1!R1370C11</stp>
        <tr r="K1370" s="1"/>
      </tp>
      <tp t="s">
        <v>FIXED</v>
        <stp/>
        <stp>##V3_BDPV12</stp>
        <stp>9128272J Govt</stp>
        <stp>CPN_TYP</stp>
        <stp>[TREASURY.xlsx]Sheet1!R1451C11</stp>
        <tr r="K1451" s="1"/>
      </tp>
      <tp t="s">
        <v>FIXED</v>
        <stp/>
        <stp>##V3_BDPV12</stp>
        <stp>9128276N Govt</stp>
        <stp>CPN_TYP</stp>
        <stp>[TREASURY.xlsx]Sheet1!R1024C11</stp>
        <tr r="K1024" s="1"/>
      </tp>
      <tp t="s">
        <v>FIXED</v>
        <stp/>
        <stp>##V3_BDPV12</stp>
        <stp>9128272H Govt</stp>
        <stp>CPN_TYP</stp>
        <stp>[TREASURY.xlsx]Sheet1!R1450C11</stp>
        <tr r="K1450" s="1"/>
      </tp>
      <tp t="s">
        <v>FIXED</v>
        <stp/>
        <stp>##V3_BDPV12</stp>
        <stp>9128273H Govt</stp>
        <stp>CPN_TYP</stp>
        <stp>[TREASURY.xlsx]Sheet1!R1527C11</stp>
        <tr r="K1527" s="1"/>
      </tp>
      <tp t="s">
        <v>FIXED</v>
        <stp/>
        <stp>##V3_BDPV12</stp>
        <stp>9128273J Govt</stp>
        <stp>CPN_TYP</stp>
        <stp>[TREASURY.xlsx]Sheet1!R1528C11</stp>
        <tr r="K1528" s="1"/>
      </tp>
      <tp t="s">
        <v>FIXED</v>
        <stp/>
        <stp>##V3_BDPV12</stp>
        <stp>9128272L Govt</stp>
        <stp>CPN_TYP</stp>
        <stp>[TREASURY.xlsx]Sheet1!R1452C11</stp>
        <tr r="K1452" s="1"/>
      </tp>
      <tp t="s">
        <v>FIXED</v>
        <stp/>
        <stp>##V3_BDPV12</stp>
        <stp>9128276K Govt</stp>
        <stp>CPN_TYP</stp>
        <stp>[TREASURY.xlsx]Sheet1!R1023C11</stp>
        <tr r="K1023" s="1"/>
      </tp>
      <tp t="s">
        <v>FIXED</v>
        <stp/>
        <stp>##V3_BDPV12</stp>
        <stp>9128272C Govt</stp>
        <stp>CPN_TYP</stp>
        <stp>[TREASURY.xlsx]Sheet1!R1449C11</stp>
        <tr r="K1449" s="1"/>
      </tp>
      <tp t="s">
        <v>FIXED</v>
        <stp/>
        <stp>##V3_BDPV12</stp>
        <stp>9128273E Govt</stp>
        <stp>CPN_TYP</stp>
        <stp>[TREASURY.xlsx]Sheet1!R1526C11</stp>
        <tr r="K1526" s="1"/>
      </tp>
      <tp t="s">
        <v>FIXED</v>
        <stp/>
        <stp>##V3_BDPV12</stp>
        <stp>9128276A Govt</stp>
        <stp>CPN_TYP</stp>
        <stp>[TREASURY.xlsx]Sheet1!R1020C11</stp>
        <tr r="K1020" s="1"/>
      </tp>
      <tp t="s">
        <v>FIXED</v>
        <stp/>
        <stp>##V3_BDPV12</stp>
        <stp>9128276B Govt</stp>
        <stp>CPN_TYP</stp>
        <stp>[TREASURY.xlsx]Sheet1!R1021C11</stp>
        <tr r="K1021" s="1"/>
      </tp>
      <tp t="s">
        <v>FIXED</v>
        <stp/>
        <stp>##V3_BDPV12</stp>
        <stp>9128275G Govt</stp>
        <stp>CPN_TYP</stp>
        <stp>[TREASURY.xlsx]Sheet1!R1369C11</stp>
        <tr r="K1369" s="1"/>
      </tp>
      <tp t="s">
        <v>FIXED</v>
        <stp/>
        <stp>##V3_BDPV12</stp>
        <stp>9128276C Govt</stp>
        <stp>CPN_TYP</stp>
        <stp>[TREASURY.xlsx]Sheet1!R1022C11</stp>
        <tr r="K1022" s="1"/>
      </tp>
      <tp t="s">
        <v>FIXED</v>
        <stp/>
        <stp>##V3_BDPV12</stp>
        <stp>9128276Z Govt</stp>
        <stp>CPN_TYP</stp>
        <stp>[TREASURY.xlsx]Sheet1!R1026C11</stp>
        <tr r="K1026" s="1"/>
      </tp>
      <tp t="s">
        <v>FIXED</v>
        <stp/>
        <stp>##V3_BDPV12</stp>
        <stp>9128276T Govt</stp>
        <stp>CPN_TYP</stp>
        <stp>[TREASURY.xlsx]Sheet1!R1025C11</stp>
        <tr r="K1025" s="1"/>
      </tp>
      <tp t="s">
        <v>FIXED</v>
        <stp/>
        <stp>##V3_BDPV12</stp>
        <stp>9128272R Govt</stp>
        <stp>CPN_TYP</stp>
        <stp>[TREASURY.xlsx]Sheet1!R1453C11</stp>
        <tr r="K1453" s="1"/>
      </tp>
      <tp t="s">
        <v>FIXED</v>
        <stp/>
        <stp>##V3_BDPV12</stp>
        <stp>9128273P Govt</stp>
        <stp>CPN_TYP</stp>
        <stp>[TREASURY.xlsx]Sheet1!R1530C11</stp>
        <tr r="K1530" s="1"/>
      </tp>
      <tp t="s">
        <v>FIXED</v>
        <stp/>
        <stp>##V3_BDPV12</stp>
        <stp>9128273S Govt</stp>
        <stp>CPN_TYP</stp>
        <stp>[TREASURY.xlsx]Sheet1!R1531C11</stp>
        <tr r="K1531" s="1"/>
      </tp>
      <tp t="s">
        <v>FIXED</v>
        <stp/>
        <stp>##V3_BDPV12</stp>
        <stp>9128272U Govt</stp>
        <stp>CPN_TYP</stp>
        <stp>[TREASURY.xlsx]Sheet1!R1454C11</stp>
        <tr r="K1454" s="1"/>
      </tp>
      <tp t="s">
        <v>FIXED</v>
        <stp/>
        <stp>##V3_BDPV12</stp>
        <stp>9128274J Govt</stp>
        <stp>CPN_TYP</stp>
        <stp>[TREASURY.xlsx]Sheet1!R1365C11</stp>
        <tr r="K1365" s="1"/>
      </tp>
      <tp t="s">
        <v>FIXED</v>
        <stp/>
        <stp>##V3_BDPV12</stp>
        <stp>9128274K Govt</stp>
        <stp>CPN_TYP</stp>
        <stp>[TREASURY.xlsx]Sheet1!R1366C11</stp>
        <tr r="K1366" s="1"/>
      </tp>
      <tp t="s">
        <v>FIXED</v>
        <stp/>
        <stp>##V3_BDPV12</stp>
        <stp>9128272K Govt</stp>
        <stp>CPN_TYP</stp>
        <stp>[TREASURY.xlsx]Sheet1!R1518C11</stp>
        <tr r="K1518" s="1"/>
      </tp>
      <tp t="s">
        <v>FIXED</v>
        <stp/>
        <stp>##V3_BDPV12</stp>
        <stp>9128277H Govt</stp>
        <stp>CPN_TYP</stp>
        <stp>[TREASURY.xlsx]Sheet1!R1028C11</stp>
        <tr r="K1028" s="1"/>
      </tp>
      <tp t="s">
        <v>FIXED</v>
        <stp/>
        <stp>##V3_BDPV12</stp>
        <stp>9128272G Govt</stp>
        <stp>CPN_TYP</stp>
        <stp>[TREASURY.xlsx]Sheet1!R1517C11</stp>
        <tr r="K1517" s="1"/>
      </tp>
      <tp t="s">
        <v>FIXED</v>
        <stp/>
        <stp>##V3_BDPV12</stp>
        <stp>9128274B Govt</stp>
        <stp>CPN_TYP</stp>
        <stp>[TREASURY.xlsx]Sheet1!R1362C11</stp>
        <tr r="K1362" s="1"/>
      </tp>
      <tp t="s">
        <v>FIXED</v>
        <stp/>
        <stp>##V3_BDPV12</stp>
        <stp>9128277F Govt</stp>
        <stp>CPN_TYP</stp>
        <stp>[TREASURY.xlsx]Sheet1!R1027C11</stp>
        <tr r="K1027" s="1"/>
      </tp>
      <tp t="s">
        <v>FIXED</v>
        <stp/>
        <stp>##V3_BDPV12</stp>
        <stp>9128274E Govt</stp>
        <stp>CPN_TYP</stp>
        <stp>[TREASURY.xlsx]Sheet1!R1363C11</stp>
        <tr r="K1363" s="1"/>
      </tp>
      <tp t="s">
        <v>FIXED</v>
        <stp/>
        <stp>##V3_BDPV12</stp>
        <stp>9128274G Govt</stp>
        <stp>CPN_TYP</stp>
        <stp>[TREASURY.xlsx]Sheet1!R1364C11</stp>
        <tr r="K1364" s="1"/>
      </tp>
      <tp t="s">
        <v>FIXED</v>
        <stp/>
        <stp>##V3_BDPV12</stp>
        <stp>9128274X Govt</stp>
        <stp>CPN_TYP</stp>
        <stp>[TREASURY.xlsx]Sheet1!R1368C11</stp>
        <tr r="K1368" s="1"/>
      </tp>
      <tp t="s">
        <v>FIXED</v>
        <stp/>
        <stp>##V3_BDPV12</stp>
        <stp>9128272X Govt</stp>
        <stp>CPN_TYP</stp>
        <stp>[TREASURY.xlsx]Sheet1!R1524C11</stp>
        <tr r="K1524" s="1"/>
      </tp>
      <tp t="s">
        <v>FIXED</v>
        <stp/>
        <stp>##V3_BDPV12</stp>
        <stp>9128272Y Govt</stp>
        <stp>CPN_TYP</stp>
        <stp>[TREASURY.xlsx]Sheet1!R1525C11</stp>
        <tr r="K1525" s="1"/>
      </tp>
      <tp t="s">
        <v>FIXED</v>
        <stp/>
        <stp>##V3_BDPV12</stp>
        <stp>9128272T Govt</stp>
        <stp>CPN_TYP</stp>
        <stp>[TREASURY.xlsx]Sheet1!R1521C11</stp>
        <tr r="K1521" s="1"/>
      </tp>
      <tp t="s">
        <v>FIXED</v>
        <stp/>
        <stp>##V3_BDPV12</stp>
        <stp>9128274Q Govt</stp>
        <stp>CPN_TYP</stp>
        <stp>[TREASURY.xlsx]Sheet1!R1367C11</stp>
        <tr r="K1367" s="1"/>
      </tp>
      <tp t="s">
        <v>FIXED</v>
        <stp/>
        <stp>##V3_BDPV12</stp>
        <stp>9128272V Govt</stp>
        <stp>CPN_TYP</stp>
        <stp>[TREASURY.xlsx]Sheet1!R1522C11</stp>
        <tr r="K1522" s="1"/>
      </tp>
      <tp t="s">
        <v>FIXED</v>
        <stp/>
        <stp>##V3_BDPV12</stp>
        <stp>9128272W Govt</stp>
        <stp>CPN_TYP</stp>
        <stp>[TREASURY.xlsx]Sheet1!R1523C11</stp>
        <tr r="K1523" s="1"/>
      </tp>
      <tp t="s">
        <v>FIXED</v>
        <stp/>
        <stp>##V3_BDPV12</stp>
        <stp>9128273W Govt</stp>
        <stp>CPN_TYP</stp>
        <stp>[TREASURY.xlsx]Sheet1!R1456C11</stp>
        <tr r="K1456" s="1"/>
      </tp>
      <tp t="s">
        <v>FIXED</v>
        <stp/>
        <stp>##V3_BDPV12</stp>
        <stp>9128273U Govt</stp>
        <stp>CPN_TYP</stp>
        <stp>[TREASURY.xlsx]Sheet1!R1455C11</stp>
        <tr r="K1455" s="1"/>
      </tp>
      <tp t="s">
        <v>FIXED</v>
        <stp/>
        <stp>##V3_BDPV12</stp>
        <stp>9128272P Govt</stp>
        <stp>CPN_TYP</stp>
        <stp>[TREASURY.xlsx]Sheet1!R1519C11</stp>
        <tr r="K1519" s="1"/>
      </tp>
      <tp t="s">
        <v>FIXED</v>
        <stp/>
        <stp>##V3_BDPV12</stp>
        <stp>9128272S Govt</stp>
        <stp>CPN_TYP</stp>
        <stp>[TREASURY.xlsx]Sheet1!R1520C11</stp>
        <tr r="K1520" s="1"/>
      </tp>
      <tp t="s">
        <v>FIXED</v>
        <stp/>
        <stp>##V3_BDPV12</stp>
        <stp>9128274U Govt</stp>
        <stp>CPN_TYP</stp>
        <stp>[TREASURY.xlsx]Sheet1!R1012C11</stp>
        <tr r="K1012" s="1"/>
      </tp>
      <tp t="s">
        <v>FIXED</v>
        <stp/>
        <stp>##V3_BDPV12</stp>
        <stp>9128275M Govt</stp>
        <stp>CPN_TYP</stp>
        <stp>[TREASURY.xlsx]Sheet1!R1015C11</stp>
        <tr r="K1015" s="1"/>
      </tp>
      <tp t="s">
        <v>FIXED</v>
        <stp/>
        <stp>##V3_BDPV12</stp>
        <stp>9128275J Govt</stp>
        <stp>CPN_TYP</stp>
        <stp>[TREASURY.xlsx]Sheet1!R1014C11</stp>
        <tr r="K1014" s="1"/>
      </tp>
      <tp t="s">
        <v>FIXED</v>
        <stp/>
        <stp>##V3_BDPV12</stp>
        <stp>9128275D Govt</stp>
        <stp>CPN_TYP</stp>
        <stp>[TREASURY.xlsx]Sheet1!R1013C11</stp>
        <tr r="K1013" s="1"/>
      </tp>
      <tp t="s">
        <v>FIXED</v>
        <stp/>
        <stp>##V3_BDPV12</stp>
        <stp>9128275S Govt</stp>
        <stp>CPN_TYP</stp>
        <stp>[TREASURY.xlsx]Sheet1!R1019C11</stp>
        <tr r="K1019" s="1"/>
      </tp>
      <tp t="s">
        <v>FIXED</v>
        <stp/>
        <stp>##V3_BDPV12</stp>
        <stp>9128275R Govt</stp>
        <stp>CPN_TYP</stp>
        <stp>[TREASURY.xlsx]Sheet1!R1018C11</stp>
        <tr r="K1018" s="1"/>
      </tp>
      <tp t="s">
        <v>FIXED</v>
        <stp/>
        <stp>##V3_BDPV12</stp>
        <stp>9128275Q Govt</stp>
        <stp>CPN_TYP</stp>
        <stp>[TREASURY.xlsx]Sheet1!R1017C11</stp>
        <tr r="K1017" s="1"/>
      </tp>
      <tp t="s">
        <v>FIXED</v>
        <stp/>
        <stp>##V3_BDPV12</stp>
        <stp>9128275P Govt</stp>
        <stp>CPN_TYP</stp>
        <stp>[TREASURY.xlsx]Sheet1!R1016C11</stp>
        <tr r="K1016" s="1"/>
      </tp>
      <tp t="s">
        <v>UNITED STATES</v>
        <stp/>
        <stp>##V3_BDPV12</stp>
        <stp>912810DF Govt</stp>
        <stp>COUNTRY_FULL_NAME</stp>
        <stp>[TREASURY.xlsx]Sheet1!R1312C8</stp>
        <tr r="H1312" s="1"/>
      </tp>
      <tp t="s">
        <v>S/A</v>
        <stp/>
        <stp>##V3_BDPV12</stp>
        <stp>912827KL Govt</stp>
        <stp>COUPON_FREQUENCY_DESCRIPTION</stp>
        <stp>[TREASURY.xlsx]Sheet1!R1377C10</stp>
        <tr r="J1377" s="1"/>
      </tp>
      <tp t="s">
        <v>USD</v>
        <stp/>
        <stp>##V3_BDPV12</stp>
        <stp>9128283H Govt</stp>
        <stp>CRNCY</stp>
        <stp>[TREASURY.xlsx]Sheet1!R784C7</stp>
        <tr r="G784" s="1"/>
      </tp>
      <tp t="s">
        <v>8/15/2031</v>
        <stp/>
        <stp>##V3_BDPV12</stp>
        <stp>91282CCS Govt</stp>
        <stp>MATURITY</stp>
        <stp>[TREASURY.xlsx]Sheet1!R2C5</stp>
        <tr r="E2" s="1"/>
      </tp>
      <tp t="s">
        <v>S/A</v>
        <stp/>
        <stp>##V3_BDPV12</stp>
        <stp>912828KN Govt</stp>
        <stp>COUPON_FREQUENCY_DESCRIPTION</stp>
        <stp>[TREASURY.xlsx]Sheet1!R1250C10</stp>
        <tr r="J1250" s="1"/>
      </tp>
      <tp t="s">
        <v>USD</v>
        <stp/>
        <stp>##V3_BDPV12</stp>
        <stp>9128282P Govt</stp>
        <stp>CRNCY</stp>
        <stp>[TREASURY.xlsx]Sheet1!R214C7</stp>
        <tr r="G214" s="1"/>
      </tp>
      <tp t="s">
        <v>USD</v>
        <stp/>
        <stp>##V3_BDPV12</stp>
        <stp>9128282X Govt</stp>
        <stp>CRNCY</stp>
        <stp>[TREASURY.xlsx]Sheet1!R554C7</stp>
        <tr r="G554" s="1"/>
      </tp>
      <tp t="s">
        <v>S/A</v>
        <stp/>
        <stp>##V3_BDPV12</stp>
        <stp>912828KK Govt</stp>
        <stp>COUPON_FREQUENCY_DESCRIPTION</stp>
        <stp>[TREASURY.xlsx]Sheet1!R1124C10</stp>
        <tr r="J1124" s="1"/>
      </tp>
      <tp t="s">
        <v>UNITED STATES</v>
        <stp/>
        <stp>##V3_BDPV12</stp>
        <stp>912828EB Govt</stp>
        <stp>COUNTRY_FULL_NAME</stp>
        <stp>[TREASURY.xlsx]Sheet1!R1113C8</stp>
        <tr r="H1113" s="1"/>
      </tp>
      <tp t="s">
        <v>USD</v>
        <stp/>
        <stp>##V3_BDPV12</stp>
        <stp>9128284T Govt</stp>
        <stp>CRNCY</stp>
        <stp>[TREASURY.xlsx]Sheet1!R344C7</stp>
        <tr r="G344" s="1"/>
      </tp>
      <tp t="s">
        <v>USD</v>
        <stp/>
        <stp>##V3_BDPV12</stp>
        <stp>9128284S Govt</stp>
        <stp>CRNCY</stp>
        <stp>[TREASURY.xlsx]Sheet1!R294C7</stp>
        <tr r="G294" s="1"/>
      </tp>
      <tp t="s">
        <v>USD</v>
        <stp/>
        <stp>##V3_BDPV12</stp>
        <stp>9128286X Govt</stp>
        <stp>CRNCY</stp>
        <stp>[TREASURY.xlsx]Sheet1!R264C7</stp>
        <tr r="G264" s="1"/>
      </tp>
      <tp t="s">
        <v>S/A</v>
        <stp/>
        <stp>##V3_BDPV12</stp>
        <stp>912828KH Govt</stp>
        <stp>COUPON_FREQUENCY_DESCRIPTION</stp>
        <stp>[TREASURY.xlsx]Sheet1!R1123C10</stp>
        <tr r="J1123" s="1"/>
      </tp>
      <tp t="s">
        <v>T 7 7/8 01/15/98</v>
        <stp/>
        <stp>##V3_BDPV12</stp>
        <stp>912827ZT Govt</stp>
        <stp>SECURITY_NAME</stp>
        <stp>[TREASURY.xlsx]Sheet1!R1612C16</stp>
        <tr r="P1612" s="1"/>
      </tp>
      <tp t="s">
        <v>T 6 3/8 05/15/00</v>
        <stp/>
        <stp>##V3_BDPV12</stp>
        <stp>9128272T Govt</stp>
        <stp>SECURITY_NAME</stp>
        <stp>[TREASURY.xlsx]Sheet1!R1521C16</stp>
        <tr r="P1521" s="1"/>
      </tp>
      <tp t="s">
        <v>T 9 7/8 11/15/15</v>
        <stp/>
        <stp>##V3_BDPV12</stp>
        <stp>912810DT Govt</stp>
        <stp>SECURITY_NAME</stp>
        <stp>[TREASURY.xlsx]Sheet1!R1622C16</stp>
        <tr r="P1622" s="1"/>
      </tp>
      <tp t="s">
        <v>T 11 5/8 01/15/92</v>
        <stp/>
        <stp>##V3_BDPV12</stp>
        <stp>912827RT Govt</stp>
        <stp>SECURITY_NAME</stp>
        <stp>[TREASURY.xlsx]Sheet1!R1581C16</stp>
        <tr r="P1581" s="1"/>
      </tp>
      <tp t="s">
        <v>T 8 5/8 10/15/95</v>
        <stp/>
        <stp>##V3_BDPV12</stp>
        <stp>912827WT Govt</stp>
        <stp>SECURITY_NAME</stp>
        <stp>[TREASURY.xlsx]Sheet1!R1421C16</stp>
        <tr r="P1421" s="1"/>
      </tp>
      <tp t="s">
        <v>S/A</v>
        <stp/>
        <stp>##V3_BDPV12</stp>
        <stp>912828KG Govt</stp>
        <stp>COUPON_FREQUENCY_DESCRIPTION</stp>
        <stp>[TREASURY.xlsx]Sheet1!R1288C10</stp>
        <tr r="J1288" s="1"/>
      </tp>
      <tp t="s">
        <v>UNITED STATES</v>
        <stp/>
        <stp>##V3_BDPV12</stp>
        <stp>912810CM Govt</stp>
        <stp>COUNTRY_FULL_NAME</stp>
        <stp>[TREASURY.xlsx]Sheet1!R1515C8</stp>
        <tr r="H1515" s="1"/>
      </tp>
      <tp t="s">
        <v>T 9 5/8 08/15/85</v>
        <stp/>
        <stp>##V3_BDPV12</stp>
        <stp>912827KT Govt</stp>
        <stp>SECURITY_NAME</stp>
        <stp>[TREASURY.xlsx]Sheet1!R1318C16</stp>
        <tr r="P1318" s="1"/>
      </tp>
      <tp t="s">
        <v>T 13 1/4 04/15/88</v>
        <stp/>
        <stp>##V3_BDPV12</stp>
        <stp>912827LT Govt</stp>
        <stp>SECURITY_NAME</stp>
        <stp>[TREASURY.xlsx]Sheet1!R1379C16</stp>
        <tr r="P1379" s="1"/>
      </tp>
      <tp t="s">
        <v>T 10 5/8 07/31/85</v>
        <stp/>
        <stp>##V3_BDPV12</stp>
        <stp>912827PT Govt</stp>
        <stp>SECURITY_NAME</stp>
        <stp>[TREASURY.xlsx]Sheet1!R1342C16</stp>
        <tr r="P1342" s="1"/>
      </tp>
      <tp t="s">
        <v>T 9 3/4 10/31/84</v>
        <stp/>
        <stp>##V3_BDPV12</stp>
        <stp>912827NT Govt</stp>
        <stp>SECURITY_NAME</stp>
        <stp>[TREASURY.xlsx]Sheet1!R1384C16</stp>
        <tr r="P1384" s="1"/>
      </tp>
      <tp t="s">
        <v>T 2 5/8 01/31/18</v>
        <stp/>
        <stp>##V3_BDPV12</stp>
        <stp>912828PT Govt</stp>
        <stp>SECURITY_NAME</stp>
        <stp>[TREASURY.xlsx]Sheet1!R1300C16</stp>
        <tr r="P1300" s="1"/>
      </tp>
      <tp t="s">
        <v>T 1 3/8 03/15/13</v>
        <stp/>
        <stp>##V3_BDPV12</stp>
        <stp>912828MT Govt</stp>
        <stp>SECURITY_NAME</stp>
        <stp>[TREASURY.xlsx]Sheet1!R1254C16</stp>
        <tr r="P1254" s="1"/>
      </tp>
      <tp t="s">
        <v>T 3 3/4 05/15/08</v>
        <stp/>
        <stp>##V3_BDPV12</stp>
        <stp>912828DT Govt</stp>
        <stp>SECURITY_NAME</stp>
        <stp>[TREASURY.xlsx]Sheet1!R1272C16</stp>
        <tr r="P1272" s="1"/>
      </tp>
      <tp t="s">
        <v>T 8 1/2 04/15/97</v>
        <stp/>
        <stp>##V3_BDPV12</stp>
        <stp>912827YT Govt</stp>
        <stp>SECURITY_NAME</stp>
        <stp>[TREASURY.xlsx]Sheet1!R1101C16</stp>
        <tr r="P1101" s="1"/>
      </tp>
      <tp t="s">
        <v>T 7 06/30/88</v>
        <stp/>
        <stp>##V3_BDPV12</stp>
        <stp>912827TT Govt</stp>
        <stp>SECURITY_NAME</stp>
        <stp>[TREASURY.xlsx]Sheet1!R1195C16</stp>
        <tr r="P1195" s="1"/>
      </tp>
      <tp t="s">
        <v>T 0 1/4 10/15/15</v>
        <stp/>
        <stp>##V3_BDPV12</stp>
        <stp>912828TT Govt</stp>
        <stp>SECURITY_NAME</stp>
        <stp>[TREASURY.xlsx]Sheet1!R1134C16</stp>
        <tr r="P1134" s="1"/>
      </tp>
      <tp t="s">
        <v>UNITED STATES</v>
        <stp/>
        <stp>##V3_BDPV12</stp>
        <stp>912828AH Govt</stp>
        <stp>COUNTRY_FULL_NAME</stp>
        <stp>[TREASURY.xlsx]Sheet1!R1107C8</stp>
        <tr r="H1107" s="1"/>
      </tp>
      <tp t="s">
        <v>T 5 02/15/11</v>
        <stp/>
        <stp>##V3_BDPV12</stp>
        <stp>9128276T Govt</stp>
        <stp>SECURITY_NAME</stp>
        <stp>[TREASURY.xlsx]Sheet1!R1025C16</stp>
        <tr r="P1025" s="1"/>
      </tp>
      <tp t="s">
        <v>T 8 7/8 10/31/87</v>
        <stp/>
        <stp>##V3_BDPV12</stp>
        <stp>912827ST Govt</stp>
        <stp>SECURITY_NAME</stp>
        <stp>[TREASURY.xlsx]Sheet1!R1067C16</stp>
        <tr r="P1067" s="1"/>
      </tp>
      <tp t="s">
        <v>T 12 1/2 05/15/87</v>
        <stp/>
        <stp>##V3_BDPV12</stp>
        <stp>912827QT Govt</stp>
        <stp>SECURITY_NAME</stp>
        <stp>[TREASURY.xlsx]Sheet1!R1059C16</stp>
        <tr r="P1059" s="1"/>
      </tp>
      <tp t="s">
        <v>T 0 7/8 07/15/17</v>
        <stp/>
        <stp>##V3_BDPV12</stp>
        <stp>912828WT Govt</stp>
        <stp>SECURITY_NAME</stp>
        <stp>[TREASURY.xlsx]Sheet1!R1007C16</stp>
        <tr r="P1007" s="1"/>
      </tp>
      <tp t="s">
        <v>S/A</v>
        <stp/>
        <stp>##V3_BDPV12</stp>
        <stp>912828KC Govt</stp>
        <stp>COUPON_FREQUENCY_DESCRIPTION</stp>
        <stp>[TREASURY.xlsx]Sheet1!R1249C10</stp>
        <tr r="J1249" s="1"/>
      </tp>
      <tp t="s">
        <v>UNITED STATES</v>
        <stp/>
        <stp>##V3_BDPV12</stp>
        <stp>912828DT Govt</stp>
        <stp>COUNTRY_FULL_NAME</stp>
        <stp>[TREASURY.xlsx]Sheet1!R1272C8</stp>
        <tr r="H1272" s="1"/>
      </tp>
      <tp t="s">
        <v>UNITED STATES</v>
        <stp/>
        <stp>##V3_BDPV12</stp>
        <stp>912810DT Govt</stp>
        <stp>COUNTRY_FULL_NAME</stp>
        <stp>[TREASURY.xlsx]Sheet1!R1622C8</stp>
        <tr r="H1622" s="1"/>
      </tp>
      <tp t="s">
        <v>UNITED STATES</v>
        <stp/>
        <stp>##V3_BDPV12</stp>
        <stp>912810CU Govt</stp>
        <stp>COUNTRY_FULL_NAME</stp>
        <stp>[TREASURY.xlsx]Sheet1!R1345C8</stp>
        <tr r="H1345" s="1"/>
      </tp>
      <tp t="s">
        <v>S/A</v>
        <stp/>
        <stp>##V3_BDPV12</stp>
        <stp>912827KX Govt</stp>
        <stp>COUPON_FREQUENCY_DESCRIPTION</stp>
        <stp>[TREASURY.xlsx]Sheet1!R1162C10</stp>
        <tr r="J1162" s="1"/>
      </tp>
      <tp t="s">
        <v>S/A</v>
        <stp/>
        <stp>##V3_BDPV12</stp>
        <stp>912828KX Govt</stp>
        <stp>COUPON_FREQUENCY_DESCRIPTION</stp>
        <stp>[TREASURY.xlsx]Sheet1!R1126C10</stp>
        <tr r="J1126" s="1"/>
      </tp>
      <tp t="s">
        <v>UNITED STATES</v>
        <stp/>
        <stp>##V3_BDPV12</stp>
        <stp>912828DQ Govt</stp>
        <stp>COUNTRY_FULL_NAME</stp>
        <stp>[TREASURY.xlsx]Sheet1!R1112C8</stp>
        <tr r="H1112" s="1"/>
      </tp>
      <tp t="s">
        <v>S/A</v>
        <stp/>
        <stp>##V3_BDPV12</stp>
        <stp>912827KT Govt</stp>
        <stp>COUPON_FREQUENCY_DESCRIPTION</stp>
        <stp>[TREASURY.xlsx]Sheet1!R1318C10</stp>
        <tr r="J1318" s="1"/>
      </tp>
      <tp t="s">
        <v>UNITED STATES</v>
        <stp/>
        <stp>##V3_BDPV12</stp>
        <stp>912828GZ Govt</stp>
        <stp>COUNTRY_FULL_NAME</stp>
        <stp>[TREASURY.xlsx]Sheet1!R1121C8</stp>
        <tr r="H1121" s="1"/>
      </tp>
      <tp t="s">
        <v>UNITED STATES</v>
        <stp/>
        <stp>##V3_BDPV12</stp>
        <stp>912810BZ Govt</stp>
        <stp>COUNTRY_FULL_NAME</stp>
        <stp>[TREASURY.xlsx]Sheet1!R1514C8</stp>
        <tr r="H1514" s="1"/>
      </tp>
      <tp t="s">
        <v>S/A</v>
        <stp/>
        <stp>##V3_BDPV12</stp>
        <stp>912827KR Govt</stp>
        <stp>COUPON_FREQUENCY_DESCRIPTION</stp>
        <stp>[TREASURY.xlsx]Sheet1!R1161C10</stp>
        <tr r="J1161" s="1"/>
      </tp>
      <tp t="s">
        <v>S/A</v>
        <stp/>
        <stp>##V3_BDPV12</stp>
        <stp>912828KP Govt</stp>
        <stp>COUPON_FREQUENCY_DESCRIPTION</stp>
        <stp>[TREASURY.xlsx]Sheet1!R1125C10</stp>
        <tr r="J1125" s="1"/>
      </tp>
      <tp t="s">
        <v>UNITED STATES</v>
        <stp/>
        <stp>##V3_BDPV12</stp>
        <stp>912828NY Govt</stp>
        <stp>COUNTRY_FULL_NAME</stp>
        <stp>[TREASURY.xlsx]Sheet1!R1258C8</stp>
        <tr r="H1258" s="1"/>
      </tp>
      <tp t="s">
        <v>USD</v>
        <stp/>
        <stp>##V3_BDPV12</stp>
        <stp>912828QN Govt</stp>
        <stp>CRNCY</stp>
        <stp>[TREASURY.xlsx]Sheet1!R334C7</stp>
        <tr r="G334" s="1"/>
      </tp>
      <tp t="s">
        <v>USD</v>
        <stp/>
        <stp>##V3_BDPV12</stp>
        <stp>912828PN Govt</stp>
        <stp>CRNCY</stp>
        <stp>[TREASURY.xlsx]Sheet1!R984C7</stp>
        <tr r="G984" s="1"/>
      </tp>
      <tp t="s">
        <v>USD</v>
        <stp/>
        <stp>##V3_BDPV12</stp>
        <stp>912828PH Govt</stp>
        <stp>CRNCY</stp>
        <stp>[TREASURY.xlsx]Sheet1!R464C7</stp>
        <tr r="G464" s="1"/>
      </tp>
      <tp t="s">
        <v>USD</v>
        <stp/>
        <stp>##V3_BDPV12</stp>
        <stp>912828PY Govt</stp>
        <stp>CRNCY</stp>
        <stp>[TREASURY.xlsx]Sheet1!R594C7</stp>
        <tr r="G594" s="1"/>
      </tp>
      <tp t="s">
        <v>USD</v>
        <stp/>
        <stp>##V3_BDPV12</stp>
        <stp>912828SB Govt</stp>
        <stp>CRNCY</stp>
        <stp>[TREASURY.xlsx]Sheet1!R564C7</stp>
        <tr r="G564" s="1"/>
      </tp>
      <tp t="s">
        <v>USD</v>
        <stp/>
        <stp>##V3_BDPV12</stp>
        <stp>912828SV Govt</stp>
        <stp>CRNCY</stp>
        <stp>[TREASURY.xlsx]Sheet1!R164C7</stp>
        <tr r="G164" s="1"/>
      </tp>
      <tp t="s">
        <v>USD</v>
        <stp/>
        <stp>##V3_BDPV12</stp>
        <stp>912828SU Govt</stp>
        <stp>CRNCY</stp>
        <stp>[TREASURY.xlsx]Sheet1!R404C7</stp>
        <tr r="G404" s="1"/>
      </tp>
      <tp t="s">
        <v>USD</v>
        <stp/>
        <stp>##V3_BDPV12</stp>
        <stp>912828RS Govt</stp>
        <stp>CRNCY</stp>
        <stp>[TREASURY.xlsx]Sheet1!R444C7</stp>
        <tr r="G444" s="1"/>
      </tp>
      <tp t="s">
        <v>USD</v>
        <stp/>
        <stp>##V3_BDPV12</stp>
        <stp>912828RX Govt</stp>
        <stp>CRNCY</stp>
        <stp>[TREASURY.xlsx]Sheet1!R374C7</stp>
        <tr r="G374" s="1"/>
      </tp>
      <tp t="s">
        <v>USD</v>
        <stp/>
        <stp>##V3_BDPV12</stp>
        <stp>912828RQ Govt</stp>
        <stp>CRNCY</stp>
        <stp>[TREASURY.xlsx]Sheet1!R994C7</stp>
        <tr r="G994" s="1"/>
      </tp>
      <tp t="s">
        <v>USD</v>
        <stp/>
        <stp>##V3_BDPV12</stp>
        <stp>912828U7 Govt</stp>
        <stp>CRNCY</stp>
        <stp>[TREASURY.xlsx]Sheet1!R484C7</stp>
        <tr r="G484" s="1"/>
      </tp>
      <tp t="s">
        <v>USD</v>
        <stp/>
        <stp>##V3_BDPV12</stp>
        <stp>912828TG Govt</stp>
        <stp>CRNCY</stp>
        <stp>[TREASURY.xlsx]Sheet1!R654C7</stp>
        <tr r="G654" s="1"/>
      </tp>
      <tp t="s">
        <v>USD</v>
        <stp/>
        <stp>##V3_BDPV12</stp>
        <stp>912828TJ Govt</stp>
        <stp>CRNCY</stp>
        <stp>[TREASURY.xlsx]Sheet1!R194C7</stp>
        <tr r="G194" s="1"/>
      </tp>
      <tp t="s">
        <v>USD</v>
        <stp/>
        <stp>##V3_BDPV12</stp>
        <stp>912828TQ Govt</stp>
        <stp>CRNCY</stp>
        <stp>[TREASURY.xlsx]Sheet1!R874C7</stp>
        <tr r="G874" s="1"/>
      </tp>
      <tp t="s">
        <v>USD</v>
        <stp/>
        <stp>##V3_BDPV12</stp>
        <stp>912828T3 Govt</stp>
        <stp>CRNCY</stp>
        <stp>[TREASURY.xlsx]Sheet1!R124C7</stp>
        <tr r="G124" s="1"/>
      </tp>
      <tp t="s">
        <v>USD</v>
        <stp/>
        <stp>##V3_BDPV12</stp>
        <stp>912828WZ Govt</stp>
        <stp>CRNCY</stp>
        <stp>[TREASURY.xlsx]Sheet1!R244C7</stp>
        <tr r="G244" s="1"/>
      </tp>
      <tp t="s">
        <v>USD</v>
        <stp/>
        <stp>##V3_BDPV12</stp>
        <stp>912828VF Govt</stp>
        <stp>CRNCY</stp>
        <stp>[TREASURY.xlsx]Sheet1!R694C7</stp>
        <tr r="G694" s="1"/>
      </tp>
      <tp t="s">
        <v>USD</v>
        <stp/>
        <stp>##V3_BDPV12</stp>
        <stp>912828VS Govt</stp>
        <stp>CRNCY</stp>
        <stp>[TREASURY.xlsx]Sheet1!R134C7</stp>
        <tr r="G134" s="1"/>
      </tp>
      <tp t="s">
        <v>USD</v>
        <stp/>
        <stp>##V3_BDPV12</stp>
        <stp>912828YU Govt</stp>
        <stp>CRNCY</stp>
        <stp>[TREASURY.xlsx]Sheet1!R174C7</stp>
        <tr r="G174" s="1"/>
      </tp>
      <tp t="s">
        <v>USD</v>
        <stp/>
        <stp>##V3_BDPV12</stp>
        <stp>912828YX Govt</stp>
        <stp>CRNCY</stp>
        <stp>[TREASURY.xlsx]Sheet1!R104C7</stp>
        <tr r="G104" s="1"/>
      </tp>
      <tp t="s">
        <v>USD</v>
        <stp/>
        <stp>##V3_BDPV12</stp>
        <stp>912828X4 Govt</stp>
        <stp>CRNCY</stp>
        <stp>[TREASURY.xlsx]Sheet1!R224C7</stp>
        <tr r="G224" s="1"/>
      </tp>
      <tp t="s">
        <v>USD</v>
        <stp/>
        <stp>##V3_BDPV12</stp>
        <stp>912828X2 Govt</stp>
        <stp>CRNCY</stp>
        <stp>[TREASURY.xlsx]Sheet1!R624C7</stp>
        <tr r="G624" s="1"/>
      </tp>
      <tp t="s">
        <v>USD</v>
        <stp/>
        <stp>##V3_BDPV12</stp>
        <stp>912828ZY Govt</stp>
        <stp>CRNCY</stp>
        <stp>[TREASURY.xlsx]Sheet1!R184C7</stp>
        <tr r="G184" s="1"/>
      </tp>
      <tp t="s">
        <v>USD</v>
        <stp/>
        <stp>##V3_BDPV12</stp>
        <stp>912828Z6 Govt</stp>
        <stp>CRNCY</stp>
        <stp>[TREASURY.xlsx]Sheet1!R234C7</stp>
        <tr r="G234" s="1"/>
      </tp>
      <tp t="s">
        <v>USD</v>
        <stp/>
        <stp>##V3_BDPV12</stp>
        <stp>912828AU Govt</stp>
        <stp>CRNCY</stp>
        <stp>[TREASURY.xlsx]Sheet1!R474C7</stp>
        <tr r="G474" s="1"/>
      </tp>
      <tp t="s">
        <v>USD</v>
        <stp/>
        <stp>##V3_BDPV12</stp>
        <stp>912828A8 Govt</stp>
        <stp>CRNCY</stp>
        <stp>[TREASURY.xlsx]Sheet1!R434C7</stp>
        <tr r="G434" s="1"/>
      </tp>
      <tp t="s">
        <v>UNITED STATES</v>
        <stp/>
        <stp>##V3_BDPV12</stp>
        <stp>912827C7 Govt</stp>
        <stp>COUNTRY_FULL_NAME</stp>
        <stp>[TREASURY.xlsx]Sheet1!R1555C8</stp>
        <tr r="H1555" s="1"/>
      </tp>
      <tp t="s">
        <v>USD</v>
        <stp/>
        <stp>##V3_BDPV12</stp>
        <stp>912828CD Govt</stp>
        <stp>CRNCY</stp>
        <stp>[TREASURY.xlsx]Sheet1!R384C7</stp>
        <tr r="G384" s="1"/>
      </tp>
      <tp t="s">
        <v>USD</v>
        <stp/>
        <stp>##V3_BDPV12</stp>
        <stp>912828CT Govt</stp>
        <stp>CRNCY</stp>
        <stp>[TREASURY.xlsx]Sheet1!R514C7</stp>
        <tr r="G514" s="1"/>
      </tp>
      <tp t="s">
        <v>UNITED STATES</v>
        <stp/>
        <stp>##V3_BDPV12</stp>
        <stp>912827N4 Govt</stp>
        <stp>COUNTRY_FULL_NAME</stp>
        <stp>[TREASURY.xlsx]Sheet1!R1048C8</stp>
        <tr r="H1048" s="1"/>
      </tp>
      <tp t="s">
        <v>UNITED STATES</v>
        <stp/>
        <stp>##V3_BDPV12</stp>
        <stp>912827E4 Govt</stp>
        <stp>COUNTRY_FULL_NAME</stp>
        <stp>[TREASURY.xlsx]Sheet1!R1313C8</stp>
        <tr r="H1313" s="1"/>
      </tp>
      <tp t="s">
        <v>UNITED STATES</v>
        <stp/>
        <stp>##V3_BDPV12</stp>
        <stp>912828G4 Govt</stp>
        <stp>COUNTRY_FULL_NAME</stp>
        <stp>[TREASURY.xlsx]Sheet1!R1281C8</stp>
        <tr r="H1281" s="1"/>
      </tp>
      <tp t="s">
        <v>UNITED STATES</v>
        <stp/>
        <stp>##V3_BDPV12</stp>
        <stp>912827A4 Govt</stp>
        <stp>COUNTRY_FULL_NAME</stp>
        <stp>[TREASURY.xlsx]Sheet1!R1547C8</stp>
        <tr r="H1547" s="1"/>
      </tp>
      <tp t="s">
        <v>UNITED STATES</v>
        <stp/>
        <stp>##V3_BDPV12</stp>
        <stp>912828F5 Govt</stp>
        <stp>COUNTRY_FULL_NAME</stp>
        <stp>[TREASURY.xlsx]Sheet1!R1240C8</stp>
        <tr r="H1240" s="1"/>
      </tp>
      <tp t="s">
        <v>UNITED STATES</v>
        <stp/>
        <stp>##V3_BDPV12</stp>
        <stp>912827F5 Govt</stp>
        <stp>COUNTRY_FULL_NAME</stp>
        <stp>[TREASURY.xlsx]Sheet1!R1560C8</stp>
        <tr r="H1560" s="1"/>
      </tp>
      <tp t="s">
        <v>USD</v>
        <stp/>
        <stp>##V3_BDPV12</stp>
        <stp>912828EC Govt</stp>
        <stp>CRNCY</stp>
        <stp>[TREASURY.xlsx]Sheet1!R794C7</stp>
        <tr r="G794" s="1"/>
      </tp>
      <tp t="s">
        <v>USD</v>
        <stp/>
        <stp>##V3_BDPV12</stp>
        <stp>912828ED Govt</stp>
        <stp>CRNCY</stp>
        <stp>[TREASURY.xlsx]Sheet1!R964C7</stp>
        <tr r="G964" s="1"/>
      </tp>
      <tp t="s">
        <v>USD</v>
        <stp/>
        <stp>##V3_BDPV12</stp>
        <stp>912828EQ Govt</stp>
        <stp>CRNCY</stp>
        <stp>[TREASURY.xlsx]Sheet1!R524C7</stp>
        <tr r="G524" s="1"/>
      </tp>
      <tp t="s">
        <v>USD</v>
        <stp/>
        <stp>##V3_BDPV12</stp>
        <stp>912828ER Govt</stp>
        <stp>CRNCY</stp>
        <stp>[TREASURY.xlsx]Sheet1!R604C7</stp>
        <tr r="G604" s="1"/>
      </tp>
      <tp t="s">
        <v>UNITED STATES</v>
        <stp/>
        <stp>##V3_BDPV12</stp>
        <stp>912827E2 Govt</stp>
        <stp>COUNTRY_FULL_NAME</stp>
        <stp>[TREASURY.xlsx]Sheet1!R1153C8</stp>
        <tr r="H1153" s="1"/>
      </tp>
      <tp t="s">
        <v>USD</v>
        <stp/>
        <stp>##V3_BDPV12</stp>
        <stp>912828GR Govt</stp>
        <stp>CRNCY</stp>
        <stp>[TREASURY.xlsx]Sheet1!R504C7</stp>
        <tr r="G504" s="1"/>
      </tp>
      <tp t="s">
        <v>USD</v>
        <stp/>
        <stp>##V3_BDPV12</stp>
        <stp>912828GT Govt</stp>
        <stp>CRNCY</stp>
        <stp>[TREASURY.xlsx]Sheet1!R804C7</stp>
        <tr r="G804" s="1"/>
      </tp>
      <tp t="s">
        <v>S/A</v>
        <stp/>
        <stp>##V3_BDPV12</stp>
        <stp>912827K9 Govt</stp>
        <stp>COUPON_FREQUENCY_DESCRIPTION</stp>
        <stp>[TREASURY.xlsx]Sheet1!R1160C10</stp>
        <tr r="J1160" s="1"/>
      </tp>
      <tp t="s">
        <v>USD</v>
        <stp/>
        <stp>##V3_BDPV12</stp>
        <stp>912828FK Govt</stp>
        <stp>CRNCY</stp>
        <stp>[TREASURY.xlsx]Sheet1!R844C7</stp>
        <tr r="G844" s="1"/>
      </tp>
      <tp t="s">
        <v>USD</v>
        <stp/>
        <stp>##V3_BDPV12</stp>
        <stp>912828FQ Govt</stp>
        <stp>CRNCY</stp>
        <stp>[TREASURY.xlsx]Sheet1!R534C7</stp>
        <tr r="G534" s="1"/>
      </tp>
      <tp t="s">
        <v>USD</v>
        <stp/>
        <stp>##V3_BDPV12</stp>
        <stp>912828FU Govt</stp>
        <stp>CRNCY</stp>
        <stp>[TREASURY.xlsx]Sheet1!R614C7</stp>
        <tr r="G614" s="1"/>
      </tp>
      <tp t="s">
        <v>USD</v>
        <stp/>
        <stp>##V3_BDPV12</stp>
        <stp>912828FY Govt</stp>
        <stp>CRNCY</stp>
        <stp>[TREASURY.xlsx]Sheet1!R394C7</stp>
        <tr r="G394" s="1"/>
      </tp>
      <tp t="s">
        <v>T</v>
        <stp/>
        <stp>##V3_BDPV12</stp>
        <stp>91282CBA Govt</stp>
        <stp>TICKER</stp>
        <stp>[TREASURY.xlsx]Sheet1!R78C2</stp>
        <tr r="B78" s="1"/>
      </tp>
      <tp t="s">
        <v>S/A</v>
        <stp/>
        <stp>##V3_BDPV12</stp>
        <stp>912827K2 Govt</stp>
        <stp>COUPON_FREQUENCY_DESCRIPTION</stp>
        <stp>[TREASURY.xlsx]Sheet1!R1489C10</stp>
        <tr r="J1489" s="1"/>
      </tp>
      <tp t="s">
        <v>USD</v>
        <stp/>
        <stp>##V3_BDPV12</stp>
        <stp>912828HL Govt</stp>
        <stp>CRNCY</stp>
        <stp>[TREASURY.xlsx]Sheet1!R424C7</stp>
        <tr r="G424" s="1"/>
      </tp>
      <tp t="s">
        <v>T</v>
        <stp/>
        <stp>##V3_BDPV12</stp>
        <stp>91282CCD Govt</stp>
        <stp>TICKER</stp>
        <stp>[TREASURY.xlsx]Sheet1!R58C2</stp>
        <tr r="B58" s="1"/>
      </tp>
      <tp t="s">
        <v>T</v>
        <stp/>
        <stp>##V3_BDPV12</stp>
        <stp>91282CCC Govt</stp>
        <stp>TICKER</stp>
        <stp>[TREASURY.xlsx]Sheet1!R88C2</stp>
        <tr r="B88" s="1"/>
      </tp>
      <tp t="s">
        <v>USD</v>
        <stp/>
        <stp>##V3_BDPV12</stp>
        <stp>912828KD Govt</stp>
        <stp>CRNCY</stp>
        <stp>[TREASURY.xlsx]Sheet1!R364C7</stp>
        <tr r="G364" s="1"/>
      </tp>
      <tp t="s">
        <v>USD</v>
        <stp/>
        <stp>##V3_BDPV12</stp>
        <stp>912828KZ Govt</stp>
        <stp>CRNCY</stp>
        <stp>[TREASURY.xlsx]Sheet1!R974C7</stp>
        <tr r="G974" s="1"/>
      </tp>
      <tp t="s">
        <v>USD</v>
        <stp/>
        <stp>##V3_BDPV12</stp>
        <stp>912828KY Govt</stp>
        <stp>CRNCY</stp>
        <stp>[TREASURY.xlsx]Sheet1!R644C7</stp>
        <tr r="G644" s="1"/>
      </tp>
      <tp t="s">
        <v>S/A</v>
        <stp/>
        <stp>##V3_BDPV12</stp>
        <stp>912827K5 Govt</stp>
        <stp>COUPON_FREQUENCY_DESCRIPTION</stp>
        <stp>[TREASURY.xlsx]Sheet1!R1159C10</stp>
        <tr r="J1159" s="1"/>
      </tp>
      <tp t="s">
        <v>S/A</v>
        <stp/>
        <stp>##V3_BDPV12</stp>
        <stp>912828K6 Govt</stp>
        <stp>COUPON_FREQUENCY_DESCRIPTION</stp>
        <stp>[TREASURY.xlsx]Sheet1!R1248C10</stp>
        <tr r="J1248" s="1"/>
      </tp>
      <tp t="s">
        <v>USD</v>
        <stp/>
        <stp>##V3_BDPV12</stp>
        <stp>912828JK Govt</stp>
        <stp>CRNCY</stp>
        <stp>[TREASURY.xlsx]Sheet1!R854C7</stp>
        <tr r="G854" s="1"/>
      </tp>
      <tp t="s">
        <v>T</v>
        <stp/>
        <stp>##V3_BDPV12</stp>
        <stp>91282CAE Govt</stp>
        <stp>TICKER</stp>
        <stp>[TREASURY.xlsx]Sheet1!R18C2</stp>
        <tr r="B18" s="1"/>
      </tp>
      <tp t="s">
        <v>USD</v>
        <stp/>
        <stp>##V3_BDPV12</stp>
        <stp>912828J7 Govt</stp>
        <stp>CRNCY</stp>
        <stp>[TREASURY.xlsx]Sheet1!R204C7</stp>
        <tr r="G204" s="1"/>
      </tp>
      <tp t="s">
        <v>USD</v>
        <stp/>
        <stp>##V3_BDPV12</stp>
        <stp>912828ME Govt</stp>
        <stp>CRNCY</stp>
        <stp>[TREASURY.xlsx]Sheet1!R574C7</stp>
        <tr r="G574" s="1"/>
      </tp>
      <tp t="s">
        <v>USD</v>
        <stp/>
        <stp>##V3_BDPV12</stp>
        <stp>912828MU Govt</stp>
        <stp>CRNCY</stp>
        <stp>[TREASURY.xlsx]Sheet1!R494C7</stp>
        <tr r="G494" s="1"/>
      </tp>
      <tp t="s">
        <v>USD</v>
        <stp/>
        <stp>##V3_BDPV12</stp>
        <stp>912828MV Govt</stp>
        <stp>CRNCY</stp>
        <stp>[TREASURY.xlsx]Sheet1!R824C7</stp>
        <tr r="G824" s="1"/>
      </tp>
      <tp t="s">
        <v>S/A</v>
        <stp/>
        <stp>##V3_BDPV12</stp>
        <stp>912827K6 Govt</stp>
        <stp>COUPON_FREQUENCY_DESCRIPTION</stp>
        <stp>[TREASURY.xlsx]Sheet1!R1490C10</stp>
        <tr r="J1490" s="1"/>
      </tp>
      <tp t="s">
        <v>S/A</v>
        <stp/>
        <stp>##V3_BDPV12</stp>
        <stp>912827K7 Govt</stp>
        <stp>COUPON_FREQUENCY_DESCRIPTION</stp>
        <stp>[TREASURY.xlsx]Sheet1!R1563C10</stp>
        <tr r="J1563" s="1"/>
      </tp>
      <tp t="s">
        <v>USD</v>
        <stp/>
        <stp>##V3_BDPV12</stp>
        <stp>912828M4 Govt</stp>
        <stp>CRNCY</stp>
        <stp>[TREASURY.xlsx]Sheet1!R254C7</stp>
        <tr r="G254" s="1"/>
      </tp>
      <tp t="s">
        <v>USD</v>
        <stp/>
        <stp>##V3_BDPV12</stp>
        <stp>912828LF Govt</stp>
        <stp>CRNCY</stp>
        <stp>[TREASURY.xlsx]Sheet1!R584C7</stp>
        <tr r="G584" s="1"/>
      </tp>
      <tp t="s">
        <v>USD</v>
        <stp/>
        <stp>##V3_BDPV12</stp>
        <stp>912828LD Govt</stp>
        <stp>CRNCY</stp>
        <stp>[TREASURY.xlsx]Sheet1!R814C7</stp>
        <tr r="G814" s="1"/>
      </tp>
      <tp t="s">
        <v>S/A</v>
        <stp/>
        <stp>##V3_BDPV12</stp>
        <stp>912827K3 Govt</stp>
        <stp>COUPON_FREQUENCY_DESCRIPTION</stp>
        <stp>[TREASURY.xlsx]Sheet1!R1039C10</stp>
        <tr r="J1039" s="1"/>
      </tp>
      <tp t="s">
        <v>S/A</v>
        <stp/>
        <stp>##V3_BDPV12</stp>
        <stp>912828K2 Govt</stp>
        <stp>COUPON_FREQUENCY_DESCRIPTION</stp>
        <stp>[TREASURY.xlsx]Sheet1!R1287C10</stp>
        <tr r="J1287" s="1"/>
      </tp>
      <tp t="s">
        <v>USD</v>
        <stp/>
        <stp>##V3_BDPV12</stp>
        <stp>912828NN Govt</stp>
        <stp>CRNCY</stp>
        <stp>[TREASURY.xlsx]Sheet1!R864C7</stp>
        <tr r="G864" s="1"/>
      </tp>
      <tp t="s">
        <v>FIXED</v>
        <stp/>
        <stp>##V3_BDPV12</stp>
        <stp>912827F5 Govt</stp>
        <stp>CPN_TYP</stp>
        <stp>[TREASURY.xlsx]Sheet1!R1560C11</stp>
        <tr r="K1560" s="1"/>
      </tp>
      <tp t="s">
        <v>FIXED</v>
        <stp/>
        <stp>##V3_BDPV12</stp>
        <stp>912827F4 Govt</stp>
        <stp>CPN_TYP</stp>
        <stp>[TREASURY.xlsx]Sheet1!R1559C11</stp>
        <tr r="K1559" s="1"/>
      </tp>
      <tp t="s">
        <v>FIXED</v>
        <stp/>
        <stp>##V3_BDPV12</stp>
        <stp>912827G9 Govt</stp>
        <stp>CPN_TYP</stp>
        <stp>[TREASURY.xlsx]Sheet1!R1486C11</stp>
        <tr r="K1486" s="1"/>
      </tp>
      <tp t="s">
        <v>FIXED</v>
        <stp/>
        <stp>##V3_BDPV12</stp>
        <stp>912827E8 Govt</stp>
        <stp>CPN_TYP</stp>
        <stp>[TREASURY.xlsx]Sheet1!R1558C11</stp>
        <tr r="K1558" s="1"/>
      </tp>
      <tp t="s">
        <v>FIXED</v>
        <stp/>
        <stp>##V3_BDPV12</stp>
        <stp>912827D5 Govt</stp>
        <stp>CPN_TYP</stp>
        <stp>[TREASURY.xlsx]Sheet1!R1484C11</stp>
        <tr r="K1484" s="1"/>
      </tp>
      <tp t="s">
        <v>FIXED</v>
        <stp/>
        <stp>##V3_BDPV12</stp>
        <stp>912827D3 Govt</stp>
        <stp>CPN_TYP</stp>
        <stp>[TREASURY.xlsx]Sheet1!R1483C11</stp>
        <tr r="K1483" s="1"/>
      </tp>
      <tp t="s">
        <v>FIXED</v>
        <stp/>
        <stp>##V3_BDPV12</stp>
        <stp>912827D8 Govt</stp>
        <stp>CPN_TYP</stp>
        <stp>[TREASURY.xlsx]Sheet1!R1485C11</stp>
        <tr r="K1485" s="1"/>
      </tp>
      <tp t="s">
        <v>FIXED</v>
        <stp/>
        <stp>##V3_BDPV12</stp>
        <stp>912827A8 Govt</stp>
        <stp>CPN_TYP</stp>
        <stp>[TREASURY.xlsx]Sheet1!R1032C11</stp>
        <tr r="K1032" s="1"/>
      </tp>
      <tp t="s">
        <v>FIXED</v>
        <stp/>
        <stp>##V3_BDPV12</stp>
        <stp>912827A7 Govt</stp>
        <stp>CPN_TYP</stp>
        <stp>[TREASURY.xlsx]Sheet1!R1031C11</stp>
        <tr r="K1031" s="1"/>
      </tp>
      <tp t="s">
        <v>FIXED</v>
        <stp/>
        <stp>##V3_BDPV12</stp>
        <stp>912827A2 Govt</stp>
        <stp>CPN_TYP</stp>
        <stp>[TREASURY.xlsx]Sheet1!R1029C11</stp>
        <tr r="K1029" s="1"/>
      </tp>
      <tp t="s">
        <v>FIXED</v>
        <stp/>
        <stp>##V3_BDPV12</stp>
        <stp>912827A3 Govt</stp>
        <stp>CPN_TYP</stp>
        <stp>[TREASURY.xlsx]Sheet1!R1030C11</stp>
        <tr r="K1030" s="1"/>
      </tp>
      <tp t="s">
        <v>FIXED</v>
        <stp/>
        <stp>##V3_BDPV12</stp>
        <stp>912827D4 Govt</stp>
        <stp>CPN_TYP</stp>
        <stp>[TREASURY.xlsx]Sheet1!R1557C11</stp>
        <tr r="K1557" s="1"/>
      </tp>
      <tp t="s">
        <v>FIXED</v>
        <stp/>
        <stp>##V3_BDPV12</stp>
        <stp>912827E9 Govt</stp>
        <stp>CPN_TYP</stp>
        <stp>[TREASURY.xlsx]Sheet1!R1372C11</stp>
        <tr r="K1372" s="1"/>
      </tp>
      <tp t="s">
        <v>FIXED</v>
        <stp/>
        <stp>##V3_BDPV12</stp>
        <stp>912827B8 Govt</stp>
        <stp>CPN_TYP</stp>
        <stp>[TREASURY.xlsx]Sheet1!R1478C11</stp>
        <tr r="K1478" s="1"/>
      </tp>
      <tp t="s">
        <v>FIXED</v>
        <stp/>
        <stp>##V3_BDPV12</stp>
        <stp>912827C9 Govt</stp>
        <stp>CPN_TYP</stp>
        <stp>[TREASURY.xlsx]Sheet1!R1556C11</stp>
        <tr r="K1556" s="1"/>
      </tp>
      <tp t="s">
        <v>FIXED</v>
        <stp/>
        <stp>##V3_BDPV12</stp>
        <stp>912827E4 Govt</stp>
        <stp>CPN_TYP</stp>
        <stp>[TREASURY.xlsx]Sheet1!R1313C11</stp>
        <tr r="K1313" s="1"/>
      </tp>
      <tp t="s">
        <v>FIXED</v>
        <stp/>
        <stp>##V3_BDPV12</stp>
        <stp>912827B2 Govt</stp>
        <stp>CPN_TYP</stp>
        <stp>[TREASURY.xlsx]Sheet1!R1475C11</stp>
        <tr r="K1475" s="1"/>
      </tp>
      <tp t="s">
        <v>FIXED</v>
        <stp/>
        <stp>##V3_BDPV12</stp>
        <stp>912827B5 Govt</stp>
        <stp>CPN_TYP</stp>
        <stp>[TREASURY.xlsx]Sheet1!R1477C11</stp>
        <tr r="K1477" s="1"/>
      </tp>
      <tp t="s">
        <v>FIXED</v>
        <stp/>
        <stp>##V3_BDPV12</stp>
        <stp>912827C7 Govt</stp>
        <stp>CPN_TYP</stp>
        <stp>[TREASURY.xlsx]Sheet1!R1555C11</stp>
        <tr r="K1555" s="1"/>
      </tp>
      <tp t="s">
        <v>FIXED</v>
        <stp/>
        <stp>##V3_BDPV12</stp>
        <stp>912827B4 Govt</stp>
        <stp>CPN_TYP</stp>
        <stp>[TREASURY.xlsx]Sheet1!R1476C11</stp>
        <tr r="K1476" s="1"/>
      </tp>
      <tp t="s">
        <v>FIXED</v>
        <stp/>
        <stp>##V3_BDPV12</stp>
        <stp>912827C6 Govt</stp>
        <stp>CPN_TYP</stp>
        <stp>[TREASURY.xlsx]Sheet1!R1554C11</stp>
        <tr r="K1554" s="1"/>
      </tp>
      <tp t="s">
        <v>FIXED</v>
        <stp/>
        <stp>##V3_BDPV12</stp>
        <stp>912827G5 Govt</stp>
        <stp>CPN_TYP</stp>
        <stp>[TREASURY.xlsx]Sheet1!R1156C11</stp>
        <tr r="K1156" s="1"/>
      </tp>
      <tp t="s">
        <v>FIXED</v>
        <stp/>
        <stp>##V3_BDPV12</stp>
        <stp>912827C4 Govt</stp>
        <stp>CPN_TYP</stp>
        <stp>[TREASURY.xlsx]Sheet1!R1553C11</stp>
        <tr r="K1553" s="1"/>
      </tp>
      <tp t="s">
        <v>FIXED</v>
        <stp/>
        <stp>##V3_BDPV12</stp>
        <stp>912827E6 Govt</stp>
        <stp>CPN_TYP</stp>
        <stp>[TREASURY.xlsx]Sheet1!R1371C11</stp>
        <tr r="K1371" s="1"/>
      </tp>
      <tp t="s">
        <v>FIXED</v>
        <stp/>
        <stp>##V3_BDPV12</stp>
        <stp>912827B9 Govt</stp>
        <stp>CPN_TYP</stp>
        <stp>[TREASURY.xlsx]Sheet1!R1552C11</stp>
        <tr r="K1552" s="1"/>
      </tp>
      <tp t="s">
        <v>FIXED</v>
        <stp/>
        <stp>##V3_BDPV12</stp>
        <stp>912827F9 Govt</stp>
        <stp>CPN_TYP</stp>
        <stp>[TREASURY.xlsx]Sheet1!R1155C11</stp>
        <tr r="K1155" s="1"/>
      </tp>
      <tp t="s">
        <v>FIXED</v>
        <stp/>
        <stp>##V3_BDPV12</stp>
        <stp>912827C5 Govt</stp>
        <stp>CPN_TYP</stp>
        <stp>[TREASURY.xlsx]Sheet1!R1481C11</stp>
        <tr r="K1481" s="1"/>
      </tp>
      <tp t="s">
        <v>FIXED</v>
        <stp/>
        <stp>##V3_BDPV12</stp>
        <stp>912827F8 Govt</stp>
        <stp>CPN_TYP</stp>
        <stp>[TREASURY.xlsx]Sheet1!R1154C11</stp>
        <tr r="K1154" s="1"/>
      </tp>
      <tp t="s">
        <v>FIXED</v>
        <stp/>
        <stp>##V3_BDPV12</stp>
        <stp>912827C3 Govt</stp>
        <stp>CPN_TYP</stp>
        <stp>[TREASURY.xlsx]Sheet1!R1480C11</stp>
        <tr r="K1480" s="1"/>
      </tp>
      <tp t="s">
        <v>FIXED</v>
        <stp/>
        <stp>##V3_BDPV12</stp>
        <stp>912827B3 Govt</stp>
        <stp>CPN_TYP</stp>
        <stp>[TREASURY.xlsx]Sheet1!R1549C11</stp>
        <tr r="K1549" s="1"/>
      </tp>
      <tp t="s">
        <v>FIXED</v>
        <stp/>
        <stp>##V3_BDPV12</stp>
        <stp>912827G4 Govt</stp>
        <stp>CPN_TYP</stp>
        <stp>[TREASURY.xlsx]Sheet1!R1035C11</stp>
        <tr r="K1035" s="1"/>
      </tp>
      <tp t="s">
        <v>FIXED</v>
        <stp/>
        <stp>##V3_BDPV12</stp>
        <stp>912827G7 Govt</stp>
        <stp>CPN_TYP</stp>
        <stp>[TREASURY.xlsx]Sheet1!R1037C11</stp>
        <tr r="K1037" s="1"/>
      </tp>
      <tp t="s">
        <v>FIXED</v>
        <stp/>
        <stp>##V3_BDPV12</stp>
        <stp>912827C2 Govt</stp>
        <stp>CPN_TYP</stp>
        <stp>[TREASURY.xlsx]Sheet1!R1479C11</stp>
        <tr r="K1479" s="1"/>
      </tp>
      <tp t="s">
        <v>FIXED</v>
        <stp/>
        <stp>##V3_BDPV12</stp>
        <stp>912827G6 Govt</stp>
        <stp>CPN_TYP</stp>
        <stp>[TREASURY.xlsx]Sheet1!R1036C11</stp>
        <tr r="K1036" s="1"/>
      </tp>
      <tp t="s">
        <v>FIXED</v>
        <stp/>
        <stp>##V3_BDPV12</stp>
        <stp>912827B7 Govt</stp>
        <stp>CPN_TYP</stp>
        <stp>[TREASURY.xlsx]Sheet1!R1551C11</stp>
        <tr r="K1551" s="1"/>
      </tp>
      <tp t="s">
        <v>FIXED</v>
        <stp/>
        <stp>##V3_BDPV12</stp>
        <stp>912827B6 Govt</stp>
        <stp>CPN_TYP</stp>
        <stp>[TREASURY.xlsx]Sheet1!R1550C11</stp>
        <tr r="K1550" s="1"/>
      </tp>
      <tp t="s">
        <v>FIXED</v>
        <stp/>
        <stp>##V3_BDPV12</stp>
        <stp>912827C8 Govt</stp>
        <stp>CPN_TYP</stp>
        <stp>[TREASURY.xlsx]Sheet1!R1482C11</stp>
        <tr r="K1482" s="1"/>
      </tp>
      <tp t="s">
        <v>FIXED</v>
        <stp/>
        <stp>##V3_BDPV12</stp>
        <stp>912827G2 Govt</stp>
        <stp>CPN_TYP</stp>
        <stp>[TREASURY.xlsx]Sheet1!R1034C11</stp>
        <tr r="K1034" s="1"/>
      </tp>
      <tp t="s">
        <v>FIXED</v>
        <stp/>
        <stp>##V3_BDPV12</stp>
        <stp>912827G8 Govt</stp>
        <stp>CPN_TYP</stp>
        <stp>[TREASURY.xlsx]Sheet1!R1374C11</stp>
        <tr r="K1374" s="1"/>
      </tp>
      <tp t="s">
        <v>FIXED</v>
        <stp/>
        <stp>##V3_BDPV12</stp>
        <stp>912827A9 Govt</stp>
        <stp>CPN_TYP</stp>
        <stp>[TREASURY.xlsx]Sheet1!R1548C11</stp>
        <tr r="K1548" s="1"/>
      </tp>
      <tp t="s">
        <v>FIXED</v>
        <stp/>
        <stp>##V3_BDPV12</stp>
        <stp>912827E2 Govt</stp>
        <stp>CPN_TYP</stp>
        <stp>[TREASURY.xlsx]Sheet1!R1153C11</stp>
        <tr r="K1153" s="1"/>
      </tp>
      <tp t="s">
        <v>FIXED</v>
        <stp/>
        <stp>##V3_BDPV12</stp>
        <stp>912827A4 Govt</stp>
        <stp>CPN_TYP</stp>
        <stp>[TREASURY.xlsx]Sheet1!R1547C11</stp>
        <tr r="K1547" s="1"/>
      </tp>
      <tp t="s">
        <v>FIXED</v>
        <stp/>
        <stp>##V3_BDPV12</stp>
        <stp>912827D2 Govt</stp>
        <stp>CPN_TYP</stp>
        <stp>[TREASURY.xlsx]Sheet1!R1033C11</stp>
        <tr r="K1033" s="1"/>
      </tp>
      <tp t="s">
        <v>FIXED</v>
        <stp/>
        <stp>##V3_BDPV12</stp>
        <stp>912827F7 Govt</stp>
        <stp>CPN_TYP</stp>
        <stp>[TREASURY.xlsx]Sheet1!R1315C11</stp>
        <tr r="K1315" s="1"/>
      </tp>
      <tp t="s">
        <v>FIXED</v>
        <stp/>
        <stp>##V3_BDPV12</stp>
        <stp>912827A5 Govt</stp>
        <stp>CPN_TYP</stp>
        <stp>[TREASURY.xlsx]Sheet1!R1473C11</stp>
        <tr r="K1473" s="1"/>
      </tp>
      <tp t="s">
        <v>FIXED</v>
        <stp/>
        <stp>##V3_BDPV12</stp>
        <stp>912827F3 Govt</stp>
        <stp>CPN_TYP</stp>
        <stp>[TREASURY.xlsx]Sheet1!R1314C11</stp>
        <tr r="K1314" s="1"/>
      </tp>
      <tp t="s">
        <v>FIXED</v>
        <stp/>
        <stp>##V3_BDPV12</stp>
        <stp>912827F6 Govt</stp>
        <stp>CPN_TYP</stp>
        <stp>[TREASURY.xlsx]Sheet1!R1373C11</stp>
        <tr r="K1373" s="1"/>
      </tp>
      <tp t="s">
        <v>FIXED</v>
        <stp/>
        <stp>##V3_BDPV12</stp>
        <stp>912827A6 Govt</stp>
        <stp>CPN_TYP</stp>
        <stp>[TREASURY.xlsx]Sheet1!R1474C11</stp>
        <tr r="K1474" s="1"/>
      </tp>
      <tp t="s">
        <v>FIXED</v>
        <stp/>
        <stp>##V3_BDPV12</stp>
        <stp>912827KX Govt</stp>
        <stp>CPN_TYP</stp>
        <stp>[TREASURY.xlsx]Sheet1!R1162C11</stp>
        <tr r="K1162" s="1"/>
      </tp>
      <tp t="s">
        <v>FIXED</v>
        <stp/>
        <stp>##V3_BDPV12</stp>
        <stp>912827KR Govt</stp>
        <stp>CPN_TYP</stp>
        <stp>[TREASURY.xlsx]Sheet1!R1161C11</stp>
        <tr r="K1161" s="1"/>
      </tp>
      <tp t="s">
        <v>FIXED</v>
        <stp/>
        <stp>##V3_BDPV12</stp>
        <stp>912827K9 Govt</stp>
        <stp>CPN_TYP</stp>
        <stp>[TREASURY.xlsx]Sheet1!R1160C11</stp>
        <tr r="K1160" s="1"/>
      </tp>
      <tp t="s">
        <v>FIXED</v>
        <stp/>
        <stp>##V3_BDPV12</stp>
        <stp>912827J8 Govt</stp>
        <stp>CPN_TYP</stp>
        <stp>[TREASURY.xlsx]Sheet1!R1038C11</stp>
        <tr r="K1038" s="1"/>
      </tp>
      <tp t="s">
        <v>FIXED</v>
        <stp/>
        <stp>##V3_BDPV12</stp>
        <stp>912827K5 Govt</stp>
        <stp>CPN_TYP</stp>
        <stp>[TREASURY.xlsx]Sheet1!R1159C11</stp>
        <tr r="K1159" s="1"/>
      </tp>
      <tp t="s">
        <v>FIXED</v>
        <stp/>
        <stp>##V3_BDPV12</stp>
        <stp>912827H9 Govt</stp>
        <stp>CPN_TYP</stp>
        <stp>[TREASURY.xlsx]Sheet1!R1375C11</stp>
        <tr r="K1375" s="1"/>
      </tp>
      <tp t="s">
        <v>FIXED</v>
        <stp/>
        <stp>##V3_BDPV12</stp>
        <stp>912827H3 Govt</stp>
        <stp>CPN_TYP</stp>
        <stp>[TREASURY.xlsx]Sheet1!R1316C11</stp>
        <tr r="K1316" s="1"/>
      </tp>
      <tp t="s">
        <v>FIXED</v>
        <stp/>
        <stp>##V3_BDPV12</stp>
        <stp>912827K3 Govt</stp>
        <stp>CPN_TYP</stp>
        <stp>[TREASURY.xlsx]Sheet1!R1039C11</stp>
        <tr r="K1039" s="1"/>
      </tp>
      <tp t="s">
        <v>FIXED</v>
        <stp/>
        <stp>##V3_BDPV12</stp>
        <stp>912827KL Govt</stp>
        <stp>CPN_TYP</stp>
        <stp>[TREASURY.xlsx]Sheet1!R1377C11</stp>
        <tr r="K1377" s="1"/>
      </tp>
      <tp t="s">
        <v>FIXED</v>
        <stp/>
        <stp>##V3_BDPV12</stp>
        <stp>912827LP Govt</stp>
        <stp>CPN_TYP</stp>
        <stp>[TREASURY.xlsx]Sheet1!R1491C11</stp>
        <tr r="K1491" s="1"/>
      </tp>
      <tp t="s">
        <v>FIXED</v>
        <stp/>
        <stp>##V3_BDPV12</stp>
        <stp>912827KT Govt</stp>
        <stp>CPN_TYP</stp>
        <stp>[TREASURY.xlsx]Sheet1!R1318C11</stp>
        <tr r="K1318" s="1"/>
      </tp>
      <tp t="s">
        <v>FIXED</v>
        <stp/>
        <stp>##V3_BDPV12</stp>
        <stp>912827M3 Govt</stp>
        <stp>CPN_TYP</stp>
        <stp>[TREASURY.xlsx]Sheet1!R1568C11</stp>
        <tr r="K1568" s="1"/>
      </tp>
      <tp t="s">
        <v>FIXED</v>
        <stp/>
        <stp>##V3_BDPV12</stp>
        <stp>912827LH Govt</stp>
        <stp>CPN_TYP</stp>
        <stp>[TREASURY.xlsx]Sheet1!R1566C11</stp>
        <tr r="K1566" s="1"/>
      </tp>
      <tp t="s">
        <v>FIXED</v>
        <stp/>
        <stp>##V3_BDPV12</stp>
        <stp>912827LZ Govt</stp>
        <stp>CPN_TYP</stp>
        <stp>[TREASURY.xlsx]Sheet1!R1567C11</stp>
        <tr r="K1567" s="1"/>
      </tp>
      <tp t="s">
        <v>FIXED</v>
        <stp/>
        <stp>##V3_BDPV12</stp>
        <stp>912827J9 Govt</stp>
        <stp>CPN_TYP</stp>
        <stp>[TREASURY.xlsx]Sheet1!R1376C11</stp>
        <tr r="K1376" s="1"/>
      </tp>
      <tp t="s">
        <v>FIXED</v>
        <stp/>
        <stp>##V3_BDPV12</stp>
        <stp>912827J6 Govt</stp>
        <stp>CPN_TYP</stp>
        <stp>[TREASURY.xlsx]Sheet1!R1317C11</stp>
        <tr r="K1317" s="1"/>
      </tp>
      <tp t="s">
        <v>FIXED</v>
        <stp/>
        <stp>##V3_BDPV12</stp>
        <stp>912827L3 Govt</stp>
        <stp>CPN_TYP</stp>
        <stp>[TREASURY.xlsx]Sheet1!R1564C11</stp>
        <tr r="K1564" s="1"/>
      </tp>
      <tp t="s">
        <v>FIXED</v>
        <stp/>
        <stp>##V3_BDPV12</stp>
        <stp>912827H7 Govt</stp>
        <stp>CPN_TYP</stp>
        <stp>[TREASURY.xlsx]Sheet1!R1158C11</stp>
        <tr r="K1158" s="1"/>
      </tp>
      <tp t="s">
        <v>FIXED</v>
        <stp/>
        <stp>##V3_BDPV12</stp>
        <stp>912827H4 Govt</stp>
        <stp>CPN_TYP</stp>
        <stp>[TREASURY.xlsx]Sheet1!R1157C11</stp>
        <tr r="K1157" s="1"/>
      </tp>
      <tp t="s">
        <v>FIXED</v>
        <stp/>
        <stp>##V3_BDPV12</stp>
        <stp>912827L7 Govt</stp>
        <stp>CPN_TYP</stp>
        <stp>[TREASURY.xlsx]Sheet1!R1565C11</stp>
        <tr r="K1565" s="1"/>
      </tp>
      <tp t="s">
        <v>FIXED</v>
        <stp/>
        <stp>##V3_BDPV12</stp>
        <stp>912827ML Govt</stp>
        <stp>CPN_TYP</stp>
        <stp>[TREASURY.xlsx]Sheet1!R1325C11</stp>
        <tr r="K1325" s="1"/>
      </tp>
      <tp t="s">
        <v>FIXED</v>
        <stp/>
        <stp>##V3_BDPV12</stp>
        <stp>912827NJ Govt</stp>
        <stp>CPN_TYP</stp>
        <stp>[TREASURY.xlsx]Sheet1!R1050C11</stp>
        <tr r="K1050" s="1"/>
      </tp>
      <tp t="s">
        <v>FIXED</v>
        <stp/>
        <stp>##V3_BDPV12</stp>
        <stp>912827MN Govt</stp>
        <stp>CPN_TYP</stp>
        <stp>[TREASURY.xlsx]Sheet1!R1326C11</stp>
        <tr r="K1326" s="1"/>
      </tp>
      <tp t="s">
        <v>FIXED</v>
        <stp/>
        <stp>##V3_BDPV12</stp>
        <stp>912827NN Govt</stp>
        <stp>CPN_TYP</stp>
        <stp>[TREASURY.xlsx]Sheet1!R1051C11</stp>
        <tr r="K1051" s="1"/>
      </tp>
      <tp t="s">
        <v>FIXED</v>
        <stp/>
        <stp>##V3_BDPV12</stp>
        <stp>912827NF Govt</stp>
        <stp>CPN_TYP</stp>
        <stp>[TREASURY.xlsx]Sheet1!R1049C11</stp>
        <tr r="K1049" s="1"/>
      </tp>
      <tp t="s">
        <v>FIXED</v>
        <stp/>
        <stp>##V3_BDPV12</stp>
        <stp>912827MC Govt</stp>
        <stp>CPN_TYP</stp>
        <stp>[TREASURY.xlsx]Sheet1!R1324C11</stp>
        <tr r="K1324" s="1"/>
      </tp>
      <tp t="s">
        <v>FIXED</v>
        <stp/>
        <stp>##V3_BDPV12</stp>
        <stp>912827MV Govt</stp>
        <stp>CPN_TYP</stp>
        <stp>[TREASURY.xlsx]Sheet1!R1381C11</stp>
        <tr r="K1381" s="1"/>
      </tp>
      <tp t="s">
        <v>FIXED</v>
        <stp/>
        <stp>##V3_BDPV12</stp>
        <stp>912827MU Govt</stp>
        <stp>CPN_TYP</stp>
        <stp>[TREASURY.xlsx]Sheet1!R1328C11</stp>
        <tr r="K1328" s="1"/>
      </tp>
      <tp t="s">
        <v>FIXED</v>
        <stp/>
        <stp>##V3_BDPV12</stp>
        <stp>912827NR Govt</stp>
        <stp>CPN_TYP</stp>
        <stp>[TREASURY.xlsx]Sheet1!R1052C11</stp>
        <tr r="K1052" s="1"/>
      </tp>
      <tp t="s">
        <v>FIXED</v>
        <stp/>
        <stp>##V3_BDPV12</stp>
        <stp>912827NW Govt</stp>
        <stp>CPN_TYP</stp>
        <stp>[TREASURY.xlsx]Sheet1!R1053C11</stp>
        <tr r="K1053" s="1"/>
      </tp>
      <tp t="s">
        <v>FIXED</v>
        <stp/>
        <stp>##V3_BDPV12</stp>
        <stp>912827MX Govt</stp>
        <stp>CPN_TYP</stp>
        <stp>[TREASURY.xlsx]Sheet1!R1382C11</stp>
        <tr r="K1382" s="1"/>
      </tp>
      <tp t="s">
        <v>FIXED</v>
        <stp/>
        <stp>##V3_BDPV12</stp>
        <stp>912827MR Govt</stp>
        <stp>CPN_TYP</stp>
        <stp>[TREASURY.xlsx]Sheet1!R1327C11</stp>
        <tr r="K1327" s="1"/>
      </tp>
      <tp t="s">
        <v>FIXED</v>
        <stp/>
        <stp>##V3_BDPV12</stp>
        <stp>912827J5 Govt</stp>
        <stp>CPN_TYP</stp>
        <stp>[TREASURY.xlsx]Sheet1!R1488C11</stp>
        <tr r="K1488" s="1"/>
      </tp>
      <tp t="s">
        <v>FIXED</v>
        <stp/>
        <stp>##V3_BDPV12</stp>
        <stp>912827N4 Govt</stp>
        <stp>CPN_TYP</stp>
        <stp>[TREASURY.xlsx]Sheet1!R1048C11</stp>
        <tr r="K1048" s="1"/>
      </tp>
      <tp t="s">
        <v>FIXED</v>
        <stp/>
        <stp>##V3_BDPV12</stp>
        <stp>912827K7 Govt</stp>
        <stp>CPN_TYP</stp>
        <stp>[TREASURY.xlsx]Sheet1!R1563C11</stp>
        <tr r="K1563" s="1"/>
      </tp>
      <tp t="s">
        <v>FIXED</v>
        <stp/>
        <stp>##V3_BDPV12</stp>
        <stp>912827LG Govt</stp>
        <stp>CPN_TYP</stp>
        <stp>[TREASURY.xlsx]Sheet1!R1321C11</stp>
        <tr r="K1321" s="1"/>
      </tp>
      <tp t="s">
        <v>FIXED</v>
        <stp/>
        <stp>##V3_BDPV12</stp>
        <stp>912827LD Govt</stp>
        <stp>CPN_TYP</stp>
        <stp>[TREASURY.xlsx]Sheet1!R1378C11</stp>
        <tr r="K1378" s="1"/>
      </tp>
      <tp t="s">
        <v>FIXED</v>
        <stp/>
        <stp>##V3_BDPV12</stp>
        <stp>912827LB Govt</stp>
        <stp>CPN_TYP</stp>
        <stp>[TREASURY.xlsx]Sheet1!R1320C11</stp>
        <tr r="K1320" s="1"/>
      </tp>
      <tp t="s">
        <v>FIXED</v>
        <stp/>
        <stp>##V3_BDPV12</stp>
        <stp>912827NG Govt</stp>
        <stp>CPN_TYP</stp>
        <stp>[TREASURY.xlsx]Sheet1!R1169C11</stp>
        <tr r="K1169" s="1"/>
      </tp>
      <tp t="s">
        <v>FIXED</v>
        <stp/>
        <stp>##V3_BDPV12</stp>
        <stp>912827NY Govt</stp>
        <stp>CPN_TYP</stp>
        <stp>[TREASURY.xlsx]Sheet1!R1170C11</stp>
        <tr r="K1170" s="1"/>
      </tp>
      <tp t="s">
        <v>FIXED</v>
        <stp/>
        <stp>##V3_BDPV12</stp>
        <stp>912827LW Govt</stp>
        <stp>CPN_TYP</stp>
        <stp>[TREASURY.xlsx]Sheet1!R1380C11</stp>
        <tr r="K1380" s="1"/>
      </tp>
      <tp t="s">
        <v>FIXED</v>
        <stp/>
        <stp>##V3_BDPV12</stp>
        <stp>912827LT Govt</stp>
        <stp>CPN_TYP</stp>
        <stp>[TREASURY.xlsx]Sheet1!R1379C11</stp>
        <tr r="K1379" s="1"/>
      </tp>
      <tp t="s">
        <v>FIXED</v>
        <stp/>
        <stp>##V3_BDPV12</stp>
        <stp>912827LQ Govt</stp>
        <stp>CPN_TYP</stp>
        <stp>[TREASURY.xlsx]Sheet1!R1322C11</stp>
        <tr r="K1322" s="1"/>
      </tp>
      <tp t="s">
        <v>FIXED</v>
        <stp/>
        <stp>##V3_BDPV12</stp>
        <stp>912827LR Govt</stp>
        <stp>CPN_TYP</stp>
        <stp>[TREASURY.xlsx]Sheet1!R1323C11</stp>
        <tr r="K1323" s="1"/>
      </tp>
      <tp t="s">
        <v>FIXED</v>
        <stp/>
        <stp>##V3_BDPV12</stp>
        <stp>912827K6 Govt</stp>
        <stp>CPN_TYP</stp>
        <stp>[TREASURY.xlsx]Sheet1!R1490C11</stp>
        <tr r="K1490" s="1"/>
      </tp>
      <tp t="s">
        <v>FIXED</v>
        <stp/>
        <stp>##V3_BDPV12</stp>
        <stp>912827K2 Govt</stp>
        <stp>CPN_TYP</stp>
        <stp>[TREASURY.xlsx]Sheet1!R1489C11</stp>
        <tr r="K1489" s="1"/>
      </tp>
      <tp t="s">
        <v>FIXED</v>
        <stp/>
        <stp>##V3_BDPV12</stp>
        <stp>912827L8 Govt</stp>
        <stp>CPN_TYP</stp>
        <stp>[TREASURY.xlsx]Sheet1!R1319C11</stp>
        <tr r="K1319" s="1"/>
      </tp>
      <tp t="s">
        <v>FIXED</v>
        <stp/>
        <stp>##V3_BDPV12</stp>
        <stp>912827J4 Govt</stp>
        <stp>CPN_TYP</stp>
        <stp>[TREASURY.xlsx]Sheet1!R1561C11</stp>
        <tr r="K1561" s="1"/>
      </tp>
      <tp t="s">
        <v>FIXED</v>
        <stp/>
        <stp>##V3_BDPV12</stp>
        <stp>912827J7 Govt</stp>
        <stp>CPN_TYP</stp>
        <stp>[TREASURY.xlsx]Sheet1!R1562C11</stp>
        <tr r="K1562" s="1"/>
      </tp>
      <tp t="s">
        <v>FIXED</v>
        <stp/>
        <stp>##V3_BDPV12</stp>
        <stp>912827LK Govt</stp>
        <stp>CPN_TYP</stp>
        <stp>[TREASURY.xlsx]Sheet1!R1042C11</stp>
        <tr r="K1042" s="1"/>
      </tp>
      <tp t="s">
        <v>FIXED</v>
        <stp/>
        <stp>##V3_BDPV12</stp>
        <stp>912827MD Govt</stp>
        <stp>CPN_TYP</stp>
        <stp>[TREASURY.xlsx]Sheet1!R1167C11</stp>
        <tr r="K1167" s="1"/>
      </tp>
      <tp t="s">
        <v>FIXED</v>
        <stp/>
        <stp>##V3_BDPV12</stp>
        <stp>912827MZ Govt</stp>
        <stp>CPN_TYP</stp>
        <stp>[TREASURY.xlsx]Sheet1!R1168C11</stp>
        <tr r="K1168" s="1"/>
      </tp>
      <tp t="s">
        <v>FIXED</v>
        <stp/>
        <stp>##V3_BDPV12</stp>
        <stp>912827LS Govt</stp>
        <stp>CPN_TYP</stp>
        <stp>[TREASURY.xlsx]Sheet1!R1043C11</stp>
        <tr r="K1043" s="1"/>
      </tp>
      <tp t="s">
        <v>FIXED</v>
        <stp/>
        <stp>##V3_BDPV12</stp>
        <stp>912827M9 Govt</stp>
        <stp>CPN_TYP</stp>
        <stp>[TREASURY.xlsx]Sheet1!R1166C11</stp>
        <tr r="K1166" s="1"/>
      </tp>
      <tp t="s">
        <v>FIXED</v>
        <stp/>
        <stp>##V3_BDPV12</stp>
        <stp>912827M2 Govt</stp>
        <stp>CPN_TYP</stp>
        <stp>[TREASURY.xlsx]Sheet1!R1164C11</stp>
        <tr r="K1164" s="1"/>
      </tp>
      <tp t="s">
        <v>FIXED</v>
        <stp/>
        <stp>##V3_BDPV12</stp>
        <stp>912827L6 Govt</stp>
        <stp>CPN_TYP</stp>
        <stp>[TREASURY.xlsx]Sheet1!R1041C11</stp>
        <tr r="K1041" s="1"/>
      </tp>
      <tp t="s">
        <v>FIXED</v>
        <stp/>
        <stp>##V3_BDPV12</stp>
        <stp>912827M4 Govt</stp>
        <stp>CPN_TYP</stp>
        <stp>[TREASURY.xlsx]Sheet1!R1165C11</stp>
        <tr r="K1165" s="1"/>
      </tp>
      <tp t="s">
        <v>FIXED</v>
        <stp/>
        <stp>##V3_BDPV12</stp>
        <stp>912827L4 Govt</stp>
        <stp>CPN_TYP</stp>
        <stp>[TREASURY.xlsx]Sheet1!R1040C11</stp>
        <tr r="K1040" s="1"/>
      </tp>
      <tp t="s">
        <v>FIXED</v>
        <stp/>
        <stp>##V3_BDPV12</stp>
        <stp>912827H8 Govt</stp>
        <stp>CPN_TYP</stp>
        <stp>[TREASURY.xlsx]Sheet1!R1487C11</stp>
        <tr r="K1487" s="1"/>
      </tp>
      <tp t="s">
        <v>FIXED</v>
        <stp/>
        <stp>##V3_BDPV12</stp>
        <stp>912827NB Govt</stp>
        <stp>CPN_TYP</stp>
        <stp>[TREASURY.xlsx]Sheet1!R1383C11</stp>
        <tr r="K1383" s="1"/>
      </tp>
      <tp t="s">
        <v>FIXED</v>
        <stp/>
        <stp>##V3_BDPV12</stp>
        <stp>912827NH Govt</stp>
        <stp>CPN_TYP</stp>
        <stp>[TREASURY.xlsx]Sheet1!R1333C11</stp>
        <tr r="K1333" s="1"/>
      </tp>
      <tp t="s">
        <v>FIXED</v>
        <stp/>
        <stp>##V3_BDPV12</stp>
        <stp>912827MM Govt</stp>
        <stp>CPN_TYP</stp>
        <stp>[TREASURY.xlsx]Sheet1!R1045C11</stp>
        <tr r="K1045" s="1"/>
      </tp>
      <tp t="s">
        <v>FIXED</v>
        <stp/>
        <stp>##V3_BDPV12</stp>
        <stp>912827NE Govt</stp>
        <stp>CPN_TYP</stp>
        <stp>[TREASURY.xlsx]Sheet1!R1332C11</stp>
        <tr r="K1332" s="1"/>
      </tp>
      <tp t="s">
        <v>FIXED</v>
        <stp/>
        <stp>##V3_BDPV12</stp>
        <stp>912827NA Govt</stp>
        <stp>CPN_TYP</stp>
        <stp>[TREASURY.xlsx]Sheet1!R1331C11</stp>
        <tr r="K1331" s="1"/>
      </tp>
      <tp t="s">
        <v>FIXED</v>
        <stp/>
        <stp>##V3_BDPV12</stp>
        <stp>912827NT Govt</stp>
        <stp>CPN_TYP</stp>
        <stp>[TREASURY.xlsx]Sheet1!R1384C11</stp>
        <tr r="K1384" s="1"/>
      </tp>
      <tp t="s">
        <v>FIXED</v>
        <stp/>
        <stp>##V3_BDPV12</stp>
        <stp>912827NZ Govt</stp>
        <stp>CPN_TYP</stp>
        <stp>[TREASURY.xlsx]Sheet1!R1336C11</stp>
        <tr r="K1336" s="1"/>
      </tp>
      <tp t="s">
        <v>FIXED</v>
        <stp/>
        <stp>##V3_BDPV12</stp>
        <stp>912827NU Govt</stp>
        <stp>CPN_TYP</stp>
        <stp>[TREASURY.xlsx]Sheet1!R1335C11</stp>
        <tr r="K1335" s="1"/>
      </tp>
      <tp t="s">
        <v>FIXED</v>
        <stp/>
        <stp>##V3_BDPV12</stp>
        <stp>912827MS Govt</stp>
        <stp>CPN_TYP</stp>
        <stp>[TREASURY.xlsx]Sheet1!R1046C11</stp>
        <tr r="K1046" s="1"/>
      </tp>
      <tp t="s">
        <v>FIXED</v>
        <stp/>
        <stp>##V3_BDPV12</stp>
        <stp>912827MW Govt</stp>
        <stp>CPN_TYP</stp>
        <stp>[TREASURY.xlsx]Sheet1!R1047C11</stp>
        <tr r="K1047" s="1"/>
      </tp>
      <tp t="s">
        <v>FIXED</v>
        <stp/>
        <stp>##V3_BDPV12</stp>
        <stp>912827NS Govt</stp>
        <stp>CPN_TYP</stp>
        <stp>[TREASURY.xlsx]Sheet1!R1334C11</stp>
        <tr r="K1334" s="1"/>
      </tp>
      <tp t="s">
        <v>FIXED</v>
        <stp/>
        <stp>##V3_BDPV12</stp>
        <stp>912827NX Govt</stp>
        <stp>CPN_TYP</stp>
        <stp>[TREASURY.xlsx]Sheet1!R1385C11</stp>
        <tr r="K1385" s="1"/>
      </tp>
      <tp t="s">
        <v>FIXED</v>
        <stp/>
        <stp>##V3_BDPV12</stp>
        <stp>912827N9 Govt</stp>
        <stp>CPN_TYP</stp>
        <stp>[TREASURY.xlsx]Sheet1!R1330C11</stp>
        <tr r="K1330" s="1"/>
      </tp>
      <tp t="s">
        <v>FIXED</v>
        <stp/>
        <stp>##V3_BDPV12</stp>
        <stp>912827L2 Govt</stp>
        <stp>CPN_TYP</stp>
        <stp>[TREASURY.xlsx]Sheet1!R1163C11</stp>
        <tr r="K1163" s="1"/>
      </tp>
      <tp t="s">
        <v>FIXED</v>
        <stp/>
        <stp>##V3_BDPV12</stp>
        <stp>912827M7 Govt</stp>
        <stp>CPN_TYP</stp>
        <stp>[TREASURY.xlsx]Sheet1!R1044C11</stp>
        <tr r="K1044" s="1"/>
      </tp>
      <tp t="s">
        <v>FIXED</v>
        <stp/>
        <stp>##V3_BDPV12</stp>
        <stp>912827N2 Govt</stp>
        <stp>CPN_TYP</stp>
        <stp>[TREASURY.xlsx]Sheet1!R1329C11</stp>
        <tr r="K1329" s="1"/>
      </tp>
      <tp t="s">
        <v>FIXED</v>
        <stp/>
        <stp>##V3_BDPV12</stp>
        <stp>912827SE Govt</stp>
        <stp>CPN_TYP</stp>
        <stp>[TREASURY.xlsx]Sheet1!R1184C11</stp>
        <tr r="K1184" s="1"/>
      </tp>
      <tp t="s">
        <v>FIXED</v>
        <stp/>
        <stp>##V3_BDPV12</stp>
        <stp>912827SB Govt</stp>
        <stp>CPN_TYP</stp>
        <stp>[TREASURY.xlsx]Sheet1!R1183C11</stp>
        <tr r="K1183" s="1"/>
      </tp>
      <tp t="s">
        <v>FIXED</v>
        <stp/>
        <stp>##V3_BDPV12</stp>
        <stp>912827QA Govt</stp>
        <stp>CPN_TYP</stp>
        <stp>[TREASURY.xlsx]Sheet1!R1392C11</stp>
        <tr r="K1392" s="1"/>
      </tp>
      <tp t="s">
        <v>FIXED</v>
        <stp/>
        <stp>##V3_BDPV12</stp>
        <stp>912827RN Govt</stp>
        <stp>CPN_TYP</stp>
        <stp>[TREASURY.xlsx]Sheet1!R1064C11</stp>
        <tr r="K1064" s="1"/>
      </tp>
      <tp t="s">
        <v>FIXED</v>
        <stp/>
        <stp>##V3_BDPV12</stp>
        <stp>912827RA Govt</stp>
        <stp>CPN_TYP</stp>
        <stp>[TREASURY.xlsx]Sheet1!R1061C11</stp>
        <tr r="K1061" s="1"/>
      </tp>
      <tp t="s">
        <v>FIXED</v>
        <stp/>
        <stp>##V3_BDPV12</stp>
        <stp>912827RC Govt</stp>
        <stp>CPN_TYP</stp>
        <stp>[TREASURY.xlsx]Sheet1!R1062C11</stp>
        <tr r="K1062" s="1"/>
      </tp>
      <tp t="s">
        <v>FIXED</v>
        <stp/>
        <stp>##V3_BDPV12</stp>
        <stp>912827SJ Govt</stp>
        <stp>CPN_TYP</stp>
        <stp>[TREASURY.xlsx]Sheet1!R1185C11</stp>
        <tr r="K1185" s="1"/>
      </tp>
      <tp t="s">
        <v>FIXED</v>
        <stp/>
        <stp>##V3_BDPV12</stp>
        <stp>912827RE Govt</stp>
        <stp>CPN_TYP</stp>
        <stp>[TREASURY.xlsx]Sheet1!R1063C11</stp>
        <tr r="K1063" s="1"/>
      </tp>
      <tp t="s">
        <v>FIXED</v>
        <stp/>
        <stp>##V3_BDPV12</stp>
        <stp>912827VB Govt</stp>
        <stp>CPN_TYP</stp>
        <stp>[TREASURY.xlsx]Sheet1!R1411C11</stp>
        <tr r="K1411" s="1"/>
      </tp>
      <tp t="s">
        <v>FIXED</v>
        <stp/>
        <stp>##V3_BDPV12</stp>
        <stp>912827WW Govt</stp>
        <stp>CPN_TYP</stp>
        <stp>[TREASURY.xlsx]Sheet1!R1592C11</stp>
        <tr r="K1592" s="1"/>
      </tp>
      <tp t="s">
        <v>FIXED</v>
        <stp/>
        <stp>##V3_BDPV12</stp>
        <stp>912827QW Govt</stp>
        <stp>CPN_TYP</stp>
        <stp>[TREASURY.xlsx]Sheet1!R1394C11</stp>
        <tr r="K1394" s="1"/>
      </tp>
      <tp t="s">
        <v>FIXED</v>
        <stp/>
        <stp>##V3_BDPV12</stp>
        <stp>912827SW Govt</stp>
        <stp>CPN_TYP</stp>
        <stp>[TREASURY.xlsx]Sheet1!R1189C11</stp>
        <tr r="K1189" s="1"/>
      </tp>
      <tp t="s">
        <v>FIXED</v>
        <stp/>
        <stp>##V3_BDPV12</stp>
        <stp>912827QS Govt</stp>
        <stp>CPN_TYP</stp>
        <stp>[TREASURY.xlsx]Sheet1!R1393C11</stp>
        <tr r="K1393" s="1"/>
      </tp>
      <tp t="s">
        <v>FIXED</v>
        <stp/>
        <stp>##V3_BDPV12</stp>
        <stp>912827SS Govt</stp>
        <stp>CPN_TYP</stp>
        <stp>[TREASURY.xlsx]Sheet1!R1188C11</stp>
        <tr r="K1188" s="1"/>
      </tp>
      <tp t="s">
        <v>FIXED</v>
        <stp/>
        <stp>##V3_BDPV12</stp>
        <stp>912827SP Govt</stp>
        <stp>CPN_TYP</stp>
        <stp>[TREASURY.xlsx]Sheet1!R1186C11</stp>
        <tr r="K1186" s="1"/>
      </tp>
      <tp t="s">
        <v>FIXED</v>
        <stp/>
        <stp>##V3_BDPV12</stp>
        <stp>912827SQ Govt</stp>
        <stp>CPN_TYP</stp>
        <stp>[TREASURY.xlsx]Sheet1!R1187C11</stp>
        <tr r="K1187" s="1"/>
      </tp>
      <tp t="s">
        <v>FIXED</v>
        <stp/>
        <stp>##V3_BDPV12</stp>
        <stp>912827VW Govt</stp>
        <stp>CPN_TYP</stp>
        <stp>[TREASURY.xlsx]Sheet1!R1413C11</stp>
        <tr r="K1413" s="1"/>
      </tp>
      <tp t="s">
        <v>FIXED</v>
        <stp/>
        <stp>##V3_BDPV12</stp>
        <stp>912827VU Govt</stp>
        <stp>CPN_TYP</stp>
        <stp>[TREASURY.xlsx]Sheet1!R1412C11</stp>
        <tr r="K1412" s="1"/>
      </tp>
      <tp t="s">
        <v>FIXED</v>
        <stp/>
        <stp>##V3_BDPV12</stp>
        <stp>912827SY Govt</stp>
        <stp>CPN_TYP</stp>
        <stp>[TREASURY.xlsx]Sheet1!R1190C11</stp>
        <tr r="K1190" s="1"/>
      </tp>
      <tp t="s">
        <v>FIXED</v>
        <stp/>
        <stp>##V3_BDPV12</stp>
        <stp>912827QY Govt</stp>
        <stp>CPN_TYP</stp>
        <stp>[TREASURY.xlsx]Sheet1!R1395C11</stp>
        <tr r="K1395" s="1"/>
      </tp>
      <tp t="s">
        <v>FIXED</v>
        <stp/>
        <stp>##V3_BDPV12</stp>
        <stp>912827WX Govt</stp>
        <stp>CPN_TYP</stp>
        <stp>[TREASURY.xlsx]Sheet1!R1593C11</stp>
        <tr r="K1593" s="1"/>
      </tp>
      <tp t="s">
        <v>FIXED</v>
        <stp/>
        <stp>##V3_BDPV12</stp>
        <stp>912827S6 Govt</stp>
        <stp>CPN_TYP</stp>
        <stp>[TREASURY.xlsx]Sheet1!R1182C11</stp>
        <tr r="K1182" s="1"/>
      </tp>
      <tp t="s">
        <v>FIXED</v>
        <stp/>
        <stp>##V3_BDPV12</stp>
        <stp>912827S2 Govt</stp>
        <stp>CPN_TYP</stp>
        <stp>[TREASURY.xlsx]Sheet1!R1181C11</stp>
        <tr r="K1181" s="1"/>
      </tp>
      <tp t="s">
        <v>FIXED</v>
        <stp/>
        <stp>##V3_BDPV12</stp>
        <stp>912827V7 Govt</stp>
        <stp>CPN_TYP</stp>
        <stp>[TREASURY.xlsx]Sheet1!R1410C11</stp>
        <tr r="K1410" s="1"/>
      </tp>
      <tp t="s">
        <v>FIXED</v>
        <stp/>
        <stp>##V3_BDPV12</stp>
        <stp>912827R3 Govt</stp>
        <stp>CPN_TYP</stp>
        <stp>[TREASURY.xlsx]Sheet1!R1060C11</stp>
        <tr r="K1060" s="1"/>
      </tp>
      <tp t="s">
        <v>FIXED</v>
        <stp/>
        <stp>##V3_BDPV12</stp>
        <stp>912827Q6 Govt</stp>
        <stp>CPN_TYP</stp>
        <stp>[TREASURY.xlsx]Sheet1!R1343C11</stp>
        <tr r="K1343" s="1"/>
      </tp>
      <tp t="s">
        <v>FIXED</v>
        <stp/>
        <stp>##V3_BDPV12</stp>
        <stp>912827PK Govt</stp>
        <stp>CPN_TYP</stp>
        <stp>[TREASURY.xlsx]Sheet1!R1340C11</stp>
        <tr r="K1340" s="1"/>
      </tp>
      <tp t="s">
        <v>FIXED</v>
        <stp/>
        <stp>##V3_BDPV12</stp>
        <stp>912827WM Govt</stp>
        <stp>CPN_TYP</stp>
        <stp>[TREASURY.xlsx]Sheet1!R1418C11</stp>
        <tr r="K1418" s="1"/>
      </tp>
      <tp t="s">
        <v>FIXED</v>
        <stp/>
        <stp>##V3_BDPV12</stp>
        <stp>912827PB Govt</stp>
        <stp>CPN_TYP</stp>
        <stp>[TREASURY.xlsx]Sheet1!R1388C11</stp>
        <tr r="K1388" s="1"/>
      </tp>
      <tp t="s">
        <v>FIXED</v>
        <stp/>
        <stp>##V3_BDPV12</stp>
        <stp>912827SN Govt</stp>
        <stp>CPN_TYP</stp>
        <stp>[TREASURY.xlsx]Sheet1!R1066C11</stp>
        <tr r="K1066" s="1"/>
      </tp>
      <tp t="s">
        <v>FIXED</v>
        <stp/>
        <stp>##V3_BDPV12</stp>
        <stp>912827WH Govt</stp>
        <stp>CPN_TYP</stp>
        <stp>[TREASURY.xlsx]Sheet1!R1417C11</stp>
        <tr r="K1417" s="1"/>
      </tp>
      <tp t="s">
        <v>FIXED</v>
        <stp/>
        <stp>##V3_BDPV12</stp>
        <stp>912827PJ Govt</stp>
        <stp>CPN_TYP</stp>
        <stp>[TREASURY.xlsx]Sheet1!R1389C11</stp>
        <tr r="K1389" s="1"/>
      </tp>
      <tp t="s">
        <v>FIXED</v>
        <stp/>
        <stp>##V3_BDPV12</stp>
        <stp>912827SF Govt</stp>
        <stp>CPN_TYP</stp>
        <stp>[TREASURY.xlsx]Sheet1!R1065C11</stp>
        <tr r="K1065" s="1"/>
      </tp>
      <tp t="s">
        <v>FIXED</v>
        <stp/>
        <stp>##V3_BDPV12</stp>
        <stp>912827PV Govt</stp>
        <stp>CPN_TYP</stp>
        <stp>[TREASURY.xlsx]Sheet1!R1391C11</stp>
        <tr r="K1391" s="1"/>
      </tp>
      <tp t="s">
        <v>FIXED</v>
        <stp/>
        <stp>##V3_BDPV12</stp>
        <stp>912827SZ Govt</stp>
        <stp>CPN_TYP</stp>
        <stp>[TREASURY.xlsx]Sheet1!R1068C11</stp>
        <tr r="K1068" s="1"/>
      </tp>
      <tp t="s">
        <v>FIXED</v>
        <stp/>
        <stp>##V3_BDPV12</stp>
        <stp>912827PS Govt</stp>
        <stp>CPN_TYP</stp>
        <stp>[TREASURY.xlsx]Sheet1!R1390C11</stp>
        <tr r="K1390" s="1"/>
      </tp>
      <tp t="s">
        <v>FIXED</v>
        <stp/>
        <stp>##V3_BDPV12</stp>
        <stp>912827WZ Govt</stp>
        <stp>CPN_TYP</stp>
        <stp>[TREASURY.xlsx]Sheet1!R1423C11</stp>
        <tr r="K1423" s="1"/>
      </tp>
      <tp t="s">
        <v>FIXED</v>
        <stp/>
        <stp>##V3_BDPV12</stp>
        <stp>912827PR Govt</stp>
        <stp>CPN_TYP</stp>
        <stp>[TREASURY.xlsx]Sheet1!R1341C11</stp>
        <tr r="K1341" s="1"/>
      </tp>
      <tp t="s">
        <v>FIXED</v>
        <stp/>
        <stp>##V3_BDPV12</stp>
        <stp>912827WT Govt</stp>
        <stp>CPN_TYP</stp>
        <stp>[TREASURY.xlsx]Sheet1!R1421C11</stp>
        <tr r="K1421" s="1"/>
      </tp>
      <tp t="s">
        <v>FIXED</v>
        <stp/>
        <stp>##V3_BDPV12</stp>
        <stp>912827WU Govt</stp>
        <stp>CPN_TYP</stp>
        <stp>[TREASURY.xlsx]Sheet1!R1422C11</stp>
        <tr r="K1422" s="1"/>
      </tp>
      <tp t="s">
        <v>FIXED</v>
        <stp/>
        <stp>##V3_BDPV12</stp>
        <stp>912827ST Govt</stp>
        <stp>CPN_TYP</stp>
        <stp>[TREASURY.xlsx]Sheet1!R1067C11</stp>
        <tr r="K1067" s="1"/>
      </tp>
      <tp t="s">
        <v>FIXED</v>
        <stp/>
        <stp>##V3_BDPV12</stp>
        <stp>912827PT Govt</stp>
        <stp>CPN_TYP</stp>
        <stp>[TREASURY.xlsx]Sheet1!R1342C11</stp>
        <tr r="K1342" s="1"/>
      </tp>
      <tp t="s">
        <v>FIXED</v>
        <stp/>
        <stp>##V3_BDPV12</stp>
        <stp>912827WP Govt</stp>
        <stp>CPN_TYP</stp>
        <stp>[TREASURY.xlsx]Sheet1!R1419C11</stp>
        <tr r="K1419" s="1"/>
      </tp>
      <tp t="s">
        <v>FIXED</v>
        <stp/>
        <stp>##V3_BDPV12</stp>
        <stp>912827WS Govt</stp>
        <stp>CPN_TYP</stp>
        <stp>[TREASURY.xlsx]Sheet1!R1420C11</stp>
        <tr r="K1420" s="1"/>
      </tp>
      <tp t="s">
        <v>FIXED</v>
        <stp/>
        <stp>##V3_BDPV12</stp>
        <stp>912827P6 Govt</stp>
        <stp>CPN_TYP</stp>
        <stp>[TREASURY.xlsx]Sheet1!R1387C11</stp>
        <tr r="K1387" s="1"/>
      </tp>
      <tp t="s">
        <v>FIXED</v>
        <stp/>
        <stp>##V3_BDPV12</stp>
        <stp>912827P9 Govt</stp>
        <stp>CPN_TYP</stp>
        <stp>[TREASURY.xlsx]Sheet1!R1339C11</stp>
        <tr r="K1339" s="1"/>
      </tp>
      <tp t="s">
        <v>FIXED</v>
        <stp/>
        <stp>##V3_BDPV12</stp>
        <stp>912827V3 Govt</stp>
        <stp>CPN_TYP</stp>
        <stp>[TREASURY.xlsx]Sheet1!R1591C11</stp>
        <tr r="K1591" s="1"/>
      </tp>
      <tp t="s">
        <v>FIXED</v>
        <stp/>
        <stp>##V3_BDPV12</stp>
        <stp>912827P3 Govt</stp>
        <stp>CPN_TYP</stp>
        <stp>[TREASURY.xlsx]Sheet1!R1386C11</stp>
        <tr r="K1386" s="1"/>
      </tp>
      <tp t="s">
        <v>FIXED</v>
        <stp/>
        <stp>##V3_BDPV12</stp>
        <stp>912827W7 Govt</stp>
        <stp>CPN_TYP</stp>
        <stp>[TREASURY.xlsx]Sheet1!R1416C11</stp>
        <tr r="K1416" s="1"/>
      </tp>
      <tp t="s">
        <v>FIXED</v>
        <stp/>
        <stp>##V3_BDPV12</stp>
        <stp>912827P5 Govt</stp>
        <stp>CPN_TYP</stp>
        <stp>[TREASURY.xlsx]Sheet1!R1337C11</stp>
        <tr r="K1337" s="1"/>
      </tp>
      <tp t="s">
        <v>FIXED</v>
        <stp/>
        <stp>##V3_BDPV12</stp>
        <stp>912827W6 Govt</stp>
        <stp>CPN_TYP</stp>
        <stp>[TREASURY.xlsx]Sheet1!R1415C11</stp>
        <tr r="K1415" s="1"/>
      </tp>
      <tp t="s">
        <v>FIXED</v>
        <stp/>
        <stp>##V3_BDPV12</stp>
        <stp>912827P7 Govt</stp>
        <stp>CPN_TYP</stp>
        <stp>[TREASURY.xlsx]Sheet1!R1338C11</stp>
        <tr r="K1338" s="1"/>
      </tp>
      <tp t="s">
        <v>FIXED</v>
        <stp/>
        <stp>##V3_BDPV12</stp>
        <stp>912827W5 Govt</stp>
        <stp>CPN_TYP</stp>
        <stp>[TREASURY.xlsx]Sheet1!R1414C11</stp>
        <tr r="K1414" s="1"/>
      </tp>
      <tp t="s">
        <v>FIXED</v>
        <stp/>
        <stp>##V3_BDPV12</stp>
        <stp>912827TM Govt</stp>
        <stp>CPN_TYP</stp>
        <stp>[TREASURY.xlsx]Sheet1!R1400C11</stp>
        <tr r="K1400" s="1"/>
      </tp>
      <tp t="s">
        <v>FIXED</v>
        <stp/>
        <stp>##V3_BDPV12</stp>
        <stp>912827QN Govt</stp>
        <stp>CPN_TYP</stp>
        <stp>[TREASURY.xlsx]Sheet1!R1179C11</stp>
        <tr r="K1179" s="1"/>
      </tp>
      <tp t="s">
        <v>FIXED</v>
        <stp/>
        <stp>##V3_BDPV12</stp>
        <stp>912827UD Govt</stp>
        <stp>CPN_TYP</stp>
        <stp>[TREASURY.xlsx]Sheet1!R1512C11</stp>
        <tr r="K1512" s="1"/>
      </tp>
      <tp t="s">
        <v>FIXED</v>
        <stp/>
        <stp>##V3_BDPV12</stp>
        <stp>912827PE Govt</stp>
        <stp>CPN_TYP</stp>
        <stp>[TREASURY.xlsx]Sheet1!R1054C11</stp>
        <tr r="K1054" s="1"/>
      </tp>
      <tp t="s">
        <v>FIXED</v>
        <stp/>
        <stp>##V3_BDPV12</stp>
        <stp>912827SR Govt</stp>
        <stp>CPN_TYP</stp>
        <stp>[TREASURY.xlsx]Sheet1!R1396C11</stp>
        <tr r="K1396" s="1"/>
      </tp>
      <tp t="s">
        <v>FIXED</v>
        <stp/>
        <stp>##V3_BDPV12</stp>
        <stp>912827QQ Govt</stp>
        <stp>CPN_TYP</stp>
        <stp>[TREASURY.xlsx]Sheet1!R1180C11</stp>
        <tr r="K1180" s="1"/>
      </tp>
      <tp t="s">
        <v>FIXED</v>
        <stp/>
        <stp>##V3_BDPV12</stp>
        <stp>912827TW Govt</stp>
        <stp>CPN_TYP</stp>
        <stp>[TREASURY.xlsx]Sheet1!R1402C11</stp>
        <tr r="K1402" s="1"/>
      </tp>
      <tp t="s">
        <v>FIXED</v>
        <stp/>
        <stp>##V3_BDPV12</stp>
        <stp>912827TU Govt</stp>
        <stp>CPN_TYP</stp>
        <stp>[TREASURY.xlsx]Sheet1!R1401C11</stp>
        <tr r="K1401" s="1"/>
      </tp>
      <tp t="s">
        <v>FIXED</v>
        <stp/>
        <stp>##V3_BDPV12</stp>
        <stp>912827UY Govt</stp>
        <stp>CPN_TYP</stp>
        <stp>[TREASURY.xlsx]Sheet1!R1590C11</stp>
        <tr r="K1590" s="1"/>
      </tp>
      <tp t="s">
        <v>FIXED</v>
        <stp/>
        <stp>##V3_BDPV12</stp>
        <stp>912827U7 Govt</stp>
        <stp>CPN_TYP</stp>
        <stp>[TREASURY.xlsx]Sheet1!R1511C11</stp>
        <tr r="K1511" s="1"/>
      </tp>
      <tp t="s">
        <v>FIXED</v>
        <stp/>
        <stp>##V3_BDPV12</stp>
        <stp>912827Q2 Govt</stp>
        <stp>CPN_TYP</stp>
        <stp>[TREASURY.xlsx]Sheet1!R1176C11</stp>
        <tr r="K1176" s="1"/>
      </tp>
      <tp t="s">
        <v>FIXED</v>
        <stp/>
        <stp>##V3_BDPV12</stp>
        <stp>912827Q4 Govt</stp>
        <stp>CPN_TYP</stp>
        <stp>[TREASURY.xlsx]Sheet1!R1177C11</stp>
        <tr r="K1177" s="1"/>
      </tp>
      <tp t="s">
        <v>FIXED</v>
        <stp/>
        <stp>##V3_BDPV12</stp>
        <stp>912827Q7 Govt</stp>
        <stp>CPN_TYP</stp>
        <stp>[TREASURY.xlsx]Sheet1!R1178C11</stp>
        <tr r="K1178" s="1"/>
      </tp>
      <tp t="s">
        <v>FIXED</v>
        <stp/>
        <stp>##V3_BDPV12</stp>
        <stp>912827UN Govt</stp>
        <stp>CPN_TYP</stp>
        <stp>[TREASURY.xlsx]Sheet1!R1406C11</stp>
        <tr r="K1406" s="1"/>
      </tp>
      <tp t="s">
        <v>FIXED</v>
        <stp/>
        <stp>##V3_BDPV12</stp>
        <stp>912827TL Govt</stp>
        <stp>CPN_TYP</stp>
        <stp>[TREASURY.xlsx]Sheet1!R1509C11</stp>
        <tr r="K1509" s="1"/>
      </tp>
      <tp t="s">
        <v>FIXED</v>
        <stp/>
        <stp>##V3_BDPV12</stp>
        <stp>912827QH Govt</stp>
        <stp>CPN_TYP</stp>
        <stp>[TREASURY.xlsx]Sheet1!R1057C11</stp>
        <tr r="K1057" s="1"/>
      </tp>
      <tp t="s">
        <v>FIXED</v>
        <stp/>
        <stp>##V3_BDPV12</stp>
        <stp>912827UM Govt</stp>
        <stp>CPN_TYP</stp>
        <stp>[TREASURY.xlsx]Sheet1!R1405C11</stp>
        <tr r="K1405" s="1"/>
      </tp>
      <tp t="s">
        <v>FIXED</v>
        <stp/>
        <stp>##V3_BDPV12</stp>
        <stp>912827PM Govt</stp>
        <stp>CPN_TYP</stp>
        <stp>[TREASURY.xlsx]Sheet1!R1174C11</stp>
        <tr r="K1174" s="1"/>
      </tp>
      <tp t="s">
        <v>FIXED</v>
        <stp/>
        <stp>##V3_BDPV12</stp>
        <stp>912827TK Govt</stp>
        <stp>CPN_TYP</stp>
        <stp>[TREASURY.xlsx]Sheet1!R1508C11</stp>
        <tr r="K1508" s="1"/>
      </tp>
      <tp t="s">
        <v>FIXED</v>
        <stp/>
        <stp>##V3_BDPV12</stp>
        <stp>912827QM Govt</stp>
        <stp>CPN_TYP</stp>
        <stp>[TREASURY.xlsx]Sheet1!R1058C11</stp>
        <tr r="K1058" s="1"/>
      </tp>
      <tp t="s">
        <v>FIXED</v>
        <stp/>
        <stp>##V3_BDPV12</stp>
        <stp>912827PA Govt</stp>
        <stp>CPN_TYP</stp>
        <stp>[TREASURY.xlsx]Sheet1!R1172C11</stp>
        <tr r="K1172" s="1"/>
      </tp>
      <tp t="s">
        <v>FIXED</v>
        <stp/>
        <stp>##V3_BDPV12</stp>
        <stp>912827UF Govt</stp>
        <stp>CPN_TYP</stp>
        <stp>[TREASURY.xlsx]Sheet1!R1404C11</stp>
        <tr r="K1404" s="1"/>
      </tp>
      <tp t="s">
        <v>FIXED</v>
        <stp/>
        <stp>##V3_BDPV12</stp>
        <stp>912827QC Govt</stp>
        <stp>CPN_TYP</stp>
        <stp>[TREASURY.xlsx]Sheet1!R1055C11</stp>
        <tr r="K1055" s="1"/>
      </tp>
      <tp t="s">
        <v>FIXED</v>
        <stp/>
        <stp>##V3_BDPV12</stp>
        <stp>912827TE Govt</stp>
        <stp>CPN_TYP</stp>
        <stp>[TREASURY.xlsx]Sheet1!R1507C11</stp>
        <tr r="K1507" s="1"/>
      </tp>
      <tp t="s">
        <v>FIXED</v>
        <stp/>
        <stp>##V3_BDPV12</stp>
        <stp>912827TC Govt</stp>
        <stp>CPN_TYP</stp>
        <stp>[TREASURY.xlsx]Sheet1!R1506C11</stp>
        <tr r="K1506" s="1"/>
      </tp>
      <tp t="s">
        <v>FIXED</v>
        <stp/>
        <stp>##V3_BDPV12</stp>
        <stp>912827PG Govt</stp>
        <stp>CPN_TYP</stp>
        <stp>[TREASURY.xlsx]Sheet1!R1173C11</stp>
        <tr r="K1173" s="1"/>
      </tp>
      <tp t="s">
        <v>FIXED</v>
        <stp/>
        <stp>##V3_BDPV12</stp>
        <stp>912827QD Govt</stp>
        <stp>CPN_TYP</stp>
        <stp>[TREASURY.xlsx]Sheet1!R1056C11</stp>
        <tr r="K1056" s="1"/>
      </tp>
      <tp t="s">
        <v>FIXED</v>
        <stp/>
        <stp>##V3_BDPV12</stp>
        <stp>912827UZ Govt</stp>
        <stp>CPN_TYP</stp>
        <stp>[TREASURY.xlsx]Sheet1!R1409C11</stp>
        <tr r="K1409" s="1"/>
      </tp>
      <tp t="s">
        <v>FIXED</v>
        <stp/>
        <stp>##V3_BDPV12</stp>
        <stp>912827TV Govt</stp>
        <stp>CPN_TYP</stp>
        <stp>[TREASURY.xlsx]Sheet1!R1510C11</stp>
        <tr r="K1510" s="1"/>
      </tp>
      <tp t="s">
        <v>FIXED</v>
        <stp/>
        <stp>##V3_BDPV12</stp>
        <stp>912827UU Govt</stp>
        <stp>CPN_TYP</stp>
        <stp>[TREASURY.xlsx]Sheet1!R1408C11</stp>
        <tr r="K1408" s="1"/>
      </tp>
      <tp t="s">
        <v>FIXED</v>
        <stp/>
        <stp>##V3_BDPV12</stp>
        <stp>912827PU Govt</stp>
        <stp>CPN_TYP</stp>
        <stp>[TREASURY.xlsx]Sheet1!R1175C11</stp>
        <tr r="K1175" s="1"/>
      </tp>
      <tp t="s">
        <v>FIXED</v>
        <stp/>
        <stp>##V3_BDPV12</stp>
        <stp>912827US Govt</stp>
        <stp>CPN_TYP</stp>
        <stp>[TREASURY.xlsx]Sheet1!R1407C11</stp>
        <tr r="K1407" s="1"/>
      </tp>
      <tp t="s">
        <v>FIXED</v>
        <stp/>
        <stp>##V3_BDPV12</stp>
        <stp>912827QT Govt</stp>
        <stp>CPN_TYP</stp>
        <stp>[TREASURY.xlsx]Sheet1!R1059C11</stp>
        <tr r="K1059" s="1"/>
      </tp>
      <tp t="s">
        <v>FIXED</v>
        <stp/>
        <stp>##V3_BDPV12</stp>
        <stp>912827T9 Govt</stp>
        <stp>CPN_TYP</stp>
        <stp>[TREASURY.xlsx]Sheet1!R1505C11</stp>
        <tr r="K1505" s="1"/>
      </tp>
      <tp t="s">
        <v>FIXED</v>
        <stp/>
        <stp>##V3_BDPV12</stp>
        <stp>912827U4 Govt</stp>
        <stp>CPN_TYP</stp>
        <stp>[TREASURY.xlsx]Sheet1!R1403C11</stp>
        <tr r="K1403" s="1"/>
      </tp>
      <tp t="s">
        <v>FIXED</v>
        <stp/>
        <stp>##V3_BDPV12</stp>
        <stp>912827P4 Govt</stp>
        <stp>CPN_TYP</stp>
        <stp>[TREASURY.xlsx]Sheet1!R1171C11</stp>
        <tr r="K1171" s="1"/>
      </tp>
      <tp t="s">
        <v>FIXED</v>
        <stp/>
        <stp>##V3_BDPV12</stp>
        <stp>912827VF Govt</stp>
        <stp>CPN_TYP</stp>
        <stp>[TREASURY.xlsx]Sheet1!R1086C11</stp>
        <tr r="K1086" s="1"/>
      </tp>
      <tp t="s">
        <v>FIXED</v>
        <stp/>
        <stp>##V3_BDPV12</stp>
        <stp>912827SG Govt</stp>
        <stp>CPN_TYP</stp>
        <stp>[TREASURY.xlsx]Sheet1!R1588C11</stp>
        <tr r="K1588" s="1"/>
      </tp>
      <tp t="s">
        <v>FIXED</v>
        <stp/>
        <stp>##V3_BDPV12</stp>
        <stp>912827VD Govt</stp>
        <stp>CPN_TYP</stp>
        <stp>[TREASURY.xlsx]Sheet1!R1085C11</stp>
        <tr r="K1085" s="1"/>
      </tp>
      <tp t="s">
        <v>FIXED</v>
        <stp/>
        <stp>##V3_BDPV12</stp>
        <stp>912827SA Govt</stp>
        <stp>CPN_TYP</stp>
        <stp>[TREASURY.xlsx]Sheet1!R1587C11</stp>
        <tr r="K1587" s="1"/>
      </tp>
      <tp t="s">
        <v>FIXED</v>
        <stp/>
        <stp>##V3_BDPV12</stp>
        <stp>912827VL Govt</stp>
        <stp>CPN_TYP</stp>
        <stp>[TREASURY.xlsx]Sheet1!R1087C11</stp>
        <tr r="K1087" s="1"/>
      </tp>
      <tp t="s">
        <v>FIXED</v>
        <stp/>
        <stp>##V3_BDPV12</stp>
        <stp>912827VM Govt</stp>
        <stp>CPN_TYP</stp>
        <stp>[TREASURY.xlsx]Sheet1!R1088C11</stp>
        <tr r="K1088" s="1"/>
      </tp>
      <tp t="s">
        <v>FIXED</v>
        <stp/>
        <stp>##V3_BDPV12</stp>
        <stp>912827SK Govt</stp>
        <stp>CPN_TYP</stp>
        <stp>[TREASURY.xlsx]Sheet1!R1589C11</stp>
        <tr r="K1589" s="1"/>
      </tp>
      <tp t="s">
        <v>FIXED</v>
        <stp/>
        <stp>##V3_BDPV12</stp>
        <stp>912827VZ Govt</stp>
        <stp>CPN_TYP</stp>
        <stp>[TREASURY.xlsx]Sheet1!R1089C11</stp>
        <tr r="K1089" s="1"/>
      </tp>
      <tp t="s">
        <v>FIXED</v>
        <stp/>
        <stp>##V3_BDPV12</stp>
        <stp>912827V6 Govt</stp>
        <stp>CPN_TYP</stp>
        <stp>[TREASURY.xlsx]Sheet1!R1084C11</stp>
        <tr r="K1084" s="1"/>
      </tp>
      <tp t="s">
        <v>FIXED</v>
        <stp/>
        <stp>##V3_BDPV12</stp>
        <stp>912827R4 Govt</stp>
        <stp>CPN_TYP</stp>
        <stp>[TREASURY.xlsx]Sheet1!R1499C11</stp>
        <tr r="K1499" s="1"/>
      </tp>
      <tp t="s">
        <v>FIXED</v>
        <stp/>
        <stp>##V3_BDPV12</stp>
        <stp>912827V5 Govt</stp>
        <stp>CPN_TYP</stp>
        <stp>[TREASURY.xlsx]Sheet1!R1083C11</stp>
        <tr r="K1083" s="1"/>
      </tp>
      <tp t="s">
        <v>FIXED</v>
        <stp/>
        <stp>##V3_BDPV12</stp>
        <stp>912827V2 Govt</stp>
        <stp>CPN_TYP</stp>
        <stp>[TREASURY.xlsx]Sheet1!R1082C11</stp>
        <tr r="K1082" s="1"/>
      </tp>
      <tp t="s">
        <v>FIXED</v>
        <stp/>
        <stp>##V3_BDPV12</stp>
        <stp>912827S3 Govt</stp>
        <stp>CPN_TYP</stp>
        <stp>[TREASURY.xlsx]Sheet1!R1585C11</stp>
        <tr r="K1585" s="1"/>
      </tp>
      <tp t="s">
        <v>FIXED</v>
        <stp/>
        <stp>##V3_BDPV12</stp>
        <stp>912827S7 Govt</stp>
        <stp>CPN_TYP</stp>
        <stp>[TREASURY.xlsx]Sheet1!R1504C11</stp>
        <tr r="K1504" s="1"/>
      </tp>
      <tp t="s">
        <v>FIXED</v>
        <stp/>
        <stp>##V3_BDPV12</stp>
        <stp>912827S8 Govt</stp>
        <stp>CPN_TYP</stp>
        <stp>[TREASURY.xlsx]Sheet1!R1586C11</stp>
        <tr r="K1586" s="1"/>
      </tp>
      <tp t="s">
        <v>FIXED</v>
        <stp/>
        <stp>##V3_BDPV12</stp>
        <stp>912827WG Govt</stp>
        <stp>CPN_TYP</stp>
        <stp>[TREASURY.xlsx]Sheet1!R1091C11</stp>
        <tr r="K1091" s="1"/>
      </tp>
      <tp t="s">
        <v>FIXED</v>
        <stp/>
        <stp>##V3_BDPV12</stp>
        <stp>912827TF Govt</stp>
        <stp>CPN_TYP</stp>
        <stp>[TREASURY.xlsx]Sheet1!R1399C11</stp>
        <tr r="K1399" s="1"/>
      </tp>
      <tp t="s">
        <v>FIXED</v>
        <stp/>
        <stp>##V3_BDPV12</stp>
        <stp>912827WF Govt</stp>
        <stp>CPN_TYP</stp>
        <stp>[TREASURY.xlsx]Sheet1!R1090C11</stp>
        <tr r="K1090" s="1"/>
      </tp>
      <tp t="s">
        <v>FIXED</v>
        <stp/>
        <stp>##V3_BDPV12</stp>
        <stp>912827RL Govt</stp>
        <stp>CPN_TYP</stp>
        <stp>[TREASURY.xlsx]Sheet1!R1503C11</stp>
        <tr r="K1503" s="1"/>
      </tp>
      <tp t="s">
        <v>FIXED</v>
        <stp/>
        <stp>##V3_BDPV12</stp>
        <stp>912827UL Govt</stp>
        <stp>CPN_TYP</stp>
        <stp>[TREASURY.xlsx]Sheet1!R1201C11</stp>
        <tr r="K1201" s="1"/>
      </tp>
      <tp t="s">
        <v>FIXED</v>
        <stp/>
        <stp>##V3_BDPV12</stp>
        <stp>912827TD Govt</stp>
        <stp>CPN_TYP</stp>
        <stp>[TREASURY.xlsx]Sheet1!R1398C11</stp>
        <tr r="K1398" s="1"/>
      </tp>
      <tp t="s">
        <v>FIXED</v>
        <stp/>
        <stp>##V3_BDPV12</stp>
        <stp>912827UK Govt</stp>
        <stp>CPN_TYP</stp>
        <stp>[TREASURY.xlsx]Sheet1!R1200C11</stp>
        <tr r="K1200" s="1"/>
      </tp>
      <tp t="s">
        <v>FIXED</v>
        <stp/>
        <stp>##V3_BDPV12</stp>
        <stp>912827RH Govt</stp>
        <stp>CPN_TYP</stp>
        <stp>[TREASURY.xlsx]Sheet1!R1502C11</stp>
        <tr r="K1502" s="1"/>
      </tp>
      <tp t="s">
        <v>FIXED</v>
        <stp/>
        <stp>##V3_BDPV12</stp>
        <stp>912827WN Govt</stp>
        <stp>CPN_TYP</stp>
        <stp>[TREASURY.xlsx]Sheet1!R1092C11</stp>
        <tr r="K1092" s="1"/>
      </tp>
      <tp t="s">
        <v>FIXED</v>
        <stp/>
        <stp>##V3_BDPV12</stp>
        <stp>912827RG Govt</stp>
        <stp>CPN_TYP</stp>
        <stp>[TREASURY.xlsx]Sheet1!R1501C11</stp>
        <tr r="K1501" s="1"/>
      </tp>
      <tp t="s">
        <v>FIXED</v>
        <stp/>
        <stp>##V3_BDPV12</stp>
        <stp>912827RM Govt</stp>
        <stp>CPN_TYP</stp>
        <stp>[TREASURY.xlsx]Sheet1!R1580C11</stp>
        <tr r="K1580" s="1"/>
      </tp>
      <tp t="s">
        <v>FIXED</v>
        <stp/>
        <stp>##V3_BDPV12</stp>
        <stp>912827RF Govt</stp>
        <stp>CPN_TYP</stp>
        <stp>[TREASURY.xlsx]Sheet1!R1579C11</stp>
        <tr r="K1579" s="1"/>
      </tp>
      <tp t="s">
        <v>FIXED</v>
        <stp/>
        <stp>##V3_BDPV12</stp>
        <stp>912827RV Govt</stp>
        <stp>CPN_TYP</stp>
        <stp>[TREASURY.xlsx]Sheet1!R1582C11</stp>
        <tr r="K1582" s="1"/>
      </tp>
      <tp t="s">
        <v>FIXED</v>
        <stp/>
        <stp>##V3_BDPV12</stp>
        <stp>912827RT Govt</stp>
        <stp>CPN_TYP</stp>
        <stp>[TREASURY.xlsx]Sheet1!R1581C11</stp>
        <tr r="K1581" s="1"/>
      </tp>
      <tp t="s">
        <v>FIXED</v>
        <stp/>
        <stp>##V3_BDPV12</stp>
        <stp>912827WQ Govt</stp>
        <stp>CPN_TYP</stp>
        <stp>[TREASURY.xlsx]Sheet1!R1093C11</stp>
        <tr r="K1093" s="1"/>
      </tp>
      <tp t="s">
        <v>FIXED</v>
        <stp/>
        <stp>##V3_BDPV12</stp>
        <stp>912827RZ Govt</stp>
        <stp>CPN_TYP</stp>
        <stp>[TREASURY.xlsx]Sheet1!R1584C11</stp>
        <tr r="K1584" s="1"/>
      </tp>
      <tp t="s">
        <v>FIXED</v>
        <stp/>
        <stp>##V3_BDPV12</stp>
        <stp>912827UP Govt</stp>
        <stp>CPN_TYP</stp>
        <stp>[TREASURY.xlsx]Sheet1!R1202C11</stp>
        <tr r="K1202" s="1"/>
      </tp>
      <tp t="s">
        <v>FIXED</v>
        <stp/>
        <stp>##V3_BDPV12</stp>
        <stp>912827RY Govt</stp>
        <stp>CPN_TYP</stp>
        <stp>[TREASURY.xlsx]Sheet1!R1583C11</stp>
        <tr r="K1583" s="1"/>
      </tp>
      <tp t="s">
        <v>FIXED</v>
        <stp/>
        <stp>##V3_BDPV12</stp>
        <stp>912827R9 Govt</stp>
        <stp>CPN_TYP</stp>
        <stp>[TREASURY.xlsx]Sheet1!R1578C11</stp>
        <tr r="K1578" s="1"/>
      </tp>
      <tp t="s">
        <v>FIXED</v>
        <stp/>
        <stp>##V3_BDPV12</stp>
        <stp>912827T4 Govt</stp>
        <stp>CPN_TYP</stp>
        <stp>[TREASURY.xlsx]Sheet1!R1397C11</stp>
        <tr r="K1397" s="1"/>
      </tp>
      <tp t="s">
        <v>FIXED</v>
        <stp/>
        <stp>##V3_BDPV12</stp>
        <stp>912827R6 Govt</stp>
        <stp>CPN_TYP</stp>
        <stp>[TREASURY.xlsx]Sheet1!R1500C11</stp>
        <tr r="K1500" s="1"/>
      </tp>
      <tp t="s">
        <v>FIXED</v>
        <stp/>
        <stp>##V3_BDPV12</stp>
        <stp>912827R7 Govt</stp>
        <stp>CPN_TYP</stp>
        <stp>[TREASURY.xlsx]Sheet1!R1577C11</stp>
        <tr r="K1577" s="1"/>
      </tp>
      <tp t="s">
        <v>FIXED</v>
        <stp/>
        <stp>##V3_BDPV12</stp>
        <stp>912827UG Govt</stp>
        <stp>CPN_TYP</stp>
        <stp>[TREASURY.xlsx]Sheet1!R1199C11</stp>
        <tr r="K1199" s="1"/>
      </tp>
      <tp t="s">
        <v>FIXED</v>
        <stp/>
        <stp>##V3_BDPV12</stp>
        <stp>912827TJ Govt</stp>
        <stp>CPN_TYP</stp>
        <stp>[TREASURY.xlsx]Sheet1!R1073C11</stp>
        <tr r="K1073" s="1"/>
      </tp>
      <tp t="s">
        <v>FIXED</v>
        <stp/>
        <stp>##V3_BDPV12</stp>
        <stp>912827VJ Govt</stp>
        <stp>CPN_TYP</stp>
        <stp>[TREASURY.xlsx]Sheet1!R1203C11</stp>
        <tr r="K1203" s="1"/>
      </tp>
      <tp t="s">
        <v>FIXED</v>
        <stp/>
        <stp>##V3_BDPV12</stp>
        <stp>912827TN Govt</stp>
        <stp>CPN_TYP</stp>
        <stp>[TREASURY.xlsx]Sheet1!R1074C11</stp>
        <tr r="K1074" s="1"/>
      </tp>
      <tp t="s">
        <v>FIXED</v>
        <stp/>
        <stp>##V3_BDPV12</stp>
        <stp>912827TB Govt</stp>
        <stp>CPN_TYP</stp>
        <stp>[TREASURY.xlsx]Sheet1!R1072C11</stp>
        <tr r="K1072" s="1"/>
      </tp>
      <tp t="s">
        <v>FIXED</v>
        <stp/>
        <stp>##V3_BDPV12</stp>
        <stp>912827QB Govt</stp>
        <stp>CPN_TYP</stp>
        <stp>[TREASURY.xlsx]Sheet1!R1574C11</stp>
        <tr r="K1574" s="1"/>
      </tp>
      <tp t="s">
        <v>FIXED</v>
        <stp/>
        <stp>##V3_BDPV12</stp>
        <stp>912827TY Govt</stp>
        <stp>CPN_TYP</stp>
        <stp>[TREASURY.xlsx]Sheet1!R1076C11</stp>
        <tr r="K1076" s="1"/>
      </tp>
      <tp t="s">
        <v>FIXED</v>
        <stp/>
        <stp>##V3_BDPV12</stp>
        <stp>912827QX Govt</stp>
        <stp>CPN_TYP</stp>
        <stp>[TREASURY.xlsx]Sheet1!R1575C11</stp>
        <tr r="K1575" s="1"/>
      </tp>
      <tp t="s">
        <v>FIXED</v>
        <stp/>
        <stp>##V3_BDPV12</stp>
        <stp>912827QZ Govt</stp>
        <stp>CPN_TYP</stp>
        <stp>[TREASURY.xlsx]Sheet1!R1576C11</stp>
        <tr r="K1576" s="1"/>
      </tp>
      <tp t="s">
        <v>FIXED</v>
        <stp/>
        <stp>##V3_BDPV12</stp>
        <stp>912827TQ Govt</stp>
        <stp>CPN_TYP</stp>
        <stp>[TREASURY.xlsx]Sheet1!R1075C11</stp>
        <tr r="K1075" s="1"/>
      </tp>
      <tp t="s">
        <v>FIXED</v>
        <stp/>
        <stp>##V3_BDPV12</stp>
        <stp>912827VS Govt</stp>
        <stp>CPN_TYP</stp>
        <stp>[TREASURY.xlsx]Sheet1!R1205C11</stp>
        <tr r="K1205" s="1"/>
      </tp>
      <tp t="s">
        <v>FIXED</v>
        <stp/>
        <stp>##V3_BDPV12</stp>
        <stp>912827PY Govt</stp>
        <stp>CPN_TYP</stp>
        <stp>[TREASURY.xlsx]Sheet1!R1493C11</stp>
        <tr r="K1493" s="1"/>
      </tp>
      <tp t="s">
        <v>FIXED</v>
        <stp/>
        <stp>##V3_BDPV12</stp>
        <stp>912827VP Govt</stp>
        <stp>CPN_TYP</stp>
        <stp>[TREASURY.xlsx]Sheet1!R1204C11</stp>
        <tr r="K1204" s="1"/>
      </tp>
      <tp t="s">
        <v>FIXED</v>
        <stp/>
        <stp>##V3_BDPV12</stp>
        <stp>912827Q9 Govt</stp>
        <stp>CPN_TYP</stp>
        <stp>[TREASURY.xlsx]Sheet1!R1573C11</stp>
        <tr r="K1573" s="1"/>
      </tp>
      <tp t="s">
        <v>FIXED</v>
        <stp/>
        <stp>##V3_BDPV12</stp>
        <stp>912827Q8 Govt</stp>
        <stp>CPN_TYP</stp>
        <stp>[TREASURY.xlsx]Sheet1!R1572C11</stp>
        <tr r="K1572" s="1"/>
      </tp>
      <tp t="s">
        <v>FIXED</v>
        <stp/>
        <stp>##V3_BDPV12</stp>
        <stp>912827T8 Govt</stp>
        <stp>CPN_TYP</stp>
        <stp>[TREASURY.xlsx]Sheet1!R1071C11</stp>
        <tr r="K1071" s="1"/>
      </tp>
      <tp t="s">
        <v>FIXED</v>
        <stp/>
        <stp>##V3_BDPV12</stp>
        <stp>912827U5 Govt</stp>
        <stp>CPN_TYP</stp>
        <stp>[TREASURY.xlsx]Sheet1!R1197C11</stp>
        <tr r="K1197" s="1"/>
      </tp>
      <tp t="s">
        <v>FIXED</v>
        <stp/>
        <stp>##V3_BDPV12</stp>
        <stp>912827T3 Govt</stp>
        <stp>CPN_TYP</stp>
        <stp>[TREASURY.xlsx]Sheet1!R1069C11</stp>
        <tr r="K1069" s="1"/>
      </tp>
      <tp t="s">
        <v>FIXED</v>
        <stp/>
        <stp>##V3_BDPV12</stp>
        <stp>912827T7 Govt</stp>
        <stp>CPN_TYP</stp>
        <stp>[TREASURY.xlsx]Sheet1!R1070C11</stp>
        <tr r="K1070" s="1"/>
      </tp>
      <tp t="s">
        <v>FIXED</v>
        <stp/>
        <stp>##V3_BDPV12</stp>
        <stp>912827U8 Govt</stp>
        <stp>CPN_TYP</stp>
        <stp>[TREASURY.xlsx]Sheet1!R1198C11</stp>
        <tr r="K1198" s="1"/>
      </tp>
      <tp t="s">
        <v>FIXED</v>
        <stp/>
        <stp>##V3_BDPV12</stp>
        <stp>912827P8 Govt</stp>
        <stp>CPN_TYP</stp>
        <stp>[TREASURY.xlsx]Sheet1!R1492C11</stp>
        <tr r="K1492" s="1"/>
      </tp>
      <tp t="s">
        <v>FIXED</v>
        <stp/>
        <stp>##V3_BDPV12</stp>
        <stp>912827UH Govt</stp>
        <stp>CPN_TYP</stp>
        <stp>[TREASURY.xlsx]Sheet1!R1078C11</stp>
        <tr r="K1078" s="1"/>
      </tp>
      <tp t="s">
        <v>FIXED</v>
        <stp/>
        <stp>##V3_BDPV12</stp>
        <stp>912827QF Govt</stp>
        <stp>CPN_TYP</stp>
        <stp>[TREASURY.xlsx]Sheet1!R1495C11</stp>
        <tr r="K1495" s="1"/>
      </tp>
      <tp t="s">
        <v>FIXED</v>
        <stp/>
        <stp>##V3_BDPV12</stp>
        <stp>912827WL Govt</stp>
        <stp>CPN_TYP</stp>
        <stp>[TREASURY.xlsx]Sheet1!R1208C11</stp>
        <tr r="K1208" s="1"/>
      </tp>
      <tp t="s">
        <v>FIXED</v>
        <stp/>
        <stp>##V3_BDPV12</stp>
        <stp>912827WJ Govt</stp>
        <stp>CPN_TYP</stp>
        <stp>[TREASURY.xlsx]Sheet1!R1207C11</stp>
        <tr r="K1207" s="1"/>
      </tp>
      <tp t="s">
        <v>FIXED</v>
        <stp/>
        <stp>##V3_BDPV12</stp>
        <stp>912827PD Govt</stp>
        <stp>CPN_TYP</stp>
        <stp>[TREASURY.xlsx]Sheet1!R1569C11</stp>
        <tr r="K1569" s="1"/>
      </tp>
      <tp t="s">
        <v>FIXED</v>
        <stp/>
        <stp>##V3_BDPV12</stp>
        <stp>912827QK Govt</stp>
        <stp>CPN_TYP</stp>
        <stp>[TREASURY.xlsx]Sheet1!R1496C11</stp>
        <tr r="K1496" s="1"/>
      </tp>
      <tp t="s">
        <v>FIXED</v>
        <stp/>
        <stp>##V3_BDPV12</stp>
        <stp>912827UE Govt</stp>
        <stp>CPN_TYP</stp>
        <stp>[TREASURY.xlsx]Sheet1!R1077C11</stp>
        <tr r="K1077" s="1"/>
      </tp>
      <tp t="s">
        <v>FIXED</v>
        <stp/>
        <stp>##V3_BDPV12</stp>
        <stp>912827TH Govt</stp>
        <stp>CPN_TYP</stp>
        <stp>[TREASURY.xlsx]Sheet1!R1192C11</stp>
        <tr r="K1192" s="1"/>
      </tp>
      <tp t="s">
        <v>FIXED</v>
        <stp/>
        <stp>##V3_BDPV12</stp>
        <stp>912827WA Govt</stp>
        <stp>CPN_TYP</stp>
        <stp>[TREASURY.xlsx]Sheet1!R1206C11</stp>
        <tr r="K1206" s="1"/>
      </tp>
      <tp t="s">
        <v>FIXED</v>
        <stp/>
        <stp>##V3_BDPV12</stp>
        <stp>912827QV Govt</stp>
        <stp>CPN_TYP</stp>
        <stp>[TREASURY.xlsx]Sheet1!R1498C11</stp>
        <tr r="K1498" s="1"/>
      </tp>
      <tp t="s">
        <v>FIXED</v>
        <stp/>
        <stp>##V3_BDPV12</stp>
        <stp>912827PX Govt</stp>
        <stp>CPN_TYP</stp>
        <stp>[TREASURY.xlsx]Sheet1!R1570C11</stp>
        <tr r="K1570" s="1"/>
      </tp>
      <tp t="s">
        <v>FIXED</v>
        <stp/>
        <stp>##V3_BDPV12</stp>
        <stp>912827QU Govt</stp>
        <stp>CPN_TYP</stp>
        <stp>[TREASURY.xlsx]Sheet1!R1497C11</stp>
        <tr r="K1497" s="1"/>
      </tp>
      <tp t="s">
        <v>FIXED</v>
        <stp/>
        <stp>##V3_BDPV12</stp>
        <stp>912827PZ Govt</stp>
        <stp>CPN_TYP</stp>
        <stp>[TREASURY.xlsx]Sheet1!R1571C11</stp>
        <tr r="K1571" s="1"/>
      </tp>
      <tp t="s">
        <v>FIXED</v>
        <stp/>
        <stp>##V3_BDPV12</stp>
        <stp>912827TT Govt</stp>
        <stp>CPN_TYP</stp>
        <stp>[TREASURY.xlsx]Sheet1!R1195C11</stp>
        <tr r="K1195" s="1"/>
      </tp>
      <tp t="s">
        <v>FIXED</v>
        <stp/>
        <stp>##V3_BDPV12</stp>
        <stp>912827UR Govt</stp>
        <stp>CPN_TYP</stp>
        <stp>[TREASURY.xlsx]Sheet1!R1080C11</stp>
        <tr r="K1080" s="1"/>
      </tp>
      <tp t="s">
        <v>FIXED</v>
        <stp/>
        <stp>##V3_BDPV12</stp>
        <stp>912827TR Govt</stp>
        <stp>CPN_TYP</stp>
        <stp>[TREASURY.xlsx]Sheet1!R1194C11</stp>
        <tr r="K1194" s="1"/>
      </tp>
      <tp t="s">
        <v>FIXED</v>
        <stp/>
        <stp>##V3_BDPV12</stp>
        <stp>912827WY Govt</stp>
        <stp>CPN_TYP</stp>
        <stp>[TREASURY.xlsx]Sheet1!R1210C11</stp>
        <tr r="K1210" s="1"/>
      </tp>
      <tp t="s">
        <v>FIXED</v>
        <stp/>
        <stp>##V3_BDPV12</stp>
        <stp>912827TP Govt</stp>
        <stp>CPN_TYP</stp>
        <stp>[TREASURY.xlsx]Sheet1!R1193C11</stp>
        <tr r="K1193" s="1"/>
      </tp>
      <tp t="s">
        <v>FIXED</v>
        <stp/>
        <stp>##V3_BDPV12</stp>
        <stp>912827UQ Govt</stp>
        <stp>CPN_TYP</stp>
        <stp>[TREASURY.xlsx]Sheet1!R1079C11</stp>
        <tr r="K1079" s="1"/>
      </tp>
      <tp t="s">
        <v>FIXED</v>
        <stp/>
        <stp>##V3_BDPV12</stp>
        <stp>912827WV Govt</stp>
        <stp>CPN_TYP</stp>
        <stp>[TREASURY.xlsx]Sheet1!R1209C11</stp>
        <tr r="K1209" s="1"/>
      </tp>
      <tp t="s">
        <v>FIXED</v>
        <stp/>
        <stp>##V3_BDPV12</stp>
        <stp>912827UX Govt</stp>
        <stp>CPN_TYP</stp>
        <stp>[TREASURY.xlsx]Sheet1!R1081C11</stp>
        <tr r="K1081" s="1"/>
      </tp>
      <tp t="s">
        <v>FIXED</v>
        <stp/>
        <stp>##V3_BDPV12</stp>
        <stp>912827TX Govt</stp>
        <stp>CPN_TYP</stp>
        <stp>[TREASURY.xlsx]Sheet1!R1196C11</stp>
        <tr r="K1196" s="1"/>
      </tp>
      <tp t="s">
        <v>FIXED</v>
        <stp/>
        <stp>##V3_BDPV12</stp>
        <stp>912827T6 Govt</stp>
        <stp>CPN_TYP</stp>
        <stp>[TREASURY.xlsx]Sheet1!R1191C11</stp>
        <tr r="K1191" s="1"/>
      </tp>
      <tp t="s">
        <v>FIXED</v>
        <stp/>
        <stp>##V3_BDPV12</stp>
        <stp>912827Q3 Govt</stp>
        <stp>CPN_TYP</stp>
        <stp>[TREASURY.xlsx]Sheet1!R1494C11</stp>
        <tr r="K1494" s="1"/>
      </tp>
      <tp t="s">
        <v>FIXED</v>
        <stp/>
        <stp>##V3_BDPV12</stp>
        <stp>912827XM Govt</stp>
        <stp>CPN_TYP</stp>
        <stp>[TREASURY.xlsx]Sheet1!R1215C11</stp>
        <tr r="K1215" s="1"/>
      </tp>
      <tp t="s">
        <v>FIXED</v>
        <stp/>
        <stp>##V3_BDPV12</stp>
        <stp>912827XL Govt</stp>
        <stp>CPN_TYP</stp>
        <stp>[TREASURY.xlsx]Sheet1!R1214C11</stp>
        <tr r="K1214" s="1"/>
      </tp>
      <tp t="s">
        <v>FIXED</v>
        <stp/>
        <stp>##V3_BDPV12</stp>
        <stp>912827XW Govt</stp>
        <stp>CPN_TYP</stp>
        <stp>[TREASURY.xlsx]Sheet1!R1218C11</stp>
        <tr r="K1218" s="1"/>
      </tp>
      <tp t="s">
        <v>FIXED</v>
        <stp/>
        <stp>##V3_BDPV12</stp>
        <stp>912827XU Govt</stp>
        <stp>CPN_TYP</stp>
        <stp>[TREASURY.xlsx]Sheet1!R1217C11</stp>
        <tr r="K1217" s="1"/>
      </tp>
      <tp t="s">
        <v>FIXED</v>
        <stp/>
        <stp>##V3_BDPV12</stp>
        <stp>912827XR Govt</stp>
        <stp>CPN_TYP</stp>
        <stp>[TREASURY.xlsx]Sheet1!R1216C11</stp>
        <tr r="K1216" s="1"/>
      </tp>
      <tp t="s">
        <v>FIXED</v>
        <stp/>
        <stp>##V3_BDPV12</stp>
        <stp>912827X8 Govt</stp>
        <stp>CPN_TYP</stp>
        <stp>[TREASURY.xlsx]Sheet1!R1213C11</stp>
        <tr r="K1213" s="1"/>
      </tp>
      <tp t="s">
        <v>FIXED</v>
        <stp/>
        <stp>##V3_BDPV12</stp>
        <stp>912827X6 Govt</stp>
        <stp>CPN_TYP</stp>
        <stp>[TREASURY.xlsx]Sheet1!R1212C11</stp>
        <tr r="K1212" s="1"/>
      </tp>
      <tp t="s">
        <v>FIXED</v>
        <stp/>
        <stp>##V3_BDPV12</stp>
        <stp>912827X2 Govt</stp>
        <stp>CPN_TYP</stp>
        <stp>[TREASURY.xlsx]Sheet1!R1211C11</stp>
        <tr r="K1211" s="1"/>
      </tp>
      <tp t="s">
        <v>FIXED</v>
        <stp/>
        <stp>##V3_BDPV12</stp>
        <stp>912827YH Govt</stp>
        <stp>CPN_TYP</stp>
        <stp>[TREASURY.xlsx]Sheet1!R1221C11</stp>
        <tr r="K1221" s="1"/>
      </tp>
      <tp t="s">
        <v>FIXED</v>
        <stp/>
        <stp>##V3_BDPV12</stp>
        <stp>912827YK Govt</stp>
        <stp>CPN_TYP</stp>
        <stp>[TREASURY.xlsx]Sheet1!R1222C11</stp>
        <tr r="K1222" s="1"/>
      </tp>
      <tp t="s">
        <v>FIXED</v>
        <stp/>
        <stp>##V3_BDPV12</stp>
        <stp>912827ZG Govt</stp>
        <stp>CPN_TYP</stp>
        <stp>[TREASURY.xlsx]Sheet1!R1103C11</stp>
        <tr r="K1103" s="1"/>
      </tp>
      <tp t="s">
        <v>FIXED</v>
        <stp/>
        <stp>##V3_BDPV12</stp>
        <stp>912827YC Govt</stp>
        <stp>CPN_TYP</stp>
        <stp>[TREASURY.xlsx]Sheet1!R1220C11</stp>
        <tr r="K1220" s="1"/>
      </tp>
      <tp t="s">
        <v>FIXED</v>
        <stp/>
        <stp>##V3_BDPV12</stp>
        <stp>912827YU Govt</stp>
        <stp>CPN_TYP</stp>
        <stp>[TREASURY.xlsx]Sheet1!R1224C11</stp>
        <tr r="K1224" s="1"/>
      </tp>
      <tp t="s">
        <v>FIXED</v>
        <stp/>
        <stp>##V3_BDPV12</stp>
        <stp>912827ZW Govt</stp>
        <stp>CPN_TYP</stp>
        <stp>[TREASURY.xlsx]Sheet1!R1104C11</stp>
        <tr r="K1104" s="1"/>
      </tp>
      <tp t="s">
        <v>FIXED</v>
        <stp/>
        <stp>##V3_BDPV12</stp>
        <stp>912827YQ Govt</stp>
        <stp>CPN_TYP</stp>
        <stp>[TREASURY.xlsx]Sheet1!R1223C11</stp>
        <tr r="K1223" s="1"/>
      </tp>
      <tp t="s">
        <v>FIXED</v>
        <stp/>
        <stp>##V3_BDPV12</stp>
        <stp>912827Z8 Govt</stp>
        <stp>CPN_TYP</stp>
        <stp>[TREASURY.xlsx]Sheet1!R1102C11</stp>
        <tr r="K1102" s="1"/>
      </tp>
      <tp t="s">
        <v>FIXED</v>
        <stp/>
        <stp>##V3_BDPV12</stp>
        <stp>912827Y7 Govt</stp>
        <stp>CPN_TYP</stp>
        <stp>[TREASURY.xlsx]Sheet1!R1219C11</stp>
        <tr r="K1219" s="1"/>
      </tp>
      <tp t="s">
        <v>FIXED</v>
        <stp/>
        <stp>##V3_BDPV12</stp>
        <stp>912827ZM Govt</stp>
        <stp>CPN_TYP</stp>
        <stp>[TREASURY.xlsx]Sheet1!R1230C11</stp>
        <tr r="K1230" s="1"/>
      </tp>
      <tp t="s">
        <v>FIXED</v>
        <stp/>
        <stp>##V3_BDPV12</stp>
        <stp>912827ZF Govt</stp>
        <stp>CPN_TYP</stp>
        <stp>[TREASURY.xlsx]Sheet1!R1229C11</stp>
        <tr r="K1229" s="1"/>
      </tp>
      <tp t="s">
        <v>FIXED</v>
        <stp/>
        <stp>##V3_BDPV12</stp>
        <stp>912827YB Govt</stp>
        <stp>CPN_TYP</stp>
        <stp>[TREASURY.xlsx]Sheet1!R1100C11</stp>
        <tr r="K1100" s="1"/>
      </tp>
      <tp t="s">
        <v>FIXED</v>
        <stp/>
        <stp>##V3_BDPV12</stp>
        <stp>912827ZA Govt</stp>
        <stp>CPN_TYP</stp>
        <stp>[TREASURY.xlsx]Sheet1!R1227C11</stp>
        <tr r="K1227" s="1"/>
      </tp>
      <tp t="s">
        <v>FIXED</v>
        <stp/>
        <stp>##V3_BDPV12</stp>
        <stp>912827ZB Govt</stp>
        <stp>CPN_TYP</stp>
        <stp>[TREASURY.xlsx]Sheet1!R1228C11</stp>
        <tr r="K1228" s="1"/>
      </tp>
      <tp t="s">
        <v>FIXED</v>
        <stp/>
        <stp>##V3_BDPV12</stp>
        <stp>912827XQ Govt</stp>
        <stp>CPN_TYP</stp>
        <stp>[TREASURY.xlsx]Sheet1!R1096C11</stp>
        <tr r="K1096" s="1"/>
      </tp>
      <tp t="s">
        <v>FIXED</v>
        <stp/>
        <stp>##V3_BDPV12</stp>
        <stp>912827YT Govt</stp>
        <stp>CPN_TYP</stp>
        <stp>[TREASURY.xlsx]Sheet1!R1101C11</stp>
        <tr r="K1101" s="1"/>
      </tp>
      <tp t="s">
        <v>FIXED</v>
        <stp/>
        <stp>##V3_BDPV12</stp>
        <stp>912827ZV Govt</stp>
        <stp>CPN_TYP</stp>
        <stp>[TREASURY.xlsx]Sheet1!R1231C11</stp>
        <tr r="K1231" s="1"/>
      </tp>
      <tp t="s">
        <v>FIXED</v>
        <stp/>
        <stp>##V3_BDPV12</stp>
        <stp>912827XZ Govt</stp>
        <stp>CPN_TYP</stp>
        <stp>[TREASURY.xlsx]Sheet1!R1097C11</stp>
        <tr r="K1097" s="1"/>
      </tp>
      <tp t="s">
        <v>FIXED</v>
        <stp/>
        <stp>##V3_BDPV12</stp>
        <stp>912827X7 Govt</stp>
        <stp>CPN_TYP</stp>
        <stp>[TREASURY.xlsx]Sheet1!R1095C11</stp>
        <tr r="K1095" s="1"/>
      </tp>
      <tp t="s">
        <v>FIXED</v>
        <stp/>
        <stp>##V3_BDPV12</stp>
        <stp>912827X3 Govt</stp>
        <stp>CPN_TYP</stp>
        <stp>[TREASURY.xlsx]Sheet1!R1094C11</stp>
        <tr r="K1094" s="1"/>
      </tp>
      <tp t="s">
        <v>FIXED</v>
        <stp/>
        <stp>##V3_BDPV12</stp>
        <stp>912827Z4 Govt</stp>
        <stp>CPN_TYP</stp>
        <stp>[TREASURY.xlsx]Sheet1!R1225C11</stp>
        <tr r="K1225" s="1"/>
      </tp>
      <tp t="s">
        <v>FIXED</v>
        <stp/>
        <stp>##V3_BDPV12</stp>
        <stp>912827Z6 Govt</stp>
        <stp>CPN_TYP</stp>
        <stp>[TREASURY.xlsx]Sheet1!R1226C11</stp>
        <tr r="K1226" s="1"/>
      </tp>
      <tp t="s">
        <v>FIXED</v>
        <stp/>
        <stp>##V3_BDPV12</stp>
        <stp>912827Y6 Govt</stp>
        <stp>CPN_TYP</stp>
        <stp>[TREASURY.xlsx]Sheet1!R1099C11</stp>
        <tr r="K1099" s="1"/>
      </tp>
      <tp t="s">
        <v>FIXED</v>
        <stp/>
        <stp>##V3_BDPV12</stp>
        <stp>912827Y2 Govt</stp>
        <stp>CPN_TYP</stp>
        <stp>[TREASURY.xlsx]Sheet1!R1098C11</stp>
        <tr r="K1098" s="1"/>
      </tp>
      <tp t="s">
        <v>FIXED</v>
        <stp/>
        <stp>##V3_BDPV12</stp>
        <stp>912827XY Govt</stp>
        <stp>CPN_TYP</stp>
        <stp>[TREASURY.xlsx]Sheet1!R1600C11</stp>
        <tr r="K1600" s="1"/>
      </tp>
      <tp t="s">
        <v>FIXED</v>
        <stp/>
        <stp>##V3_BDPV12</stp>
        <stp>912827YL Govt</stp>
        <stp>CPN_TYP</stp>
        <stp>[TREASURY.xlsx]Sheet1!R1605C11</stp>
        <tr r="K1605" s="1"/>
      </tp>
      <tp t="s">
        <v>FIXED</v>
        <stp/>
        <stp>##V3_BDPV12</stp>
        <stp>912827YF Govt</stp>
        <stp>CPN_TYP</stp>
        <stp>[TREASURY.xlsx]Sheet1!R1604C11</stp>
        <tr r="K1604" s="1"/>
      </tp>
      <tp t="s">
        <v>FIXED</v>
        <stp/>
        <stp>##V3_BDPV12</stp>
        <stp>912827YD Govt</stp>
        <stp>CPN_TYP</stp>
        <stp>[TREASURY.xlsx]Sheet1!R1603C11</stp>
        <tr r="K1603" s="1"/>
      </tp>
      <tp t="s">
        <v>FIXED</v>
        <stp/>
        <stp>##V3_BDPV12</stp>
        <stp>912827YW Govt</stp>
        <stp>CPN_TYP</stp>
        <stp>[TREASURY.xlsx]Sheet1!R1607C11</stp>
        <tr r="K1607" s="1"/>
      </tp>
      <tp t="s">
        <v>FIXED</v>
        <stp/>
        <stp>##V3_BDPV12</stp>
        <stp>912827YP Govt</stp>
        <stp>CPN_TYP</stp>
        <stp>[TREASURY.xlsx]Sheet1!R1606C11</stp>
        <tr r="K1606" s="1"/>
      </tp>
      <tp t="s">
        <v>FIXED</v>
        <stp/>
        <stp>##V3_BDPV12</stp>
        <stp>912827Y4 Govt</stp>
        <stp>CPN_TYP</stp>
        <stp>[TREASURY.xlsx]Sheet1!R1602C11</stp>
        <tr r="K1602" s="1"/>
      </tp>
      <tp t="s">
        <v>FIXED</v>
        <stp/>
        <stp>##V3_BDPV12</stp>
        <stp>912827Y3 Govt</stp>
        <stp>CPN_TYP</stp>
        <stp>[TREASURY.xlsx]Sheet1!R1601C11</stp>
        <tr r="K1601" s="1"/>
      </tp>
      <tp t="s">
        <v>FIXED</v>
        <stp/>
        <stp>##V3_BDPV12</stp>
        <stp>912827ZD Govt</stp>
        <stp>CPN_TYP</stp>
        <stp>[TREASURY.xlsx]Sheet1!R1610C11</stp>
        <tr r="K1610" s="1"/>
      </tp>
      <tp t="s">
        <v>FIXED</v>
        <stp/>
        <stp>##V3_BDPV12</stp>
        <stp>912827ZZ Govt</stp>
        <stp>CPN_TYP</stp>
        <stp>[TREASURY.xlsx]Sheet1!R1614C11</stp>
        <tr r="K1614" s="1"/>
      </tp>
      <tp t="s">
        <v>FIXED</v>
        <stp/>
        <stp>##V3_BDPV12</stp>
        <stp>912827ZY Govt</stp>
        <stp>CPN_TYP</stp>
        <stp>[TREASURY.xlsx]Sheet1!R1613C11</stp>
        <tr r="K1613" s="1"/>
      </tp>
      <tp t="s">
        <v>FIXED</v>
        <stp/>
        <stp>##V3_BDPV12</stp>
        <stp>912827ZT Govt</stp>
        <stp>CPN_TYP</stp>
        <stp>[TREASURY.xlsx]Sheet1!R1612C11</stp>
        <tr r="K1612" s="1"/>
      </tp>
      <tp t="s">
        <v>FIXED</v>
        <stp/>
        <stp>##V3_BDPV12</stp>
        <stp>912827ZQ Govt</stp>
        <stp>CPN_TYP</stp>
        <stp>[TREASURY.xlsx]Sheet1!R1611C11</stp>
        <tr r="K1611" s="1"/>
      </tp>
      <tp t="s">
        <v>FIXED</v>
        <stp/>
        <stp>##V3_BDPV12</stp>
        <stp>912827Z5 Govt</stp>
        <stp>CPN_TYP</stp>
        <stp>[TREASURY.xlsx]Sheet1!R1609C11</stp>
        <tr r="K1609" s="1"/>
      </tp>
      <tp t="s">
        <v>FIXED</v>
        <stp/>
        <stp>##V3_BDPV12</stp>
        <stp>912827Z3 Govt</stp>
        <stp>CPN_TYP</stp>
        <stp>[TREASURY.xlsx]Sheet1!R1608C11</stp>
        <tr r="K1608" s="1"/>
      </tp>
      <tp t="s">
        <v>FIXED</v>
        <stp/>
        <stp>##V3_BDPV12</stp>
        <stp>912827XG Govt</stp>
        <stp>CPN_TYP</stp>
        <stp>[TREASURY.xlsx]Sheet1!R1597C11</stp>
        <tr r="K1597" s="1"/>
      </tp>
      <tp t="s">
        <v>FIXED</v>
        <stp/>
        <stp>##V3_BDPV12</stp>
        <stp>912827XF Govt</stp>
        <stp>CPN_TYP</stp>
        <stp>[TREASURY.xlsx]Sheet1!R1596C11</stp>
        <tr r="K1596" s="1"/>
      </tp>
      <tp t="s">
        <v>FIXED</v>
        <stp/>
        <stp>##V3_BDPV12</stp>
        <stp>912827XB Govt</stp>
        <stp>CPN_TYP</stp>
        <stp>[TREASURY.xlsx]Sheet1!R1595C11</stp>
        <tr r="K1595" s="1"/>
      </tp>
      <tp t="s">
        <v>FIXED</v>
        <stp/>
        <stp>##V3_BDPV12</stp>
        <stp>912827XA Govt</stp>
        <stp>CPN_TYP</stp>
        <stp>[TREASURY.xlsx]Sheet1!R1594C11</stp>
        <tr r="K1594" s="1"/>
      </tp>
      <tp t="s">
        <v>FIXED</v>
        <stp/>
        <stp>##V3_BDPV12</stp>
        <stp>912827XN Govt</stp>
        <stp>CPN_TYP</stp>
        <stp>[TREASURY.xlsx]Sheet1!R1598C11</stp>
        <tr r="K1598" s="1"/>
      </tp>
      <tp t="s">
        <v>FIXED</v>
        <stp/>
        <stp>##V3_BDPV12</stp>
        <stp>912827XV Govt</stp>
        <stp>CPN_TYP</stp>
        <stp>[TREASURY.xlsx]Sheet1!R1599C11</stp>
        <tr r="K1599" s="1"/>
      </tp>
      <tp t="s">
        <v>#N/A N/A</v>
        <stp/>
        <stp>##V3_BDPV12</stp>
        <stp>912810DV Govt</stp>
        <stp>YLD_YTM_BID</stp>
        <stp>[TREASURY.xlsx]Sheet1!R527C4</stp>
        <tr r="D527" s="1"/>
      </tp>
      <tp>
        <v>1.75</v>
        <stp/>
        <stp>##V3_BDPV12</stp>
        <stp>912828XW Govt</stp>
        <stp>CPN</stp>
        <stp>[TREASURY.xlsx]Sheet1!R217C3</stp>
        <tr r="C217" s="1"/>
      </tp>
      <tp>
        <v>2.25</v>
        <stp/>
        <stp>##V3_BDPV12</stp>
        <stp>912828WY Govt</stp>
        <stp>CPN</stp>
        <stp>[TREASURY.xlsx]Sheet1!R359C3</stp>
        <tr r="C359" s="1"/>
      </tp>
      <tp>
        <v>2.625</v>
        <stp/>
        <stp>##V3_BDPV12</stp>
        <stp>9128284T Govt</stp>
        <stp>CPN</stp>
        <stp>[TREASURY.xlsx]Sheet1!R344C3</stp>
        <tr r="C344" s="1"/>
      </tp>
      <tp>
        <v>2.75</v>
        <stp/>
        <stp>##V3_BDPV12</stp>
        <stp>9128284W Govt</stp>
        <stp>CPN</stp>
        <stp>[TREASURY.xlsx]Sheet1!R347C3</stp>
        <tr r="C347" s="1"/>
      </tp>
      <tp>
        <v>1.625</v>
        <stp/>
        <stp>##V3_BDPV12</stp>
        <stp>912828AW Govt</stp>
        <stp>CPN</stp>
        <stp>[TREASURY.xlsx]Sheet1!R667C3</stp>
        <tr r="C667" s="1"/>
      </tp>
      <tp>
        <v>2.25</v>
        <stp/>
        <stp>##V3_BDPV12</stp>
        <stp>912828KV Govt</stp>
        <stp>CPN</stp>
        <stp>[TREASURY.xlsx]Sheet1!R616C3</stp>
        <tr r="C616" s="1"/>
      </tp>
      <tp>
        <v>3.25</v>
        <stp/>
        <stp>##V3_BDPV12</stp>
        <stp>912828KW Govt</stp>
        <stp>CPN</stp>
        <stp>[TREASURY.xlsx]Sheet1!R617C3</stp>
        <tr r="C617" s="1"/>
      </tp>
      <tp>
        <v>2.082313282465162</v>
        <stp/>
        <stp>##V3_BDPV12</stp>
        <stp>912810RU Govt</stp>
        <stp>YLD_YTM_BID</stp>
        <stp>[TREASURY.xlsx]Sheet1!R154C4</stp>
        <tr r="D154" s="1"/>
      </tp>
      <tp>
        <v>7.375</v>
        <stp/>
        <stp>##V3_BDPV12</stp>
        <stp>912827VV Govt</stp>
        <stp>CPN</stp>
        <stp>[TREASURY.xlsx]Sheet1!R926C3</stp>
        <tr r="C926" s="1"/>
      </tp>
      <tp>
        <v>10.625</v>
        <stp/>
        <stp>##V3_BDPV12</stp>
        <stp>912827RS Govt</stp>
        <stp>CPN</stp>
        <stp>[TREASURY.xlsx]Sheet1!R913C3</stp>
        <tr r="C913" s="1"/>
      </tp>
      <tp>
        <v>7</v>
        <stp/>
        <stp>##V3_BDPV12</stp>
        <stp>912827ZU Govt</stp>
        <stp>CPN</stp>
        <stp>[TREASURY.xlsx]Sheet1!R955C3</stp>
        <tr r="C955" s="1"/>
      </tp>
      <tp>
        <v>8.5</v>
        <stp/>
        <stp>##V3_BDPV12</stp>
        <stp>912827YX Govt</stp>
        <stp>CPN</stp>
        <stp>[TREASURY.xlsx]Sheet1!R948C3</stp>
        <tr r="C948" s="1"/>
      </tp>
      <tp>
        <v>8.5</v>
        <stp/>
        <stp>##V3_BDPV12</stp>
        <stp>912827YY Govt</stp>
        <stp>CPN</stp>
        <stp>[TREASURY.xlsx]Sheet1!R949C3</stp>
        <tr r="C949" s="1"/>
      </tp>
      <tp>
        <v>4</v>
        <stp/>
        <stp>##V3_BDPV12</stp>
        <stp>912828DR Govt</stp>
        <stp>CPN</stp>
        <stp>[TREASURY.xlsx]Sheet1!R792C3</stp>
        <tr r="C792" s="1"/>
      </tp>
      <tp>
        <v>0.98705230668528865</v>
        <stp/>
        <stp>##V3_BDPV12</stp>
        <stp>912810EY Govt</stp>
        <stp>YLD_YTM_BID</stp>
        <stp>[TREASURY.xlsx]Sheet1!R328C4</stp>
        <tr r="D328" s="1"/>
      </tp>
      <tp>
        <v>0.54807017134656122</v>
        <stp/>
        <stp>##V3_BDPV12</stp>
        <stp>912810ES Govt</stp>
        <stp>YLD_YTM_BID</stp>
        <stp>[TREASURY.xlsx]Sheet1!R312C4</stp>
        <tr r="D312" s="1"/>
      </tp>
      <tp>
        <v>1.25</v>
        <stp/>
        <stp>##V3_BDPV12</stp>
        <stp>912828UQ Govt</stp>
        <stp>CPN</stp>
        <stp>[TREASURY.xlsx]Sheet1!R421C3</stp>
        <tr r="C421" s="1"/>
      </tp>
      <tp>
        <v>1</v>
        <stp/>
        <stp>##V3_BDPV12</stp>
        <stp>912828TR Govt</stp>
        <stp>CPN</stp>
        <stp>[TREASURY.xlsx]Sheet1!R402C3</stp>
        <tr r="C402" s="1"/>
      </tp>
      <tp>
        <v>2</v>
        <stp/>
        <stp>##V3_BDPV12</stp>
        <stp>9128283S Govt</stp>
        <stp>CPN</stp>
        <stp>[TREASURY.xlsx]Sheet1!R433C3</stp>
        <tr r="C433" s="1"/>
      </tp>
      <tp>
        <v>4.25</v>
        <stp/>
        <stp>##V3_BDPV12</stp>
        <stp>912828CT Govt</stp>
        <stp>CPN</stp>
        <stp>[TREASURY.xlsx]Sheet1!R514C3</stp>
        <tr r="C514" s="1"/>
      </tp>
      <tp>
        <v>1.75</v>
        <stp/>
        <stp>##V3_BDPV12</stp>
        <stp>912828QP Govt</stp>
        <stp>CPN</stp>
        <stp>[TREASURY.xlsx]Sheet1!R550C3</stp>
        <tr r="C550" s="1"/>
      </tp>
      <tp>
        <v>1.625</v>
        <stp/>
        <stp>##V3_BDPV12</stp>
        <stp>912828WS Govt</stp>
        <stp>CPN</stp>
        <stp>[TREASURY.xlsx]Sheet1!R543C3</stp>
        <tr r="C543" s="1"/>
      </tp>
      <tp>
        <v>2.0122911562933341</v>
        <stp/>
        <stp>##V3_BDPV12</stp>
        <stp>912810QW Govt</stp>
        <stp>YLD_YTM_BID</stp>
        <stp>[TREASURY.xlsx]Sheet1!R286C4</stp>
        <tr r="D286" s="1"/>
      </tp>
      <tp>
        <v>4.875</v>
        <stp/>
        <stp>##V3_BDPV12</stp>
        <stp>912828GT Govt</stp>
        <stp>CPN</stp>
        <stp>[TREASURY.xlsx]Sheet1!R804C3</stp>
        <tr r="C804" s="1"/>
      </tp>
      <tp>
        <v>14.625</v>
        <stp/>
        <stp>##V3_BDPV12</stp>
        <stp>912827MT Govt</stp>
        <stp>CPN</stp>
        <stp>[TREASURY.xlsx]Sheet1!R724C3</stp>
        <tr r="C724" s="1"/>
      </tp>
      <tp>
        <v>1.75</v>
        <stp/>
        <stp>##V3_BDPV12</stp>
        <stp>912828JU Govt</stp>
        <stp>CPN</stp>
        <stp>[TREASURY.xlsx]Sheet1!R855C3</stp>
        <tr r="C855" s="1"/>
      </tp>
      <tp>
        <v>2.75</v>
        <stp/>
        <stp>##V3_BDPV12</stp>
        <stp>912828JQ Govt</stp>
        <stp>CPN</stp>
        <stp>[TREASURY.xlsx]Sheet1!R811C3</stp>
        <tr r="C811" s="1"/>
      </tp>
      <tp>
        <v>7.875</v>
        <stp/>
        <stp>##V3_BDPV12</stp>
        <stp>912827XT Govt</stp>
        <stp>CPN</stp>
        <stp>[TREASURY.xlsx]Sheet1!R774C3</stp>
        <tr r="C774" s="1"/>
      </tp>
      <tp>
        <v>0.625</v>
        <stp/>
        <stp>##V3_BDPV12</stp>
        <stp>912828PW Govt</stp>
        <stp>CPN</stp>
        <stp>[TREASURY.xlsx]Sheet1!R987C3</stp>
        <tr r="C987" s="1"/>
      </tp>
      <tp>
        <v>2.375</v>
        <stp/>
        <stp>##V3_BDPV12</stp>
        <stp>912828QQ Govt</stp>
        <stp>CPN</stp>
        <stp>[TREASURY.xlsx]Sheet1!R991C3</stp>
        <tr r="C991" s="1"/>
      </tp>
      <tp>
        <v>0.29930171781916165</v>
        <stp/>
        <stp>##V3_BDPV12</stp>
        <stp>91282CAP Govt</stp>
        <stp>YLD_YTM_BID</stp>
        <stp>[TREASURY.xlsx]Sheet1!R151C4</stp>
        <tr r="D151" s="1"/>
      </tp>
      <tp t="s">
        <v>#N/A N/A</v>
        <stp/>
        <stp>##V3_BDPV12</stp>
        <stp>912828LT Govt</stp>
        <stp>YLD_YTM_BID</stp>
        <stp>[TREASURY.xlsx]Sheet1!R975C4</stp>
        <tr r="D975" s="1"/>
      </tp>
      <tp t="s">
        <v>#N/A N/A</v>
        <stp/>
        <stp>##V3_BDPV12</stp>
        <stp>912828QS Govt</stp>
        <stp>YLD_YTM_BID</stp>
        <stp>[TREASURY.xlsx]Sheet1!R992C4</stp>
        <tr r="D992" s="1"/>
      </tp>
      <tp t="s">
        <v>#N/A N/A</v>
        <stp/>
        <stp>##V3_BDPV12</stp>
        <stp>912828FW Govt</stp>
        <stp>YLD_YTM_BID</stp>
        <stp>[TREASURY.xlsx]Sheet1!R846C4</stp>
        <tr r="D846" s="1"/>
      </tp>
      <tp t="s">
        <v>#N/A N/A</v>
        <stp/>
        <stp>##V3_BDPV12</stp>
        <stp>912828MR Govt</stp>
        <stp>YLD_YTM_BID</stp>
        <stp>[TREASURY.xlsx]Sheet1!R823C4</stp>
        <tr r="D823" s="1"/>
      </tp>
      <tp t="s">
        <v>#N/A N/A</v>
        <stp/>
        <stp>##V3_BDPV12</stp>
        <stp>912827LV Govt</stp>
        <stp>YLD_YTM_BID</stp>
        <stp>[TREASURY.xlsx]Sheet1!R717C4</stp>
        <tr r="D717" s="1"/>
      </tp>
      <tp t="s">
        <v>#N/A N/A</v>
        <stp/>
        <stp>##V3_BDPV12</stp>
        <stp>912827KQ Govt</stp>
        <stp>YLD_YTM_BID</stp>
        <stp>[TREASURY.xlsx]Sheet1!R710C4</stp>
        <tr r="D710" s="1"/>
      </tp>
      <tp t="s">
        <v>#N/A N/A</v>
        <stp/>
        <stp>##V3_BDPV12</stp>
        <stp>912828HX Govt</stp>
        <stp>YLD_YTM_BID</stp>
        <stp>[TREASURY.xlsx]Sheet1!R809C4</stp>
        <tr r="D809" s="1"/>
      </tp>
      <tp t="s">
        <v>#N/A N/A</v>
        <stp/>
        <stp>##V3_BDPV12</stp>
        <stp>912827SX Govt</stp>
        <stp>YLD_YTM_BID</stp>
        <stp>[TREASURY.xlsx]Sheet1!R749C4</stp>
        <tr r="D749" s="1"/>
      </tp>
      <tp t="s">
        <v>#N/A N/A</v>
        <stp/>
        <stp>##V3_BDPV12</stp>
        <stp>912827ZR Govt</stp>
        <stp>YLD_YTM_BID</stp>
        <stp>[TREASURY.xlsx]Sheet1!R783C4</stp>
        <tr r="D783" s="1"/>
      </tp>
      <tp t="s">
        <v>#N/A N/A</v>
        <stp/>
        <stp>##V3_BDPV12</stp>
        <stp>912827VT Govt</stp>
        <stp>YLD_YTM_BID</stp>
        <stp>[TREASURY.xlsx]Sheet1!R765C4</stp>
        <tr r="D765" s="1"/>
      </tp>
      <tp t="s">
        <v>#N/A N/A</v>
        <stp/>
        <stp>##V3_BDPV12</stp>
        <stp>912828VQ Govt</stp>
        <stp>YLD_YTM_BID</stp>
        <stp>[TREASURY.xlsx]Sheet1!R880C4</stp>
        <tr r="D880" s="1"/>
      </tp>
      <tp t="s">
        <v>#N/A N/A</v>
        <stp/>
        <stp>##V3_BDPV12</stp>
        <stp>9128276P Govt</stp>
        <stp>YLD_YTM_BID</stp>
        <stp>[TREASURY.xlsx]Sheet1!R441C4</stp>
        <tr r="D441" s="1"/>
      </tp>
      <tp>
        <v>6</v>
        <stp/>
        <stp>##V3_BDPV12</stp>
        <stp>912810EW Govt</stp>
        <stp>CPN</stp>
        <stp>[TREASURY.xlsx]Sheet1!R277C3</stp>
        <tr r="C277" s="1"/>
      </tp>
      <tp t="s">
        <v>#N/A N/A</v>
        <stp/>
        <stp>##V3_BDPV12</stp>
        <stp>912828QX Govt</stp>
        <stp>YLD_YTM_BID</stp>
        <stp>[TREASURY.xlsx]Sheet1!R519C4</stp>
        <tr r="D519" s="1"/>
      </tp>
      <tp>
        <v>6.875</v>
        <stp/>
        <stp>##V3_BDPV12</stp>
        <stp>912810EV Govt</stp>
        <stp>CPN</stp>
        <stp>[TREASURY.xlsx]Sheet1!R326C3</stp>
        <tr r="C326" s="1"/>
      </tp>
      <tp t="s">
        <v>#N/A N/A</v>
        <stp/>
        <stp>##V3_BDPV12</stp>
        <stp>912828AU Govt</stp>
        <stp>YLD_YTM_BID</stp>
        <stp>[TREASURY.xlsx]Sheet1!R474C4</stp>
        <tr r="D474" s="1"/>
      </tp>
      <tp t="s">
        <v>#N/A N/A</v>
        <stp/>
        <stp>##V3_BDPV12</stp>
        <stp>912828MU Govt</stp>
        <stp>YLD_YTM_BID</stp>
        <stp>[TREASURY.xlsx]Sheet1!R494C4</stp>
        <tr r="D494" s="1"/>
      </tp>
      <tp t="s">
        <v>#N/A N/A</v>
        <stp/>
        <stp>##V3_BDPV12</stp>
        <stp>912828CS Govt</stp>
        <stp>YLD_YTM_BID</stp>
        <stp>[TREASURY.xlsx]Sheet1!R462C4</stp>
        <tr r="D462" s="1"/>
      </tp>
      <tp t="s">
        <v>#N/A N/A</v>
        <stp/>
        <stp>##V3_BDPV12</stp>
        <stp>912828SU Govt</stp>
        <stp>YLD_YTM_BID</stp>
        <stp>[TREASURY.xlsx]Sheet1!R404C4</stp>
        <tr r="D404" s="1"/>
      </tp>
      <tp>
        <v>3.75</v>
        <stp/>
        <stp>##V3_BDPV12</stp>
        <stp>912810QS Govt</stp>
        <stp>CPN</stp>
        <stp>[TREASURY.xlsx]Sheet1!R303C3</stp>
        <tr r="C303" s="1"/>
      </tp>
      <tp t="s">
        <v>#N/A N/A</v>
        <stp/>
        <stp>##V3_BDPV12</stp>
        <stp>9128285Q Govt</stp>
        <stp>YLD_YTM_BID</stp>
        <stp>[TREASURY.xlsx]Sheet1!R410C4</stp>
        <tr r="D410" s="1"/>
      </tp>
      <tp t="s">
        <v>#N/A N/A</v>
        <stp/>
        <stp>##V3_BDPV12</stp>
        <stp>912828CX Govt</stp>
        <stp>YLD_YTM_BID</stp>
        <stp>[TREASURY.xlsx]Sheet1!R659C4</stp>
        <tr r="D659" s="1"/>
      </tp>
      <tp t="s">
        <v>#N/A N/A</v>
        <stp/>
        <stp>##V3_BDPV12</stp>
        <stp>912828FU Govt</stp>
        <stp>YLD_YTM_BID</stp>
        <stp>[TREASURY.xlsx]Sheet1!R614C4</stp>
        <tr r="D614" s="1"/>
      </tp>
      <tp t="s">
        <v>#N/A N/A</v>
        <stp/>
        <stp>##V3_BDPV12</stp>
        <stp>912828AT Govt</stp>
        <stp>YLD_YTM_BID</stp>
        <stp>[TREASURY.xlsx]Sheet1!R635C4</stp>
        <tr r="D635" s="1"/>
      </tp>
      <tp t="s">
        <v>#N/A N/A</v>
        <stp/>
        <stp>##V3_BDPV12</stp>
        <stp>912827WR Govt</stp>
        <stp>YLD_YTM_BID</stp>
        <stp>[TREASURY.xlsx]Sheet1!R933C4</stp>
        <tr r="D933" s="1"/>
      </tp>
      <tp>
        <v>2.5</v>
        <stp/>
        <stp>##V3_BDPV12</stp>
        <stp>912810RS Govt</stp>
        <stp>CPN</stp>
        <stp>[TREASURY.xlsx]Sheet1!R163C3</stp>
        <tr r="C163" s="1"/>
      </tp>
      <tp t="s">
        <v>#N/A N/A</v>
        <stp/>
        <stp>##V3_BDPV12</stp>
        <stp>912828QW Govt</stp>
        <stp>YLD_YTM_BID</stp>
        <stp>[TREASURY.xlsx]Sheet1!R646C4</stp>
        <tr r="D646" s="1"/>
      </tp>
      <tp t="s">
        <v>#N/A N/A</v>
        <stp/>
        <stp>##V3_BDPV12</stp>
        <stp>912827RU Govt</stp>
        <stp>YLD_YTM_BID</stp>
        <stp>[TREASURY.xlsx]Sheet1!R914C4</stp>
        <tr r="D914" s="1"/>
      </tp>
      <tp t="s">
        <v>#N/A N/A</v>
        <stp/>
        <stp>##V3_BDPV12</stp>
        <stp>912827YV Govt</stp>
        <stp>YLD_YTM_BID</stp>
        <stp>[TREASURY.xlsx]Sheet1!R947C4</stp>
        <tr r="D947" s="1"/>
      </tp>
      <tp t="s">
        <v>#N/A N/A</v>
        <stp/>
        <stp>##V3_BDPV12</stp>
        <stp>912828RV Govt</stp>
        <stp>YLD_YTM_BID</stp>
        <stp>[TREASURY.xlsx]Sheet1!R687C4</stp>
        <tr r="D687" s="1"/>
      </tp>
      <tp t="s">
        <v>#N/A N/A</v>
        <stp/>
        <stp>##V3_BDPV12</stp>
        <stp>912827XX Govt</stp>
        <stp>YLD_YTM_BID</stp>
        <stp>[TREASURY.xlsx]Sheet1!R939C4</stp>
        <tr r="D939" s="1"/>
      </tp>
      <tp>
        <v>0.13649878845630056</v>
        <stp/>
        <stp>##V3_BDPV12</stp>
        <stp>912828TY Govt</stp>
        <stp>YLD_YTM_BID</stp>
        <stp>[TREASURY.xlsx]Sheet1!R118C4</stp>
        <tr r="D118" s="1"/>
      </tp>
      <tp>
        <v>1.0054620034042019</v>
        <stp/>
        <stp>##V3_BDPV12</stp>
        <stp>912828YU Govt</stp>
        <stp>YLD_YTM_BID</stp>
        <stp>[TREASURY.xlsx]Sheet1!R174C4</stp>
        <tr r="D174" s="1"/>
      </tp>
      <tp>
        <v>0.58247815268179048</v>
        <stp/>
        <stp>##V3_BDPV12</stp>
        <stp>912828YY Govt</stp>
        <stp>YLD_YTM_BID</stp>
        <stp>[TREASURY.xlsx]Sheet1!R158C4</stp>
        <tr r="D158" s="1"/>
      </tp>
      <tp>
        <v>0.44442894734670585</v>
        <stp/>
        <stp>##V3_BDPV12</stp>
        <stp>912828XT Govt</stp>
        <stp>YLD_YTM_BID</stp>
        <stp>[TREASURY.xlsx]Sheet1!R155C4</stp>
        <tr r="D155" s="1"/>
      </tp>
      <tp>
        <v>0.10226227852311034</v>
        <stp/>
        <stp>##V3_BDPV12</stp>
        <stp>9128282W Govt</stp>
        <stp>YLD_YTM_BID</stp>
        <stp>[TREASURY.xlsx]Sheet1!R166C4</stp>
        <tr r="D166" s="1"/>
      </tp>
      <tp>
        <v>0.90344494984317902</v>
        <stp/>
        <stp>##V3_BDPV12</stp>
        <stp>9128286S Govt</stp>
        <stp>YLD_YTM_BID</stp>
        <stp>[TREASURY.xlsx]Sheet1!R322C4</stp>
        <tr r="D322" s="1"/>
      </tp>
      <tp>
        <v>0.45956323259445314</v>
        <stp/>
        <stp>##V3_BDPV12</stp>
        <stp>912828XX Govt</stp>
        <stp>YLD_YTM_BID</stp>
        <stp>[TREASURY.xlsx]Sheet1!R249C4</stp>
        <tr r="D249" s="1"/>
      </tp>
      <tp>
        <v>7.921203825658249E-2</v>
        <stp/>
        <stp>##V3_BDPV12</stp>
        <stp>912828XR Govt</stp>
        <stp>YLD_YTM_BID</stp>
        <stp>[TREASURY.xlsx]Sheet1!R203C4</stp>
        <tr r="D203" s="1"/>
      </tp>
      <tp>
        <v>0.32431335037846659</v>
        <stp/>
        <stp>##V3_BDPV12</stp>
        <stp>9128285P Govt</stp>
        <stp>YLD_YTM_BID</stp>
        <stp>[TREASURY.xlsx]Sheet1!R271C4</stp>
        <tr r="D271" s="1"/>
      </tp>
      <tp>
        <v>9.2793495482882835E-2</v>
        <stp/>
        <stp>##V3_BDPV12</stp>
        <stp>9128282S Govt</stp>
        <stp>YLD_YTM_BID</stp>
        <stp>[TREASURY.xlsx]Sheet1!R212C4</stp>
        <tr r="D212" s="1"/>
      </tp>
      <tp>
        <v>2.875</v>
        <stp/>
        <stp>##V3_BDPV12</stp>
        <stp>9128285D Govt</stp>
        <stp>CPN</stp>
        <stp>[TREASURY.xlsx]Sheet1!R54C3</stp>
        <tr r="C54" s="1"/>
      </tp>
      <tp t="s">
        <v>8/15/2016</v>
        <stp/>
        <stp>##V3_BDPV12</stp>
        <stp>912828P4 Govt</stp>
        <stp>FIRST_CPN_DT</stp>
        <stp>[TREASURY.xlsx]Sheet1!R91C9</stp>
        <tr r="I91" s="1"/>
      </tp>
      <tp t="s">
        <v>2/15/2015</v>
        <stp/>
        <stp>##V3_BDPV12</stp>
        <stp>912828D5 Govt</stp>
        <stp>FIRST_CPN_DT</stp>
        <stp>[TREASURY.xlsx]Sheet1!R70C9</stp>
        <tr r="I70" s="1"/>
      </tp>
      <tp t="s">
        <v>USD</v>
        <stp/>
        <stp>##V3_BDPV12</stp>
        <stp>9128282K Govt</stp>
        <stp>CRNCY</stp>
        <stp>[TREASURY.xlsx]Sheet1!R957C7</stp>
        <tr r="G957" s="1"/>
      </tp>
      <tp t="s">
        <v>UNITED STATES</v>
        <stp/>
        <stp>##V3_BDPV12</stp>
        <stp>912810DE Govt</stp>
        <stp>COUNTRY_FULL_NAME</stp>
        <stp>[TREASURY.xlsx]Sheet1!R1311C8</stp>
        <tr r="H1311" s="1"/>
      </tp>
      <tp t="s">
        <v>UNITED STATES</v>
        <stp/>
        <stp>##V3_BDPV12</stp>
        <stp>912828GE Govt</stp>
        <stp>COUNTRY_FULL_NAME</stp>
        <stp>[TREASURY.xlsx]Sheet1!R1242C8</stp>
        <tr r="H1242" s="1"/>
      </tp>
      <tp t="s">
        <v>UNITED STATES</v>
        <stp/>
        <stp>##V3_BDPV12</stp>
        <stp>912828CE Govt</stp>
        <stp>COUNTRY_FULL_NAME</stp>
        <stp>[TREASURY.xlsx]Sheet1!R1426C8</stp>
        <tr r="H1426" s="1"/>
      </tp>
      <tp t="s">
        <v>USD</v>
        <stp/>
        <stp>##V3_BDPV12</stp>
        <stp>9128275Z Govt</stp>
        <stp>CRNCY</stp>
        <stp>[TREASURY.xlsx]Sheet1!R428C7</stp>
        <tr r="G428" s="1"/>
      </tp>
      <tp t="s">
        <v>USD</v>
        <stp/>
        <stp>##V3_BDPV12</stp>
        <stp>9128274F Govt</stp>
        <stp>CRNCY</stp>
        <stp>[TREASURY.xlsx]Sheet1!R578C7</stp>
        <tr r="G578" s="1"/>
      </tp>
      <tp t="s">
        <v>USD</v>
        <stp/>
        <stp>##V3_BDPV12</stp>
        <stp>9128284M Govt</stp>
        <stp>CRNCY</stp>
        <stp>[TREASURY.xlsx]Sheet1!R227C7</stp>
        <tr r="G227" s="1"/>
      </tp>
      <tp t="s">
        <v>USD</v>
        <stp/>
        <stp>##V3_BDPV12</stp>
        <stp>9128284W Govt</stp>
        <stp>CRNCY</stp>
        <stp>[TREASURY.xlsx]Sheet1!R347C7</stp>
        <tr r="G347" s="1"/>
      </tp>
      <tp t="s">
        <v>USD</v>
        <stp/>
        <stp>##V3_BDPV12</stp>
        <stp>9128284P Govt</stp>
        <stp>CRNCY</stp>
        <stp>[TREASURY.xlsx]Sheet1!R367C7</stp>
        <tr r="G367" s="1"/>
      </tp>
      <tp t="s">
        <v>USD</v>
        <stp/>
        <stp>##V3_BDPV12</stp>
        <stp>9128284R Govt</stp>
        <stp>CRNCY</stp>
        <stp>[TREASURY.xlsx]Sheet1!R257C7</stp>
        <tr r="G257" s="1"/>
      </tp>
      <tp t="s">
        <v>UNITED STATES</v>
        <stp/>
        <stp>##V3_BDPV12</stp>
        <stp>912828AC Govt</stp>
        <stp>COUNTRY_FULL_NAME</stp>
        <stp>[TREASURY.xlsx]Sheet1!R1234C8</stp>
        <tr r="H1234" s="1"/>
      </tp>
      <tp t="s">
        <v>UNITED STATES</v>
        <stp/>
        <stp>##V3_BDPV12</stp>
        <stp>912828GC Govt</stp>
        <stp>COUNTRY_FULL_NAME</stp>
        <stp>[TREASURY.xlsx]Sheet1!R1282C8</stp>
        <tr r="H1282" s="1"/>
      </tp>
      <tp t="s">
        <v>UNITED STATES</v>
        <stp/>
        <stp>##V3_BDPV12</stp>
        <stp>912828LC Govt</stp>
        <stp>COUNTRY_FULL_NAME</stp>
        <stp>[TREASURY.xlsx]Sheet1!R1289C8</stp>
        <tr r="H1289" s="1"/>
      </tp>
      <tp t="s">
        <v>USD</v>
        <stp/>
        <stp>##V3_BDPV12</stp>
        <stp>9128277K Govt</stp>
        <stp>CRNCY</stp>
        <stp>[TREASURY.xlsx]Sheet1!R528C7</stp>
        <tr r="G528" s="1"/>
      </tp>
      <tp t="s">
        <v>USD</v>
        <stp/>
        <stp>##V3_BDPV12</stp>
        <stp>9128276J Govt</stp>
        <stp>CRNCY</stp>
        <stp>[TREASURY.xlsx]Sheet1!R438C7</stp>
        <tr r="G438" s="1"/>
      </tp>
      <tp t="s">
        <v>T 8 7/8 05/15/00</v>
        <stp/>
        <stp>##V3_BDPV12</stp>
        <stp>912827YW Govt</stp>
        <stp>SECURITY_NAME</stp>
        <stp>[TREASURY.xlsx]Sheet1!R1607C16</stp>
        <tr r="P1607" s="1"/>
      </tp>
      <tp t="s">
        <v>T 6 1/2 05/31/02</v>
        <stp/>
        <stp>##V3_BDPV12</stp>
        <stp>9128272W Govt</stp>
        <stp>SECURITY_NAME</stp>
        <stp>[TREASURY.xlsx]Sheet1!R1523C16</stp>
        <tr r="P1523" s="1"/>
      </tp>
      <tp t="s">
        <v>T 13 3/8 08/15/01</v>
        <stp/>
        <stp>##V3_BDPV12</stp>
        <stp>912810CW Govt</stp>
        <stp>SECURITY_NAME</stp>
        <stp>[TREASURY.xlsx]Sheet1!R1618C16</stp>
        <tr r="P1618" s="1"/>
      </tp>
      <tp t="s">
        <v>T 4 04/30/03</v>
        <stp/>
        <stp>##V3_BDPV12</stp>
        <stp>9128276W Govt</stp>
        <stp>SECURITY_NAME</stp>
        <stp>[TREASURY.xlsx]Sheet1!R1541C16</stp>
        <tr r="P1541" s="1"/>
      </tp>
      <tp t="s">
        <v>T 8 7/8 11/15/98</v>
        <stp/>
        <stp>##V3_BDPV12</stp>
        <stp>912827WW Govt</stp>
        <stp>SECURITY_NAME</stp>
        <stp>[TREASURY.xlsx]Sheet1!R1592C16</stp>
        <tr r="P1592" s="1"/>
      </tp>
      <tp t="s">
        <v>T 6 5/8 07/31/88</v>
        <stp/>
        <stp>##V3_BDPV12</stp>
        <stp>912827TW Govt</stp>
        <stp>SECURITY_NAME</stp>
        <stp>[TREASURY.xlsx]Sheet1!R1402C16</stp>
        <tr r="P1402" s="1"/>
      </tp>
      <tp t="s">
        <v>T 8 1/8 02/15/98</v>
        <stp/>
        <stp>##V3_BDPV12</stp>
        <stp>912827VW Govt</stp>
        <stp>SECURITY_NAME</stp>
        <stp>[TREASURY.xlsx]Sheet1!R1413C16</stp>
        <tr r="P1413" s="1"/>
      </tp>
      <tp t="s">
        <v>T 5 3/8 02/15/01</v>
        <stp/>
        <stp>##V3_BDPV12</stp>
        <stp>9128273W Govt</stp>
        <stp>SECURITY_NAME</stp>
        <stp>[TREASURY.xlsx]Sheet1!R1456C16</stp>
        <tr r="P1456" s="1"/>
      </tp>
      <tp t="s">
        <v>T 4 7/8 06/30/12</v>
        <stp/>
        <stp>##V3_BDPV12</stp>
        <stp>912828GW Govt</stp>
        <stp>SECURITY_NAME</stp>
        <stp>[TREASURY.xlsx]Sheet1!R1436C16</stp>
        <tr r="P1436" s="1"/>
      </tp>
      <tp t="s">
        <v>S/A</v>
        <stp/>
        <stp>##V3_BDPV12</stp>
        <stp>912828HA Govt</stp>
        <stp>COUPON_FREQUENCY_DESCRIPTION</stp>
        <stp>[TREASURY.xlsx]Sheet1!R1437C10</stp>
        <tr r="J1437" s="1"/>
      </tp>
      <tp t="s">
        <v>UNITED STATES</v>
        <stp/>
        <stp>##V3_BDPV12</stp>
        <stp>912828LM Govt</stp>
        <stp>COUNTRY_FULL_NAME</stp>
        <stp>[TREASURY.xlsx]Sheet1!R1129C8</stp>
        <tr r="H1129" s="1"/>
      </tp>
      <tp t="s">
        <v>T 14 1/2 05/15/91</v>
        <stp/>
        <stp>##V3_BDPV12</stp>
        <stp>912827LW Govt</stp>
        <stp>SECURITY_NAME</stp>
        <stp>[TREASURY.xlsx]Sheet1!R1380C16</stp>
        <tr r="P1380" s="1"/>
      </tp>
      <tp t="s">
        <v>T 13 7/8 08/15/89</v>
        <stp/>
        <stp>##V3_BDPV12</stp>
        <stp>912827QW Govt</stp>
        <stp>SECURITY_NAME</stp>
        <stp>[TREASURY.xlsx]Sheet1!R1394C16</stp>
        <tr r="P1394" s="1"/>
      </tp>
      <tp t="s">
        <v>T 0 1/8 12/31/13</v>
        <stp/>
        <stp>##V3_BDPV12</stp>
        <stp>912828RW Govt</stp>
        <stp>SECURITY_NAME</stp>
        <stp>[TREASURY.xlsx]Sheet1!R1303C16</stp>
        <tr r="P1303" s="1"/>
      </tp>
      <tp t="s">
        <v>UNITED STATES</v>
        <stp/>
        <stp>##V3_BDPV12</stp>
        <stp>912828DJ Govt</stp>
        <stp>COUNTRY_FULL_NAME</stp>
        <stp>[TREASURY.xlsx]Sheet1!R1111C8</stp>
        <tr r="H1111" s="1"/>
      </tp>
      <tp t="s">
        <v>T 8 08/15/99</v>
        <stp/>
        <stp>##V3_BDPV12</stp>
        <stp>912827XW Govt</stp>
        <stp>SECURITY_NAME</stp>
        <stp>[TREASURY.xlsx]Sheet1!R1218C16</stp>
        <tr r="P1218" s="1"/>
      </tp>
      <tp t="s">
        <v>T 1 7/8 08/31/17</v>
        <stp/>
        <stp>##V3_BDPV12</stp>
        <stp>912828NW Govt</stp>
        <stp>SECURITY_NAME</stp>
        <stp>[TREASURY.xlsx]Sheet1!R1294C16</stp>
        <tr r="P1294" s="1"/>
      </tp>
      <tp t="s">
        <v>UNITED STATES</v>
        <stp/>
        <stp>##V3_BDPV12</stp>
        <stp>912828DK Govt</stp>
        <stp>COUNTRY_FULL_NAME</stp>
        <stp>[TREASURY.xlsx]Sheet1!R1271C8</stp>
        <tr r="H1271" s="1"/>
      </tp>
      <tp t="s">
        <v>T 6 7/8 02/15/94</v>
        <stp/>
        <stp>##V3_BDPV12</stp>
        <stp>912827ZW Govt</stp>
        <stp>SECURITY_NAME</stp>
        <stp>[TREASURY.xlsx]Sheet1!R1104C16</stp>
        <tr r="P1104" s="1"/>
      </tp>
      <tp t="s">
        <v>T 0 7/8 09/15/16</v>
        <stp/>
        <stp>##V3_BDPV12</stp>
        <stp>912828VW Govt</stp>
        <stp>SECURITY_NAME</stp>
        <stp>[TREASURY.xlsx]Sheet1!R1149C16</stp>
        <tr r="P1149" s="1"/>
      </tp>
      <tp t="s">
        <v>T 8 1/2 11/30/87</v>
        <stp/>
        <stp>##V3_BDPV12</stp>
        <stp>912827SW Govt</stp>
        <stp>SECURITY_NAME</stp>
        <stp>[TREASURY.xlsx]Sheet1!R1189C16</stp>
        <tr r="P1189" s="1"/>
      </tp>
      <tp t="s">
        <v>T 14 5/8 02/15/92</v>
        <stp/>
        <stp>##V3_BDPV12</stp>
        <stp>912827MW Govt</stp>
        <stp>SECURITY_NAME</stp>
        <stp>[TREASURY.xlsx]Sheet1!R1047C16</stp>
        <tr r="P1047" s="1"/>
      </tp>
      <tp t="s">
        <v>T 9 7/8 11/30/84</v>
        <stp/>
        <stp>##V3_BDPV12</stp>
        <stp>912827NW Govt</stp>
        <stp>SECURITY_NAME</stp>
        <stp>[TREASURY.xlsx]Sheet1!R1053C16</stp>
        <tr r="P1053" s="1"/>
      </tp>
      <tp t="s">
        <v>T 0 1/4 04/15/16</v>
        <stp/>
        <stp>##V3_BDPV12</stp>
        <stp>912828UW Govt</stp>
        <stp>SECURITY_NAME</stp>
        <stp>[TREASURY.xlsx]Sheet1!R1002C16</stp>
        <tr r="P1002" s="1"/>
      </tp>
      <tp t="s">
        <v>S/A</v>
        <stp/>
        <stp>##V3_BDPV12</stp>
        <stp>912828HC Govt</stp>
        <stp>COUPON_FREQUENCY_DESCRIPTION</stp>
        <stp>[TREASURY.xlsx]Sheet1!R1283C10</stp>
        <tr r="J1283" s="1"/>
      </tp>
      <tp t="s">
        <v>UNITED STATES</v>
        <stp/>
        <stp>##V3_BDPV12</stp>
        <stp>912827LT Govt</stp>
        <stp>COUNTRY_FULL_NAME</stp>
        <stp>[TREASURY.xlsx]Sheet1!R1379C8</stp>
        <tr r="H1379" s="1"/>
      </tp>
      <tp t="s">
        <v>UNITED STATES</v>
        <stp/>
        <stp>##V3_BDPV12</stp>
        <stp>912827MU Govt</stp>
        <stp>COUNTRY_FULL_NAME</stp>
        <stp>[TREASURY.xlsx]Sheet1!R1328C8</stp>
        <tr r="H1328" s="1"/>
      </tp>
      <tp t="s">
        <v>UNITED STATES</v>
        <stp/>
        <stp>##V3_BDPV12</stp>
        <stp>912828AP Govt</stp>
        <stp>COUNTRY_FULL_NAME</stp>
        <stp>[TREASURY.xlsx]Sheet1!R1424C8</stp>
        <tr r="H1424" s="1"/>
      </tp>
      <tp t="s">
        <v>UNITED STATES</v>
        <stp/>
        <stp>##V3_BDPV12</stp>
        <stp>912828CQ Govt</stp>
        <stp>COUNTRY_FULL_NAME</stp>
        <stp>[TREASURY.xlsx]Sheet1!R1236C8</stp>
        <tr r="H1236" s="1"/>
      </tp>
      <tp t="s">
        <v>UNITED STATES</v>
        <stp/>
        <stp>##V3_BDPV12</stp>
        <stp>912810DQ Govt</stp>
        <stp>COUNTRY_FULL_NAME</stp>
        <stp>[TREASURY.xlsx]Sheet1!R1621C8</stp>
        <tr r="H1621" s="1"/>
      </tp>
      <tp t="s">
        <v>S/A</v>
        <stp/>
        <stp>##V3_BDPV12</stp>
        <stp>912828HP Govt</stp>
        <stp>COUPON_FREQUENCY_DESCRIPTION</stp>
        <stp>[TREASURY.xlsx]Sheet1!R1438C10</stp>
        <tr r="J1438" s="1"/>
      </tp>
      <tp t="s">
        <v>UNITED STATES</v>
        <stp/>
        <stp>##V3_BDPV12</stp>
        <stp>912827MZ Govt</stp>
        <stp>COUNTRY_FULL_NAME</stp>
        <stp>[TREASURY.xlsx]Sheet1!R1168C8</stp>
        <tr r="H1168" s="1"/>
      </tp>
      <tp t="s">
        <v>UNITED STATES</v>
        <stp/>
        <stp>##V3_BDPV12</stp>
        <stp>912810CZ Govt</stp>
        <stp>COUNTRY_FULL_NAME</stp>
        <stp>[TREASURY.xlsx]Sheet1!R1446C8</stp>
        <tr r="H1446" s="1"/>
      </tp>
      <tp t="s">
        <v>S/A</v>
        <stp/>
        <stp>##V3_BDPV12</stp>
        <stp>912828HQ Govt</stp>
        <stp>COUPON_FREQUENCY_DESCRIPTION</stp>
        <stp>[TREASURY.xlsx]Sheet1!R1244C10</stp>
        <tr r="J1244" s="1"/>
      </tp>
      <tp t="s">
        <v>S/A</v>
        <stp/>
        <stp>##V3_BDPV12</stp>
        <stp>912828HS Govt</stp>
        <stp>COUPON_FREQUENCY_DESCRIPTION</stp>
        <stp>[TREASURY.xlsx]Sheet1!R1245C10</stp>
        <tr r="J1245" s="1"/>
      </tp>
      <tp t="s">
        <v>USD</v>
        <stp/>
        <stp>##V3_BDPV12</stp>
        <stp>912828QJ Govt</stp>
        <stp>CRNCY</stp>
        <stp>[TREASURY.xlsx]Sheet1!R407C7</stp>
        <tr r="G407" s="1"/>
      </tp>
      <tp t="s">
        <v>USD</v>
        <stp/>
        <stp>##V3_BDPV12</stp>
        <stp>912828QY Govt</stp>
        <stp>CRNCY</stp>
        <stp>[TREASURY.xlsx]Sheet1!R827C7</stp>
        <tr r="G827" s="1"/>
      </tp>
      <tp t="s">
        <v>USD</v>
        <stp/>
        <stp>##V3_BDPV12</stp>
        <stp>912828QT Govt</stp>
        <stp>CRNCY</stp>
        <stp>[TREASURY.xlsx]Sheet1!R867C7</stp>
        <tr r="G867" s="1"/>
      </tp>
      <tp t="s">
        <v>USD</v>
        <stp/>
        <stp>##V3_BDPV12</stp>
        <stp>912827QR Govt</stp>
        <stp>CRNCY</stp>
        <stp>[TREASURY.xlsx]Sheet1!R908C7</stp>
        <tr r="G908" s="1"/>
      </tp>
      <tp t="s">
        <v>USD</v>
        <stp/>
        <stp>##V3_BDPV12</stp>
        <stp>912828Q2 Govt</stp>
        <stp>CRNCY</stp>
        <stp>[TREASURY.xlsx]Sheet1!R187C7</stp>
        <tr r="G187" s="1"/>
      </tp>
      <tp t="s">
        <v>USD</v>
        <stp/>
        <stp>##V3_BDPV12</stp>
        <stp>912827PL Govt</stp>
        <stp>CRNCY</stp>
        <stp>[TREASURY.xlsx]Sheet1!R738C7</stp>
        <tr r="G738" s="1"/>
      </tp>
      <tp t="s">
        <v>USD</v>
        <stp/>
        <stp>##V3_BDPV12</stp>
        <stp>912828PW Govt</stp>
        <stp>CRNCY</stp>
        <stp>[TREASURY.xlsx]Sheet1!R987C7</stp>
        <tr r="G987" s="1"/>
      </tp>
      <tp t="s">
        <v>USD</v>
        <stp/>
        <stp>##V3_BDPV12</stp>
        <stp>912827SM Govt</stp>
        <stp>CRNCY</stp>
        <stp>[TREASURY.xlsx]Sheet1!R748C7</stp>
        <tr r="G748" s="1"/>
      </tp>
      <tp t="s">
        <v>USD</v>
        <stp/>
        <stp>##V3_BDPV12</stp>
        <stp>912828ST Govt</stp>
        <stp>CRNCY</stp>
        <stp>[TREASURY.xlsx]Sheet1!R497C7</stp>
        <tr r="G497" s="1"/>
      </tp>
      <tp t="s">
        <v>USD</v>
        <stp/>
        <stp>##V3_BDPV12</stp>
        <stp>912827SV Govt</stp>
        <stp>CRNCY</stp>
        <stp>[TREASURY.xlsx]Sheet1!R918C7</stp>
        <tr r="G918" s="1"/>
      </tp>
      <tp t="s">
        <v>USD</v>
        <stp/>
        <stp>##V3_BDPV12</stp>
        <stp>912828S4 Govt</stp>
        <stp>CRNCY</stp>
        <stp>[TREASURY.xlsx]Sheet1!R487C7</stp>
        <tr r="G487" s="1"/>
      </tp>
      <tp t="s">
        <v>USD</v>
        <stp/>
        <stp>##V3_BDPV12</stp>
        <stp>912828RA Govt</stp>
        <stp>CRNCY</stp>
        <stp>[TREASURY.xlsx]Sheet1!R677C7</stp>
        <tr r="G677" s="1"/>
      </tp>
      <tp t="s">
        <v>USD</v>
        <stp/>
        <stp>##V3_BDPV12</stp>
        <stp>912828RV Govt</stp>
        <stp>CRNCY</stp>
        <stp>[TREASURY.xlsx]Sheet1!R687C7</stp>
        <tr r="G687" s="1"/>
      </tp>
      <tp t="s">
        <v>USD</v>
        <stp/>
        <stp>##V3_BDPV12</stp>
        <stp>912828R9 Govt</stp>
        <stp>CRNCY</stp>
        <stp>[TREASURY.xlsx]Sheet1!R437C7</stp>
        <tr r="G437" s="1"/>
      </tp>
      <tp t="s">
        <v>USD</v>
        <stp/>
        <stp>##V3_BDPV12</stp>
        <stp>912828UA Govt</stp>
        <stp>CRNCY</stp>
        <stp>[TREASURY.xlsx]Sheet1!R387C7</stp>
        <tr r="G387" s="1"/>
      </tp>
      <tp t="s">
        <v>USD</v>
        <stp/>
        <stp>##V3_BDPV12</stp>
        <stp>912828UN Govt</stp>
        <stp>CRNCY</stp>
        <stp>[TREASURY.xlsx]Sheet1!R147C7</stp>
        <tr r="G147" s="1"/>
      </tp>
      <tp t="s">
        <v>USD</v>
        <stp/>
        <stp>##V3_BDPV12</stp>
        <stp>912828TB Govt</stp>
        <stp>CRNCY</stp>
        <stp>[TREASURY.xlsx]Sheet1!R637C7</stp>
        <tr r="G637" s="1"/>
      </tp>
      <tp t="s">
        <v>USD</v>
        <stp/>
        <stp>##V3_BDPV12</stp>
        <stp>912828TF Govt</stp>
        <stp>CRNCY</stp>
        <stp>[TREASURY.xlsx]Sheet1!R997C7</stp>
        <tr r="G997" s="1"/>
      </tp>
      <tp t="s">
        <v>USD</v>
        <stp/>
        <stp>##V3_BDPV12</stp>
        <stp>912828TX Govt</stp>
        <stp>CRNCY</stp>
        <stp>[TREASURY.xlsx]Sheet1!R467C7</stp>
        <tr r="G467" s="1"/>
      </tp>
      <tp t="s">
        <v>USD</v>
        <stp/>
        <stp>##V3_BDPV12</stp>
        <stp>912828WB Govt</stp>
        <stp>CRNCY</stp>
        <stp>[TREASURY.xlsx]Sheet1!R457C7</stp>
        <tr r="G457" s="1"/>
      </tp>
      <tp t="s">
        <v>USD</v>
        <stp/>
        <stp>##V3_BDPV12</stp>
        <stp>912827WC Govt</stp>
        <stp>CRNCY</stp>
        <stp>[TREASURY.xlsx]Sheet1!R768C7</stp>
        <tr r="G768" s="1"/>
      </tp>
      <tp t="s">
        <v>USD</v>
        <stp/>
        <stp>##V3_BDPV12</stp>
        <stp>912828WM Govt</stp>
        <stp>CRNCY</stp>
        <stp>[TREASURY.xlsx]Sheet1!R567C7</stp>
        <tr r="G567" s="1"/>
      </tp>
      <tp t="s">
        <v>USD</v>
        <stp/>
        <stp>##V3_BDPV12</stp>
        <stp>912827W3 Govt</stp>
        <stp>CRNCY</stp>
        <stp>[TREASURY.xlsx]Sheet1!R928C7</stp>
        <tr r="G928" s="1"/>
      </tp>
      <tp t="s">
        <v>USD</v>
        <stp/>
        <stp>##V3_BDPV12</stp>
        <stp>912828VC Govt</stp>
        <stp>CRNCY</stp>
        <stp>[TREASURY.xlsx]Sheet1!R577C7</stp>
        <tr r="G577" s="1"/>
      </tp>
      <tp t="s">
        <v>USD</v>
        <stp/>
        <stp>##V3_BDPV12</stp>
        <stp>912828VG Govt</stp>
        <stp>CRNCY</stp>
        <stp>[TREASURY.xlsx]Sheet1!R587C7</stp>
        <tr r="G587" s="1"/>
      </tp>
      <tp t="s">
        <v>USD</v>
        <stp/>
        <stp>##V3_BDPV12</stp>
        <stp>912828VJ Govt</stp>
        <stp>CRNCY</stp>
        <stp>[TREASURY.xlsx]Sheet1!R447C7</stp>
        <tr r="G447" s="1"/>
      </tp>
      <tp t="s">
        <v>USD</v>
        <stp/>
        <stp>##V3_BDPV12</stp>
        <stp>912827V8 Govt</stp>
        <stp>CRNCY</stp>
        <stp>[TREASURY.xlsx]Sheet1!R758C7</stp>
        <tr r="G758" s="1"/>
      </tp>
      <tp t="s">
        <v>USD</v>
        <stp/>
        <stp>##V3_BDPV12</stp>
        <stp>912828V3 Govt</stp>
        <stp>CRNCY</stp>
        <stp>[TREASURY.xlsx]Sheet1!R877C7</stp>
        <tr r="G877" s="1"/>
      </tp>
      <tp t="s">
        <v>USD</v>
        <stp/>
        <stp>##V3_BDPV12</stp>
        <stp>912828V8 Govt</stp>
        <stp>CRNCY</stp>
        <stp>[TREASURY.xlsx]Sheet1!R307C7</stp>
        <tr r="G307" s="1"/>
      </tp>
      <tp t="s">
        <v>USD</v>
        <stp/>
        <stp>##V3_BDPV12</stp>
        <stp>912828V9 Govt</stp>
        <stp>CRNCY</stp>
        <stp>[TREASURY.xlsx]Sheet1!R127C7</stp>
        <tr r="G127" s="1"/>
      </tp>
      <tp t="s">
        <v>USD</v>
        <stp/>
        <stp>##V3_BDPV12</stp>
        <stp>912827YX Govt</stp>
        <stp>CRNCY</stp>
        <stp>[TREASURY.xlsx]Sheet1!R948C7</stp>
        <tr r="G948" s="1"/>
      </tp>
      <tp t="s">
        <v>USD</v>
        <stp/>
        <stp>##V3_BDPV12</stp>
        <stp>912828Y6 Govt</stp>
        <stp>CRNCY</stp>
        <stp>[TREASURY.xlsx]Sheet1!R297C7</stp>
        <tr r="G297" s="1"/>
      </tp>
      <tp t="s">
        <v>USD</v>
        <stp/>
        <stp>##V3_BDPV12</stp>
        <stp>912828Y9 Govt</stp>
        <stp>CRNCY</stp>
        <stp>[TREASURY.xlsx]Sheet1!R157C7</stp>
        <tr r="G157" s="1"/>
      </tp>
      <tp t="s">
        <v>USD</v>
        <stp/>
        <stp>##V3_BDPV12</stp>
        <stp>912828XA Govt</stp>
        <stp>CRNCY</stp>
        <stp>[TREASURY.xlsx]Sheet1!R377C7</stp>
        <tr r="G377" s="1"/>
      </tp>
      <tp t="s">
        <v>USD</v>
        <stp/>
        <stp>##V3_BDPV12</stp>
        <stp>912828XW Govt</stp>
        <stp>CRNCY</stp>
        <stp>[TREASURY.xlsx]Sheet1!R217C7</stp>
        <tr r="G217" s="1"/>
      </tp>
      <tp t="s">
        <v>USD</v>
        <stp/>
        <stp>##V3_BDPV12</stp>
        <stp>912827XS Govt</stp>
        <stp>CRNCY</stp>
        <stp>[TREASURY.xlsx]Sheet1!R938C7</stp>
        <tr r="G938" s="1"/>
      </tp>
      <tp t="s">
        <v>USD</v>
        <stp/>
        <stp>##V3_BDPV12</stp>
        <stp>912828ZN Govt</stp>
        <stp>CRNCY</stp>
        <stp>[TREASURY.xlsx]Sheet1!R117C7</stp>
        <tr r="G117" s="1"/>
      </tp>
      <tp t="s">
        <v>USD</v>
        <stp/>
        <stp>##V3_BDPV12</stp>
        <stp>912827Z9 Govt</stp>
        <stp>CRNCY</stp>
        <stp>[TREASURY.xlsx]Sheet1!R778C7</stp>
        <tr r="G778" s="1"/>
      </tp>
      <tp t="s">
        <v>USD</v>
        <stp/>
        <stp>##V3_BDPV12</stp>
        <stp>912828AG Govt</stp>
        <stp>CRNCY</stp>
        <stp>[TREASURY.xlsx]Sheet1!R837C7</stp>
        <tr r="G837" s="1"/>
      </tp>
      <tp t="s">
        <v>USD</v>
        <stp/>
        <stp>##V3_BDPV12</stp>
        <stp>912828AN Govt</stp>
        <stp>CRNCY</stp>
        <stp>[TREASURY.xlsx]Sheet1!R657C7</stp>
        <tr r="G657" s="1"/>
      </tp>
      <tp t="s">
        <v>USD</v>
        <stp/>
        <stp>##V3_BDPV12</stp>
        <stp>912828AW Govt</stp>
        <stp>CRNCY</stp>
        <stp>[TREASURY.xlsx]Sheet1!R667C7</stp>
        <tr r="G667" s="1"/>
      </tp>
      <tp t="s">
        <v>USD</v>
        <stp/>
        <stp>##V3_BDPV12</stp>
        <stp>912828AY Govt</stp>
        <stp>CRNCY</stp>
        <stp>[TREASURY.xlsx]Sheet1!R507C7</stp>
        <tr r="G507" s="1"/>
      </tp>
      <tp t="s">
        <v>UNITED STATES</v>
        <stp/>
        <stp>##V3_BDPV12</stp>
        <stp>912827F6 Govt</stp>
        <stp>COUNTRY_FULL_NAME</stp>
        <stp>[TREASURY.xlsx]Sheet1!R1373C8</stp>
        <tr r="H1373" s="1"/>
      </tp>
      <tp t="s">
        <v>USD</v>
        <stp/>
        <stp>##V3_BDPV12</stp>
        <stp>912828A3 Govt</stp>
        <stp>CRNCY</stp>
        <stp>[TREASURY.xlsx]Sheet1!R627C7</stp>
        <tr r="G627" s="1"/>
      </tp>
      <tp t="s">
        <v>UNITED STATES</v>
        <stp/>
        <stp>##V3_BDPV12</stp>
        <stp>912827A6 Govt</stp>
        <stp>COUNTRY_FULL_NAME</stp>
        <stp>[TREASURY.xlsx]Sheet1!R1474C8</stp>
        <tr r="H1474" s="1"/>
      </tp>
      <tp t="s">
        <v>USD</v>
        <stp/>
        <stp>##V3_BDPV12</stp>
        <stp>912828CA Govt</stp>
        <stp>CRNCY</stp>
        <stp>[TREASURY.xlsx]Sheet1!R337C7</stp>
        <tr r="G337" s="1"/>
      </tp>
      <tp t="s">
        <v>USD</v>
        <stp/>
        <stp>##V3_BDPV12</stp>
        <stp>912828CL Govt</stp>
        <stp>CRNCY</stp>
        <stp>[TREASURY.xlsx]Sheet1!R557C7</stp>
        <tr r="G557" s="1"/>
      </tp>
      <tp t="s">
        <v>USD</v>
        <stp/>
        <stp>##V3_BDPV12</stp>
        <stp>912828CY Govt</stp>
        <stp>CRNCY</stp>
        <stp>[TREASURY.xlsx]Sheet1!R477C7</stp>
        <tr r="G477" s="1"/>
      </tp>
      <tp t="s">
        <v>S/A</v>
        <stp/>
        <stp>##V3_BDPV12</stp>
        <stp>912827H8 Govt</stp>
        <stp>COUPON_FREQUENCY_DESCRIPTION</stp>
        <stp>[TREASURY.xlsx]Sheet1!R1487C10</stp>
        <tr r="J1487" s="1"/>
      </tp>
      <tp t="s">
        <v>USD</v>
        <stp/>
        <stp>##V3_BDPV12</stp>
        <stp>912828BG Govt</stp>
        <stp>CRNCY</stp>
        <stp>[TREASURY.xlsx]Sheet1!R427C7</stp>
        <tr r="G427" s="1"/>
      </tp>
      <tp t="s">
        <v>USD</v>
        <stp/>
        <stp>##V3_BDPV12</stp>
        <stp>912828BT Govt</stp>
        <stp>CRNCY</stp>
        <stp>[TREASURY.xlsx]Sheet1!R787C7</stp>
        <tr r="G787" s="1"/>
      </tp>
      <tp t="s">
        <v>USD</v>
        <stp/>
        <stp>##V3_BDPV12</stp>
        <stp>912828B5 Govt</stp>
        <stp>CRNCY</stp>
        <stp>[TREASURY.xlsx]Sheet1!R647C7</stp>
        <tr r="G647" s="1"/>
      </tp>
      <tp t="s">
        <v>UNITED STATES</v>
        <stp/>
        <stp>##V3_BDPV12</stp>
        <stp>912827B5 Govt</stp>
        <stp>COUNTRY_FULL_NAME</stp>
        <stp>[TREASURY.xlsx]Sheet1!R1477C8</stp>
        <tr r="H1477" s="1"/>
      </tp>
      <tp t="s">
        <v>USD</v>
        <stp/>
        <stp>##V3_BDPV12</stp>
        <stp>912828EL Govt</stp>
        <stp>CRNCY</stp>
        <stp>[TREASURY.xlsx]Sheet1!R797C7</stp>
        <tr r="G797" s="1"/>
      </tp>
      <tp t="s">
        <v>USD</v>
        <stp/>
        <stp>##V3_BDPV12</stp>
        <stp>912828EX Govt</stp>
        <stp>CRNCY</stp>
        <stp>[TREASURY.xlsx]Sheet1!R397C7</stp>
        <tr r="G397" s="1"/>
      </tp>
      <tp t="s">
        <v>S/A</v>
        <stp/>
        <stp>##V3_BDPV12</stp>
        <stp>912827H9 Govt</stp>
        <stp>COUPON_FREQUENCY_DESCRIPTION</stp>
        <stp>[TREASURY.xlsx]Sheet1!R1375C10</stp>
        <tr r="J1375" s="1"/>
      </tp>
      <tp t="s">
        <v>USD</v>
        <stp/>
        <stp>##V3_BDPV12</stp>
        <stp>912828DP Govt</stp>
        <stp>CRNCY</stp>
        <stp>[TREASURY.xlsx]Sheet1!R517C7</stp>
        <tr r="G517" s="1"/>
      </tp>
      <tp t="s">
        <v>S/A</v>
        <stp/>
        <stp>##V3_BDPV12</stp>
        <stp>912828H9 Govt</stp>
        <stp>COUPON_FREQUENCY_DESCRIPTION</stp>
        <stp>[TREASURY.xlsx]Sheet1!R1243C10</stp>
        <tr r="J1243" s="1"/>
      </tp>
      <tp t="s">
        <v>UNITED STATES</v>
        <stp/>
        <stp>##V3_BDPV12</stp>
        <stp>912827M3 Govt</stp>
        <stp>COUNTRY_FULL_NAME</stp>
        <stp>[TREASURY.xlsx]Sheet1!R1568C8</stp>
        <tr r="H1568" s="1"/>
      </tp>
      <tp t="s">
        <v>USD</v>
        <stp/>
        <stp>##V3_BDPV12</stp>
        <stp>912828GL Govt</stp>
        <stp>CRNCY</stp>
        <stp>[TREASURY.xlsx]Sheet1!R847C7</stp>
        <tr r="G847" s="1"/>
      </tp>
      <tp t="s">
        <v>USD</v>
        <stp/>
        <stp>##V3_BDPV12</stp>
        <stp>912828GG Govt</stp>
        <stp>CRNCY</stp>
        <stp>[TREASURY.xlsx]Sheet1!R967C7</stp>
        <tr r="G967" s="1"/>
      </tp>
      <tp t="s">
        <v>USD</v>
        <stp/>
        <stp>##V3_BDPV12</stp>
        <stp>912828G3 Govt</stp>
        <stp>CRNCY</stp>
        <stp>[TREASURY.xlsx]Sheet1!R137C7</stp>
        <tr r="G137" s="1"/>
      </tp>
      <tp t="s">
        <v>USD</v>
        <stp/>
        <stp>##V3_BDPV12</stp>
        <stp>912828FT Govt</stp>
        <stp>CRNCY</stp>
        <stp>[TREASURY.xlsx]Sheet1!R597C7</stp>
        <tr r="G597" s="1"/>
      </tp>
      <tp t="s">
        <v>USD</v>
        <stp/>
        <stp>##V3_BDPV12</stp>
        <stp>912828F2 Govt</stp>
        <stp>CRNCY</stp>
        <stp>[TREASURY.xlsx]Sheet1!R207C7</stp>
        <tr r="G207" s="1"/>
      </tp>
      <tp t="s">
        <v>S/A</v>
        <stp/>
        <stp>##V3_BDPV12</stp>
        <stp>912827H7 Govt</stp>
        <stp>COUPON_FREQUENCY_DESCRIPTION</stp>
        <stp>[TREASURY.xlsx]Sheet1!R1158C10</stp>
        <tr r="J1158" s="1"/>
      </tp>
      <tp t="s">
        <v>USD</v>
        <stp/>
        <stp>##V3_BDPV12</stp>
        <stp>912828HJ Govt</stp>
        <stp>CRNCY</stp>
        <stp>[TREASURY.xlsx]Sheet1!R807C7</stp>
        <tr r="G807" s="1"/>
      </tp>
      <tp t="s">
        <v>USD</v>
        <stp/>
        <stp>##V3_BDPV12</stp>
        <stp>912828H8 Govt</stp>
        <stp>CRNCY</stp>
        <stp>[TREASURY.xlsx]Sheet1!R247C7</stp>
        <tr r="G247" s="1"/>
      </tp>
      <tp t="s">
        <v>USD</v>
        <stp/>
        <stp>##V3_BDPV12</stp>
        <stp>912828KL Govt</stp>
        <stp>CRNCY</stp>
        <stp>[TREASURY.xlsx]Sheet1!R857C7</stp>
        <tr r="G857" s="1"/>
      </tp>
      <tp t="s">
        <v>USD</v>
        <stp/>
        <stp>##V3_BDPV12</stp>
        <stp>912827KC Govt</stp>
        <stp>CRNCY</stp>
        <stp>[TREASURY.xlsx]Sheet1!R608C7</stp>
        <tr r="G608" s="1"/>
      </tp>
      <tp t="s">
        <v>USD</v>
        <stp/>
        <stp>##V3_BDPV12</stp>
        <stp>912827KK Govt</stp>
        <stp>CRNCY</stp>
        <stp>[TREASURY.xlsx]Sheet1!R708C7</stp>
        <tr r="G708" s="1"/>
      </tp>
      <tp t="s">
        <v>USD</v>
        <stp/>
        <stp>##V3_BDPV12</stp>
        <stp>912827KS Govt</stp>
        <stp>CRNCY</stp>
        <stp>[TREASURY.xlsx]Sheet1!R668C7</stp>
        <tr r="G668" s="1"/>
      </tp>
      <tp t="s">
        <v>USD</v>
        <stp/>
        <stp>##V3_BDPV12</stp>
        <stp>912828KW Govt</stp>
        <stp>CRNCY</stp>
        <stp>[TREASURY.xlsx]Sheet1!R617C7</stp>
        <tr r="G617" s="1"/>
      </tp>
      <tp t="s">
        <v>USD</v>
        <stp/>
        <stp>##V3_BDPV12</stp>
        <stp>912827K4 Govt</stp>
        <stp>CRNCY</stp>
        <stp>[TREASURY.xlsx]Sheet1!R568C7</stp>
        <tr r="G568" s="1"/>
      </tp>
      <tp t="s">
        <v>USD</v>
        <stp/>
        <stp>##V3_BDPV12</stp>
        <stp>912828JF Govt</stp>
        <stp>CRNCY</stp>
        <stp>[TREASURY.xlsx]Sheet1!R537C7</stp>
        <tr r="G537" s="1"/>
      </tp>
      <tp t="s">
        <v>USD</v>
        <stp/>
        <stp>##V3_BDPV12</stp>
        <stp>912828JG Govt</stp>
        <stp>CRNCY</stp>
        <stp>[TREASURY.xlsx]Sheet1!R417C7</stp>
        <tr r="G417" s="1"/>
      </tp>
      <tp t="s">
        <v>S/A</v>
        <stp/>
        <stp>##V3_BDPV12</stp>
        <stp>912827H4 Govt</stp>
        <stp>COUPON_FREQUENCY_DESCRIPTION</stp>
        <stp>[TREASURY.xlsx]Sheet1!R1157C10</stp>
        <tr r="J1157" s="1"/>
      </tp>
      <tp t="s">
        <v>USD</v>
        <stp/>
        <stp>##V3_BDPV12</stp>
        <stp>912827MK Govt</stp>
        <stp>CRNCY</stp>
        <stp>[TREASURY.xlsx]Sheet1!R898C7</stp>
        <tr r="G898" s="1"/>
      </tp>
      <tp t="s">
        <v>USD</v>
        <stp/>
        <stp>##V3_BDPV12</stp>
        <stp>912827M5 Govt</stp>
        <stp>CRNCY</stp>
        <stp>[TREASURY.xlsx]Sheet1!R718C7</stp>
        <tr r="G718" s="1"/>
      </tp>
      <tp t="s">
        <v>USD</v>
        <stp/>
        <stp>##V3_BDPV12</stp>
        <stp>912827LC Govt</stp>
        <stp>CRNCY</stp>
        <stp>[TREASURY.xlsx]Sheet1!R888C7</stp>
        <tr r="G888" s="1"/>
      </tp>
      <tp t="s">
        <v>USD</v>
        <stp/>
        <stp>##V3_BDPV12</stp>
        <stp>912828LR Govt</stp>
        <stp>CRNCY</stp>
        <stp>[TREASURY.xlsx]Sheet1!R817C7</stp>
        <tr r="G817" s="1"/>
      </tp>
      <tp t="s">
        <v>USD</v>
        <stp/>
        <stp>##V3_BDPV12</stp>
        <stp>912828L3 Govt</stp>
        <stp>CRNCY</stp>
        <stp>[TREASURY.xlsx]Sheet1!R327C7</stp>
        <tr r="G327" s="1"/>
      </tp>
      <tp t="s">
        <v>S/A</v>
        <stp/>
        <stp>##V3_BDPV12</stp>
        <stp>912827H3 Govt</stp>
        <stp>COUPON_FREQUENCY_DESCRIPTION</stp>
        <stp>[TREASURY.xlsx]Sheet1!R1316C10</stp>
        <tr r="J1316" s="1"/>
      </tp>
      <tp t="s">
        <v>UNITED STATES</v>
        <stp/>
        <stp>##V3_BDPV12</stp>
        <stp>912827L8 Govt</stp>
        <stp>COUNTRY_FULL_NAME</stp>
        <stp>[TREASURY.xlsx]Sheet1!R1319C8</stp>
        <tr r="H1319" s="1"/>
      </tp>
      <tp t="s">
        <v>USD</v>
        <stp/>
        <stp>##V3_BDPV12</stp>
        <stp>912828NE Govt</stp>
        <stp>CRNCY</stp>
        <stp>[TREASURY.xlsx]Sheet1!R977C7</stp>
        <tr r="G977" s="1"/>
      </tp>
      <tp t="s">
        <v>USD</v>
        <stp/>
        <stp>##V3_BDPV12</stp>
        <stp>912828NU Govt</stp>
        <stp>CRNCY</stp>
        <stp>[TREASURY.xlsx]Sheet1!R547C7</stp>
        <tr r="G547" s="1"/>
      </tp>
      <tp t="s">
        <v>UNITED STATES</v>
        <stp/>
        <stp>##V3_BDPV12</stp>
        <stp>912827C9 Govt</stp>
        <stp>COUNTRY_FULL_NAME</stp>
        <stp>[TREASURY.xlsx]Sheet1!R1556C8</stp>
        <tr r="H1556" s="1"/>
      </tp>
      <tp t="s">
        <v>USD</v>
        <stp/>
        <stp>##V3_BDPV12</stp>
        <stp>912827N6 Govt</stp>
        <stp>CRNCY</stp>
        <stp>[TREASURY.xlsx]Sheet1!R728C7</stp>
        <tr r="G728" s="1"/>
      </tp>
      <tp t="s">
        <v>ACT/ACT</v>
        <stp/>
        <stp>##V3_BDPV12</stp>
        <stp>912828Z9 Govt</stp>
        <stp>DAY_CNT_DES</stp>
        <stp>[TREASURY.xlsx]Sheet1!R25C17</stp>
        <tr r="Q25" s="1"/>
      </tp>
      <tp t="s">
        <v>S/A</v>
        <stp/>
        <stp>##V3_BDPV12</stp>
        <stp>912810SZ Govt</stp>
        <stp>COUPON_FREQUENCY_DESCRIPTION</stp>
        <stp>[TREASURY.xlsx]Sheet1!R3C10</stp>
        <tr r="J3" s="1"/>
      </tp>
      <tp t="s">
        <v>S/A</v>
        <stp/>
        <stp>##V3_BDPV12</stp>
        <stp>91282CCZ Govt</stp>
        <stp>COUPON_FREQUENCY_DESCRIPTION</stp>
        <stp>[TREASURY.xlsx]Sheet1!R7C10</stp>
        <tr r="J7" s="1"/>
      </tp>
      <tp>
        <v>0.125</v>
        <stp/>
        <stp>##V3_BDPV12</stp>
        <stp>91282CAP Govt</stp>
        <stp>CPN</stp>
        <stp>[TREASURY.xlsx]Sheet1!R151C3</stp>
        <tr r="C151" s="1"/>
      </tp>
      <tp>
        <v>2</v>
        <stp/>
        <stp>##V3_BDPV12</stp>
        <stp>912828XX Govt</stp>
        <stp>CPN</stp>
        <stp>[TREASURY.xlsx]Sheet1!R249C3</stp>
        <tr r="C249" s="1"/>
      </tp>
      <tp>
        <v>1.75</v>
        <stp/>
        <stp>##V3_BDPV12</stp>
        <stp>912828XR Govt</stp>
        <stp>CPN</stp>
        <stp>[TREASURY.xlsx]Sheet1!R203C3</stp>
        <tr r="C203" s="1"/>
      </tp>
      <tp>
        <v>1.625</v>
        <stp/>
        <stp>##V3_BDPV12</stp>
        <stp>9128282S Govt</stp>
        <stp>CPN</stp>
        <stp>[TREASURY.xlsx]Sheet1!R212C3</stp>
        <tr r="C212" s="1"/>
      </tp>
      <tp>
        <v>2.875</v>
        <stp/>
        <stp>##V3_BDPV12</stp>
        <stp>9128285P Govt</stp>
        <stp>CPN</stp>
        <stp>[TREASURY.xlsx]Sheet1!R271C3</stp>
        <tr r="C271" s="1"/>
      </tp>
      <tp>
        <v>2.375</v>
        <stp/>
        <stp>##V3_BDPV12</stp>
        <stp>9128286S Govt</stp>
        <stp>CPN</stp>
        <stp>[TREASURY.xlsx]Sheet1!R322C3</stp>
        <tr r="C322" s="1"/>
      </tp>
      <tp>
        <v>1.625</v>
        <stp/>
        <stp>##V3_BDPV12</stp>
        <stp>912828TY Govt</stp>
        <stp>CPN</stp>
        <stp>[TREASURY.xlsx]Sheet1!R118C3</stp>
        <tr r="C118" s="1"/>
      </tp>
      <tp>
        <v>1.625</v>
        <stp/>
        <stp>##V3_BDPV12</stp>
        <stp>912828YU Govt</stp>
        <stp>CPN</stp>
        <stp>[TREASURY.xlsx]Sheet1!R174C3</stp>
        <tr r="C174" s="1"/>
      </tp>
      <tp>
        <v>2</v>
        <stp/>
        <stp>##V3_BDPV12</stp>
        <stp>912828XT Govt</stp>
        <stp>CPN</stp>
        <stp>[TREASURY.xlsx]Sheet1!R155C3</stp>
        <tr r="C155" s="1"/>
      </tp>
      <tp>
        <v>1.75</v>
        <stp/>
        <stp>##V3_BDPV12</stp>
        <stp>912828YY Govt</stp>
        <stp>CPN</stp>
        <stp>[TREASURY.xlsx]Sheet1!R158C3</stp>
        <tr r="C158" s="1"/>
      </tp>
      <tp>
        <v>1.875</v>
        <stp/>
        <stp>##V3_BDPV12</stp>
        <stp>9128282W Govt</stp>
        <stp>CPN</stp>
        <stp>[TREASURY.xlsx]Sheet1!R166C3</stp>
        <tr r="C166" s="1"/>
      </tp>
      <tp>
        <v>4.5</v>
        <stp/>
        <stp>##V3_BDPV12</stp>
        <stp>912828FU Govt</stp>
        <stp>CPN</stp>
        <stp>[TREASURY.xlsx]Sheet1!R614C3</stp>
        <tr r="C614" s="1"/>
      </tp>
      <tp>
        <v>3.375</v>
        <stp/>
        <stp>##V3_BDPV12</stp>
        <stp>912828CX Govt</stp>
        <stp>CPN</stp>
        <stp>[TREASURY.xlsx]Sheet1!R659C3</stp>
        <tr r="C659" s="1"/>
      </tp>
      <tp>
        <v>3</v>
        <stp/>
        <stp>##V3_BDPV12</stp>
        <stp>912828AT Govt</stp>
        <stp>CPN</stp>
        <stp>[TREASURY.xlsx]Sheet1!R635C3</stp>
        <tr r="C635" s="1"/>
      </tp>
      <tp>
        <v>2.0913658880520796</v>
        <stp/>
        <stp>##V3_BDPV12</stp>
        <stp>912810RS Govt</stp>
        <stp>YLD_YTM_BID</stp>
        <stp>[TREASURY.xlsx]Sheet1!R163C4</stp>
        <tr r="D163" s="1"/>
      </tp>
      <tp>
        <v>0.375</v>
        <stp/>
        <stp>##V3_BDPV12</stp>
        <stp>912828QW Govt</stp>
        <stp>CPN</stp>
        <stp>[TREASURY.xlsx]Sheet1!R646C3</stp>
        <tr r="C646" s="1"/>
      </tp>
      <tp>
        <v>8.5</v>
        <stp/>
        <stp>##V3_BDPV12</stp>
        <stp>912827WR Govt</stp>
        <stp>CPN</stp>
        <stp>[TREASURY.xlsx]Sheet1!R933C3</stp>
        <tr r="C933" s="1"/>
      </tp>
      <tp>
        <v>9.75</v>
        <stp/>
        <stp>##V3_BDPV12</stp>
        <stp>912827RU Govt</stp>
        <stp>CPN</stp>
        <stp>[TREASURY.xlsx]Sheet1!R914C3</stp>
        <tr r="C914" s="1"/>
      </tp>
      <tp>
        <v>8.625</v>
        <stp/>
        <stp>##V3_BDPV12</stp>
        <stp>912827YV Govt</stp>
        <stp>CPN</stp>
        <stp>[TREASURY.xlsx]Sheet1!R947C3</stp>
        <tr r="C947" s="1"/>
      </tp>
      <tp>
        <v>8.25</v>
        <stp/>
        <stp>##V3_BDPV12</stp>
        <stp>912827XX Govt</stp>
        <stp>CPN</stp>
        <stp>[TREASURY.xlsx]Sheet1!R939C3</stp>
        <tr r="C939" s="1"/>
      </tp>
      <tp>
        <v>0.25</v>
        <stp/>
        <stp>##V3_BDPV12</stp>
        <stp>912828RV Govt</stp>
        <stp>CPN</stp>
        <stp>[TREASURY.xlsx]Sheet1!R687C3</stp>
        <tr r="C687" s="1"/>
      </tp>
      <tp>
        <v>0.7521755763465432</v>
        <stp/>
        <stp>##V3_BDPV12</stp>
        <stp>912810EV Govt</stp>
        <stp>YLD_YTM_BID</stp>
        <stp>[TREASURY.xlsx]Sheet1!R326C4</stp>
        <tr r="D326" s="1"/>
      </tp>
      <tp>
        <v>3.875</v>
        <stp/>
        <stp>##V3_BDPV12</stp>
        <stp>912828AU Govt</stp>
        <stp>CPN</stp>
        <stp>[TREASURY.xlsx]Sheet1!R474C3</stp>
        <tr r="C474" s="1"/>
      </tp>
      <tp>
        <v>3.5</v>
        <stp/>
        <stp>##V3_BDPV12</stp>
        <stp>912828CS Govt</stp>
        <stp>CPN</stp>
        <stp>[TREASURY.xlsx]Sheet1!R462C3</stp>
        <tr r="C462" s="1"/>
      </tp>
      <tp>
        <v>1</v>
        <stp/>
        <stp>##V3_BDPV12</stp>
        <stp>912828MU Govt</stp>
        <stp>CPN</stp>
        <stp>[TREASURY.xlsx]Sheet1!R494C3</stp>
        <tr r="C494" s="1"/>
      </tp>
      <tp>
        <v>0.25</v>
        <stp/>
        <stp>##V3_BDPV12</stp>
        <stp>912828SU Govt</stp>
        <stp>CPN</stp>
        <stp>[TREASURY.xlsx]Sheet1!R404C3</stp>
        <tr r="C404" s="1"/>
      </tp>
      <tp>
        <v>1.9648087616318726</v>
        <stp/>
        <stp>##V3_BDPV12</stp>
        <stp>912810QS Govt</stp>
        <stp>YLD_YTM_BID</stp>
        <stp>[TREASURY.xlsx]Sheet1!R303C4</stp>
        <tr r="D303" s="1"/>
      </tp>
      <tp>
        <v>2.75</v>
        <stp/>
        <stp>##V3_BDPV12</stp>
        <stp>9128285Q Govt</stp>
        <stp>CPN</stp>
        <stp>[TREASURY.xlsx]Sheet1!R410C3</stp>
        <tr r="C410" s="1"/>
      </tp>
      <tp>
        <v>0.86733186831194276</v>
        <stp/>
        <stp>##V3_BDPV12</stp>
        <stp>912810EW Govt</stp>
        <stp>YLD_YTM_BID</stp>
        <stp>[TREASURY.xlsx]Sheet1!R277C4</stp>
        <tr r="D277" s="1"/>
      </tp>
      <tp>
        <v>1.5</v>
        <stp/>
        <stp>##V3_BDPV12</stp>
        <stp>912828QX Govt</stp>
        <stp>CPN</stp>
        <stp>[TREASURY.xlsx]Sheet1!R519C3</stp>
        <tr r="C519" s="1"/>
      </tp>
      <tp>
        <v>5.625</v>
        <stp/>
        <stp>##V3_BDPV12</stp>
        <stp>9128276P Govt</stp>
        <stp>CPN</stp>
        <stp>[TREASURY.xlsx]Sheet1!R441C3</stp>
        <tr r="C441" s="1"/>
      </tp>
      <tp>
        <v>4.625</v>
        <stp/>
        <stp>##V3_BDPV12</stp>
        <stp>912828FW Govt</stp>
        <stp>CPN</stp>
        <stp>[TREASURY.xlsx]Sheet1!R846C3</stp>
        <tr r="C846" s="1"/>
      </tp>
      <tp>
        <v>2.375</v>
        <stp/>
        <stp>##V3_BDPV12</stp>
        <stp>912828MR Govt</stp>
        <stp>CPN</stp>
        <stp>[TREASURY.xlsx]Sheet1!R823C3</stp>
        <tr r="C823" s="1"/>
      </tp>
      <tp>
        <v>15.75</v>
        <stp/>
        <stp>##V3_BDPV12</stp>
        <stp>912827LV Govt</stp>
        <stp>CPN</stp>
        <stp>[TREASURY.xlsx]Sheet1!R717C3</stp>
        <tr r="C717" s="1"/>
      </tp>
      <tp>
        <v>11.375</v>
        <stp/>
        <stp>##V3_BDPV12</stp>
        <stp>912827KQ Govt</stp>
        <stp>CPN</stp>
        <stp>[TREASURY.xlsx]Sheet1!R710C3</stp>
        <tr r="C710" s="1"/>
      </tp>
      <tp>
        <v>2.125</v>
        <stp/>
        <stp>##V3_BDPV12</stp>
        <stp>912828HX Govt</stp>
        <stp>CPN</stp>
        <stp>[TREASURY.xlsx]Sheet1!R809C3</stp>
        <tr r="C809" s="1"/>
      </tp>
      <tp>
        <v>8.625</v>
        <stp/>
        <stp>##V3_BDPV12</stp>
        <stp>912827SX Govt</stp>
        <stp>CPN</stp>
        <stp>[TREASURY.xlsx]Sheet1!R749C3</stp>
        <tr r="C749" s="1"/>
      </tp>
      <tp>
        <v>7.25</v>
        <stp/>
        <stp>##V3_BDPV12</stp>
        <stp>912827ZR Govt</stp>
        <stp>CPN</stp>
        <stp>[TREASURY.xlsx]Sheet1!R783C3</stp>
        <tr r="C783" s="1"/>
      </tp>
      <tp>
        <v>8.625</v>
        <stp/>
        <stp>##V3_BDPV12</stp>
        <stp>912827VT Govt</stp>
        <stp>CPN</stp>
        <stp>[TREASURY.xlsx]Sheet1!R765C3</stp>
        <tr r="C765" s="1"/>
      </tp>
      <tp>
        <v>1.375</v>
        <stp/>
        <stp>##V3_BDPV12</stp>
        <stp>912828VQ Govt</stp>
        <stp>CPN</stp>
        <stp>[TREASURY.xlsx]Sheet1!R880C3</stp>
        <tr r="C880" s="1"/>
      </tp>
      <tp>
        <v>1</v>
        <stp/>
        <stp>##V3_BDPV12</stp>
        <stp>912828LT Govt</stp>
        <stp>CPN</stp>
        <stp>[TREASURY.xlsx]Sheet1!R975C3</stp>
        <tr r="C975" s="1"/>
      </tp>
      <tp>
        <v>0.75</v>
        <stp/>
        <stp>##V3_BDPV12</stp>
        <stp>912828QS Govt</stp>
        <stp>CPN</stp>
        <stp>[TREASURY.xlsx]Sheet1!R992C3</stp>
        <tr r="C992" s="1"/>
      </tp>
      <tp t="s">
        <v>#N/A N/A</v>
        <stp/>
        <stp>##V3_BDPV12</stp>
        <stp>912828PW Govt</stp>
        <stp>YLD_YTM_BID</stp>
        <stp>[TREASURY.xlsx]Sheet1!R987C4</stp>
        <tr r="D987" s="1"/>
      </tp>
      <tp t="s">
        <v>#N/A N/A</v>
        <stp/>
        <stp>##V3_BDPV12</stp>
        <stp>912828QQ Govt</stp>
        <stp>YLD_YTM_BID</stp>
        <stp>[TREASURY.xlsx]Sheet1!R991C4</stp>
        <tr r="D991" s="1"/>
      </tp>
      <tp t="s">
        <v>#N/A N/A</v>
        <stp/>
        <stp>##V3_BDPV12</stp>
        <stp>912828GT Govt</stp>
        <stp>YLD_YTM_BID</stp>
        <stp>[TREASURY.xlsx]Sheet1!R804C4</stp>
        <tr r="D804" s="1"/>
      </tp>
      <tp t="s">
        <v>#N/A N/A</v>
        <stp/>
        <stp>##V3_BDPV12</stp>
        <stp>912827MT Govt</stp>
        <stp>YLD_YTM_BID</stp>
        <stp>[TREASURY.xlsx]Sheet1!R724C4</stp>
        <tr r="D724" s="1"/>
      </tp>
      <tp t="s">
        <v>#N/A N/A</v>
        <stp/>
        <stp>##V3_BDPV12</stp>
        <stp>912828JU Govt</stp>
        <stp>YLD_YTM_BID</stp>
        <stp>[TREASURY.xlsx]Sheet1!R855C4</stp>
        <tr r="D855" s="1"/>
      </tp>
      <tp t="s">
        <v>#N/A N/A</v>
        <stp/>
        <stp>##V3_BDPV12</stp>
        <stp>912828JQ Govt</stp>
        <stp>YLD_YTM_BID</stp>
        <stp>[TREASURY.xlsx]Sheet1!R811C4</stp>
        <tr r="D811" s="1"/>
      </tp>
      <tp t="s">
        <v>#N/A N/A</v>
        <stp/>
        <stp>##V3_BDPV12</stp>
        <stp>912827XT Govt</stp>
        <stp>YLD_YTM_BID</stp>
        <stp>[TREASURY.xlsx]Sheet1!R774C4</stp>
        <tr r="D774" s="1"/>
      </tp>
      <tp t="s">
        <v>#N/A N/A</v>
        <stp/>
        <stp>##V3_BDPV12</stp>
        <stp>912828CT Govt</stp>
        <stp>YLD_YTM_BID</stp>
        <stp>[TREASURY.xlsx]Sheet1!R514C4</stp>
        <tr r="D514" s="1"/>
      </tp>
      <tp t="s">
        <v>#N/A N/A</v>
        <stp/>
        <stp>##V3_BDPV12</stp>
        <stp>912828QP Govt</stp>
        <stp>YLD_YTM_BID</stp>
        <stp>[TREASURY.xlsx]Sheet1!R550C4</stp>
        <tr r="D550" s="1"/>
      </tp>
      <tp t="s">
        <v>#N/A N/A</v>
        <stp/>
        <stp>##V3_BDPV12</stp>
        <stp>912828WS Govt</stp>
        <stp>YLD_YTM_BID</stp>
        <stp>[TREASURY.xlsx]Sheet1!R543C4</stp>
        <tr r="D543" s="1"/>
      </tp>
      <tp>
        <v>3</v>
        <stp/>
        <stp>##V3_BDPV12</stp>
        <stp>912810QW Govt</stp>
        <stp>CPN</stp>
        <stp>[TREASURY.xlsx]Sheet1!R286C3</stp>
        <tr r="C286" s="1"/>
      </tp>
      <tp>
        <v>6.5</v>
        <stp/>
        <stp>##V3_BDPV12</stp>
        <stp>912810EY Govt</stp>
        <stp>CPN</stp>
        <stp>[TREASURY.xlsx]Sheet1!R328C3</stp>
        <tr r="C328" s="1"/>
      </tp>
      <tp>
        <v>7.5</v>
        <stp/>
        <stp>##V3_BDPV12</stp>
        <stp>912810ES Govt</stp>
        <stp>CPN</stp>
        <stp>[TREASURY.xlsx]Sheet1!R312C3</stp>
        <tr r="C312" s="1"/>
      </tp>
      <tp t="s">
        <v>#N/A N/A</v>
        <stp/>
        <stp>##V3_BDPV12</stp>
        <stp>912828UQ Govt</stp>
        <stp>YLD_YTM_BID</stp>
        <stp>[TREASURY.xlsx]Sheet1!R421C4</stp>
        <tr r="D421" s="1"/>
      </tp>
      <tp t="s">
        <v>#N/A N/A</v>
        <stp/>
        <stp>##V3_BDPV12</stp>
        <stp>912828TR Govt</stp>
        <stp>YLD_YTM_BID</stp>
        <stp>[TREASURY.xlsx]Sheet1!R402C4</stp>
        <tr r="D402" s="1"/>
      </tp>
      <tp t="s">
        <v>#N/A N/A</v>
        <stp/>
        <stp>##V3_BDPV12</stp>
        <stp>9128283S Govt</stp>
        <stp>YLD_YTM_BID</stp>
        <stp>[TREASURY.xlsx]Sheet1!R433C4</stp>
        <tr r="D433" s="1"/>
      </tp>
      <tp t="s">
        <v>#N/A N/A</v>
        <stp/>
        <stp>##V3_BDPV12</stp>
        <stp>912828DR Govt</stp>
        <stp>YLD_YTM_BID</stp>
        <stp>[TREASURY.xlsx]Sheet1!R792C4</stp>
        <tr r="D792" s="1"/>
      </tp>
      <tp t="s">
        <v>#N/A N/A</v>
        <stp/>
        <stp>##V3_BDPV12</stp>
        <stp>912828AW Govt</stp>
        <stp>YLD_YTM_BID</stp>
        <stp>[TREASURY.xlsx]Sheet1!R667C4</stp>
        <tr r="D667" s="1"/>
      </tp>
      <tp t="s">
        <v>#N/A N/A</v>
        <stp/>
        <stp>##V3_BDPV12</stp>
        <stp>912828KV Govt</stp>
        <stp>YLD_YTM_BID</stp>
        <stp>[TREASURY.xlsx]Sheet1!R616C4</stp>
        <tr r="D616" s="1"/>
      </tp>
      <tp t="s">
        <v>#N/A N/A</v>
        <stp/>
        <stp>##V3_BDPV12</stp>
        <stp>912828KW Govt</stp>
        <stp>YLD_YTM_BID</stp>
        <stp>[TREASURY.xlsx]Sheet1!R617C4</stp>
        <tr r="D617" s="1"/>
      </tp>
      <tp>
        <v>2.875</v>
        <stp/>
        <stp>##V3_BDPV12</stp>
        <stp>912810RU Govt</stp>
        <stp>CPN</stp>
        <stp>[TREASURY.xlsx]Sheet1!R154C3</stp>
        <tr r="C154" s="1"/>
      </tp>
      <tp t="s">
        <v>#N/A N/A</v>
        <stp/>
        <stp>##V3_BDPV12</stp>
        <stp>912827VV Govt</stp>
        <stp>YLD_YTM_BID</stp>
        <stp>[TREASURY.xlsx]Sheet1!R926C4</stp>
        <tr r="D926" s="1"/>
      </tp>
      <tp t="s">
        <v>#N/A N/A</v>
        <stp/>
        <stp>##V3_BDPV12</stp>
        <stp>912827RS Govt</stp>
        <stp>YLD_YTM_BID</stp>
        <stp>[TREASURY.xlsx]Sheet1!R913C4</stp>
        <tr r="D913" s="1"/>
      </tp>
      <tp t="s">
        <v>#N/A N/A</v>
        <stp/>
        <stp>##V3_BDPV12</stp>
        <stp>912827ZU Govt</stp>
        <stp>YLD_YTM_BID</stp>
        <stp>[TREASURY.xlsx]Sheet1!R955C4</stp>
        <tr r="D955" s="1"/>
      </tp>
      <tp t="s">
        <v>#N/A N/A</v>
        <stp/>
        <stp>##V3_BDPV12</stp>
        <stp>912827YX Govt</stp>
        <stp>YLD_YTM_BID</stp>
        <stp>[TREASURY.xlsx]Sheet1!R948C4</stp>
        <tr r="D948" s="1"/>
      </tp>
      <tp t="s">
        <v>#N/A N/A</v>
        <stp/>
        <stp>##V3_BDPV12</stp>
        <stp>912827YY Govt</stp>
        <stp>YLD_YTM_BID</stp>
        <stp>[TREASURY.xlsx]Sheet1!R949C4</stp>
        <tr r="D949" s="1"/>
      </tp>
      <tp t="s">
        <v>#N/A N/A</v>
        <stp/>
        <stp>##V3_BDPV12</stp>
        <stp>912828WY Govt</stp>
        <stp>YLD_YTM_BID</stp>
        <stp>[TREASURY.xlsx]Sheet1!R359C4</stp>
        <tr r="D359" s="1"/>
      </tp>
      <tp t="s">
        <v>#N/A N/A</v>
        <stp/>
        <stp>##V3_BDPV12</stp>
        <stp>9128284T Govt</stp>
        <stp>YLD_YTM_BID</stp>
        <stp>[TREASURY.xlsx]Sheet1!R344C4</stp>
        <tr r="D344" s="1"/>
      </tp>
      <tp t="s">
        <v>#N/A N/A</v>
        <stp/>
        <stp>##V3_BDPV12</stp>
        <stp>9128284W Govt</stp>
        <stp>YLD_YTM_BID</stp>
        <stp>[TREASURY.xlsx]Sheet1!R347C4</stp>
        <tr r="D347" s="1"/>
      </tp>
      <tp>
        <v>9.25</v>
        <stp/>
        <stp>##V3_BDPV12</stp>
        <stp>912810DV Govt</stp>
        <stp>CPN</stp>
        <stp>[TREASURY.xlsx]Sheet1!R527C3</stp>
        <tr r="C527" s="1"/>
      </tp>
      <tp>
        <v>7.7385251994858073E-2</v>
        <stp/>
        <stp>##V3_BDPV12</stp>
        <stp>912828XW Govt</stp>
        <stp>YLD_YTM_BID</stp>
        <stp>[TREASURY.xlsx]Sheet1!R217C4</stp>
        <tr r="D217" s="1"/>
      </tp>
      <tp>
        <v>0.29553497684477492</v>
        <stp/>
        <stp>##V3_BDPV12</stp>
        <stp>9128285D Govt</stp>
        <stp>YLD_YTM_BID</stp>
        <stp>[TREASURY.xlsx]Sheet1!R54C4</stp>
        <tr r="D54" s="1"/>
      </tp>
      <tp t="s">
        <v>UNITED STATES</v>
        <stp/>
        <stp>##V3_BDPV12</stp>
        <stp>912828EF Govt</stp>
        <stp>COUNTRY_FULL_NAME</stp>
        <stp>[TREASURY.xlsx]Sheet1!R1431C8</stp>
        <tr r="H1431" s="1"/>
      </tp>
      <tp t="s">
        <v>UNITED STATES</v>
        <stp/>
        <stp>##V3_BDPV12</stp>
        <stp>912828DG Govt</stp>
        <stp>COUNTRY_FULL_NAME</stp>
        <stp>[TREASURY.xlsx]Sheet1!R1110C8</stp>
        <tr r="H1110" s="1"/>
      </tp>
      <tp t="s">
        <v>USD</v>
        <stp/>
        <stp>##V3_BDPV12</stp>
        <stp>9128283C Govt</stp>
        <stp>CRNCY</stp>
        <stp>[TREASURY.xlsx]Sheet1!R186C7</stp>
        <tr r="G186" s="1"/>
      </tp>
      <tp t="s">
        <v>USD</v>
        <stp/>
        <stp>##V3_BDPV12</stp>
        <stp>9128283N Govt</stp>
        <stp>CRNCY</stp>
        <stp>[TREASURY.xlsx]Sheet1!R366C7</stp>
        <tr r="G366" s="1"/>
      </tp>
      <tp t="s">
        <v>USD</v>
        <stp/>
        <stp>##V3_BDPV12</stp>
        <stp>9128283J Govt</stp>
        <stp>CRNCY</stp>
        <stp>[TREASURY.xlsx]Sheet1!R216C7</stp>
        <tr r="G216" s="1"/>
      </tp>
      <tp t="s">
        <v>UNITED STATES</v>
        <stp/>
        <stp>##V3_BDPV12</stp>
        <stp>912827LD Govt</stp>
        <stp>COUNTRY_FULL_NAME</stp>
        <stp>[TREASURY.xlsx]Sheet1!R1378C8</stp>
        <tr r="H1378" s="1"/>
      </tp>
      <tp t="s">
        <v>USD</v>
        <stp/>
        <stp>##V3_BDPV12</stp>
        <stp>9128282W Govt</stp>
        <stp>CRNCY</stp>
        <stp>[TREASURY.xlsx]Sheet1!R166C7</stp>
        <tr r="G166" s="1"/>
      </tp>
      <tp t="s">
        <v>USD</v>
        <stp/>
        <stp>##V3_BDPV12</stp>
        <stp>9128285F Govt</stp>
        <stp>CRNCY</stp>
        <stp>[TREASURY.xlsx]Sheet1!R106C7</stp>
        <tr r="G106" s="1"/>
      </tp>
      <tp t="s">
        <v>UNITED STATES</v>
        <stp/>
        <stp>##V3_BDPV12</stp>
        <stp>912828GB Govt</stp>
        <stp>COUNTRY_FULL_NAME</stp>
        <stp>[TREASURY.xlsx]Sheet1!R1433C8</stp>
        <tr r="H1433" s="1"/>
      </tp>
      <tp t="s">
        <v>USD</v>
        <stp/>
        <stp>##V3_BDPV12</stp>
        <stp>9128284Y Govt</stp>
        <stp>CRNCY</stp>
        <stp>[TREASURY.xlsx]Sheet1!R376C7</stp>
        <tr r="G376" s="1"/>
      </tp>
      <tp t="s">
        <v>USD</v>
        <stp/>
        <stp>##V3_BDPV12</stp>
        <stp>9128284X Govt</stp>
        <stp>CRNCY</stp>
        <stp>[TREASURY.xlsx]Sheet1!R256C7</stp>
        <tr r="G256" s="1"/>
      </tp>
      <tp t="s">
        <v>USD</v>
        <stp/>
        <stp>##V3_BDPV12</stp>
        <stp>9128287B Govt</stp>
        <stp>CRNCY</stp>
        <stp>[TREASURY.xlsx]Sheet1!R306C7</stp>
        <tr r="G306" s="1"/>
      </tp>
      <tp t="s">
        <v>USD</v>
        <stp/>
        <stp>##V3_BDPV12</stp>
        <stp>9128286L Govt</stp>
        <stp>CRNCY</stp>
        <stp>[TREASURY.xlsx]Sheet1!R276C7</stp>
        <tr r="G276" s="1"/>
      </tp>
      <tp t="s">
        <v>UNITED STATES</v>
        <stp/>
        <stp>##V3_BDPV12</stp>
        <stp>912828FA Govt</stp>
        <stp>COUNTRY_FULL_NAME</stp>
        <stp>[TREASURY.xlsx]Sheet1!R1432C8</stp>
        <tr r="H1432" s="1"/>
      </tp>
      <tp t="s">
        <v>T 6 1/4 05/31/99</v>
        <stp/>
        <stp>##V3_BDPV12</stp>
        <stp>9128272V Govt</stp>
        <stp>SECURITY_NAME</stp>
        <stp>[TREASURY.xlsx]Sheet1!R1522C16</stp>
        <tr r="P1522" s="1"/>
      </tp>
      <tp t="s">
        <v>T 4 3/4 11/15/08</v>
        <stp/>
        <stp>##V3_BDPV12</stp>
        <stp>9128274V Govt</stp>
        <stp>SECURITY_NAME</stp>
        <stp>[TREASURY.xlsx]Sheet1!R1533C16</stp>
        <tr r="P1533" s="1"/>
      </tp>
      <tp t="s">
        <v>T 7 1/4 07/15/93</v>
        <stp/>
        <stp>##V3_BDPV12</stp>
        <stp>912827TV Govt</stp>
        <stp>SECURITY_NAME</stp>
        <stp>[TREASURY.xlsx]Sheet1!R1510C16</stp>
        <tr r="P1510" s="1"/>
      </tp>
      <tp t="s">
        <v>T 10 3/8 02/15/88</v>
        <stp/>
        <stp>##V3_BDPV12</stp>
        <stp>912827RV Govt</stp>
        <stp>SECURITY_NAME</stp>
        <stp>[TREASURY.xlsx]Sheet1!R1582C16</stp>
        <tr r="P1582" s="1"/>
      </tp>
      <tp t="s">
        <v>T 7 7/8 08/15/92</v>
        <stp/>
        <stp>##V3_BDPV12</stp>
        <stp>912827XV Govt</stp>
        <stp>SECURITY_NAME</stp>
        <stp>[TREASURY.xlsx]Sheet1!R1599C16</stp>
        <tr r="P1599" s="1"/>
      </tp>
      <tp t="s">
        <v>UNITED STATES</v>
        <stp/>
        <stp>##V3_BDPV12</stp>
        <stp>912810DL Govt</stp>
        <stp>COUNTRY_FULL_NAME</stp>
        <stp>[TREASURY.xlsx]Sheet1!R1620C8</stp>
        <tr r="H1620" s="1"/>
      </tp>
      <tp t="s">
        <v>UNITED STATES</v>
        <stp/>
        <stp>##V3_BDPV12</stp>
        <stp>912810CL Govt</stp>
        <stp>COUNTRY_FULL_NAME</stp>
        <stp>[TREASURY.xlsx]Sheet1!R1617C8</stp>
        <tr r="H1617" s="1"/>
      </tp>
      <tp t="s">
        <v>T 4 1/4 03/31/03</v>
        <stp/>
        <stp>##V3_BDPV12</stp>
        <stp>9128276V Govt</stp>
        <stp>SECURITY_NAME</stp>
        <stp>[TREASURY.xlsx]Sheet1!R1468C16</stp>
        <tr r="P1468" s="1"/>
      </tp>
      <tp t="s">
        <v>T 12 5/8 05/31/86</v>
        <stp/>
        <stp>##V3_BDPV12</stp>
        <stp>912827QV Govt</stp>
        <stp>SECURITY_NAME</stp>
        <stp>[TREASURY.xlsx]Sheet1!R1498C16</stp>
        <tr r="P1498" s="1"/>
      </tp>
      <tp t="s">
        <v>T 5 1/2 01/31/03</v>
        <stp/>
        <stp>##V3_BDPV12</stp>
        <stp>9128273V Govt</stp>
        <stp>SECURITY_NAME</stp>
        <stp>[TREASURY.xlsx]Sheet1!R1360C16</stp>
        <tr r="P1360" s="1"/>
      </tp>
      <tp t="s">
        <v>T 14 5/8 02/15/85</v>
        <stp/>
        <stp>##V3_BDPV12</stp>
        <stp>912827MV Govt</stp>
        <stp>SECURITY_NAME</stp>
        <stp>[TREASURY.xlsx]Sheet1!R1381C16</stp>
        <tr r="P1381" s="1"/>
      </tp>
      <tp t="s">
        <v>T 11 7/8 08/15/93</v>
        <stp/>
        <stp>##V3_BDPV12</stp>
        <stp>912827PV Govt</stp>
        <stp>SECURITY_NAME</stp>
        <stp>[TREASURY.xlsx]Sheet1!R1391C16</stp>
        <tr r="P1391" s="1"/>
      </tp>
      <tp t="s">
        <v>T 2 1/8 08/31/20</v>
        <stp/>
        <stp>##V3_BDPV12</stp>
        <stp>912828VV Govt</stp>
        <stp>SECURITY_NAME</stp>
        <stp>[TREASURY.xlsx]Sheet1!R1305C16</stp>
        <tr r="P1305" s="1"/>
      </tp>
      <tp t="s">
        <v>T 7 1/2 01/31/96</v>
        <stp/>
        <stp>##V3_BDPV12</stp>
        <stp>912827ZV Govt</stp>
        <stp>SECURITY_NAME</stp>
        <stp>[TREASURY.xlsx]Sheet1!R1231C16</stp>
        <tr r="P1231" s="1"/>
      </tp>
      <tp t="s">
        <v>T 8 1/2 11/15/91</v>
        <stp/>
        <stp>##V3_BDPV12</stp>
        <stp>912827WV Govt</stp>
        <stp>SECURITY_NAME</stp>
        <stp>[TREASURY.xlsx]Sheet1!R1209C16</stp>
        <tr r="P1209" s="1"/>
      </tp>
      <tp t="s">
        <v>T 1 08/31/11</v>
        <stp/>
        <stp>##V3_BDPV12</stp>
        <stp>912828LV Govt</stp>
        <stp>SECURITY_NAME</stp>
        <stp>[TREASURY.xlsx]Sheet1!R1291C16</stp>
        <tr r="P1291" s="1"/>
      </tp>
      <tp t="s">
        <v>UNITED STATES</v>
        <stp/>
        <stp>##V3_BDPV12</stp>
        <stp>912828LH Govt</stp>
        <stp>COUNTRY_FULL_NAME</stp>
        <stp>[TREASURY.xlsx]Sheet1!R1128C8</stp>
        <tr r="H1128" s="1"/>
      </tp>
      <tp t="s">
        <v>T 13 7/8 05/15/11</v>
        <stp/>
        <stp>##V3_BDPV12</stp>
        <stp>912810CV Govt</stp>
        <stp>SECURITY_NAME</stp>
        <stp>[TREASURY.xlsx]Sheet1!R1310C16</stp>
        <tr r="P1310" s="1"/>
      </tp>
      <tp t="s">
        <v>UNITED STATES</v>
        <stp/>
        <stp>##V3_BDPV12</stp>
        <stp>912828DY Govt</stp>
        <stp>COUNTRY_FULL_NAME</stp>
        <stp>[TREASURY.xlsx]Sheet1!R1430C8</stp>
        <tr r="H1430" s="1"/>
      </tp>
      <tp t="s">
        <v>USD</v>
        <stp/>
        <stp>##V3_BDPV12</stp>
        <stp>912828QF Govt</stp>
        <stp>CRNCY</stp>
        <stp>[TREASURY.xlsx]Sheet1!R576C7</stp>
        <tr r="G576" s="1"/>
      </tp>
      <tp t="s">
        <v>USD</v>
        <stp/>
        <stp>##V3_BDPV12</stp>
        <stp>912828QW Govt</stp>
        <stp>CRNCY</stp>
        <stp>[TREASURY.xlsx]Sheet1!R646C7</stp>
        <tr r="G646" s="1"/>
      </tp>
      <tp t="s">
        <v>USD</v>
        <stp/>
        <stp>##V3_BDPV12</stp>
        <stp>912828QU Govt</stp>
        <stp>CRNCY</stp>
        <stp>[TREASURY.xlsx]Sheet1!R826C7</stp>
        <tr r="G826" s="1"/>
      </tp>
      <tp t="s">
        <v>USD</v>
        <stp/>
        <stp>##V3_BDPV12</stp>
        <stp>912828QR Govt</stp>
        <stp>CRNCY</stp>
        <stp>[TREASURY.xlsx]Sheet1!R866C7</stp>
        <tr r="G866" s="1"/>
      </tp>
      <tp t="s">
        <v>USD</v>
        <stp/>
        <stp>##V3_BDPV12</stp>
        <stp>912827PH Govt</stp>
        <stp>CRNCY</stp>
        <stp>[TREASURY.xlsx]Sheet1!R499C7</stp>
        <tr r="G499" s="1"/>
      </tp>
      <tp t="s">
        <v>USD</v>
        <stp/>
        <stp>##V3_BDPV12</stp>
        <stp>912827PW Govt</stp>
        <stp>CRNCY</stp>
        <stp>[TREASURY.xlsx]Sheet1!R739C7</stp>
        <tr r="G739" s="1"/>
      </tp>
      <tp t="s">
        <v>USD</v>
        <stp/>
        <stp>##V3_BDPV12</stp>
        <stp>912828PS Govt</stp>
        <stp>CRNCY</stp>
        <stp>[TREASURY.xlsx]Sheet1!R986C7</stp>
        <tr r="G986" s="1"/>
      </tp>
      <tp t="s">
        <v>USD</v>
        <stp/>
        <stp>##V3_BDPV12</stp>
        <stp>912828SG Govt</stp>
        <stp>CRNCY</stp>
        <stp>[TREASURY.xlsx]Sheet1!R496C7</stp>
        <tr r="G496" s="1"/>
      </tp>
      <tp t="s">
        <v>USD</v>
        <stp/>
        <stp>##V3_BDPV12</stp>
        <stp>912828SM Govt</stp>
        <stp>CRNCY</stp>
        <stp>[TREASURY.xlsx]Sheet1!R516C7</stp>
        <tr r="G516" s="1"/>
      </tp>
      <tp t="s">
        <v>USD</v>
        <stp/>
        <stp>##V3_BDPV12</stp>
        <stp>912827SX Govt</stp>
        <stp>CRNCY</stp>
        <stp>[TREASURY.xlsx]Sheet1!R749C7</stp>
        <tr r="G749" s="1"/>
      </tp>
      <tp t="s">
        <v>USD</v>
        <stp/>
        <stp>##V3_BDPV12</stp>
        <stp>912828SS Govt</stp>
        <stp>CRNCY</stp>
        <stp>[TREASURY.xlsx]Sheet1!R996C7</stp>
        <tr r="G996" s="1"/>
      </tp>
      <tp t="s">
        <v>USD</v>
        <stp/>
        <stp>##V3_BDPV12</stp>
        <stp>912828S7 Govt</stp>
        <stp>CRNCY</stp>
        <stp>[TREASURY.xlsx]Sheet1!R346C7</stp>
        <tr r="G346" s="1"/>
      </tp>
      <tp t="s">
        <v>USD</v>
        <stp/>
        <stp>##V3_BDPV12</stp>
        <stp>912828RH Govt</stp>
        <stp>CRNCY</stp>
        <stp>[TREASURY.xlsx]Sheet1!R456C7</stp>
        <tr r="G456" s="1"/>
      </tp>
      <tp t="s">
        <v>USD</v>
        <stp/>
        <stp>##V3_BDPV12</stp>
        <stp>912827RR Govt</stp>
        <stp>CRNCY</stp>
        <stp>[TREASURY.xlsx]Sheet1!R829C7</stp>
        <tr r="G829" s="1"/>
      </tp>
      <tp t="s">
        <v>USD</v>
        <stp/>
        <stp>##V3_BDPV12</stp>
        <stp>912828R6 Govt</stp>
        <stp>CRNCY</stp>
        <stp>[TREASURY.xlsx]Sheet1!R266C7</stp>
        <tr r="G266" s="1"/>
      </tp>
      <tp t="s">
        <v>USD</v>
        <stp/>
        <stp>##V3_BDPV12</stp>
        <stp>912827R8 Govt</stp>
        <stp>CRNCY</stp>
        <stp>[TREASURY.xlsx]Sheet1!R909C7</stp>
        <tr r="G909" s="1"/>
      </tp>
      <tp t="s">
        <v>USD</v>
        <stp/>
        <stp>##V3_BDPV12</stp>
        <stp>912828UE Govt</stp>
        <stp>CRNCY</stp>
        <stp>[TREASURY.xlsx]Sheet1!R446C7</stp>
        <tr r="G446" s="1"/>
      </tp>
      <tp t="s">
        <v>USD</v>
        <stp/>
        <stp>##V3_BDPV12</stp>
        <stp>912828UD Govt</stp>
        <stp>CRNCY</stp>
        <stp>[TREASURY.xlsx]Sheet1!R586C7</stp>
        <tr r="G586" s="1"/>
      </tp>
      <tp t="s">
        <v>USD</v>
        <stp/>
        <stp>##V3_BDPV12</stp>
        <stp>912828U5 Govt</stp>
        <stp>CRNCY</stp>
        <stp>[TREASURY.xlsx]Sheet1!R246C7</stp>
        <tr r="G246" s="1"/>
      </tp>
      <tp t="s">
        <v>USD</v>
        <stp/>
        <stp>##V3_BDPV12</stp>
        <stp>912828U4 Govt</stp>
        <stp>CRNCY</stp>
        <stp>[TREASURY.xlsx]Sheet1!R876C7</stp>
        <tr r="G876" s="1"/>
      </tp>
      <tp t="s">
        <v>USD</v>
        <stp/>
        <stp>##V3_BDPV12</stp>
        <stp>912827T5 Govt</stp>
        <stp>CRNCY</stp>
        <stp>[TREASURY.xlsx]Sheet1!R919C7</stp>
        <tr r="G919" s="1"/>
      </tp>
      <tp t="s">
        <v>USD</v>
        <stp/>
        <stp>##V3_BDPV12</stp>
        <stp>912828W4 Govt</stp>
        <stp>CRNCY</stp>
        <stp>[TREASURY.xlsx]Sheet1!R296C7</stp>
        <tr r="G296" s="1"/>
      </tp>
      <tp t="s">
        <v>USD</v>
        <stp/>
        <stp>##V3_BDPV12</stp>
        <stp>912827W4 Govt</stp>
        <stp>CRNCY</stp>
        <stp>[TREASURY.xlsx]Sheet1!R929C7</stp>
        <tr r="G929" s="1"/>
      </tp>
      <tp t="s">
        <v>USD</v>
        <stp/>
        <stp>##V3_BDPV12</stp>
        <stp>912827VA Govt</stp>
        <stp>CRNCY</stp>
        <stp>[TREASURY.xlsx]Sheet1!R759C7</stp>
        <tr r="G759" s="1"/>
      </tp>
      <tp t="s">
        <v>USD</v>
        <stp/>
        <stp>##V3_BDPV12</stp>
        <stp>912828VR Govt</stp>
        <stp>CRNCY</stp>
        <stp>[TREASURY.xlsx]Sheet1!R566C7</stp>
        <tr r="G566" s="1"/>
      </tp>
      <tp t="s">
        <v>USD</v>
        <stp/>
        <stp>##V3_BDPV12</stp>
        <stp>912827YY Govt</stp>
        <stp>CRNCY</stp>
        <stp>[TREASURY.xlsx]Sheet1!R949C7</stp>
        <tr r="G949" s="1"/>
      </tp>
      <tp t="s">
        <v>USD</v>
        <stp/>
        <stp>##V3_BDPV12</stp>
        <stp>912828Y2 Govt</stp>
        <stp>CRNCY</stp>
        <stp>[TREASURY.xlsx]Sheet1!R336C7</stp>
        <tr r="G336" s="1"/>
      </tp>
      <tp t="s">
        <v>USD</v>
        <stp/>
        <stp>##V3_BDPV12</stp>
        <stp>912828XG Govt</stp>
        <stp>CRNCY</stp>
        <stp>[TREASURY.xlsx]Sheet1!R196C7</stp>
        <tr r="G196" s="1"/>
      </tp>
      <tp t="s">
        <v>USD</v>
        <stp/>
        <stp>##V3_BDPV12</stp>
        <stp>912828XM Govt</stp>
        <stp>CRNCY</stp>
        <stp>[TREASURY.xlsx]Sheet1!R536C7</stp>
        <tr r="G536" s="1"/>
      </tp>
      <tp t="s">
        <v>USD</v>
        <stp/>
        <stp>##V3_BDPV12</stp>
        <stp>912828XQ Govt</stp>
        <stp>CRNCY</stp>
        <stp>[TREASURY.xlsx]Sheet1!R206C7</stp>
        <tr r="G206" s="1"/>
      </tp>
      <tp t="s">
        <v>USD</v>
        <stp/>
        <stp>##V3_BDPV12</stp>
        <stp>912827XX Govt</stp>
        <stp>CRNCY</stp>
        <stp>[TREASURY.xlsx]Sheet1!R939C7</stp>
        <tr r="G939" s="1"/>
      </tp>
      <tp t="s">
        <v>USD</v>
        <stp/>
        <stp>##V3_BDPV12</stp>
        <stp>912827X4 Govt</stp>
        <stp>CRNCY</stp>
        <stp>[TREASURY.xlsx]Sheet1!R769C7</stp>
        <tr r="G769" s="1"/>
      </tp>
      <tp t="s">
        <v>USD</v>
        <stp/>
        <stp>##V3_BDPV12</stp>
        <stp>912827ZC Govt</stp>
        <stp>CRNCY</stp>
        <stp>[TREASURY.xlsx]Sheet1!R779C7</stp>
        <tr r="G779" s="1"/>
      </tp>
      <tp t="s">
        <v>USD</v>
        <stp/>
        <stp>##V3_BDPV12</stp>
        <stp>912828ZR Govt</stp>
        <stp>CRNCY</stp>
        <stp>[TREASURY.xlsx]Sheet1!R136C7</stp>
        <tr r="G136" s="1"/>
      </tp>
      <tp t="s">
        <v>USD</v>
        <stp/>
        <stp>##V3_BDPV12</stp>
        <stp>912828Z8 Govt</stp>
        <stp>CRNCY</stp>
        <stp>[TREASURY.xlsx]Sheet1!R236C7</stp>
        <tr r="G236" s="1"/>
      </tp>
      <tp t="s">
        <v>USD</v>
        <stp/>
        <stp>##V3_BDPV12</stp>
        <stp>912828AA Govt</stp>
        <stp>CRNCY</stp>
        <stp>[TREASURY.xlsx]Sheet1!R426C7</stp>
        <tr r="G426" s="1"/>
      </tp>
      <tp t="s">
        <v>USD</v>
        <stp/>
        <stp>##V3_BDPV12</stp>
        <stp>912828AL Govt</stp>
        <stp>CRNCY</stp>
        <stp>[TREASURY.xlsx]Sheet1!R666C7</stp>
        <tr r="G666" s="1"/>
      </tp>
      <tp t="s">
        <v>UNITED STATES</v>
        <stp/>
        <stp>##V3_BDPV12</stp>
        <stp>912827E6 Govt</stp>
        <stp>COUNTRY_FULL_NAME</stp>
        <stp>[TREASURY.xlsx]Sheet1!R1371C8</stp>
        <tr r="H1371" s="1"/>
      </tp>
      <tp t="s">
        <v>USD</v>
        <stp/>
        <stp>##V3_BDPV12</stp>
        <stp>912828CN Govt</stp>
        <stp>CRNCY</stp>
        <stp>[TREASURY.xlsx]Sheet1!R696C7</stp>
        <tr r="G696" s="1"/>
      </tp>
      <tp t="s">
        <v>USD</v>
        <stp/>
        <stp>##V3_BDPV12</stp>
        <stp>912828CU Govt</stp>
        <stp>CRNCY</stp>
        <stp>[TREASURY.xlsx]Sheet1!R636C7</stp>
        <tr r="G636" s="1"/>
      </tp>
      <tp t="s">
        <v>USD</v>
        <stp/>
        <stp>##V3_BDPV12</stp>
        <stp>912828C7 Govt</stp>
        <stp>CRNCY</stp>
        <stp>[TREASURY.xlsx]Sheet1!R416C7</stp>
        <tr r="G416" s="1"/>
      </tp>
      <tp t="s">
        <v>UNITED STATES</v>
        <stp/>
        <stp>##V3_BDPV12</stp>
        <stp>912827B4 Govt</stp>
        <stp>COUNTRY_FULL_NAME</stp>
        <stp>[TREASURY.xlsx]Sheet1!R1476C8</stp>
        <tr r="H1476" s="1"/>
      </tp>
      <tp t="s">
        <v>USD</v>
        <stp/>
        <stp>##V3_BDPV12</stp>
        <stp>912828BK Govt</stp>
        <stp>CRNCY</stp>
        <stp>[TREASURY.xlsx]Sheet1!R786C7</stp>
        <tr r="G786" s="1"/>
      </tp>
      <tp t="s">
        <v>USD</v>
        <stp/>
        <stp>##V3_BDPV12</stp>
        <stp>912828BZ Govt</stp>
        <stp>CRNCY</stp>
        <stp>[TREASURY.xlsx]Sheet1!R436C7</stp>
        <tr r="G436" s="1"/>
      </tp>
      <tp t="s">
        <v>USD</v>
        <stp/>
        <stp>##V3_BDPV12</stp>
        <stp>912828BY Govt</stp>
        <stp>CRNCY</stp>
        <stp>[TREASURY.xlsx]Sheet1!R506C7</stp>
        <tr r="G506" s="1"/>
      </tp>
      <tp t="s">
        <v>USD</v>
        <stp/>
        <stp>##V3_BDPV12</stp>
        <stp>912828BX Govt</stp>
        <stp>CRNCY</stp>
        <stp>[TREASURY.xlsx]Sheet1!R556C7</stp>
        <tr r="G556" s="1"/>
      </tp>
      <tp t="s">
        <v>USD</v>
        <stp/>
        <stp>##V3_BDPV12</stp>
        <stp>912828EG Govt</stp>
        <stp>CRNCY</stp>
        <stp>[TREASURY.xlsx]Sheet1!R596C7</stp>
        <tr r="G596" s="1"/>
      </tp>
      <tp t="s">
        <v>USD</v>
        <stp/>
        <stp>##V3_BDPV12</stp>
        <stp>912828EK Govt</stp>
        <stp>CRNCY</stp>
        <stp>[TREASURY.xlsx]Sheet1!R796C7</stp>
        <tr r="G796" s="1"/>
      </tp>
      <tp t="s">
        <v>USD</v>
        <stp/>
        <stp>##V3_BDPV12</stp>
        <stp>912828EU Govt</stp>
        <stp>CRNCY</stp>
        <stp>[TREASURY.xlsx]Sheet1!R466C7</stp>
        <tr r="G466" s="1"/>
      </tp>
      <tp t="s">
        <v>USD</v>
        <stp/>
        <stp>##V3_BDPV12</stp>
        <stp>912827E5 Govt</stp>
        <stp>CRNCY</stp>
        <stp>[TREASURY.xlsx]Sheet1!R579C7</stp>
        <tr r="G579" s="1"/>
      </tp>
      <tp t="s">
        <v>USD</v>
        <stp/>
        <stp>##V3_BDPV12</stp>
        <stp>912828G6 Govt</stp>
        <stp>CRNCY</stp>
        <stp>[TREASURY.xlsx]Sheet1!R966C7</stp>
        <tr r="G966" s="1"/>
      </tp>
      <tp t="s">
        <v>USD</v>
        <stp/>
        <stp>##V3_BDPV12</stp>
        <stp>912828FW Govt</stp>
        <stp>CRNCY</stp>
        <stp>[TREASURY.xlsx]Sheet1!R846C7</stp>
        <tr r="G846" s="1"/>
      </tp>
      <tp t="s">
        <v>USD</v>
        <stp/>
        <stp>##V3_BDPV12</stp>
        <stp>912828F3 Govt</stp>
        <stp>CRNCY</stp>
        <stp>[TREASURY.xlsx]Sheet1!R406C7</stp>
        <tr r="G406" s="1"/>
      </tp>
      <tp t="s">
        <v>USD</v>
        <stp/>
        <stp>##V3_BDPV12</stp>
        <stp>912828HG Govt</stp>
        <stp>CRNCY</stp>
        <stp>[TREASURY.xlsx]Sheet1!R806C7</stp>
        <tr r="G806" s="1"/>
      </tp>
      <tp t="s">
        <v>USD</v>
        <stp/>
        <stp>##V3_BDPV12</stp>
        <stp>912828HR Govt</stp>
        <stp>CRNCY</stp>
        <stp>[TREASURY.xlsx]Sheet1!R476C7</stp>
        <tr r="G476" s="1"/>
      </tp>
      <tp t="s">
        <v>USD</v>
        <stp/>
        <stp>##V3_BDPV12</stp>
        <stp>912828HZ Govt</stp>
        <stp>CRNCY</stp>
        <stp>[TREASURY.xlsx]Sheet1!R356C7</stp>
        <tr r="G356" s="1"/>
      </tp>
      <tp t="s">
        <v>USD</v>
        <stp/>
        <stp>##V3_BDPV12</stp>
        <stp>912827KM Govt</stp>
        <stp>CRNCY</stp>
        <stp>[TREASURY.xlsx]Sheet1!R709C7</stp>
        <tr r="G709" s="1"/>
      </tp>
      <tp t="s">
        <v>USD</v>
        <stp/>
        <stp>##V3_BDPV12</stp>
        <stp>912827KN Govt</stp>
        <stp>CRNCY</stp>
        <stp>[TREASURY.xlsx]Sheet1!R569C7</stp>
        <tr r="G569" s="1"/>
      </tp>
      <tp t="s">
        <v>USD</v>
        <stp/>
        <stp>##V3_BDPV12</stp>
        <stp>912828KA Govt</stp>
        <stp>CRNCY</stp>
        <stp>[TREASURY.xlsx]Sheet1!R856C7</stp>
        <tr r="G856" s="1"/>
      </tp>
      <tp t="s">
        <v>USD</v>
        <stp/>
        <stp>##V3_BDPV12</stp>
        <stp>912828KR Govt</stp>
        <stp>CRNCY</stp>
        <stp>[TREASURY.xlsx]Sheet1!R676C7</stp>
        <tr r="G676" s="1"/>
      </tp>
      <tp t="s">
        <v>USD</v>
        <stp/>
        <stp>##V3_BDPV12</stp>
        <stp>912828KV Govt</stp>
        <stp>CRNCY</stp>
        <stp>[TREASURY.xlsx]Sheet1!R616C7</stp>
        <tr r="G616" s="1"/>
      </tp>
      <tp t="s">
        <v>USD</v>
        <stp/>
        <stp>##V3_BDPV12</stp>
        <stp>912828JR Govt</stp>
        <stp>CRNCY</stp>
        <stp>[TREASURY.xlsx]Sheet1!R396C7</stp>
        <tr r="G396" s="1"/>
      </tp>
      <tp t="s">
        <v>USD</v>
        <stp/>
        <stp>##V3_BDPV12</stp>
        <stp>912828J6 Govt</stp>
        <stp>CRNCY</stp>
        <stp>[TREASURY.xlsx]Sheet1!R686C7</stp>
        <tr r="G686" s="1"/>
      </tp>
      <tp t="s">
        <v>USD</v>
        <stp/>
        <stp>##V3_BDPV12</stp>
        <stp>912828MH Govt</stp>
        <stp>CRNCY</stp>
        <stp>[TREASURY.xlsx]Sheet1!R976C7</stp>
        <tr r="G976" s="1"/>
      </tp>
      <tp t="s">
        <v>USD</v>
        <stp/>
        <stp>##V3_BDPV12</stp>
        <stp>912828MP Govt</stp>
        <stp>CRNCY</stp>
        <stp>[TREASURY.xlsx]Sheet1!R386C7</stp>
        <tr r="G386" s="1"/>
      </tp>
      <tp t="s">
        <v>USD</v>
        <stp/>
        <stp>##V3_BDPV12</stp>
        <stp>912827MP Govt</stp>
        <stp>CRNCY</stp>
        <stp>[TREASURY.xlsx]Sheet1!R899C7</stp>
        <tr r="G899" s="1"/>
      </tp>
      <tp t="s">
        <v>USD</v>
        <stp/>
        <stp>##V3_BDPV12</stp>
        <stp>912828M5 Govt</stp>
        <stp>CRNCY</stp>
        <stp>[TREASURY.xlsx]Sheet1!R116C7</stp>
        <tr r="G116" s="1"/>
      </tp>
      <tp t="s">
        <v>USD</v>
        <stp/>
        <stp>##V3_BDPV12</stp>
        <stp>912827M6 Govt</stp>
        <stp>CRNCY</stp>
        <stp>[TREASURY.xlsx]Sheet1!R719C7</stp>
        <tr r="G719" s="1"/>
      </tp>
      <tp t="s">
        <v>USD</v>
        <stp/>
        <stp>##V3_BDPV12</stp>
        <stp>912828LK Govt</stp>
        <stp>CRNCY</stp>
        <stp>[TREASURY.xlsx]Sheet1!R546C7</stp>
        <tr r="G546" s="1"/>
      </tp>
      <tp t="s">
        <v>USD</v>
        <stp/>
        <stp>##V3_BDPV12</stp>
        <stp>912827LE Govt</stp>
        <stp>CRNCY</stp>
        <stp>[TREASURY.xlsx]Sheet1!R889C7</stp>
        <tr r="G889" s="1"/>
      </tp>
      <tp t="s">
        <v>USD</v>
        <stp/>
        <stp>##V3_BDPV12</stp>
        <stp>912828LQ Govt</stp>
        <stp>CRNCY</stp>
        <stp>[TREASURY.xlsx]Sheet1!R486C7</stp>
        <tr r="G486" s="1"/>
      </tp>
      <tp t="s">
        <v>USD</v>
        <stp/>
        <stp>##V3_BDPV12</stp>
        <stp>912828LP Govt</stp>
        <stp>CRNCY</stp>
        <stp>[TREASURY.xlsx]Sheet1!R816C7</stp>
        <tr r="G816" s="1"/>
      </tp>
      <tp t="s">
        <v>USD</v>
        <stp/>
        <stp>##V3_BDPV12</stp>
        <stp>912827N8 Govt</stp>
        <stp>CRNCY</stp>
        <stp>[TREASURY.xlsx]Sheet1!R729C7</stp>
        <tr r="G729" s="1"/>
      </tp>
      <tp t="s">
        <v>ACT/ACT</v>
        <stp/>
        <stp>##V3_BDPV12</stp>
        <stp>91282CCX Govt</stp>
        <stp>DAY_CNT_DES</stp>
        <stp>[TREASURY.xlsx]Sheet1!R5C17</stp>
        <tr r="Q5" s="1"/>
      </tp>
      <tp t="s">
        <v>ACT/ACT</v>
        <stp/>
        <stp>##V3_BDPV12</stp>
        <stp>91282CCZ Govt</stp>
        <stp>DAY_CNT_DES</stp>
        <stp>[TREASURY.xlsx]Sheet1!R7C17</stp>
        <tr r="Q7" s="1"/>
      </tp>
      <tp t="s">
        <v>ACT/ACT</v>
        <stp/>
        <stp>##V3_BDPV12</stp>
        <stp>91282CCU Govt</stp>
        <stp>DAY_CNT_DES</stp>
        <stp>[TREASURY.xlsx]Sheet1!R6C17</stp>
        <tr r="Q6" s="1"/>
      </tp>
      <tp t="s">
        <v>ACT/ACT</v>
        <stp/>
        <stp>##V3_BDPV12</stp>
        <stp>91282CCW Govt</stp>
        <stp>DAY_CNT_DES</stp>
        <stp>[TREASURY.xlsx]Sheet1!R4C17</stp>
        <tr r="Q4" s="1"/>
      </tp>
      <tp t="s">
        <v>ACT/ACT</v>
        <stp/>
        <stp>##V3_BDPV12</stp>
        <stp>912828X8 Govt</stp>
        <stp>DAY_CNT_DES</stp>
        <stp>[TREASURY.xlsx]Sheet1!R97C17</stp>
        <tr r="Q97" s="1"/>
      </tp>
      <tp t="s">
        <v>ACT/ACT</v>
        <stp/>
        <stp>##V3_BDPV12</stp>
        <stp>91282CCV Govt</stp>
        <stp>DAY_CNT_DES</stp>
        <stp>[TREASURY.xlsx]Sheet1!R9C17</stp>
        <tr r="Q9" s="1"/>
      </tp>
      <tp t="s">
        <v>ACT/ACT</v>
        <stp/>
        <stp>##V3_BDPV12</stp>
        <stp>91282CCS Govt</stp>
        <stp>DAY_CNT_DES</stp>
        <stp>[TREASURY.xlsx]Sheet1!R2C17</stp>
        <tr r="Q2" s="1"/>
      </tp>
      <tp>
        <v>1.3579059428295457</v>
        <stp/>
        <stp>##V3_BDPV12</stp>
        <stp>9128286T Govt</stp>
        <stp>YLD_YTM_BID</stp>
        <stp>[TREASURY.xlsx]Sheet1!R48C4</stp>
        <tr r="D48" s="1"/>
      </tp>
      <tp>
        <v>0.25</v>
        <stp/>
        <stp>##V3_BDPV12</stp>
        <stp>91282CAW Govt</stp>
        <stp>CPN</stp>
        <stp>[TREASURY.xlsx]Sheet1!R109C3</stp>
        <tr r="C109" s="1"/>
      </tp>
      <tp>
        <v>1.75</v>
        <stp/>
        <stp>##V3_BDPV12</stp>
        <stp>912828WZ Govt</stp>
        <stp>CPN</stp>
        <stp>[TREASURY.xlsx]Sheet1!R244C3</stp>
        <tr r="C244" s="1"/>
      </tp>
      <tp>
        <v>2.75</v>
        <stp/>
        <stp>##V3_BDPV12</stp>
        <stp>9128284X Govt</stp>
        <stp>CPN</stp>
        <stp>[TREASURY.xlsx]Sheet1!R256C3</stp>
        <tr r="C256" s="1"/>
      </tp>
      <tp>
        <v>1</v>
        <stp/>
        <stp>##V3_BDPV12</stp>
        <stp>912828LW Govt</stp>
        <stp>CPN</stp>
        <stp>[TREASURY.xlsx]Sheet1!R629C3</stp>
        <tr r="C629" s="1"/>
      </tp>
      <tp>
        <v>9.75</v>
        <stp/>
        <stp>##V3_BDPV12</stp>
        <stp>912827SV Govt</stp>
        <stp>CPN</stp>
        <stp>[TREASURY.xlsx]Sheet1!R918C3</stp>
        <tr r="C918" s="1"/>
      </tp>
      <tp>
        <v>7.75</v>
        <stp/>
        <stp>##V3_BDPV12</stp>
        <stp>912827ZX Govt</stp>
        <stp>CPN</stp>
        <stp>[TREASURY.xlsx]Sheet1!R956C3</stp>
        <tr r="C956" s="1"/>
      </tp>
      <tp>
        <v>2.0773853056239964</v>
        <stp/>
        <stp>##V3_BDPV12</stp>
        <stp>912810RX Govt</stp>
        <stp>YLD_YTM_BID</stp>
        <stp>[TREASURY.xlsx]Sheet1!R197C4</stp>
        <tr r="D197" s="1"/>
      </tp>
      <tp>
        <v>2.5</v>
        <stp/>
        <stp>##V3_BDPV12</stp>
        <stp>912828CY Govt</stp>
        <stp>CPN</stp>
        <stp>[TREASURY.xlsx]Sheet1!R477C3</stp>
        <tr r="C477" s="1"/>
      </tp>
      <tp>
        <v>1.25</v>
        <stp/>
        <stp>##V3_BDPV12</stp>
        <stp>912828TV Govt</stp>
        <stp>CPN</stp>
        <stp>[TREASURY.xlsx]Sheet1!R498C3</stp>
        <tr r="C498" s="1"/>
      </tp>
      <tp>
        <v>1.875</v>
        <stp/>
        <stp>##V3_BDPV12</stp>
        <stp>912828BX Govt</stp>
        <stp>CPN</stp>
        <stp>[TREASURY.xlsx]Sheet1!R556C3</stp>
        <tr r="C556" s="1"/>
      </tp>
      <tp>
        <v>2.5</v>
        <stp/>
        <stp>##V3_BDPV12</stp>
        <stp>912828MW Govt</stp>
        <stp>CPN</stp>
        <stp>[TREASURY.xlsx]Sheet1!R599C3</stp>
        <tr r="C599" s="1"/>
      </tp>
      <tp>
        <v>3.375</v>
        <stp/>
        <stp>##V3_BDPV12</stp>
        <stp>912828CV Govt</stp>
        <stp>CPN</stp>
        <stp>[TREASURY.xlsx]Sheet1!R508C3</stp>
        <tr r="C508" s="1"/>
      </tp>
      <tp>
        <v>2</v>
        <stp/>
        <stp>##V3_BDPV12</stp>
        <stp>912828AY Govt</stp>
        <stp>CPN</stp>
        <stp>[TREASURY.xlsx]Sheet1!R507C3</stp>
        <tr r="C507" s="1"/>
      </tp>
      <tp>
        <v>10.625</v>
        <stp/>
        <stp>##V3_BDPV12</stp>
        <stp>912827PW Govt</stp>
        <stp>CPN</stp>
        <stp>[TREASURY.xlsx]Sheet1!R739C3</stp>
        <tr r="C739" s="1"/>
      </tp>
      <tp>
        <v>2.25</v>
        <stp/>
        <stp>##V3_BDPV12</stp>
        <stp>912828QY Govt</stp>
        <stp>CPN</stp>
        <stp>[TREASURY.xlsx]Sheet1!R827C3</stp>
        <tr r="C827" s="1"/>
      </tp>
      <tp>
        <v>3.25</v>
        <stp/>
        <stp>##V3_BDPV12</stp>
        <stp>912828KZ Govt</stp>
        <stp>CPN</stp>
        <stp>[TREASURY.xlsx]Sheet1!R974C3</stp>
        <tr r="C974" s="1"/>
      </tp>
      <tp>
        <v>5.5</v>
        <stp/>
        <stp>##V3_BDPV12</stp>
        <stp>9128273Y Govt</stp>
        <stp>CPN</stp>
        <stp>[TREASURY.xlsx]Sheet1!R607C3</stp>
        <tr r="C607" s="1"/>
      </tp>
      <tp t="s">
        <v>#N/A N/A</v>
        <stp/>
        <stp>##V3_BDPV12</stp>
        <stp>912828TZ Govt</stp>
        <stp>YLD_YTM_BID</stp>
        <stp>[TREASURY.xlsx]Sheet1!R875C4</stp>
        <tr r="D875" s="1"/>
      </tp>
      <tp t="s">
        <v>#N/A N/A</v>
        <stp/>
        <stp>##V3_BDPV12</stp>
        <stp>912827VY Govt</stp>
        <stp>YLD_YTM_BID</stp>
        <stp>[TREASURY.xlsx]Sheet1!R766C4</stp>
        <tr r="D766" s="1"/>
      </tp>
      <tp t="s">
        <v>#N/A N/A</v>
        <stp/>
        <stp>##V3_BDPV12</stp>
        <stp>912828BY Govt</stp>
        <stp>YLD_YTM_BID</stp>
        <stp>[TREASURY.xlsx]Sheet1!R506C4</stp>
        <tr r="D506" s="1"/>
      </tp>
      <tp t="s">
        <v>#N/A N/A</v>
        <stp/>
        <stp>##V3_BDPV12</stp>
        <stp>912828LZ Govt</stp>
        <stp>YLD_YTM_BID</stp>
        <stp>[TREASURY.xlsx]Sheet1!R515C4</stp>
        <tr r="D515" s="1"/>
      </tp>
      <tp t="s">
        <v>#N/A N/A</v>
        <stp/>
        <stp>##V3_BDPV12</stp>
        <stp>912828PZ Govt</stp>
        <stp>YLD_YTM_BID</stp>
        <stp>[TREASURY.xlsx]Sheet1!R575C4</stp>
        <tr r="D575" s="1"/>
      </tp>
      <tp>
        <v>4.375</v>
        <stp/>
        <stp>##V3_BDPV12</stp>
        <stp>912810PW Govt</stp>
        <stp>CPN</stp>
        <stp>[TREASURY.xlsx]Sheet1!R289C3</stp>
        <tr r="C289" s="1"/>
      </tp>
      <tp t="s">
        <v>#N/A N/A</v>
        <stp/>
        <stp>##V3_BDPV12</stp>
        <stp>912828AZ Govt</stp>
        <stp>YLD_YTM_BID</stp>
        <stp>[TREASURY.xlsx]Sheet1!R415C4</stp>
        <tr r="D415" s="1"/>
      </tp>
      <tp t="s">
        <v>#N/A N/A</v>
        <stp/>
        <stp>##V3_BDPV12</stp>
        <stp>912828TX Govt</stp>
        <stp>YLD_YTM_BID</stp>
        <stp>[TREASURY.xlsx]Sheet1!R467C4</stp>
        <tr r="D467" s="1"/>
      </tp>
      <tp t="s">
        <v>#N/A N/A</v>
        <stp/>
        <stp>##V3_BDPV12</stp>
        <stp>912828UZ Govt</stp>
        <stp>YLD_YTM_BID</stp>
        <stp>[TREASURY.xlsx]Sheet1!R445C4</stp>
        <tr r="D445" s="1"/>
      </tp>
      <tp t="s">
        <v>#N/A N/A</v>
        <stp/>
        <stp>##V3_BDPV12</stp>
        <stp>912827VX Govt</stp>
        <stp>YLD_YTM_BID</stp>
        <stp>[TREASURY.xlsx]Sheet1!R927C4</stp>
        <tr r="D927" s="1"/>
      </tp>
      <tp t="s">
        <v>#N/A N/A</v>
        <stp/>
        <stp>##V3_BDPV12</stp>
        <stp>912828VZ Govt</stp>
        <stp>YLD_YTM_BID</stp>
        <stp>[TREASURY.xlsx]Sheet1!R695C4</stp>
        <tr r="D695" s="1"/>
      </tp>
      <tp>
        <v>7.25</v>
        <stp/>
        <stp>##V3_BDPV12</stp>
        <stp>912810DW Govt</stp>
        <stp>CPN</stp>
        <stp>[TREASURY.xlsx]Sheet1!R609C3</stp>
        <tr r="C609" s="1"/>
      </tp>
      <tp>
        <v>1.1192015007588694</v>
        <stp/>
        <stp>##V3_BDPV12</stp>
        <stp>912828ZV Govt</stp>
        <stp>YLD_YTM_BID</stp>
        <stp>[TREASURY.xlsx]Sheet1!R159C4</stp>
        <tr r="D159" s="1"/>
      </tp>
      <tp>
        <v>0.57026867784619184</v>
        <stp/>
        <stp>##V3_BDPV12</stp>
        <stp>912828YV Govt</stp>
        <stp>YLD_YTM_BID</stp>
        <stp>[TREASURY.xlsx]Sheet1!R139C4</stp>
        <tr r="D139" s="1"/>
      </tp>
      <tp>
        <v>6.540716784221004E-2</v>
        <stp/>
        <stp>##V3_BDPV12</stp>
        <stp>9128285V Govt</stp>
        <stp>YLD_YTM_BID</stp>
        <stp>[TREASURY.xlsx]Sheet1!R179C4</stp>
        <tr r="D179" s="1"/>
      </tp>
      <tp t="s">
        <v>#N/A N/A</v>
        <stp/>
        <stp>##V3_BDPV12</stp>
        <stp>912828EX Govt</stp>
        <stp>YLD_YTM_BID</stp>
        <stp>[TREASURY.xlsx]Sheet1!R397C4</stp>
        <tr r="D397" s="1"/>
      </tp>
      <tp t="s">
        <v>#N/A N/A</v>
        <stp/>
        <stp>##V3_BDPV12</stp>
        <stp>9128284Y Govt</stp>
        <stp>YLD_YTM_BID</stp>
        <stp>[TREASURY.xlsx]Sheet1!R376C4</stp>
        <tr r="D376" s="1"/>
      </tp>
      <tp t="s">
        <v>UNITED STATES</v>
        <stp/>
        <stp>##V3_BDPV12</stp>
        <stp>912810CG Govt</stp>
        <stp>COUNTRY_FULL_NAME</stp>
        <stp>[TREASURY.xlsx]Sheet1!R1308C8</stp>
        <tr r="H1308" s="1"/>
      </tp>
      <tp>
        <v>0.25</v>
        <stp/>
        <stp>##V3_BDPV12</stp>
        <stp>912828UW Govt</stp>
        <stp>CPN</stp>
        <stp>[TREASURY.xlsx]Sheet1!R1002C3</stp>
        <tr r="C1002" s="1"/>
      </tp>
      <tp>
        <v>0.875</v>
        <stp/>
        <stp>##V3_BDPV12</stp>
        <stp>912828RU Govt</stp>
        <stp>CPN</stp>
        <stp>[TREASURY.xlsx]Sheet1!R1302C3</stp>
        <tr r="C1302" s="1"/>
      </tp>
      <tp>
        <v>0.375</v>
        <stp/>
        <stp>##V3_BDPV12</stp>
        <stp>912828SK Govt</stp>
        <stp>CPN</stp>
        <stp>[TREASURY.xlsx]Sheet1!R1132C3</stp>
        <tr r="C1132" s="1"/>
      </tp>
      <tp>
        <v>0.25</v>
        <stp/>
        <stp>##V3_BDPV12</stp>
        <stp>912828SR Govt</stp>
        <stp>CPN</stp>
        <stp>[TREASURY.xlsx]Sheet1!R1142C3</stp>
        <tr r="C1142" s="1"/>
      </tp>
      <tp>
        <v>0.875</v>
        <stp/>
        <stp>##V3_BDPV12</stp>
        <stp>912828Q5 Govt</stp>
        <stp>CPN</stp>
        <stp>[TREASURY.xlsx]Sheet1!R1262C3</stp>
        <tr r="C1262" s="1"/>
      </tp>
      <tp>
        <v>0.625</v>
        <stp/>
        <stp>##V3_BDPV12</stp>
        <stp>912828XJ Govt</stp>
        <stp>CPN</stp>
        <stp>[TREASURY.xlsx]Sheet1!R1152C3</stp>
        <tr r="C1152" s="1"/>
      </tp>
      <tp t="s">
        <v>#N/A N/A</v>
        <stp/>
        <stp>##V3_BDPV12</stp>
        <stp>912810DT Govt</stp>
        <stp>YLD_YTM_BID</stp>
        <stp>[TREASURY.xlsx]Sheet1!R1622C4</stp>
        <tr r="D1622" s="1"/>
      </tp>
      <tp>
        <v>4.875</v>
        <stp/>
        <stp>##V3_BDPV12</stp>
        <stp>912828GE Govt</stp>
        <stp>CPN</stp>
        <stp>[TREASURY.xlsx]Sheet1!R1242C3</stp>
        <tr r="C1242" s="1"/>
      </tp>
      <tp>
        <v>4.625</v>
        <stp/>
        <stp>##V3_BDPV12</stp>
        <stp>912828GC Govt</stp>
        <stp>CPN</stp>
        <stp>[TREASURY.xlsx]Sheet1!R1282C3</stp>
        <tr r="C1282" s="1"/>
      </tp>
      <tp>
        <v>3.75</v>
        <stp/>
        <stp>##V3_BDPV12</stp>
        <stp>912828DQ Govt</stp>
        <stp>CPN</stp>
        <stp>[TREASURY.xlsx]Sheet1!R1112C3</stp>
        <tr r="C1112" s="1"/>
      </tp>
      <tp>
        <v>3.75</v>
        <stp/>
        <stp>##V3_BDPV12</stp>
        <stp>912828DT Govt</stp>
        <stp>CPN</stp>
        <stp>[TREASURY.xlsx]Sheet1!R1272C3</stp>
        <tr r="C1272" s="1"/>
      </tp>
      <tp t="s">
        <v>#N/A N/A</v>
        <stp/>
        <stp>##V3_BDPV12</stp>
        <stp>912810DF Govt</stp>
        <stp>YLD_YTM_BID</stp>
        <stp>[TREASURY.xlsx]Sheet1!R1312C4</stp>
        <tr r="D1312" s="1"/>
      </tp>
      <tp t="s">
        <v>#N/A N/A</v>
        <stp/>
        <stp>##V3_BDPV12</stp>
        <stp>912810CN Govt</stp>
        <stp>YLD_YTM_BID</stp>
        <stp>[TREASURY.xlsx]Sheet1!R1442C4</stp>
        <tr r="D1442" s="1"/>
      </tp>
      <tp>
        <v>4.75</v>
        <stp/>
        <stp>##V3_BDPV12</stp>
        <stp>912828FA Govt</stp>
        <stp>CPN</stp>
        <stp>[TREASURY.xlsx]Sheet1!R1432C3</stp>
        <tr r="C1432" s="1"/>
      </tp>
      <tp>
        <v>0.25</v>
        <stp/>
        <stp>##V3_BDPV12</stp>
        <stp>912828A2 Govt</stp>
        <stp>CPN</stp>
        <stp>[TREASURY.xlsx]Sheet1!R1232C3</stp>
        <tr r="C1232" s="1"/>
      </tp>
      <tp>
        <v>3.125</v>
        <stp/>
        <stp>##V3_BDPV12</stp>
        <stp>912828NA Govt</stp>
        <stp>CPN</stp>
        <stp>[TREASURY.xlsx]Sheet1!R1292C3</stp>
        <tr r="C1292" s="1"/>
      </tp>
      <tp>
        <v>2.75</v>
        <stp/>
        <stp>##V3_BDPV12</stp>
        <stp>912828MA Govt</stp>
        <stp>CPN</stp>
        <stp>[TREASURY.xlsx]Sheet1!R1252C3</stp>
        <tr r="C1252" s="1"/>
      </tp>
      <tp>
        <v>2</v>
        <stp/>
        <stp>##V3_BDPV12</stp>
        <stp>912828JL Govt</stp>
        <stp>CPN</stp>
        <stp>[TREASURY.xlsx]Sheet1!R1122C3</stp>
        <tr r="C1122" s="1"/>
      </tp>
      <tp t="s">
        <v>S/A</v>
        <stp/>
        <stp>##V3_BDPV12</stp>
        <stp>912828FN Govt</stp>
        <stp>COUPON_FREQUENCY_DESCRIPTION</stp>
        <stp>[TREASURY.xlsx]Sheet1!R1275C10</stp>
        <tr r="J1275" s="1"/>
      </tp>
      <tp t="s">
        <v>USD</v>
        <stp/>
        <stp>##V3_BDPV12</stp>
        <stp>9128282C Govt</stp>
        <stp>CRNCY</stp>
        <stp>[TREASURY.xlsx]Sheet1!R439C7</stp>
        <tr r="G439" s="1"/>
      </tp>
      <tp t="s">
        <v>USD</v>
        <stp/>
        <stp>##V3_BDPV12</stp>
        <stp>9128282Q Govt</stp>
        <stp>CRNCY</stp>
        <stp>[TREASURY.xlsx]Sheet1!R469C7</stp>
        <tr r="G469" s="1"/>
      </tp>
      <tp t="s">
        <v>USD</v>
        <stp/>
        <stp>##V3_BDPV12</stp>
        <stp>9128285K Govt</stp>
        <stp>CRNCY</stp>
        <stp>[TREASURY.xlsx]Sheet1!R229C7</stp>
        <tr r="G229" s="1"/>
      </tp>
      <tp t="s">
        <v>USD</v>
        <stp/>
        <stp>##V3_BDPV12</stp>
        <stp>9128285T Govt</stp>
        <stp>CRNCY</stp>
        <stp>[TREASURY.xlsx]Sheet1!R239C7</stp>
        <tr r="G239" s="1"/>
      </tp>
      <tp t="s">
        <v>USD</v>
        <stp/>
        <stp>##V3_BDPV12</stp>
        <stp>9128285V Govt</stp>
        <stp>CRNCY</stp>
        <stp>[TREASURY.xlsx]Sheet1!R179C7</stp>
        <tr r="G179" s="1"/>
      </tp>
      <tp t="s">
        <v>USD</v>
        <stp/>
        <stp>##V3_BDPV12</stp>
        <stp>9128285S Govt</stp>
        <stp>CRNCY</stp>
        <stp>[TREASURY.xlsx]Sheet1!R429C7</stp>
        <tr r="G429" s="1"/>
      </tp>
      <tp t="s">
        <v>USD</v>
        <stp/>
        <stp>##V3_BDPV12</stp>
        <stp>9128284L Govt</stp>
        <stp>CRNCY</stp>
        <stp>[TREASURY.xlsx]Sheet1!R299C7</stp>
        <tr r="G299" s="1"/>
      </tp>
      <tp t="s">
        <v>#N/A N/A</v>
        <stp/>
        <stp>##V3_BDPV12</stp>
        <stp>912827S2 Govt</stp>
        <stp>YLD_YTM_BID</stp>
        <stp>[TREASURY.xlsx]Sheet1!R1181C4</stp>
        <tr r="D1181" s="1"/>
      </tp>
      <tp t="s">
        <v>#N/A N/A</v>
        <stp/>
        <stp>##V3_BDPV12</stp>
        <stp>912827RA Govt</stp>
        <stp>YLD_YTM_BID</stp>
        <stp>[TREASURY.xlsx]Sheet1!R1061C4</stp>
        <tr r="D1061" s="1"/>
      </tp>
      <tp t="s">
        <v>#N/A N/A</v>
        <stp/>
        <stp>##V3_BDPV12</stp>
        <stp>912827VB Govt</stp>
        <stp>YLD_YTM_BID</stp>
        <stp>[TREASURY.xlsx]Sheet1!R1411C4</stp>
        <tr r="D1411" s="1"/>
      </tp>
      <tp t="s">
        <v>#N/A N/A</v>
        <stp/>
        <stp>##V3_BDPV12</stp>
        <stp>912827V3 Govt</stp>
        <stp>YLD_YTM_BID</stp>
        <stp>[TREASURY.xlsx]Sheet1!R1591C4</stp>
        <tr r="D1591" s="1"/>
      </tp>
      <tp t="s">
        <v>#N/A N/A</v>
        <stp/>
        <stp>##V3_BDPV12</stp>
        <stp>912827PR Govt</stp>
        <stp>YLD_YTM_BID</stp>
        <stp>[TREASURY.xlsx]Sheet1!R1341C4</stp>
        <tr r="D1341" s="1"/>
      </tp>
      <tp t="s">
        <v>#N/A N/A</v>
        <stp/>
        <stp>##V3_BDPV12</stp>
        <stp>912827WT Govt</stp>
        <stp>YLD_YTM_BID</stp>
        <stp>[TREASURY.xlsx]Sheet1!R1421C4</stp>
        <tr r="D1421" s="1"/>
      </tp>
      <tp t="s">
        <v>#N/A N/A</v>
        <stp/>
        <stp>##V3_BDPV12</stp>
        <stp>912827PV Govt</stp>
        <stp>YLD_YTM_BID</stp>
        <stp>[TREASURY.xlsx]Sheet1!R1391C4</stp>
        <tr r="D1391" s="1"/>
      </tp>
      <tp t="s">
        <v>#N/A N/A</v>
        <stp/>
        <stp>##V3_BDPV12</stp>
        <stp>912827U7 Govt</stp>
        <stp>YLD_YTM_BID</stp>
        <stp>[TREASURY.xlsx]Sheet1!R1511C4</stp>
        <tr r="D1511" s="1"/>
      </tp>
      <tp t="s">
        <v>#N/A N/A</v>
        <stp/>
        <stp>##V3_BDPV12</stp>
        <stp>912827TU Govt</stp>
        <stp>YLD_YTM_BID</stp>
        <stp>[TREASURY.xlsx]Sheet1!R1401C4</stp>
        <tr r="D1401" s="1"/>
      </tp>
      <tp t="s">
        <v>#N/A N/A</v>
        <stp/>
        <stp>##V3_BDPV12</stp>
        <stp>912827P4 Govt</stp>
        <stp>YLD_YTM_BID</stp>
        <stp>[TREASURY.xlsx]Sheet1!R1171C4</stp>
        <tr r="D1171" s="1"/>
      </tp>
      <tp t="s">
        <v>#N/A N/A</v>
        <stp/>
        <stp>##V3_BDPV12</stp>
        <stp>912827RG Govt</stp>
        <stp>YLD_YTM_BID</stp>
        <stp>[TREASURY.xlsx]Sheet1!R1501C4</stp>
        <tr r="D1501" s="1"/>
      </tp>
      <tp t="s">
        <v>#N/A N/A</v>
        <stp/>
        <stp>##V3_BDPV12</stp>
        <stp>912827WG Govt</stp>
        <stp>YLD_YTM_BID</stp>
        <stp>[TREASURY.xlsx]Sheet1!R1091C4</stp>
        <tr r="D1091" s="1"/>
      </tp>
      <tp t="s">
        <v>#N/A N/A</v>
        <stp/>
        <stp>##V3_BDPV12</stp>
        <stp>912827UL Govt</stp>
        <stp>YLD_YTM_BID</stp>
        <stp>[TREASURY.xlsx]Sheet1!R1201C4</stp>
        <tr r="D1201" s="1"/>
      </tp>
      <tp t="s">
        <v>#N/A N/A</v>
        <stp/>
        <stp>##V3_BDPV12</stp>
        <stp>912827RT Govt</stp>
        <stp>YLD_YTM_BID</stp>
        <stp>[TREASURY.xlsx]Sheet1!R1581C4</stp>
        <tr r="D1581" s="1"/>
      </tp>
      <tp t="s">
        <v>#N/A N/A</v>
        <stp/>
        <stp>##V3_BDPV12</stp>
        <stp>912827T8 Govt</stp>
        <stp>YLD_YTM_BID</stp>
        <stp>[TREASURY.xlsx]Sheet1!R1071C4</stp>
        <tr r="D1071" s="1"/>
      </tp>
      <tp t="s">
        <v>#N/A N/A</v>
        <stp/>
        <stp>##V3_BDPV12</stp>
        <stp>912827T6 Govt</stp>
        <stp>YLD_YTM_BID</stp>
        <stp>[TREASURY.xlsx]Sheet1!R1191C4</stp>
        <tr r="D1191" s="1"/>
      </tp>
      <tp t="s">
        <v>#N/A N/A</v>
        <stp/>
        <stp>##V3_BDPV12</stp>
        <stp>912827UX Govt</stp>
        <stp>YLD_YTM_BID</stp>
        <stp>[TREASURY.xlsx]Sheet1!R1081C4</stp>
        <tr r="D1081" s="1"/>
      </tp>
      <tp t="s">
        <v>#N/A N/A</v>
        <stp/>
        <stp>##V3_BDPV12</stp>
        <stp>912827PZ Govt</stp>
        <stp>YLD_YTM_BID</stp>
        <stp>[TREASURY.xlsx]Sheet1!R1571C4</stp>
        <tr r="D1571" s="1"/>
      </tp>
      <tp t="s">
        <v>#N/A N/A</v>
        <stp/>
        <stp>##V3_BDPV12</stp>
        <stp>912827X2 Govt</stp>
        <stp>YLD_YTM_BID</stp>
        <stp>[TREASURY.xlsx]Sheet1!R1211C4</stp>
        <tr r="D1211" s="1"/>
      </tp>
      <tp t="s">
        <v>#N/A N/A</v>
        <stp/>
        <stp>##V3_BDPV12</stp>
        <stp>912827YH Govt</stp>
        <stp>YLD_YTM_BID</stp>
        <stp>[TREASURY.xlsx]Sheet1!R1221C4</stp>
        <tr r="D1221" s="1"/>
      </tp>
      <tp t="s">
        <v>#N/A N/A</v>
        <stp/>
        <stp>##V3_BDPV12</stp>
        <stp>912827ZV Govt</stp>
        <stp>YLD_YTM_BID</stp>
        <stp>[TREASURY.xlsx]Sheet1!R1231C4</stp>
        <tr r="D1231" s="1"/>
      </tp>
      <tp t="s">
        <v>#N/A N/A</v>
        <stp/>
        <stp>##V3_BDPV12</stp>
        <stp>912827YT Govt</stp>
        <stp>YLD_YTM_BID</stp>
        <stp>[TREASURY.xlsx]Sheet1!R1101C4</stp>
        <tr r="D1101" s="1"/>
      </tp>
      <tp t="s">
        <v>#N/A N/A</v>
        <stp/>
        <stp>##V3_BDPV12</stp>
        <stp>912827Y3 Govt</stp>
        <stp>YLD_YTM_BID</stp>
        <stp>[TREASURY.xlsx]Sheet1!R1601C4</stp>
        <tr r="D1601" s="1"/>
      </tp>
      <tp t="s">
        <v>#N/A N/A</v>
        <stp/>
        <stp>##V3_BDPV12</stp>
        <stp>912827ZQ Govt</stp>
        <stp>YLD_YTM_BID</stp>
        <stp>[TREASURY.xlsx]Sheet1!R1611C4</stp>
        <tr r="D1611" s="1"/>
      </tp>
      <tp t="s">
        <v>#N/A N/A</v>
        <stp/>
        <stp>##V3_BDPV12</stp>
        <stp>912827A7 Govt</stp>
        <stp>YLD_YTM_BID</stp>
        <stp>[TREASURY.xlsx]Sheet1!R1031C4</stp>
        <tr r="D1031" s="1"/>
      </tp>
      <tp t="s">
        <v>#N/A N/A</v>
        <stp/>
        <stp>##V3_BDPV12</stp>
        <stp>912827E6 Govt</stp>
        <stp>YLD_YTM_BID</stp>
        <stp>[TREASURY.xlsx]Sheet1!R1371C4</stp>
        <tr r="D1371" s="1"/>
      </tp>
      <tp t="s">
        <v>#N/A N/A</v>
        <stp/>
        <stp>##V3_BDPV12</stp>
        <stp>912827B7 Govt</stp>
        <stp>YLD_YTM_BID</stp>
        <stp>[TREASURY.xlsx]Sheet1!R1551C4</stp>
        <tr r="D1551" s="1"/>
      </tp>
      <tp t="s">
        <v>#N/A N/A</v>
        <stp/>
        <stp>##V3_BDPV12</stp>
        <stp>912827C5 Govt</stp>
        <stp>YLD_YTM_BID</stp>
        <stp>[TREASURY.xlsx]Sheet1!R1481C4</stp>
        <tr r="D1481" s="1"/>
      </tp>
      <tp t="s">
        <v>#N/A N/A</v>
        <stp/>
        <stp>##V3_BDPV12</stp>
        <stp>912827KR Govt</stp>
        <stp>YLD_YTM_BID</stp>
        <stp>[TREASURY.xlsx]Sheet1!R1161C4</stp>
        <tr r="D1161" s="1"/>
      </tp>
      <tp t="s">
        <v>#N/A N/A</v>
        <stp/>
        <stp>##V3_BDPV12</stp>
        <stp>912827LP Govt</stp>
        <stp>YLD_YTM_BID</stp>
        <stp>[TREASURY.xlsx]Sheet1!R1491C4</stp>
        <tr r="D1491" s="1"/>
      </tp>
      <tp t="s">
        <v>#N/A N/A</v>
        <stp/>
        <stp>##V3_BDPV12</stp>
        <stp>912827NN Govt</stp>
        <stp>YLD_YTM_BID</stp>
        <stp>[TREASURY.xlsx]Sheet1!R1051C4</stp>
        <tr r="D1051" s="1"/>
      </tp>
      <tp t="s">
        <v>#N/A N/A</v>
        <stp/>
        <stp>##V3_BDPV12</stp>
        <stp>912827MV Govt</stp>
        <stp>YLD_YTM_BID</stp>
        <stp>[TREASURY.xlsx]Sheet1!R1381C4</stp>
        <tr r="D1381" s="1"/>
      </tp>
      <tp t="s">
        <v>#N/A N/A</v>
        <stp/>
        <stp>##V3_BDPV12</stp>
        <stp>912827J4 Govt</stp>
        <stp>YLD_YTM_BID</stp>
        <stp>[TREASURY.xlsx]Sheet1!R1561C4</stp>
        <tr r="D1561" s="1"/>
      </tp>
      <tp t="s">
        <v>#N/A N/A</v>
        <stp/>
        <stp>##V3_BDPV12</stp>
        <stp>912827LG Govt</stp>
        <stp>YLD_YTM_BID</stp>
        <stp>[TREASURY.xlsx]Sheet1!R1321C4</stp>
        <tr r="D1321" s="1"/>
      </tp>
      <tp t="s">
        <v>#N/A N/A</v>
        <stp/>
        <stp>##V3_BDPV12</stp>
        <stp>912827L6 Govt</stp>
        <stp>YLD_YTM_BID</stp>
        <stp>[TREASURY.xlsx]Sheet1!R1041C4</stp>
        <tr r="D1041" s="1"/>
      </tp>
      <tp t="s">
        <v>#N/A N/A</v>
        <stp/>
        <stp>##V3_BDPV12</stp>
        <stp>912827NA Govt</stp>
        <stp>YLD_YTM_BID</stp>
        <stp>[TREASURY.xlsx]Sheet1!R1331C4</stp>
        <tr r="D1331" s="1"/>
      </tp>
      <tp t="s">
        <v>#N/A N/A</v>
        <stp/>
        <stp>##V3_BDPV12</stp>
        <stp>9128273G Govt</stp>
        <stp>YLD_YTM_BID</stp>
        <stp>[TREASURY.xlsx]Sheet1!R1011C4</stp>
        <tr r="D1011" s="1"/>
      </tp>
      <tp t="s">
        <v>#N/A N/A</v>
        <stp/>
        <stp>##V3_BDPV12</stp>
        <stp>9128277G Govt</stp>
        <stp>YLD_YTM_BID</stp>
        <stp>[TREASURY.xlsx]Sheet1!R1471C4</stp>
        <tr r="D1471" s="1"/>
      </tp>
      <tp t="s">
        <v>#N/A N/A</v>
        <stp/>
        <stp>##V3_BDPV12</stp>
        <stp>9128276W Govt</stp>
        <stp>YLD_YTM_BID</stp>
        <stp>[TREASURY.xlsx]Sheet1!R1541C4</stp>
        <tr r="D1541" s="1"/>
      </tp>
      <tp t="s">
        <v>#N/A N/A</v>
        <stp/>
        <stp>##V3_BDPV12</stp>
        <stp>9128274M Govt</stp>
        <stp>YLD_YTM_BID</stp>
        <stp>[TREASURY.xlsx]Sheet1!R1461C4</stp>
        <tr r="D1461" s="1"/>
      </tp>
      <tp t="s">
        <v>#N/A N/A</v>
        <stp/>
        <stp>##V3_BDPV12</stp>
        <stp>9128273Z Govt</stp>
        <stp>YLD_YTM_BID</stp>
        <stp>[TREASURY.xlsx]Sheet1!R1361C4</stp>
        <tr r="D1361" s="1"/>
      </tp>
      <tp t="s">
        <v>#N/A N/A</v>
        <stp/>
        <stp>##V3_BDPV12</stp>
        <stp>9128272F Govt</stp>
        <stp>YLD_YTM_BID</stp>
        <stp>[TREASURY.xlsx]Sheet1!R1351C4</stp>
        <tr r="D1351" s="1"/>
      </tp>
      <tp t="s">
        <v>#N/A N/A</v>
        <stp/>
        <stp>##V3_BDPV12</stp>
        <stp>9128276B Govt</stp>
        <stp>YLD_YTM_BID</stp>
        <stp>[TREASURY.xlsx]Sheet1!R1021C4</stp>
        <tr r="D1021" s="1"/>
      </tp>
      <tp t="s">
        <v>#N/A N/A</v>
        <stp/>
        <stp>##V3_BDPV12</stp>
        <stp>9128272J Govt</stp>
        <stp>YLD_YTM_BID</stp>
        <stp>[TREASURY.xlsx]Sheet1!R1451C4</stp>
        <tr r="D1451" s="1"/>
      </tp>
      <tp t="s">
        <v>#N/A N/A</v>
        <stp/>
        <stp>##V3_BDPV12</stp>
        <stp>9128273S Govt</stp>
        <stp>YLD_YTM_BID</stp>
        <stp>[TREASURY.xlsx]Sheet1!R1531C4</stp>
        <tr r="D1531" s="1"/>
      </tp>
      <tp t="s">
        <v>#N/A N/A</v>
        <stp/>
        <stp>##V3_BDPV12</stp>
        <stp>9128272T Govt</stp>
        <stp>YLD_YTM_BID</stp>
        <stp>[TREASURY.xlsx]Sheet1!R1521C4</stp>
        <tr r="D1521" s="1"/>
      </tp>
      <tp t="s">
        <v>UNITED STATES</v>
        <stp/>
        <stp>##V3_BDPV12</stp>
        <stp>912828HC Govt</stp>
        <stp>COUNTRY_FULL_NAME</stp>
        <stp>[TREASURY.xlsx]Sheet1!R1283C8</stp>
        <tr r="H1283" s="1"/>
      </tp>
      <tp t="s">
        <v>USD</v>
        <stp/>
        <stp>##V3_BDPV12</stp>
        <stp>9128287F Govt</stp>
        <stp>CRNCY</stp>
        <stp>[TREASURY.xlsx]Sheet1!R329C7</stp>
        <tr r="G329" s="1"/>
      </tp>
      <tp t="s">
        <v>USD</v>
        <stp/>
        <stp>##V3_BDPV12</stp>
        <stp>9128287A Govt</stp>
        <stp>CRNCY</stp>
        <stp>[TREASURY.xlsx]Sheet1!R339C7</stp>
        <tr r="G339" s="1"/>
      </tp>
      <tp t="s">
        <v>USD</v>
        <stp/>
        <stp>##V3_BDPV12</stp>
        <stp>9128287C Govt</stp>
        <stp>CRNCY</stp>
        <stp>[TREASURY.xlsx]Sheet1!R219C7</stp>
        <tr r="G219" s="1"/>
      </tp>
      <tp t="s">
        <v>T 8 3/4 05/15/17</v>
        <stp/>
        <stp>##V3_BDPV12</stp>
        <stp>912810DY Govt</stp>
        <stp>SECURITY_NAME</stp>
        <stp>[TREASURY.xlsx]Sheet1!R1448C16</stp>
        <tr r="P1448" s="1"/>
      </tp>
      <tp t="s">
        <v>UNITED STATES</v>
        <stp/>
        <stp>##V3_BDPV12</stp>
        <stp>912827MN Govt</stp>
        <stp>COUNTRY_FULL_NAME</stp>
        <stp>[TREASURY.xlsx]Sheet1!R1326C8</stp>
        <tr r="H1326" s="1"/>
      </tp>
      <tp t="s">
        <v>UNITED STATES</v>
        <stp/>
        <stp>##V3_BDPV12</stp>
        <stp>912828KN Govt</stp>
        <stp>COUNTRY_FULL_NAME</stp>
        <stp>[TREASURY.xlsx]Sheet1!R1250C8</stp>
        <tr r="H1250" s="1"/>
      </tp>
      <tp t="s">
        <v>T 8 1/4 11/15/94</v>
        <stp/>
        <stp>##V3_BDPV12</stp>
        <stp>912827XY Govt</stp>
        <stp>SECURITY_NAME</stp>
        <stp>[TREASURY.xlsx]Sheet1!R1600C16</stp>
        <tr r="P1600" s="1"/>
      </tp>
      <tp t="s">
        <v>T 6 3/4 02/28/93</v>
        <stp/>
        <stp>##V3_BDPV12</stp>
        <stp>912827ZY Govt</stp>
        <stp>SECURITY_NAME</stp>
        <stp>[TREASURY.xlsx]Sheet1!R1613C16</stp>
        <tr r="P1613" s="1"/>
      </tp>
      <tp t="s">
        <v>S/A</v>
        <stp/>
        <stp>##V3_BDPV12</stp>
        <stp>912828FE Govt</stp>
        <stp>COUPON_FREQUENCY_DESCRIPTION</stp>
        <stp>[TREASURY.xlsx]Sheet1!R1274C10</stp>
        <tr r="J1274" s="1"/>
      </tp>
      <tp t="s">
        <v>#N/A N/A</v>
        <stp/>
        <stp>##V3_BDPV12</stp>
        <stp>912828SC Govt</stp>
        <stp>YLD_YTM_BID</stp>
        <stp>[TREASURY.xlsx]Sheet1!R1141C4</stp>
        <tr r="D1141" s="1"/>
      </tp>
      <tp t="s">
        <v>#N/A N/A</v>
        <stp/>
        <stp>##V3_BDPV12</stp>
        <stp>912828QC Govt</stp>
        <stp>YLD_YTM_BID</stp>
        <stp>[TREASURY.xlsx]Sheet1!R1301C4</stp>
        <tr r="D1301" s="1"/>
      </tp>
      <tp t="s">
        <v>#N/A N/A</v>
        <stp/>
        <stp>##V3_BDPV12</stp>
        <stp>912828PU Govt</stp>
        <stp>YLD_YTM_BID</stp>
        <stp>[TREASURY.xlsx]Sheet1!R1261C4</stp>
        <tr r="D1261" s="1"/>
      </tp>
      <tp t="s">
        <v>#N/A N/A</v>
        <stp/>
        <stp>##V3_BDPV12</stp>
        <stp>912828RL Govt</stp>
        <stp>YLD_YTM_BID</stp>
        <stp>[TREASURY.xlsx]Sheet1!R1131C4</stp>
        <tr r="D1131" s="1"/>
      </tp>
      <tp t="s">
        <v>#N/A N/A</v>
        <stp/>
        <stp>##V3_BDPV12</stp>
        <stp>912828UU Govt</stp>
        <stp>YLD_YTM_BID</stp>
        <stp>[TREASURY.xlsx]Sheet1!R1001C4</stp>
        <tr r="D1001" s="1"/>
      </tp>
      <tp t="s">
        <v>#N/A N/A</v>
        <stp/>
        <stp>##V3_BDPV12</stp>
        <stp>912828XF Govt</stp>
        <stp>YLD_YTM_BID</stp>
        <stp>[TREASURY.xlsx]Sheet1!R1151C4</stp>
        <tr r="D1151" s="1"/>
      </tp>
      <tp>
        <v>11.125</v>
        <stp/>
        <stp>##V3_BDPV12</stp>
        <stp>912810DE Govt</stp>
        <stp>CPN</stp>
        <stp>[TREASURY.xlsx]Sheet1!R1311C3</stp>
        <tr r="C1311" s="1"/>
      </tp>
      <tp t="s">
        <v>#N/A N/A</v>
        <stp/>
        <stp>##V3_BDPV12</stp>
        <stp>912828EF Govt</stp>
        <stp>YLD_YTM_BID</stp>
        <stp>[TREASURY.xlsx]Sheet1!R1431C4</stp>
        <tr r="D1431" s="1"/>
      </tp>
      <tp>
        <v>8.75</v>
        <stp/>
        <stp>##V3_BDPV12</stp>
        <stp>912810CE Govt</stp>
        <stp>CPN</stp>
        <stp>[TREASURY.xlsx]Sheet1!R1441C3</stp>
        <tr r="C1441" s="1"/>
      </tp>
      <tp t="s">
        <v>#N/A N/A</v>
        <stp/>
        <stp>##V3_BDPV12</stp>
        <stp>912828DK Govt</stp>
        <stp>YLD_YTM_BID</stp>
        <stp>[TREASURY.xlsx]Sheet1!R1271C4</stp>
        <tr r="D1271" s="1"/>
      </tp>
      <tp t="s">
        <v>#N/A N/A</v>
        <stp/>
        <stp>##V3_BDPV12</stp>
        <stp>912828GZ Govt</stp>
        <stp>YLD_YTM_BID</stp>
        <stp>[TREASURY.xlsx]Sheet1!R1121C4</stp>
        <tr r="D1121" s="1"/>
      </tp>
      <tp t="s">
        <v>#N/A N/A</v>
        <stp/>
        <stp>##V3_BDPV12</stp>
        <stp>912828FG Govt</stp>
        <stp>YLD_YTM_BID</stp>
        <stp>[TREASURY.xlsx]Sheet1!R1241C4</stp>
        <tr r="D1241" s="1"/>
      </tp>
      <tp>
        <v>12</v>
        <stp/>
        <stp>##V3_BDPV12</stp>
        <stp>912810DQ Govt</stp>
        <stp>CPN</stp>
        <stp>[TREASURY.xlsx]Sheet1!R1621C3</stp>
        <tr r="C1621" s="1"/>
      </tp>
      <tp t="s">
        <v>#N/A N/A</v>
        <stp/>
        <stp>##V3_BDPV12</stp>
        <stp>912828G4 Govt</stp>
        <stp>YLD_YTM_BID</stp>
        <stp>[TREASURY.xlsx]Sheet1!R1281C4</stp>
        <tr r="D1281" s="1"/>
      </tp>
      <tp t="s">
        <v>#N/A N/A</v>
        <stp/>
        <stp>##V3_BDPV12</stp>
        <stp>912828DJ Govt</stp>
        <stp>YLD_YTM_BID</stp>
        <stp>[TREASURY.xlsx]Sheet1!R1111C4</stp>
        <tr r="D1111" s="1"/>
      </tp>
      <tp t="s">
        <v>#N/A N/A</v>
        <stp/>
        <stp>##V3_BDPV12</stp>
        <stp>912828LV Govt</stp>
        <stp>YLD_YTM_BID</stp>
        <stp>[TREASURY.xlsx]Sheet1!R1291C4</stp>
        <tr r="D1291" s="1"/>
      </tp>
      <tp t="s">
        <v>#N/A N/A</v>
        <stp/>
        <stp>##V3_BDPV12</stp>
        <stp>912828M6 Govt</stp>
        <stp>YLD_YTM_BID</stp>
        <stp>[TREASURY.xlsx]Sheet1!R1251C4</stp>
        <tr r="D1251" s="1"/>
      </tp>
      <tp t="s">
        <v>T 6 1/4 06/30/02</v>
        <stp/>
        <stp>##V3_BDPV12</stp>
        <stp>9128272Y Govt</stp>
        <stp>SECURITY_NAME</stp>
        <stp>[TREASURY.xlsx]Sheet1!R1525C16</stp>
        <tr r="P1525" s="1"/>
      </tp>
      <tp t="s">
        <v>T 4 1/4 05/31/03</v>
        <stp/>
        <stp>##V3_BDPV12</stp>
        <stp>9128276Y Govt</stp>
        <stp>SECURITY_NAME</stp>
        <stp>[TREASURY.xlsx]Sheet1!R1542C16</stp>
        <tr r="P1542" s="1"/>
      </tp>
      <tp t="s">
        <v>T 11 3/8 05/15/90</v>
        <stp/>
        <stp>##V3_BDPV12</stp>
        <stp>912827RY Govt</stp>
        <stp>SECURITY_NAME</stp>
        <stp>[TREASURY.xlsx]Sheet1!R1583C16</stp>
        <tr r="P1583" s="1"/>
      </tp>
      <tp t="s">
        <v>T 8 1/4 08/15/92</v>
        <stp/>
        <stp>##V3_BDPV12</stp>
        <stp>912827UY Govt</stp>
        <stp>SECURITY_NAME</stp>
        <stp>[TREASURY.xlsx]Sheet1!R1590C16</stp>
        <tr r="P1590" s="1"/>
      </tp>
      <tp t="s">
        <v>T 10 7/8 09/30/85</v>
        <stp/>
        <stp>##V3_BDPV12</stp>
        <stp>912827PY Govt</stp>
        <stp>SECURITY_NAME</stp>
        <stp>[TREASURY.xlsx]Sheet1!R1493C16</stp>
        <tr r="P1493" s="1"/>
      </tp>
      <tp t="s">
        <v>T 3 5/8 06/30/07</v>
        <stp/>
        <stp>##V3_BDPV12</stp>
        <stp>912828DY Govt</stp>
        <stp>SECURITY_NAME</stp>
        <stp>[TREASURY.xlsx]Sheet1!R1430C16</stp>
        <tr r="P1430" s="1"/>
      </tp>
      <tp t="s">
        <v>S/A</v>
        <stp/>
        <stp>##V3_BDPV12</stp>
        <stp>912828FG Govt</stp>
        <stp>COUPON_FREQUENCY_DESCRIPTION</stp>
        <stp>[TREASURY.xlsx]Sheet1!R1241C10</stp>
        <tr r="J1241" s="1"/>
      </tp>
      <tp t="s">
        <v>S/A</v>
        <stp/>
        <stp>##V3_BDPV12</stp>
        <stp>912828FA Govt</stp>
        <stp>COUPON_FREQUENCY_DESCRIPTION</stp>
        <stp>[TREASURY.xlsx]Sheet1!R1432C10</stp>
        <tr r="J1432" s="1"/>
      </tp>
      <tp t="s">
        <v>T 13 5/8 06/30/88</v>
        <stp/>
        <stp>##V3_BDPV12</stp>
        <stp>912827QY Govt</stp>
        <stp>SECURITY_NAME</stp>
        <stp>[TREASURY.xlsx]Sheet1!R1395C16</stp>
        <tr r="P1395" s="1"/>
      </tp>
      <tp>
        <v>7.25</v>
        <stp/>
        <stp>##V3_BDPV12</stp>
        <stp>912827P8 Govt</stp>
        <stp>CPN</stp>
        <stp>[TREASURY.xlsx]Sheet1!R1492C3</stp>
        <tr r="C1492" s="1"/>
      </tp>
      <tp>
        <v>7.25</v>
        <stp/>
        <stp>##V3_BDPV12</stp>
        <stp>912827Q8 Govt</stp>
        <stp>CPN</stp>
        <stp>[TREASURY.xlsx]Sheet1!R1572C3</stp>
        <tr r="C1572" s="1"/>
      </tp>
      <tp>
        <v>8.375</v>
        <stp/>
        <stp>##V3_BDPV12</stp>
        <stp>912827TB Govt</stp>
        <stp>CPN</stp>
        <stp>[TREASURY.xlsx]Sheet1!R1072C3</stp>
        <tr r="C1072" s="1"/>
      </tp>
      <tp>
        <v>8</v>
        <stp/>
        <stp>##V3_BDPV12</stp>
        <stp>912827TH Govt</stp>
        <stp>CPN</stp>
        <stp>[TREASURY.xlsx]Sheet1!R1192C3</stp>
        <tr r="C1192" s="1"/>
      </tp>
      <tp>
        <v>6.25</v>
        <stp/>
        <stp>##V3_BDPV12</stp>
        <stp>912827V2 Govt</stp>
        <stp>CPN</stp>
        <stp>[TREASURY.xlsx]Sheet1!R1082C3</stp>
        <tr r="C1082" s="1"/>
      </tp>
      <tp>
        <v>9.25</v>
        <stp/>
        <stp>##V3_BDPV12</stp>
        <stp>912827WN Govt</stp>
        <stp>CPN</stp>
        <stp>[TREASURY.xlsx]Sheet1!R1092C3</stp>
        <tr r="C1092" s="1"/>
      </tp>
      <tp>
        <v>11.375</v>
        <stp/>
        <stp>##V3_BDPV12</stp>
        <stp>912827RH Govt</stp>
        <stp>CPN</stp>
        <stp>[TREASURY.xlsx]Sheet1!R1502C3</stp>
        <tr r="C1502" s="1"/>
      </tp>
      <tp>
        <v>6.25</v>
        <stp/>
        <stp>##V3_BDPV12</stp>
        <stp>912827UP Govt</stp>
        <stp>CPN</stp>
        <stp>[TREASURY.xlsx]Sheet1!R1202C3</stp>
        <tr r="C1202" s="1"/>
      </tp>
      <tp>
        <v>10.375</v>
        <stp/>
        <stp>##V3_BDPV12</stp>
        <stp>912827RV Govt</stp>
        <stp>CPN</stp>
        <stp>[TREASURY.xlsx]Sheet1!R1582C3</stp>
        <tr r="C1582" s="1"/>
      </tp>
      <tp>
        <v>7.125</v>
        <stp/>
        <stp>##V3_BDPV12</stp>
        <stp>912827UD Govt</stp>
        <stp>CPN</stp>
        <stp>[TREASURY.xlsx]Sheet1!R1512C3</stp>
        <tr r="C1512" s="1"/>
      </tp>
      <tp>
        <v>6.625</v>
        <stp/>
        <stp>##V3_BDPV12</stp>
        <stp>912827TW Govt</stp>
        <stp>CPN</stp>
        <stp>[TREASURY.xlsx]Sheet1!R1402C3</stp>
        <tr r="C1402" s="1"/>
      </tp>
      <tp>
        <v>10.5</v>
        <stp/>
        <stp>##V3_BDPV12</stp>
        <stp>912827PA Govt</stp>
        <stp>CPN</stp>
        <stp>[TREASURY.xlsx]Sheet1!R1172C3</stp>
        <tr r="C1172" s="1"/>
      </tp>
      <tp>
        <v>7.75</v>
        <stp/>
        <stp>##V3_BDPV12</stp>
        <stp>912827S6 Govt</stp>
        <stp>CPN</stp>
        <stp>[TREASURY.xlsx]Sheet1!R1182C3</stp>
        <tr r="C1182" s="1"/>
      </tp>
      <tp>
        <v>12.625</v>
        <stp/>
        <stp>##V3_BDPV12</stp>
        <stp>912827RC Govt</stp>
        <stp>CPN</stp>
        <stp>[TREASURY.xlsx]Sheet1!R1062C3</stp>
        <tr r="C1062" s="1"/>
      </tp>
      <tp>
        <v>11.5</v>
        <stp/>
        <stp>##V3_BDPV12</stp>
        <stp>912827QA Govt</stp>
        <stp>CPN</stp>
        <stp>[TREASURY.xlsx]Sheet1!R1392C3</stp>
        <tr r="C1392" s="1"/>
      </tp>
      <tp>
        <v>7.375</v>
        <stp/>
        <stp>##V3_BDPV12</stp>
        <stp>912827VU Govt</stp>
        <stp>CPN</stp>
        <stp>[TREASURY.xlsx]Sheet1!R1412C3</stp>
        <tr r="C1412" s="1"/>
      </tp>
      <tp>
        <v>8.875</v>
        <stp/>
        <stp>##V3_BDPV12</stp>
        <stp>912827WW Govt</stp>
        <stp>CPN</stp>
        <stp>[TREASURY.xlsx]Sheet1!R1592C3</stp>
        <tr r="C1592" s="1"/>
      </tp>
      <tp>
        <v>8.25</v>
        <stp/>
        <stp>##V3_BDPV12</stp>
        <stp>912827WU Govt</stp>
        <stp>CPN</stp>
        <stp>[TREASURY.xlsx]Sheet1!R1422C3</stp>
        <tr r="C1422" s="1"/>
      </tp>
      <tp>
        <v>10.625</v>
        <stp/>
        <stp>##V3_BDPV12</stp>
        <stp>912827PT Govt</stp>
        <stp>CPN</stp>
        <stp>[TREASURY.xlsx]Sheet1!R1342C3</stp>
        <tr r="C1342" s="1"/>
      </tp>
      <tp>
        <v>7.875</v>
        <stp/>
        <stp>##V3_BDPV12</stp>
        <stp>912827ZT Govt</stp>
        <stp>CPN</stp>
        <stp>[TREASURY.xlsx]Sheet1!R1612C3</stp>
        <tr r="C1612" s="1"/>
      </tp>
      <tp>
        <v>6.625</v>
        <stp/>
        <stp>##V3_BDPV12</stp>
        <stp>912827Y4 Govt</stp>
        <stp>CPN</stp>
        <stp>[TREASURY.xlsx]Sheet1!R1602C3</stp>
        <tr r="C1602" s="1"/>
      </tp>
      <tp>
        <v>6.25</v>
        <stp/>
        <stp>##V3_BDPV12</stp>
        <stp>912827X6 Govt</stp>
        <stp>CPN</stp>
        <stp>[TREASURY.xlsx]Sheet1!R1212C3</stp>
        <tr r="C1212" s="1"/>
      </tp>
      <tp>
        <v>6.25</v>
        <stp/>
        <stp>##V3_BDPV12</stp>
        <stp>912827Z8 Govt</stp>
        <stp>CPN</stp>
        <stp>[TREASURY.xlsx]Sheet1!R1102C3</stp>
        <tr r="C1102" s="1"/>
      </tp>
      <tp>
        <v>8</v>
        <stp/>
        <stp>##V3_BDPV12</stp>
        <stp>912827YK Govt</stp>
        <stp>CPN</stp>
        <stp>[TREASURY.xlsx]Sheet1!R1222C3</stp>
        <tr r="C1222" s="1"/>
      </tp>
      <tp>
        <v>5.375</v>
        <stp/>
        <stp>##V3_BDPV12</stp>
        <stp>912827E9 Govt</stp>
        <stp>CPN</stp>
        <stp>[TREASURY.xlsx]Sheet1!R1372C3</stp>
        <tr r="C1372" s="1"/>
      </tp>
      <tp>
        <v>6.875</v>
        <stp/>
        <stp>##V3_BDPV12</stp>
        <stp>912827C8 Govt</stp>
        <stp>CPN</stp>
        <stp>[TREASURY.xlsx]Sheet1!R1482C3</stp>
        <tr r="C1482" s="1"/>
      </tp>
      <tp>
        <v>7.875</v>
        <stp/>
        <stp>##V3_BDPV12</stp>
        <stp>912827B9 Govt</stp>
        <stp>CPN</stp>
        <stp>[TREASURY.xlsx]Sheet1!R1552C3</stp>
        <tr r="C1552" s="1"/>
      </tp>
      <tp>
        <v>8</v>
        <stp/>
        <stp>##V3_BDPV12</stp>
        <stp>912827A8 Govt</stp>
        <stp>CPN</stp>
        <stp>[TREASURY.xlsx]Sheet1!R1032C3</stp>
        <tr r="C1032" s="1"/>
      </tp>
      <tp>
        <v>14</v>
        <stp/>
        <stp>##V3_BDPV12</stp>
        <stp>912827LK Govt</stp>
        <stp>CPN</stp>
        <stp>[TREASURY.xlsx]Sheet1!R1042C3</stp>
        <tr r="C1042" s="1"/>
      </tp>
      <tp>
        <v>13.75</v>
        <stp/>
        <stp>##V3_BDPV12</stp>
        <stp>912827NE Govt</stp>
        <stp>CPN</stp>
        <stp>[TREASURY.xlsx]Sheet1!R1332C3</stp>
        <tr r="C1332" s="1"/>
      </tp>
      <tp>
        <v>12.25</v>
        <stp/>
        <stp>##V3_BDPV12</stp>
        <stp>912827NR Govt</stp>
        <stp>CPN</stp>
        <stp>[TREASURY.xlsx]Sheet1!R1052C3</stp>
        <tr r="C1052" s="1"/>
      </tp>
      <tp>
        <v>15.125</v>
        <stp/>
        <stp>##V3_BDPV12</stp>
        <stp>912827MX Govt</stp>
        <stp>CPN</stp>
        <stp>[TREASURY.xlsx]Sheet1!R1382C3</stp>
        <tr r="C1382" s="1"/>
      </tp>
      <tp>
        <v>6.25</v>
        <stp/>
        <stp>##V3_BDPV12</stp>
        <stp>912827J7 Govt</stp>
        <stp>CPN</stp>
        <stp>[TREASURY.xlsx]Sheet1!R1562C3</stp>
        <tr r="C1562" s="1"/>
      </tp>
      <tp>
        <v>13.75</v>
        <stp/>
        <stp>##V3_BDPV12</stp>
        <stp>912827LQ Govt</stp>
        <stp>CPN</stp>
        <stp>[TREASURY.xlsx]Sheet1!R1322C3</stp>
        <tr r="C1322" s="1"/>
      </tp>
      <tp>
        <v>9.875</v>
        <stp/>
        <stp>##V3_BDPV12</stp>
        <stp>912827KX Govt</stp>
        <stp>CPN</stp>
        <stp>[TREASURY.xlsx]Sheet1!R1162C3</stp>
        <tr r="C1162" s="1"/>
      </tp>
      <tp>
        <v>4.25</v>
        <stp/>
        <stp>##V3_BDPV12</stp>
        <stp>9128274U Govt</stp>
        <stp>CPN</stp>
        <stp>[TREASURY.xlsx]Sheet1!R1012C3</stp>
        <tr r="C1012" s="1"/>
      </tp>
      <tp>
        <v>6.375</v>
        <stp/>
        <stp>##V3_BDPV12</stp>
        <stp>9128276C Govt</stp>
        <stp>CPN</stp>
        <stp>[TREASURY.xlsx]Sheet1!R1022C3</stp>
        <tr r="C1022" s="1"/>
      </tp>
      <tp>
        <v>6.25</v>
        <stp/>
        <stp>##V3_BDPV12</stp>
        <stp>9128272L Govt</stp>
        <stp>CPN</stp>
        <stp>[TREASURY.xlsx]Sheet1!R1452C3</stp>
        <tr r="C1452" s="1"/>
      </tp>
      <tp t="s">
        <v>T 8 7/8 02/15/94</v>
        <stp/>
        <stp>##V3_BDPV12</stp>
        <stp>912827WY Govt</stp>
        <stp>SECURITY_NAME</stp>
        <stp>[TREASURY.xlsx]Sheet1!R1210C16</stp>
        <tr r="P1210" s="1"/>
      </tp>
      <tp>
        <v>5.5</v>
        <stp/>
        <stp>##V3_BDPV12</stp>
        <stp>9128274B Govt</stp>
        <stp>CPN</stp>
        <stp>[TREASURY.xlsx]Sheet1!R1362C3</stp>
        <tr r="C1362" s="1"/>
      </tp>
      <tp>
        <v>6.25</v>
        <stp/>
        <stp>##V3_BDPV12</stp>
        <stp>9128272V Govt</stp>
        <stp>CPN</stp>
        <stp>[TREASURY.xlsx]Sheet1!R1522C3</stp>
        <tr r="C1522" s="1"/>
      </tp>
      <tp>
        <v>5.25</v>
        <stp/>
        <stp>##V3_BDPV12</stp>
        <stp>9128274N Govt</stp>
        <stp>CPN</stp>
        <stp>[TREASURY.xlsx]Sheet1!R1462C3</stp>
        <tr r="C1462" s="1"/>
      </tp>
      <tp>
        <v>6.25</v>
        <stp/>
        <stp>##V3_BDPV12</stp>
        <stp>9128272N Govt</stp>
        <stp>CPN</stp>
        <stp>[TREASURY.xlsx]Sheet1!R1352C3</stp>
        <tr r="C1352" s="1"/>
      </tp>
      <tp>
        <v>4.5</v>
        <stp/>
        <stp>##V3_BDPV12</stp>
        <stp>9128274R Govt</stp>
        <stp>CPN</stp>
        <stp>[TREASURY.xlsx]Sheet1!R1532C3</stp>
        <tr r="C1532" s="1"/>
      </tp>
      <tp>
        <v>3</v>
        <stp/>
        <stp>##V3_BDPV12</stp>
        <stp>9128277M Govt</stp>
        <stp>CPN</stp>
        <stp>[TREASURY.xlsx]Sheet1!R1472C3</stp>
        <tr r="C1472" s="1"/>
      </tp>
      <tp>
        <v>4.25</v>
        <stp/>
        <stp>##V3_BDPV12</stp>
        <stp>9128276Y Govt</stp>
        <stp>CPN</stp>
        <stp>[TREASURY.xlsx]Sheet1!R1542C3</stp>
        <tr r="C1542" s="1"/>
      </tp>
      <tp t="s">
        <v>T 0 3/4 09/15/13</v>
        <stp/>
        <stp>##V3_BDPV12</stp>
        <stp>912828NY Govt</stp>
        <stp>SECURITY_NAME</stp>
        <stp>[TREASURY.xlsx]Sheet1!R1258C16</stp>
        <tr r="P1258" s="1"/>
      </tp>
      <tp t="s">
        <v>T 1 3/8 12/31/18</v>
        <stp/>
        <stp>##V3_BDPV12</stp>
        <stp>912828RY Govt</stp>
        <stp>SECURITY_NAME</stp>
        <stp>[TREASURY.xlsx]Sheet1!R1267C16</stp>
        <tr r="P1267" s="1"/>
      </tp>
      <tp t="s">
        <v>T 4 5/8 02/29/08</v>
        <stp/>
        <stp>##V3_BDPV12</stp>
        <stp>912828EY Govt</stp>
        <stp>SECURITY_NAME</stp>
        <stp>[TREASURY.xlsx]Sheet1!R1239C16</stp>
        <tr r="P1239" s="1"/>
      </tp>
      <tp t="s">
        <v>T 9 3/8 12/31/84</v>
        <stp/>
        <stp>##V3_BDPV12</stp>
        <stp>912827NY Govt</stp>
        <stp>SECURITY_NAME</stp>
        <stp>[TREASURY.xlsx]Sheet1!R1170C16</stp>
        <tr r="P1170" s="1"/>
      </tp>
      <tp t="s">
        <v>T 9 1/2 11/15/95</v>
        <stp/>
        <stp>##V3_BDPV12</stp>
        <stp>912827SY Govt</stp>
        <stp>SECURITY_NAME</stp>
        <stp>[TREASURY.xlsx]Sheet1!R1190C16</stp>
        <tr r="P1190" s="1"/>
      </tp>
      <tp t="s">
        <v>T 0 5/8 05/31/17</v>
        <stp/>
        <stp>##V3_BDPV12</stp>
        <stp>912828SY Govt</stp>
        <stp>SECURITY_NAME</stp>
        <stp>[TREASURY.xlsx]Sheet1!R1133C16</stp>
        <tr r="P1133" s="1"/>
      </tp>
      <tp t="s">
        <v>T 0 1/8 04/30/15</v>
        <stp/>
        <stp>##V3_BDPV12</stp>
        <stp>912828UY Govt</stp>
        <stp>SECURITY_NAME</stp>
        <stp>[TREASURY.xlsx]Sheet1!R1138C16</stp>
        <tr r="P1138" s="1"/>
      </tp>
      <tp t="s">
        <v>T 4 5/8 07/31/09</v>
        <stp/>
        <stp>##V3_BDPV12</stp>
        <stp>912828GY Govt</stp>
        <stp>SECURITY_NAME</stp>
        <stp>[TREASURY.xlsx]Sheet1!R1120C16</stp>
        <tr r="P1120" s="1"/>
      </tp>
      <tp t="s">
        <v>T 6 1/8 08/31/88</v>
        <stp/>
        <stp>##V3_BDPV12</stp>
        <stp>912827TY Govt</stp>
        <stp>SECURITY_NAME</stp>
        <stp>[TREASURY.xlsx]Sheet1!R1076C16</stp>
        <tr r="P1076" s="1"/>
      </tp>
      <tp t="s">
        <v>T 0 1/4 09/30/15</v>
        <stp/>
        <stp>##V3_BDPV12</stp>
        <stp>912828VY Govt</stp>
        <stp>SECURITY_NAME</stp>
        <stp>[TREASURY.xlsx]Sheet1!R1004C16</stp>
        <tr r="P1004" s="1"/>
      </tp>
      <tp t="s">
        <v>UNITED STATES</v>
        <stp/>
        <stp>##V3_BDPV12</stp>
        <stp>912810CW Govt</stp>
        <stp>COUNTRY_FULL_NAME</stp>
        <stp>[TREASURY.xlsx]Sheet1!R1618C8</stp>
        <tr r="H1618" s="1"/>
      </tp>
      <tp t="s">
        <v>UNITED STATES</v>
        <stp/>
        <stp>##V3_BDPV12</stp>
        <stp>912827NU Govt</stp>
        <stp>COUNTRY_FULL_NAME</stp>
        <stp>[TREASURY.xlsx]Sheet1!R1335C8</stp>
        <tr r="H1335" s="1"/>
      </tp>
      <tp t="s">
        <v>UNITED STATES</v>
        <stp/>
        <stp>##V3_BDPV12</stp>
        <stp>912810BU Govt</stp>
        <stp>COUNTRY_FULL_NAME</stp>
        <stp>[TREASURY.xlsx]Sheet1!R1439C8</stp>
        <tr r="H1439" s="1"/>
      </tp>
      <tp t="s">
        <v>S/A</v>
        <stp/>
        <stp>##V3_BDPV12</stp>
        <stp>912828FX Govt</stp>
        <stp>COUPON_FREQUENCY_DESCRIPTION</stp>
        <stp>[TREASURY.xlsx]Sheet1!R1278C10</stp>
        <tr r="J1278" s="1"/>
      </tp>
      <tp t="s">
        <v>UNITED STATES</v>
        <stp/>
        <stp>##V3_BDPV12</stp>
        <stp>912827MS Govt</stp>
        <stp>COUNTRY_FULL_NAME</stp>
        <stp>[TREASURY.xlsx]Sheet1!R1046C8</stp>
        <tr r="H1046" s="1"/>
      </tp>
      <tp t="s">
        <v>S/A</v>
        <stp/>
        <stp>##V3_BDPV12</stp>
        <stp>912828FZ Govt</stp>
        <stp>COUPON_FREQUENCY_DESCRIPTION</stp>
        <stp>[TREASURY.xlsx]Sheet1!R1279C10</stp>
        <tr r="J1279" s="1"/>
      </tp>
      <tp t="s">
        <v>S/A</v>
        <stp/>
        <stp>##V3_BDPV12</stp>
        <stp>912828FP Govt</stp>
        <stp>COUPON_FREQUENCY_DESCRIPTION</stp>
        <stp>[TREASURY.xlsx]Sheet1!R1276C10</stp>
        <tr r="J1276" s="1"/>
      </tp>
      <tp t="s">
        <v>UNITED STATES</v>
        <stp/>
        <stp>##V3_BDPV12</stp>
        <stp>912828NZ Govt</stp>
        <stp>COUNTRY_FULL_NAME</stp>
        <stp>[TREASURY.xlsx]Sheet1!R1295C8</stp>
        <tr r="H1295" s="1"/>
      </tp>
      <tp t="s">
        <v>UNITED STATES</v>
        <stp/>
        <stp>##V3_BDPV12</stp>
        <stp>912827LZ Govt</stp>
        <stp>COUNTRY_FULL_NAME</stp>
        <stp>[TREASURY.xlsx]Sheet1!R1567C8</stp>
        <tr r="H1567" s="1"/>
      </tp>
      <tp t="s">
        <v>S/A</v>
        <stp/>
        <stp>##V3_BDPV12</stp>
        <stp>912828FR Govt</stp>
        <stp>COUPON_FREQUENCY_DESCRIPTION</stp>
        <stp>[TREASURY.xlsx]Sheet1!R1277C10</stp>
        <tr r="J1277" s="1"/>
      </tp>
      <tp t="s">
        <v>UNITED STATES</v>
        <stp/>
        <stp>##V3_BDPV12</stp>
        <stp>912827NX Govt</stp>
        <stp>COUNTRY_FULL_NAME</stp>
        <stp>[TREASURY.xlsx]Sheet1!R1385C8</stp>
        <tr r="H1385" s="1"/>
      </tp>
      <tp t="s">
        <v>USD</v>
        <stp/>
        <stp>##V3_BDPV12</stp>
        <stp>912810QD Govt</stp>
        <stp>CRNCY</stp>
        <stp>[TREASURY.xlsx]Sheet1!R311C7</stp>
        <tr r="G311" s="1"/>
      </tp>
      <tp t="s">
        <v>USD</v>
        <stp/>
        <stp>##V3_BDPV12</stp>
        <stp>912828QA Govt</stp>
        <stp>CRNCY</stp>
        <stp>[TREASURY.xlsx]Sheet1!R509C7</stp>
        <tr r="G509" s="1"/>
      </tp>
      <tp t="s">
        <v>USD</v>
        <stp/>
        <stp>##V3_BDPV12</stp>
        <stp>912827QG Govt</stp>
        <stp>CRNCY</stp>
        <stp>[TREASURY.xlsx]Sheet1!R906C7</stp>
        <tr r="G906" s="1"/>
      </tp>
      <tp t="s">
        <v>USD</v>
        <stp/>
        <stp>##V3_BDPV12</stp>
        <stp>912810QL Govt</stp>
        <stp>CRNCY</stp>
        <stp>[TREASURY.xlsx]Sheet1!R321C7</stp>
        <tr r="G321" s="1"/>
      </tp>
      <tp t="s">
        <v>USD</v>
        <stp/>
        <stp>##V3_BDPV12</stp>
        <stp>912810QN Govt</stp>
        <stp>CRNCY</stp>
        <stp>[TREASURY.xlsx]Sheet1!R291C7</stp>
        <tr r="G291" s="1"/>
      </tp>
      <tp t="s">
        <v>USD</v>
        <stp/>
        <stp>##V3_BDPV12</stp>
        <stp>912828QE Govt</stp>
        <stp>CRNCY</stp>
        <stp>[TREASURY.xlsx]Sheet1!R989C7</stp>
        <tr r="G989" s="1"/>
      </tp>
      <tp t="s">
        <v>USD</v>
        <stp/>
        <stp>##V3_BDPV12</stp>
        <stp>912828QZ Govt</stp>
        <stp>CRNCY</stp>
        <stp>[TREASURY.xlsx]Sheet1!R449C7</stp>
        <tr r="G449" s="1"/>
      </tp>
      <tp t="s">
        <v>USD</v>
        <stp/>
        <stp>##V3_BDPV12</stp>
        <stp>912828QX Govt</stp>
        <stp>CRNCY</stp>
        <stp>[TREASURY.xlsx]Sheet1!R519C7</stp>
        <tr r="G519" s="1"/>
      </tp>
      <tp t="s">
        <v>USD</v>
        <stp/>
        <stp>##V3_BDPV12</stp>
        <stp>912827PC Govt</stp>
        <stp>CRNCY</stp>
        <stp>[TREASURY.xlsx]Sheet1!R736C7</stp>
        <tr r="G736" s="1"/>
      </tp>
      <tp t="s">
        <v>USD</v>
        <stp/>
        <stp>##V3_BDPV12</stp>
        <stp>912828P7 Govt</stp>
        <stp>CRNCY</stp>
        <stp>[TREASURY.xlsx]Sheet1!R309C7</stp>
        <tr r="G309" s="1"/>
      </tp>
      <tp t="s">
        <v>USD</v>
        <stp/>
        <stp>##V3_BDPV12</stp>
        <stp>912828P8 Govt</stp>
        <stp>CRNCY</stp>
        <stp>[TREASURY.xlsx]Sheet1!R389C7</stp>
        <tr r="G389" s="1"/>
      </tp>
      <tp t="s">
        <v>USD</v>
        <stp/>
        <stp>##V3_BDPV12</stp>
        <stp>912810SD Govt</stp>
        <stp>CRNCY</stp>
        <stp>[TREASURY.xlsx]Sheet1!R181C7</stp>
        <tr r="G181" s="1"/>
      </tp>
      <tp t="s">
        <v>USD</v>
        <stp/>
        <stp>##V3_BDPV12</stp>
        <stp>912828SJ Govt</stp>
        <stp>CRNCY</stp>
        <stp>[TREASURY.xlsx]Sheet1!R489C7</stp>
        <tr r="G489" s="1"/>
      </tp>
      <tp t="s">
        <v>USD</v>
        <stp/>
        <stp>##V3_BDPV12</stp>
        <stp>912827SD Govt</stp>
        <stp>CRNCY</stp>
        <stp>[TREASURY.xlsx]Sheet1!R916C7</stp>
        <tr r="G916" s="1"/>
      </tp>
      <tp t="s">
        <v>USD</v>
        <stp/>
        <stp>##V3_BDPV12</stp>
        <stp>912827S9 Govt</stp>
        <stp>CRNCY</stp>
        <stp>[TREASURY.xlsx]Sheet1!R746C7</stp>
        <tr r="G746" s="1"/>
      </tp>
      <tp t="s">
        <v>USD</v>
        <stp/>
        <stp>##V3_BDPV12</stp>
        <stp>912828RB Govt</stp>
        <stp>CRNCY</stp>
        <stp>[TREASURY.xlsx]Sheet1!R459C7</stp>
        <tr r="G459" s="1"/>
      </tp>
      <tp t="s">
        <v>USD</v>
        <stp/>
        <stp>##V3_BDPV12</stp>
        <stp>912828RG Govt</stp>
        <stp>CRNCY</stp>
        <stp>[TREASURY.xlsx]Sheet1!R869C7</stp>
        <tr r="G869" s="1"/>
      </tp>
      <tp t="s">
        <v>USD</v>
        <stp/>
        <stp>##V3_BDPV12</stp>
        <stp>912828RP Govt</stp>
        <stp>CRNCY</stp>
        <stp>[TREASURY.xlsx]Sheet1!R549C7</stp>
        <tr r="G549" s="1"/>
      </tp>
      <tp t="s">
        <v>USD</v>
        <stp/>
        <stp>##V3_BDPV12</stp>
        <stp>912828RR Govt</stp>
        <stp>CRNCY</stp>
        <stp>[TREASURY.xlsx]Sheet1!R119C7</stp>
        <tr r="G119" s="1"/>
      </tp>
      <tp t="s">
        <v>USD</v>
        <stp/>
        <stp>##V3_BDPV12</stp>
        <stp>912810RY Govt</stp>
        <stp>CRNCY</stp>
        <stp>[TREASURY.xlsx]Sheet1!R191C7</stp>
        <tr r="G191" s="1"/>
      </tp>
      <tp t="s">
        <v>USD</v>
        <stp/>
        <stp>##V3_BDPV12</stp>
        <stp>912828R8 Govt</stp>
        <stp>CRNCY</stp>
        <stp>[TREASURY.xlsx]Sheet1!R689C7</stp>
        <tr r="G689" s="1"/>
      </tp>
      <tp t="s">
        <v>USD</v>
        <stp/>
        <stp>##V3_BDPV12</stp>
        <stp>912828UJ Govt</stp>
        <stp>CRNCY</stp>
        <stp>[TREASURY.xlsx]Sheet1!R999C7</stp>
        <tr r="G999" s="1"/>
      </tp>
      <tp t="s">
        <v>USD</v>
        <stp/>
        <stp>##V3_BDPV12</stp>
        <stp>912827UA Govt</stp>
        <stp>CRNCY</stp>
        <stp>[TREASURY.xlsx]Sheet1!R836C7</stp>
        <tr r="G836" s="1"/>
      </tp>
      <tp t="s">
        <v>USD</v>
        <stp/>
        <stp>##V3_BDPV12</stp>
        <stp>912827UT Govt</stp>
        <stp>CRNCY</stp>
        <stp>[TREASURY.xlsx]Sheet1!R756C7</stp>
        <tr r="G756" s="1"/>
      </tp>
      <tp t="s">
        <v>USD</v>
        <stp/>
        <stp>##V3_BDPV12</stp>
        <stp>912828TL Govt</stp>
        <stp>CRNCY</stp>
        <stp>[TREASURY.xlsx]Sheet1!R409C7</stp>
        <tr r="G409" s="1"/>
      </tp>
      <tp t="s">
        <v>USD</v>
        <stp/>
        <stp>##V3_BDPV12</stp>
        <stp>912828TU Govt</stp>
        <stp>CRNCY</stp>
        <stp>[TREASURY.xlsx]Sheet1!R539C7</stp>
        <tr r="G539" s="1"/>
      </tp>
      <tp t="s">
        <v>USD</v>
        <stp/>
        <stp>##V3_BDPV12</stp>
        <stp>912828WY Govt</stp>
        <stp>CRNCY</stp>
        <stp>[TREASURY.xlsx]Sheet1!R359C7</stp>
        <tr r="G359" s="1"/>
      </tp>
      <tp t="s">
        <v>USD</v>
        <stp/>
        <stp>##V3_BDPV12</stp>
        <stp>912828W2 Govt</stp>
        <stp>CRNCY</stp>
        <stp>[TREASURY.xlsx]Sheet1!R679C7</stp>
        <tr r="G679" s="1"/>
      </tp>
      <tp t="s">
        <v>USD</v>
        <stp/>
        <stp>##V3_BDPV12</stp>
        <stp>912828VN Govt</stp>
        <stp>CRNCY</stp>
        <stp>[TREASURY.xlsx]Sheet1!R879C7</stp>
        <tr r="G879" s="1"/>
      </tp>
      <tp t="s">
        <v>USD</v>
        <stp/>
        <stp>##V3_BDPV12</stp>
        <stp>912827VE Govt</stp>
        <stp>CRNCY</stp>
        <stp>[TREASURY.xlsx]Sheet1!R626C7</stp>
        <tr r="G626" s="1"/>
      </tp>
      <tp t="s">
        <v>USD</v>
        <stp/>
        <stp>##V3_BDPV12</stp>
        <stp>912828VP Govt</stp>
        <stp>CRNCY</stp>
        <stp>[TREASURY.xlsx]Sheet1!R479C7</stp>
        <tr r="G479" s="1"/>
      </tp>
      <tp t="s">
        <v>USD</v>
        <stp/>
        <stp>##V3_BDPV12</stp>
        <stp>912827VY Govt</stp>
        <stp>CRNCY</stp>
        <stp>[TREASURY.xlsx]Sheet1!R766C7</stp>
        <tr r="G766" s="1"/>
      </tp>
      <tp t="s">
        <v>USD</v>
        <stp/>
        <stp>##V3_BDPV12</stp>
        <stp>912827VV Govt</stp>
        <stp>CRNCY</stp>
        <stp>[TREASURY.xlsx]Sheet1!R926C7</stp>
        <tr r="G926" s="1"/>
      </tp>
      <tp t="s">
        <v>USD</v>
        <stp/>
        <stp>##V3_BDPV12</stp>
        <stp>912827YN Govt</stp>
        <stp>CRNCY</stp>
        <stp>[TREASURY.xlsx]Sheet1!R776C7</stp>
        <tr r="G776" s="1"/>
      </tp>
      <tp t="s">
        <v>USD</v>
        <stp/>
        <stp>##V3_BDPV12</stp>
        <stp>912828YV Govt</stp>
        <stp>CRNCY</stp>
        <stp>[TREASURY.xlsx]Sheet1!R139C7</stp>
        <tr r="G139" s="1"/>
      </tp>
      <tp t="s">
        <v>USD</v>
        <stp/>
        <stp>##V3_BDPV12</stp>
        <stp>912828YP Govt</stp>
        <stp>CRNCY</stp>
        <stp>[TREASURY.xlsx]Sheet1!R149C7</stp>
        <tr r="G149" s="1"/>
      </tp>
      <tp t="s">
        <v>USD</v>
        <stp/>
        <stp>##V3_BDPV12</stp>
        <stp>912827YS Govt</stp>
        <stp>CRNCY</stp>
        <stp>[TREASURY.xlsx]Sheet1!R946C7</stp>
        <tr r="G946" s="1"/>
      </tp>
      <tp t="s">
        <v>USD</v>
        <stp/>
        <stp>##V3_BDPV12</stp>
        <stp>912828Y4 Govt</stp>
        <stp>CRNCY</stp>
        <stp>[TREASURY.xlsx]Sheet1!R589C7</stp>
        <tr r="G589" s="1"/>
      </tp>
      <tp t="s">
        <v>USD</v>
        <stp/>
        <stp>##V3_BDPV12</stp>
        <stp>912828XD Govt</stp>
        <stp>CRNCY</stp>
        <stp>[TREASURY.xlsx]Sheet1!R189C7</stp>
        <tr r="G189" s="1"/>
      </tp>
      <tp t="s">
        <v>USD</v>
        <stp/>
        <stp>##V3_BDPV12</stp>
        <stp>912827XJ Govt</stp>
        <stp>CRNCY</stp>
        <stp>[TREASURY.xlsx]Sheet1!R936C7</stp>
        <tr r="G936" s="1"/>
      </tp>
      <tp t="s">
        <v>USD</v>
        <stp/>
        <stp>##V3_BDPV12</stp>
        <stp>912828XU Govt</stp>
        <stp>CRNCY</stp>
        <stp>[TREASURY.xlsx]Sheet1!R639C7</stp>
        <tr r="G639" s="1"/>
      </tp>
      <tp t="s">
        <v>USD</v>
        <stp/>
        <stp>##V3_BDPV12</stp>
        <stp>912828XX Govt</stp>
        <stp>CRNCY</stp>
        <stp>[TREASURY.xlsx]Sheet1!R249C7</stp>
        <tr r="G249" s="1"/>
      </tp>
      <tp t="s">
        <v>USD</v>
        <stp/>
        <stp>##V3_BDPV12</stp>
        <stp>912828XZ Govt</stp>
        <stp>CRNCY</stp>
        <stp>[TREASURY.xlsx]Sheet1!R279C7</stp>
        <tr r="G279" s="1"/>
      </tp>
      <tp t="s">
        <v>USD</v>
        <stp/>
        <stp>##V3_BDPV12</stp>
        <stp>912828ZV Govt</stp>
        <stp>CRNCY</stp>
        <stp>[TREASURY.xlsx]Sheet1!R159C7</stp>
        <tr r="G159" s="1"/>
      </tp>
      <tp t="s">
        <v>USD</v>
        <stp/>
        <stp>##V3_BDPV12</stp>
        <stp>912827ZX Govt</stp>
        <stp>CRNCY</stp>
        <stp>[TREASURY.xlsx]Sheet1!R956C7</stp>
        <tr r="G956" s="1"/>
      </tp>
      <tp t="s">
        <v>USD</v>
        <stp/>
        <stp>##V3_BDPV12</stp>
        <stp>912828Z7 Govt</stp>
        <stp>CRNCY</stp>
        <stp>[TREASURY.xlsx]Sheet1!R169C7</stp>
        <tr r="G169" s="1"/>
      </tp>
      <tp t="s">
        <v>USD</v>
        <stp/>
        <stp>##V3_BDPV12</stp>
        <stp>912828AK Govt</stp>
        <stp>CRNCY</stp>
        <stp>[TREASURY.xlsx]Sheet1!R959C7</stp>
        <tr r="G959" s="1"/>
      </tp>
      <tp t="s">
        <v>UNITED STATES</v>
        <stp/>
        <stp>##V3_BDPV12</stp>
        <stp>912827K6 Govt</stp>
        <stp>COUNTRY_FULL_NAME</stp>
        <stp>[TREASURY.xlsx]Sheet1!R1490C8</stp>
        <tr r="H1490" s="1"/>
      </tp>
      <tp t="s">
        <v>USD</v>
        <stp/>
        <stp>##V3_BDPV12</stp>
        <stp>912828CG Govt</stp>
        <stp>CRNCY</stp>
        <stp>[TREASURY.xlsx]Sheet1!R789C7</stp>
        <tr r="G789" s="1"/>
      </tp>
      <tp t="s">
        <v>USD</v>
        <stp/>
        <stp>##V3_BDPV12</stp>
        <stp>912828CH Govt</stp>
        <stp>CRNCY</stp>
        <stp>[TREASURY.xlsx]Sheet1!R559C7</stp>
        <tr r="G559" s="1"/>
      </tp>
      <tp t="s">
        <v>USD</v>
        <stp/>
        <stp>##V3_BDPV12</stp>
        <stp>912810CT Govt</stp>
        <stp>CRNCY</stp>
        <stp>[TREASURY.xlsx]Sheet1!R501C7</stp>
        <tr r="G501" s="1"/>
      </tp>
      <tp t="s">
        <v>USD</v>
        <stp/>
        <stp>##V3_BDPV12</stp>
        <stp>912810CX Govt</stp>
        <stp>CRNCY</stp>
        <stp>[TREASURY.xlsx]Sheet1!R661C7</stp>
        <tr r="G661" s="1"/>
      </tp>
      <tp t="s">
        <v>USD</v>
        <stp/>
        <stp>##V3_BDPV12</stp>
        <stp>912828CX Govt</stp>
        <stp>CRNCY</stp>
        <stp>[TREASURY.xlsx]Sheet1!R659C7</stp>
        <tr r="G659" s="1"/>
      </tp>
      <tp t="s">
        <v>USD</v>
        <stp/>
        <stp>##V3_BDPV12</stp>
        <stp>912828C6 Govt</stp>
        <stp>CRNCY</stp>
        <stp>[TREASURY.xlsx]Sheet1!R349C7</stp>
        <tr r="G349" s="1"/>
      </tp>
      <tp t="s">
        <v>UNITED STATES</v>
        <stp/>
        <stp>##V3_BDPV12</stp>
        <stp>912827J4 Govt</stp>
        <stp>COUNTRY_FULL_NAME</stp>
        <stp>[TREASURY.xlsx]Sheet1!R1561C8</stp>
        <tr r="H1561" s="1"/>
      </tp>
      <tp t="s">
        <v>USD</v>
        <stp/>
        <stp>##V3_BDPV12</stp>
        <stp>912810EL Govt</stp>
        <stp>CRNCY</stp>
        <stp>[TREASURY.xlsx]Sheet1!R211C7</stp>
        <tr r="G211" s="1"/>
      </tp>
      <tp t="s">
        <v>USD</v>
        <stp/>
        <stp>##V3_BDPV12</stp>
        <stp>912810EJ Govt</stp>
        <stp>CRNCY</stp>
        <stp>[TREASURY.xlsx]Sheet1!R521C7</stp>
        <tr r="G521" s="1"/>
      </tp>
      <tp t="s">
        <v>USD</v>
        <stp/>
        <stp>##V3_BDPV12</stp>
        <stp>912828EN Govt</stp>
        <stp>CRNCY</stp>
        <stp>[TREASURY.xlsx]Sheet1!R649C7</stp>
        <tr r="G649" s="1"/>
      </tp>
      <tp t="s">
        <v>USD</v>
        <stp/>
        <stp>##V3_BDPV12</stp>
        <stp>912810DX Govt</stp>
        <stp>CRNCY</stp>
        <stp>[TREASURY.xlsx]Sheet1!R461C7</stp>
        <tr r="G461" s="1"/>
      </tp>
      <tp t="s">
        <v>USD</v>
        <stp/>
        <stp>##V3_BDPV12</stp>
        <stp>912828D2 Govt</stp>
        <stp>CRNCY</stp>
        <stp>[TREASURY.xlsx]Sheet1!R619C7</stp>
        <tr r="G619" s="1"/>
      </tp>
      <tp t="s">
        <v>UNITED STATES</v>
        <stp/>
        <stp>##V3_BDPV12</stp>
        <stp>912827B3 Govt</stp>
        <stp>COUNTRY_FULL_NAME</stp>
        <stp>[TREASURY.xlsx]Sheet1!R1549C8</stp>
        <tr r="H1549" s="1"/>
      </tp>
      <tp t="s">
        <v>USD</v>
        <stp/>
        <stp>##V3_BDPV12</stp>
        <stp>912828D9 Govt</stp>
        <stp>CRNCY</stp>
        <stp>[TREASURY.xlsx]Sheet1!R839C7</stp>
        <tr r="G839" s="1"/>
      </tp>
      <tp t="s">
        <v>USD</v>
        <stp/>
        <stp>##V3_BDPV12</stp>
        <stp>912828GM Govt</stp>
        <stp>CRNCY</stp>
        <stp>[TREASURY.xlsx]Sheet1!R379C7</stp>
        <tr r="G379" s="1"/>
      </tp>
      <tp t="s">
        <v>S/A</v>
        <stp/>
        <stp>##V3_BDPV12</stp>
        <stp>912827F9 Govt</stp>
        <stp>COUPON_FREQUENCY_DESCRIPTION</stp>
        <stp>[TREASURY.xlsx]Sheet1!R1155C10</stp>
        <tr r="J1155" s="1"/>
      </tp>
      <tp t="s">
        <v>USD</v>
        <stp/>
        <stp>##V3_BDPV12</stp>
        <stp>912828G8 Govt</stp>
        <stp>CRNCY</stp>
        <stp>[TREASURY.xlsx]Sheet1!R209C7</stp>
        <tr r="G209" s="1"/>
      </tp>
      <tp t="s">
        <v>USD</v>
        <stp/>
        <stp>##V3_BDPV12</stp>
        <stp>912828FJ Govt</stp>
        <stp>CRNCY</stp>
        <stp>[TREASURY.xlsx]Sheet1!R799C7</stp>
        <tr r="G799" s="1"/>
      </tp>
      <tp t="s">
        <v>S/A</v>
        <stp/>
        <stp>##V3_BDPV12</stp>
        <stp>912827F8 Govt</stp>
        <stp>COUPON_FREQUENCY_DESCRIPTION</stp>
        <stp>[TREASURY.xlsx]Sheet1!R1154C10</stp>
        <tr r="J1154" s="1"/>
      </tp>
      <tp t="s">
        <v>S/A</v>
        <stp/>
        <stp>##V3_BDPV12</stp>
        <stp>912828F8 Govt</stp>
        <stp>COUPON_FREQUENCY_DESCRIPTION</stp>
        <stp>[TREASURY.xlsx]Sheet1!R1118C10</stp>
        <tr r="J1118" s="1"/>
      </tp>
      <tp t="s">
        <v>USD</v>
        <stp/>
        <stp>##V3_BDPV12</stp>
        <stp>912828F9 Govt</stp>
        <stp>CRNCY</stp>
        <stp>[TREASURY.xlsx]Sheet1!R199C7</stp>
        <tr r="G199" s="1"/>
      </tp>
      <tp t="s">
        <v>T</v>
        <stp/>
        <stp>##V3_BDPV12</stp>
        <stp>91282CBS Govt</stp>
        <stp>TICKER</stp>
        <stp>[TREASURY.xlsx]Sheet1!R75C2</stp>
        <tr r="B75" s="1"/>
      </tp>
      <tp t="s">
        <v>T</v>
        <stp/>
        <stp>##V3_BDPV12</stp>
        <stp>91282CBR Govt</stp>
        <stp>TICKER</stp>
        <stp>[TREASURY.xlsx]Sheet1!R55C2</stp>
        <tr r="B55" s="1"/>
      </tp>
      <tp t="s">
        <v>USD</v>
        <stp/>
        <stp>##V3_BDPV12</stp>
        <stp>912828HD Govt</stp>
        <stp>CRNCY</stp>
        <stp>[TREASURY.xlsx]Sheet1!R969C7</stp>
        <tr r="G969" s="1"/>
      </tp>
      <tp t="s">
        <v>USD</v>
        <stp/>
        <stp>##V3_BDPV12</stp>
        <stp>912828HB Govt</stp>
        <stp>CRNCY</stp>
        <stp>[TREASURY.xlsx]Sheet1!R849C7</stp>
        <tr r="G849" s="1"/>
      </tp>
      <tp t="s">
        <v>USD</v>
        <stp/>
        <stp>##V3_BDPV12</stp>
        <stp>912828HX Govt</stp>
        <stp>CRNCY</stp>
        <stp>[TREASURY.xlsx]Sheet1!R809C7</stp>
        <tr r="G809" s="1"/>
      </tp>
      <tp t="s">
        <v>S/A</v>
        <stp/>
        <stp>##V3_BDPV12</stp>
        <stp>912828F5 Govt</stp>
        <stp>COUPON_FREQUENCY_DESCRIPTION</stp>
        <stp>[TREASURY.xlsx]Sheet1!R1240C10</stp>
        <tr r="J1240" s="1"/>
      </tp>
      <tp t="s">
        <v>USD</v>
        <stp/>
        <stp>##V3_BDPV12</stp>
        <stp>912828H5 Govt</stp>
        <stp>CRNCY</stp>
        <stp>[TREASURY.xlsx]Sheet1!R419C7</stp>
        <tr r="G419" s="1"/>
      </tp>
      <tp t="s">
        <v>S/A</v>
        <stp/>
        <stp>##V3_BDPV12</stp>
        <stp>912827F7 Govt</stp>
        <stp>COUPON_FREQUENCY_DESCRIPTION</stp>
        <stp>[TREASURY.xlsx]Sheet1!R1315C10</stp>
        <tr r="J1315" s="1"/>
      </tp>
      <tp t="s">
        <v>USD</v>
        <stp/>
        <stp>##V3_BDPV12</stp>
        <stp>912828K8 Govt</stp>
        <stp>CRNCY</stp>
        <stp>[TREASURY.xlsx]Sheet1!R369C7</stp>
        <tr r="G369" s="1"/>
      </tp>
      <tp t="s">
        <v>T</v>
        <stp/>
        <stp>##V3_BDPV12</stp>
        <stp>91282CAZ Govt</stp>
        <stp>TICKER</stp>
        <stp>[TREASURY.xlsx]Sheet1!R45C2</stp>
        <tr r="B45" s="1"/>
      </tp>
      <tp t="s">
        <v>S/A</v>
        <stp/>
        <stp>##V3_BDPV12</stp>
        <stp>912827F6 Govt</stp>
        <stp>COUPON_FREQUENCY_DESCRIPTION</stp>
        <stp>[TREASURY.xlsx]Sheet1!R1373C10</stp>
        <tr r="J1373" s="1"/>
      </tp>
      <tp t="s">
        <v>S/A</v>
        <stp/>
        <stp>##V3_BDPV12</stp>
        <stp>912828F4 Govt</stp>
        <stp>COUPON_FREQUENCY_DESCRIPTION</stp>
        <stp>[TREASURY.xlsx]Sheet1!R1117C10</stp>
        <tr r="J1117" s="1"/>
      </tp>
      <tp t="s">
        <v>USD</v>
        <stp/>
        <stp>##V3_BDPV12</stp>
        <stp>912827J2 Govt</stp>
        <stp>CRNCY</stp>
        <stp>[TREASURY.xlsx]Sheet1!R706C7</stp>
        <tr r="G706" s="1"/>
      </tp>
      <tp t="s">
        <v>USD</v>
        <stp/>
        <stp>##V3_BDPV12</stp>
        <stp>912827MG Govt</stp>
        <stp>CRNCY</stp>
        <stp>[TREASURY.xlsx]Sheet1!R896C7</stp>
        <tr r="G896" s="1"/>
      </tp>
      <tp t="s">
        <v>USD</v>
        <stp/>
        <stp>##V3_BDPV12</stp>
        <stp>912828MD Govt</stp>
        <stp>CRNCY</stp>
        <stp>[TREASURY.xlsx]Sheet1!R859C7</stp>
        <tr r="G859" s="1"/>
      </tp>
      <tp t="s">
        <v>USD</v>
        <stp/>
        <stp>##V3_BDPV12</stp>
        <stp>912828MB Govt</stp>
        <stp>CRNCY</stp>
        <stp>[TREASURY.xlsx]Sheet1!R819C7</stp>
        <tr r="G819" s="1"/>
      </tp>
      <tp t="s">
        <v>USD</v>
        <stp/>
        <stp>##V3_BDPV12</stp>
        <stp>912828MW Govt</stp>
        <stp>CRNCY</stp>
        <stp>[TREASURY.xlsx]Sheet1!R599C7</stp>
        <tr r="G599" s="1"/>
      </tp>
      <tp t="s">
        <v>USD</v>
        <stp/>
        <stp>##V3_BDPV12</stp>
        <stp>912827LF Govt</stp>
        <stp>CRNCY</stp>
        <stp>[TREASURY.xlsx]Sheet1!R656C7</stp>
        <tr r="G656" s="1"/>
      </tp>
      <tp t="s">
        <v>USD</v>
        <stp/>
        <stp>##V3_BDPV12</stp>
        <stp>912827LN Govt</stp>
        <stp>CRNCY</stp>
        <stp>[TREASURY.xlsx]Sheet1!R716C7</stp>
        <tr r="G716" s="1"/>
      </tp>
      <tp t="s">
        <v>USD</v>
        <stp/>
        <stp>##V3_BDPV12</stp>
        <stp>912828LW Govt</stp>
        <stp>CRNCY</stp>
        <stp>[TREASURY.xlsx]Sheet1!R629C7</stp>
        <tr r="G629" s="1"/>
      </tp>
      <tp t="s">
        <v>USD</v>
        <stp/>
        <stp>##V3_BDPV12</stp>
        <stp>912828L4 Govt</stp>
        <stp>CRNCY</stp>
        <stp>[TREASURY.xlsx]Sheet1!R669C7</stp>
        <tr r="G669" s="1"/>
      </tp>
      <tp t="s">
        <v>USD</v>
        <stp/>
        <stp>##V3_BDPV12</stp>
        <stp>912827L5 Govt</stp>
        <stp>CRNCY</stp>
        <stp>[TREASURY.xlsx]Sheet1!R886C7</stp>
        <tr r="G886" s="1"/>
      </tp>
      <tp t="s">
        <v>S/A</v>
        <stp/>
        <stp>##V3_BDPV12</stp>
        <stp>912827F5 Govt</stp>
        <stp>COUPON_FREQUENCY_DESCRIPTION</stp>
        <stp>[TREASURY.xlsx]Sheet1!R1560C10</stp>
        <tr r="J1560" s="1"/>
      </tp>
      <tp t="s">
        <v>S/A</v>
        <stp/>
        <stp>##V3_BDPV12</stp>
        <stp>912827F3 Govt</stp>
        <stp>COUPON_FREQUENCY_DESCRIPTION</stp>
        <stp>[TREASURY.xlsx]Sheet1!R1314C10</stp>
        <tr r="J1314" s="1"/>
      </tp>
      <tp t="s">
        <v>UNITED STATES</v>
        <stp/>
        <stp>##V3_BDPV12</stp>
        <stp>912828L8 Govt</stp>
        <stp>COUNTRY_FULL_NAME</stp>
        <stp>[TREASURY.xlsx]Sheet1!R1127C8</stp>
        <tr r="H1127" s="1"/>
      </tp>
      <tp t="s">
        <v>USD</v>
        <stp/>
        <stp>##V3_BDPV12</stp>
        <stp>912828NS Govt</stp>
        <stp>CRNCY</stp>
        <stp>[TREASURY.xlsx]Sheet1!R979C7</stp>
        <tr r="G979" s="1"/>
      </tp>
      <tp t="s">
        <v>S/A</v>
        <stp/>
        <stp>##V3_BDPV12</stp>
        <stp>912827F4 Govt</stp>
        <stp>COUPON_FREQUENCY_DESCRIPTION</stp>
        <stp>[TREASURY.xlsx]Sheet1!R1559C10</stp>
        <tr r="J1559" s="1"/>
      </tp>
      <tp t="s">
        <v>UNITED STATES</v>
        <stp/>
        <stp>##V3_BDPV12</stp>
        <stp>912827K9 Govt</stp>
        <stp>COUNTRY_FULL_NAME</stp>
        <stp>[TREASURY.xlsx]Sheet1!R1160C8</stp>
        <tr r="H1160" s="1"/>
      </tp>
      <tp t="s">
        <v>UNITED STATES</v>
        <stp/>
        <stp>##V3_BDPV12</stp>
        <stp>912827M9 Govt</stp>
        <stp>COUNTRY_FULL_NAME</stp>
        <stp>[TREASURY.xlsx]Sheet1!R1166C8</stp>
        <tr r="H1166" s="1"/>
      </tp>
      <tp t="s">
        <v>USD</v>
        <stp/>
        <stp>##V3_BDPV12</stp>
        <stp>912827N3 Govt</stp>
        <stp>CRNCY</stp>
        <stp>[TREASURY.xlsx]Sheet1!R726C7</stp>
        <tr r="G726" s="1"/>
      </tp>
      <tp t="s">
        <v>UNITED STATES</v>
        <stp/>
        <stp>##V3_BDPV12</stp>
        <stp>912828H9 Govt</stp>
        <stp>COUNTRY_FULL_NAME</stp>
        <stp>[TREASURY.xlsx]Sheet1!R1243C8</stp>
        <tr r="H1243" s="1"/>
      </tp>
      <tp t="s">
        <v>USD</v>
        <stp/>
        <stp>##V3_BDPV12</stp>
        <stp>912828N3 Govt</stp>
        <stp>CRNCY</stp>
        <stp>[TREASURY.xlsx]Sheet1!R129C7</stp>
        <tr r="G129" s="1"/>
      </tp>
      <tp t="s">
        <v>ACT/ACT</v>
        <stp/>
        <stp>##V3_BDPV12</stp>
        <stp>912828K7 Govt</stp>
        <stp>DAY_CNT_DES</stp>
        <stp>[TREASURY.xlsx]Sheet1!R81C17</stp>
        <tr r="Q81" s="1"/>
      </tp>
      <tp>
        <v>2.375</v>
        <stp/>
        <stp>##V3_BDPV12</stp>
        <stp>9128286T Govt</stp>
        <stp>CPN</stp>
        <stp>[TREASURY.xlsx]Sheet1!R48C3</stp>
        <tr r="C48" s="1"/>
      </tp>
      <tp>
        <v>4.5</v>
        <stp/>
        <stp>##V3_BDPV12</stp>
        <stp>912828EX Govt</stp>
        <stp>CPN</stp>
        <stp>[TREASURY.xlsx]Sheet1!R397C3</stp>
        <tr r="C397" s="1"/>
      </tp>
      <tp>
        <v>2.625</v>
        <stp/>
        <stp>##V3_BDPV12</stp>
        <stp>9128284Y Govt</stp>
        <stp>CPN</stp>
        <stp>[TREASURY.xlsx]Sheet1!R376C3</stp>
        <tr r="C376" s="1"/>
      </tp>
      <tp t="s">
        <v>#N/A N/A</v>
        <stp/>
        <stp>##V3_BDPV12</stp>
        <stp>912810DW Govt</stp>
        <stp>YLD_YTM_BID</stp>
        <stp>[TREASURY.xlsx]Sheet1!R609C4</stp>
        <tr r="D609" s="1"/>
      </tp>
      <tp>
        <v>0.5</v>
        <stp/>
        <stp>##V3_BDPV12</stp>
        <stp>912828ZV Govt</stp>
        <stp>CPN</stp>
        <stp>[TREASURY.xlsx]Sheet1!R159C3</stp>
        <tr r="C159" s="1"/>
      </tp>
      <tp>
        <v>1.5</v>
        <stp/>
        <stp>##V3_BDPV12</stp>
        <stp>912828YV Govt</stp>
        <stp>CPN</stp>
        <stp>[TREASURY.xlsx]Sheet1!R139C3</stp>
        <tr r="C139" s="1"/>
      </tp>
      <tp>
        <v>2.5</v>
        <stp/>
        <stp>##V3_BDPV12</stp>
        <stp>9128285V Govt</stp>
        <stp>CPN</stp>
        <stp>[TREASURY.xlsx]Sheet1!R179C3</stp>
        <tr r="C179" s="1"/>
      </tp>
      <tp>
        <v>7.125</v>
        <stp/>
        <stp>##V3_BDPV12</stp>
        <stp>912827VX Govt</stp>
        <stp>CPN</stp>
        <stp>[TREASURY.xlsx]Sheet1!R927C3</stp>
        <tr r="C927" s="1"/>
      </tp>
      <tp>
        <v>2</v>
        <stp/>
        <stp>##V3_BDPV12</stp>
        <stp>912828VZ Govt</stp>
        <stp>CPN</stp>
        <stp>[TREASURY.xlsx]Sheet1!R695C3</stp>
        <tr r="C695" s="1"/>
      </tp>
      <tp>
        <v>2.625</v>
        <stp/>
        <stp>##V3_BDPV12</stp>
        <stp>912828AZ Govt</stp>
        <stp>CPN</stp>
        <stp>[TREASURY.xlsx]Sheet1!R415C3</stp>
        <tr r="C415" s="1"/>
      </tp>
      <tp>
        <v>0.375</v>
        <stp/>
        <stp>##V3_BDPV12</stp>
        <stp>912828TX Govt</stp>
        <stp>CPN</stp>
        <stp>[TREASURY.xlsx]Sheet1!R467C3</stp>
        <tr r="C467" s="1"/>
      </tp>
      <tp>
        <v>0.625</v>
        <stp/>
        <stp>##V3_BDPV12</stp>
        <stp>912828UZ Govt</stp>
        <stp>CPN</stp>
        <stp>[TREASURY.xlsx]Sheet1!R445C3</stp>
        <tr r="C445" s="1"/>
      </tp>
      <tp>
        <v>2.25</v>
        <stp/>
        <stp>##V3_BDPV12</stp>
        <stp>912828BY Govt</stp>
        <stp>CPN</stp>
        <stp>[TREASURY.xlsx]Sheet1!R506C3</stp>
        <tr r="C506" s="1"/>
      </tp>
      <tp>
        <v>2.125</v>
        <stp/>
        <stp>##V3_BDPV12</stp>
        <stp>912828LZ Govt</stp>
        <stp>CPN</stp>
        <stp>[TREASURY.xlsx]Sheet1!R515C3</stp>
        <tr r="C515" s="1"/>
      </tp>
      <tp>
        <v>1.25</v>
        <stp/>
        <stp>##V3_BDPV12</stp>
        <stp>912828PZ Govt</stp>
        <stp>CPN</stp>
        <stp>[TREASURY.xlsx]Sheet1!R575C3</stp>
        <tr r="C575" s="1"/>
      </tp>
      <tp>
        <v>1.7891081592368838</v>
        <stp/>
        <stp>##V3_BDPV12</stp>
        <stp>912810PW Govt</stp>
        <stp>YLD_YTM_BID</stp>
        <stp>[TREASURY.xlsx]Sheet1!R289C4</stp>
        <tr r="D289" s="1"/>
      </tp>
      <tp>
        <v>0.25</v>
        <stp/>
        <stp>##V3_BDPV12</stp>
        <stp>912828TZ Govt</stp>
        <stp>CPN</stp>
        <stp>[TREASURY.xlsx]Sheet1!R875C3</stp>
        <tr r="C875" s="1"/>
      </tp>
      <tp>
        <v>7.625</v>
        <stp/>
        <stp>##V3_BDPV12</stp>
        <stp>912827VY Govt</stp>
        <stp>CPN</stp>
        <stp>[TREASURY.xlsx]Sheet1!R766C3</stp>
        <tr r="C766" s="1"/>
      </tp>
      <tp>
        <v>0.31323286585019161</v>
        <stp/>
        <stp>##V3_BDPV12</stp>
        <stp>91282CAW Govt</stp>
        <stp>YLD_YTM_BID</stp>
        <stp>[TREASURY.xlsx]Sheet1!R109C4</stp>
        <tr r="D109" s="1"/>
      </tp>
      <tp t="s">
        <v>#N/A N/A</v>
        <stp/>
        <stp>##V3_BDPV12</stp>
        <stp>912828KZ Govt</stp>
        <stp>YLD_YTM_BID</stp>
        <stp>[TREASURY.xlsx]Sheet1!R974C4</stp>
        <tr r="D974" s="1"/>
      </tp>
      <tp t="s">
        <v>#N/A N/A</v>
        <stp/>
        <stp>##V3_BDPV12</stp>
        <stp>9128273Y Govt</stp>
        <stp>YLD_YTM_BID</stp>
        <stp>[TREASURY.xlsx]Sheet1!R607C4</stp>
        <tr r="D607" s="1"/>
      </tp>
      <tp t="s">
        <v>#N/A N/A</v>
        <stp/>
        <stp>##V3_BDPV12</stp>
        <stp>912827PW Govt</stp>
        <stp>YLD_YTM_BID</stp>
        <stp>[TREASURY.xlsx]Sheet1!R739C4</stp>
        <tr r="D739" s="1"/>
      </tp>
      <tp t="s">
        <v>#N/A N/A</v>
        <stp/>
        <stp>##V3_BDPV12</stp>
        <stp>912828QY Govt</stp>
        <stp>YLD_YTM_BID</stp>
        <stp>[TREASURY.xlsx]Sheet1!R827C4</stp>
        <tr r="D827" s="1"/>
      </tp>
      <tp t="s">
        <v>#N/A N/A</v>
        <stp/>
        <stp>##V3_BDPV12</stp>
        <stp>912828BX Govt</stp>
        <stp>YLD_YTM_BID</stp>
        <stp>[TREASURY.xlsx]Sheet1!R556C4</stp>
        <tr r="D556" s="1"/>
      </tp>
      <tp t="s">
        <v>#N/A N/A</v>
        <stp/>
        <stp>##V3_BDPV12</stp>
        <stp>912828MW Govt</stp>
        <stp>YLD_YTM_BID</stp>
        <stp>[TREASURY.xlsx]Sheet1!R599C4</stp>
        <tr r="D599" s="1"/>
      </tp>
      <tp t="s">
        <v>#N/A N/A</v>
        <stp/>
        <stp>##V3_BDPV12</stp>
        <stp>912828CV Govt</stp>
        <stp>YLD_YTM_BID</stp>
        <stp>[TREASURY.xlsx]Sheet1!R508C4</stp>
        <tr r="D508" s="1"/>
      </tp>
      <tp t="s">
        <v>#N/A N/A</v>
        <stp/>
        <stp>##V3_BDPV12</stp>
        <stp>912828AY Govt</stp>
        <stp>YLD_YTM_BID</stp>
        <stp>[TREASURY.xlsx]Sheet1!R507C4</stp>
        <tr r="D507" s="1"/>
      </tp>
      <tp t="s">
        <v>#N/A N/A</v>
        <stp/>
        <stp>##V3_BDPV12</stp>
        <stp>912828CY Govt</stp>
        <stp>YLD_YTM_BID</stp>
        <stp>[TREASURY.xlsx]Sheet1!R477C4</stp>
        <tr r="D477" s="1"/>
      </tp>
      <tp t="s">
        <v>#N/A N/A</v>
        <stp/>
        <stp>##V3_BDPV12</stp>
        <stp>912828TV Govt</stp>
        <stp>YLD_YTM_BID</stp>
        <stp>[TREASURY.xlsx]Sheet1!R498C4</stp>
        <tr r="D498" s="1"/>
      </tp>
      <tp t="s">
        <v>#N/A N/A</v>
        <stp/>
        <stp>##V3_BDPV12</stp>
        <stp>912828LW Govt</stp>
        <stp>YLD_YTM_BID</stp>
        <stp>[TREASURY.xlsx]Sheet1!R629C4</stp>
        <tr r="D629" s="1"/>
      </tp>
      <tp t="s">
        <v>#N/A N/A</v>
        <stp/>
        <stp>##V3_BDPV12</stp>
        <stp>912827SV Govt</stp>
        <stp>YLD_YTM_BID</stp>
        <stp>[TREASURY.xlsx]Sheet1!R918C4</stp>
        <tr r="D918" s="1"/>
      </tp>
      <tp t="s">
        <v>#N/A N/A</v>
        <stp/>
        <stp>##V3_BDPV12</stp>
        <stp>912827ZX Govt</stp>
        <stp>YLD_YTM_BID</stp>
        <stp>[TREASURY.xlsx]Sheet1!R956C4</stp>
        <tr r="D956" s="1"/>
      </tp>
      <tp>
        <v>3</v>
        <stp/>
        <stp>##V3_BDPV12</stp>
        <stp>912810RX Govt</stp>
        <stp>CPN</stp>
        <stp>[TREASURY.xlsx]Sheet1!R197C3</stp>
        <tr r="C197" s="1"/>
      </tp>
      <tp>
        <v>7.7917699328323223E-2</v>
        <stp/>
        <stp>##V3_BDPV12</stp>
        <stp>912828WZ Govt</stp>
        <stp>YLD_YTM_BID</stp>
        <stp>[TREASURY.xlsx]Sheet1!R244C4</stp>
        <tr r="D244" s="1"/>
      </tp>
      <tp>
        <v>0.26936891769462246</v>
        <stp/>
        <stp>##V3_BDPV12</stp>
        <stp>9128284X Govt</stp>
        <stp>YLD_YTM_BID</stp>
        <stp>[TREASURY.xlsx]Sheet1!R256C4</stp>
        <tr r="D256" s="1"/>
      </tp>
      <tp t="s">
        <v>USD</v>
        <stp/>
        <stp>##V3_BDPV12</stp>
        <stp>9128283U Govt</stp>
        <stp>CRNCY</stp>
        <stp>[TREASURY.xlsx]Sheet1!R268C7</stp>
        <tr r="G268" s="1"/>
      </tp>
      <tp t="s">
        <v>USD</v>
        <stp/>
        <stp>##V3_BDPV12</stp>
        <stp>9128273Y Govt</stp>
        <stp>CRNCY</stp>
        <stp>[TREASURY.xlsx]Sheet1!R607C7</stp>
        <tr r="G607" s="1"/>
      </tp>
      <tp>
        <v>1</v>
        <stp/>
        <stp>##V3_BDPV12</stp>
        <stp>912828TN Govt</stp>
        <stp>CPN</stp>
        <stp>[TREASURY.xlsx]Sheet1!R1143C3</stp>
        <tr r="C1143" s="1"/>
      </tp>
      <tp>
        <v>0.375</v>
        <stp/>
        <stp>##V3_BDPV12</stp>
        <stp>912828VU Govt</stp>
        <stp>CPN</stp>
        <stp>[TREASURY.xlsx]Sheet1!R1003C3</stp>
        <tr r="C1003" s="1"/>
      </tp>
      <tp>
        <v>0.125</v>
        <stp/>
        <stp>##V3_BDPV12</stp>
        <stp>912828RW Govt</stp>
        <stp>CPN</stp>
        <stp>[TREASURY.xlsx]Sheet1!R1303C3</stp>
        <tr r="C1303" s="1"/>
      </tp>
      <tp>
        <v>0.625</v>
        <stp/>
        <stp>##V3_BDPV12</stp>
        <stp>912828SY Govt</stp>
        <stp>CPN</stp>
        <stp>[TREASURY.xlsx]Sheet1!R1133C3</stp>
        <tr r="C1133" s="1"/>
      </tp>
      <tp>
        <v>0.625</v>
        <stp/>
        <stp>##V3_BDPV12</stp>
        <stp>912828QK Govt</stp>
        <stp>CPN</stp>
        <stp>[TREASURY.xlsx]Sheet1!R1263C3</stp>
        <tr r="C1263" s="1"/>
      </tp>
      <tp>
        <v>3.875</v>
        <stp/>
        <stp>##V3_BDPV12</stp>
        <stp>912828EB Govt</stp>
        <stp>CPN</stp>
        <stp>[TREASURY.xlsx]Sheet1!R1113C3</stp>
        <tr r="C1113" s="1"/>
      </tp>
      <tp t="s">
        <v>#N/A N/A</v>
        <stp/>
        <stp>##V3_BDPV12</stp>
        <stp>912810DC Govt</stp>
        <stp>YLD_YTM_BID</stp>
        <stp>[TREASURY.xlsx]Sheet1!R1443C4</stp>
        <tr r="D1443" s="1"/>
      </tp>
      <tp>
        <v>3.875</v>
        <stp/>
        <stp>##V3_BDPV12</stp>
        <stp>912828DZ Govt</stp>
        <stp>CPN</stp>
        <stp>[TREASURY.xlsx]Sheet1!R1273C3</stp>
        <tr r="C1273" s="1"/>
      </tp>
      <tp t="s">
        <v>#N/A N/A</v>
        <stp/>
        <stp>##V3_BDPV12</stp>
        <stp>912810BG Govt</stp>
        <stp>YLD_YTM_BID</stp>
        <stp>[TREASURY.xlsx]Sheet1!R1513C4</stp>
        <tr r="D1513" s="1"/>
      </tp>
      <tp>
        <v>0.625</v>
        <stp/>
        <stp>##V3_BDPV12</stp>
        <stp>912828A5 Govt</stp>
        <stp>CPN</stp>
        <stp>[TREASURY.xlsx]Sheet1!R1233C3</stp>
        <tr r="C1233" s="1"/>
      </tp>
      <tp>
        <v>4.75</v>
        <stp/>
        <stp>##V3_BDPV12</stp>
        <stp>912828GB Govt</stp>
        <stp>CPN</stp>
        <stp>[TREASURY.xlsx]Sheet1!R1433C3</stp>
        <tr r="C1433" s="1"/>
      </tp>
      <tp t="s">
        <v>#N/A N/A</v>
        <stp/>
        <stp>##V3_BDPV12</stp>
        <stp>912810CQ Govt</stp>
        <stp>YLD_YTM_BID</stp>
        <stp>[TREASURY.xlsx]Sheet1!R1623C4</stp>
        <tr r="D1623" s="1"/>
      </tp>
      <tp>
        <v>0.625</v>
        <stp/>
        <stp>##V3_BDPV12</stp>
        <stp>912828NQ Govt</stp>
        <stp>CPN</stp>
        <stp>[TREASURY.xlsx]Sheet1!R1293C3</stp>
        <tr r="C1293" s="1"/>
      </tp>
      <tp>
        <v>1</v>
        <stp/>
        <stp>##V3_BDPV12</stp>
        <stp>912828ML Govt</stp>
        <stp>CPN</stp>
        <stp>[TREASURY.xlsx]Sheet1!R1253C3</stp>
        <tr r="C1253" s="1"/>
      </tp>
      <tp>
        <v>1</v>
        <stp/>
        <stp>##V3_BDPV12</stp>
        <stp>912828H9 Govt</stp>
        <stp>CPN</stp>
        <stp>[TREASURY.xlsx]Sheet1!R1243C3</stp>
        <tr r="C1243" s="1"/>
      </tp>
      <tp>
        <v>0.875</v>
        <stp/>
        <stp>##V3_BDPV12</stp>
        <stp>912828KH Govt</stp>
        <stp>CPN</stp>
        <stp>[TREASURY.xlsx]Sheet1!R1123C3</stp>
        <tr r="C1123" s="1"/>
      </tp>
      <tp>
        <v>4.125</v>
        <stp/>
        <stp>##V3_BDPV12</stp>
        <stp>912828HC Govt</stp>
        <stp>CPN</stp>
        <stp>[TREASURY.xlsx]Sheet1!R1283C3</stp>
        <tr r="C1283" s="1"/>
      </tp>
      <tp t="s">
        <v>S/A</v>
        <stp/>
        <stp>##V3_BDPV12</stp>
        <stp>912828GH Govt</stp>
        <stp>COUPON_FREQUENCY_DESCRIPTION</stp>
        <stp>[TREASURY.xlsx]Sheet1!R1435C10</stp>
        <tr r="J1435" s="1"/>
      </tp>
      <tp t="s">
        <v>UNITED STATES</v>
        <stp/>
        <stp>##V3_BDPV12</stp>
        <stp>912827MD Govt</stp>
        <stp>COUNTRY_FULL_NAME</stp>
        <stp>[TREASURY.xlsx]Sheet1!R1167C8</stp>
        <tr r="H1167" s="1"/>
      </tp>
      <tp t="s">
        <v>USD</v>
        <stp/>
        <stp>##V3_BDPV12</stp>
        <stp>9128282N Govt</stp>
        <stp>CRNCY</stp>
        <stp>[TREASURY.xlsx]Sheet1!R258C7</stp>
        <tr r="G258" s="1"/>
      </tp>
      <tp t="s">
        <v>USD</v>
        <stp/>
        <stp>##V3_BDPV12</stp>
        <stp>9128285G Govt</stp>
        <stp>CRNCY</stp>
        <stp>[TREASURY.xlsx]Sheet1!R368C7</stp>
        <tr r="G368" s="1"/>
      </tp>
      <tp t="s">
        <v>USD</v>
        <stp/>
        <stp>##V3_BDPV12</stp>
        <stp>9128285J Govt</stp>
        <stp>CRNCY</stp>
        <stp>[TREASURY.xlsx]Sheet1!R248C7</stp>
        <tr r="G248" s="1"/>
      </tp>
      <tp t="s">
        <v>S/A</v>
        <stp/>
        <stp>##V3_BDPV12</stp>
        <stp>912828GK Govt</stp>
        <stp>COUPON_FREQUENCY_DESCRIPTION</stp>
        <stp>[TREASURY.xlsx]Sheet1!R1119C10</stp>
        <tr r="J1119" s="1"/>
      </tp>
      <tp t="s">
        <v>USD</v>
        <stp/>
        <stp>##V3_BDPV12</stp>
        <stp>9128284A Govt</stp>
        <stp>CRNCY</stp>
        <stp>[TREASURY.xlsx]Sheet1!R288C7</stp>
        <tr r="G288" s="1"/>
      </tp>
      <tp t="s">
        <v>USD</v>
        <stp/>
        <stp>##V3_BDPV12</stp>
        <stp>9128284U Govt</stp>
        <stp>CRNCY</stp>
        <stp>[TREASURY.xlsx]Sheet1!R128C7</stp>
        <tr r="G128" s="1"/>
      </tp>
      <tp t="s">
        <v>#N/A N/A</v>
        <stp/>
        <stp>##V3_BDPV12</stp>
        <stp>912827V7 Govt</stp>
        <stp>YLD_YTM_BID</stp>
        <stp>[TREASURY.xlsx]Sheet1!R1410C4</stp>
        <tr r="D1410" s="1"/>
      </tp>
      <tp t="s">
        <v>#N/A N/A</v>
        <stp/>
        <stp>##V3_BDPV12</stp>
        <stp>912827R3 Govt</stp>
        <stp>YLD_YTM_BID</stp>
        <stp>[TREASURY.xlsx]Sheet1!R1060C4</stp>
        <tr r="D1060" s="1"/>
      </tp>
      <tp t="s">
        <v>#N/A N/A</v>
        <stp/>
        <stp>##V3_BDPV12</stp>
        <stp>912827SY Govt</stp>
        <stp>YLD_YTM_BID</stp>
        <stp>[TREASURY.xlsx]Sheet1!R1190C4</stp>
        <tr r="D1190" s="1"/>
      </tp>
      <tp t="s">
        <v>#N/A N/A</v>
        <stp/>
        <stp>##V3_BDPV12</stp>
        <stp>912827PK Govt</stp>
        <stp>YLD_YTM_BID</stp>
        <stp>[TREASURY.xlsx]Sheet1!R1340C4</stp>
        <tr r="D1340" s="1"/>
      </tp>
      <tp t="s">
        <v>#N/A N/A</v>
        <stp/>
        <stp>##V3_BDPV12</stp>
        <stp>912827WS Govt</stp>
        <stp>YLD_YTM_BID</stp>
        <stp>[TREASURY.xlsx]Sheet1!R1420C4</stp>
        <tr r="D1420" s="1"/>
      </tp>
      <tp t="s">
        <v>#N/A N/A</v>
        <stp/>
        <stp>##V3_BDPV12</stp>
        <stp>912827PS Govt</stp>
        <stp>YLD_YTM_BID</stp>
        <stp>[TREASURY.xlsx]Sheet1!R1390C4</stp>
        <tr r="D1390" s="1"/>
      </tp>
      <tp t="s">
        <v>#N/A N/A</v>
        <stp/>
        <stp>##V3_BDPV12</stp>
        <stp>912827TM Govt</stp>
        <stp>YLD_YTM_BID</stp>
        <stp>[TREASURY.xlsx]Sheet1!R1400C4</stp>
        <tr r="D1400" s="1"/>
      </tp>
      <tp t="s">
        <v>#N/A N/A</v>
        <stp/>
        <stp>##V3_BDPV12</stp>
        <stp>912827UY Govt</stp>
        <stp>YLD_YTM_BID</stp>
        <stp>[TREASURY.xlsx]Sheet1!R1590C4</stp>
        <tr r="D1590" s="1"/>
      </tp>
      <tp t="s">
        <v>#N/A N/A</v>
        <stp/>
        <stp>##V3_BDPV12</stp>
        <stp>912827QQ Govt</stp>
        <stp>YLD_YTM_BID</stp>
        <stp>[TREASURY.xlsx]Sheet1!R1180C4</stp>
        <tr r="D1180" s="1"/>
      </tp>
      <tp t="s">
        <v>#N/A N/A</v>
        <stp/>
        <stp>##V3_BDPV12</stp>
        <stp>912827TV Govt</stp>
        <stp>YLD_YTM_BID</stp>
        <stp>[TREASURY.xlsx]Sheet1!R1510C4</stp>
        <tr r="D1510" s="1"/>
      </tp>
      <tp t="s">
        <v>#N/A N/A</v>
        <stp/>
        <stp>##V3_BDPV12</stp>
        <stp>912827R6 Govt</stp>
        <stp>YLD_YTM_BID</stp>
        <stp>[TREASURY.xlsx]Sheet1!R1500C4</stp>
        <tr r="D1500" s="1"/>
      </tp>
      <tp t="s">
        <v>#N/A N/A</v>
        <stp/>
        <stp>##V3_BDPV12</stp>
        <stp>912827RM Govt</stp>
        <stp>YLD_YTM_BID</stp>
        <stp>[TREASURY.xlsx]Sheet1!R1580C4</stp>
        <tr r="D1580" s="1"/>
      </tp>
      <tp t="s">
        <v>#N/A N/A</v>
        <stp/>
        <stp>##V3_BDPV12</stp>
        <stp>912827WF Govt</stp>
        <stp>YLD_YTM_BID</stp>
        <stp>[TREASURY.xlsx]Sheet1!R1090C4</stp>
        <tr r="D1090" s="1"/>
      </tp>
      <tp t="s">
        <v>#N/A N/A</v>
        <stp/>
        <stp>##V3_BDPV12</stp>
        <stp>912827UK Govt</stp>
        <stp>YLD_YTM_BID</stp>
        <stp>[TREASURY.xlsx]Sheet1!R1200C4</stp>
        <tr r="D1200" s="1"/>
      </tp>
      <tp t="s">
        <v>#N/A N/A</v>
        <stp/>
        <stp>##V3_BDPV12</stp>
        <stp>912827T7 Govt</stp>
        <stp>YLD_YTM_BID</stp>
        <stp>[TREASURY.xlsx]Sheet1!R1070C4</stp>
        <tr r="D1070" s="1"/>
      </tp>
      <tp t="s">
        <v>#N/A N/A</v>
        <stp/>
        <stp>##V3_BDPV12</stp>
        <stp>912827PX Govt</stp>
        <stp>YLD_YTM_BID</stp>
        <stp>[TREASURY.xlsx]Sheet1!R1570C4</stp>
        <tr r="D1570" s="1"/>
      </tp>
      <tp t="s">
        <v>#N/A N/A</v>
        <stp/>
        <stp>##V3_BDPV12</stp>
        <stp>912827UR Govt</stp>
        <stp>YLD_YTM_BID</stp>
        <stp>[TREASURY.xlsx]Sheet1!R1080C4</stp>
        <tr r="D1080" s="1"/>
      </tp>
      <tp t="s">
        <v>#N/A N/A</v>
        <stp/>
        <stp>##V3_BDPV12</stp>
        <stp>912827WY Govt</stp>
        <stp>YLD_YTM_BID</stp>
        <stp>[TREASURY.xlsx]Sheet1!R1210C4</stp>
        <tr r="D1210" s="1"/>
      </tp>
      <tp t="s">
        <v>#N/A N/A</v>
        <stp/>
        <stp>##V3_BDPV12</stp>
        <stp>912827YC Govt</stp>
        <stp>YLD_YTM_BID</stp>
        <stp>[TREASURY.xlsx]Sheet1!R1220C4</stp>
        <tr r="D1220" s="1"/>
      </tp>
      <tp t="s">
        <v>#N/A N/A</v>
        <stp/>
        <stp>##V3_BDPV12</stp>
        <stp>912827YB Govt</stp>
        <stp>YLD_YTM_BID</stp>
        <stp>[TREASURY.xlsx]Sheet1!R1100C4</stp>
        <tr r="D1100" s="1"/>
      </tp>
      <tp t="s">
        <v>#N/A N/A</v>
        <stp/>
        <stp>##V3_BDPV12</stp>
        <stp>912827ZM Govt</stp>
        <stp>YLD_YTM_BID</stp>
        <stp>[TREASURY.xlsx]Sheet1!R1230C4</stp>
        <tr r="D1230" s="1"/>
      </tp>
      <tp t="s">
        <v>#N/A N/A</v>
        <stp/>
        <stp>##V3_BDPV12</stp>
        <stp>912827XY Govt</stp>
        <stp>YLD_YTM_BID</stp>
        <stp>[TREASURY.xlsx]Sheet1!R1600C4</stp>
        <tr r="D1600" s="1"/>
      </tp>
      <tp t="s">
        <v>#N/A N/A</v>
        <stp/>
        <stp>##V3_BDPV12</stp>
        <stp>912827ZD Govt</stp>
        <stp>YLD_YTM_BID</stp>
        <stp>[TREASURY.xlsx]Sheet1!R1610C4</stp>
        <tr r="D1610" s="1"/>
      </tp>
      <tp t="s">
        <v>#N/A N/A</v>
        <stp/>
        <stp>##V3_BDPV12</stp>
        <stp>912827F5 Govt</stp>
        <stp>YLD_YTM_BID</stp>
        <stp>[TREASURY.xlsx]Sheet1!R1560C4</stp>
        <tr r="D1560" s="1"/>
      </tp>
      <tp t="s">
        <v>#N/A N/A</v>
        <stp/>
        <stp>##V3_BDPV12</stp>
        <stp>912827A3 Govt</stp>
        <stp>YLD_YTM_BID</stp>
        <stp>[TREASURY.xlsx]Sheet1!R1030C4</stp>
        <tr r="D1030" s="1"/>
      </tp>
      <tp t="s">
        <v>#N/A N/A</v>
        <stp/>
        <stp>##V3_BDPV12</stp>
        <stp>912827B6 Govt</stp>
        <stp>YLD_YTM_BID</stp>
        <stp>[TREASURY.xlsx]Sheet1!R1550C4</stp>
        <tr r="D1550" s="1"/>
      </tp>
      <tp t="s">
        <v>#N/A N/A</v>
        <stp/>
        <stp>##V3_BDPV12</stp>
        <stp>912827C3 Govt</stp>
        <stp>YLD_YTM_BID</stp>
        <stp>[TREASURY.xlsx]Sheet1!R1480C4</stp>
        <tr r="D1480" s="1"/>
      </tp>
      <tp t="s">
        <v>#N/A N/A</v>
        <stp/>
        <stp>##V3_BDPV12</stp>
        <stp>912827K9 Govt</stp>
        <stp>YLD_YTM_BID</stp>
        <stp>[TREASURY.xlsx]Sheet1!R1160C4</stp>
        <tr r="D1160" s="1"/>
      </tp>
      <tp t="s">
        <v>#N/A N/A</v>
        <stp/>
        <stp>##V3_BDPV12</stp>
        <stp>912827NJ Govt</stp>
        <stp>YLD_YTM_BID</stp>
        <stp>[TREASURY.xlsx]Sheet1!R1050C4</stp>
        <tr r="D1050" s="1"/>
      </tp>
      <tp t="s">
        <v>#N/A N/A</v>
        <stp/>
        <stp>##V3_BDPV12</stp>
        <stp>912827K6 Govt</stp>
        <stp>YLD_YTM_BID</stp>
        <stp>[TREASURY.xlsx]Sheet1!R1490C4</stp>
        <tr r="D1490" s="1"/>
      </tp>
      <tp t="s">
        <v>#N/A N/A</v>
        <stp/>
        <stp>##V3_BDPV12</stp>
        <stp>912827LB Govt</stp>
        <stp>YLD_YTM_BID</stp>
        <stp>[TREASURY.xlsx]Sheet1!R1320C4</stp>
        <tr r="D1320" s="1"/>
      </tp>
      <tp t="s">
        <v>#N/A N/A</v>
        <stp/>
        <stp>##V3_BDPV12</stp>
        <stp>912827LW Govt</stp>
        <stp>YLD_YTM_BID</stp>
        <stp>[TREASURY.xlsx]Sheet1!R1380C4</stp>
        <tr r="D1380" s="1"/>
      </tp>
      <tp t="s">
        <v>#N/A N/A</v>
        <stp/>
        <stp>##V3_BDPV12</stp>
        <stp>912827NY Govt</stp>
        <stp>YLD_YTM_BID</stp>
        <stp>[TREASURY.xlsx]Sheet1!R1170C4</stp>
        <tr r="D1170" s="1"/>
      </tp>
      <tp t="s">
        <v>#N/A N/A</v>
        <stp/>
        <stp>##V3_BDPV12</stp>
        <stp>912827L4 Govt</stp>
        <stp>YLD_YTM_BID</stp>
        <stp>[TREASURY.xlsx]Sheet1!R1040C4</stp>
        <tr r="D1040" s="1"/>
      </tp>
      <tp t="s">
        <v>#N/A N/A</v>
        <stp/>
        <stp>##V3_BDPV12</stp>
        <stp>912827N9 Govt</stp>
        <stp>YLD_YTM_BID</stp>
        <stp>[TREASURY.xlsx]Sheet1!R1330C4</stp>
        <tr r="D1330" s="1"/>
      </tp>
      <tp t="s">
        <v>#N/A N/A</v>
        <stp/>
        <stp>##V3_BDPV12</stp>
        <stp>9128277D Govt</stp>
        <stp>YLD_YTM_BID</stp>
        <stp>[TREASURY.xlsx]Sheet1!R1470C4</stp>
        <tr r="D1470" s="1"/>
      </tp>
      <tp t="s">
        <v>#N/A N/A</v>
        <stp/>
        <stp>##V3_BDPV12</stp>
        <stp>9128273C Govt</stp>
        <stp>YLD_YTM_BID</stp>
        <stp>[TREASURY.xlsx]Sheet1!R1010C4</stp>
        <tr r="D1010" s="1"/>
      </tp>
      <tp t="s">
        <v>#N/A N/A</v>
        <stp/>
        <stp>##V3_BDPV12</stp>
        <stp>9128276S Govt</stp>
        <stp>YLD_YTM_BID</stp>
        <stp>[TREASURY.xlsx]Sheet1!R1540C4</stp>
        <tr r="D1540" s="1"/>
      </tp>
      <tp t="s">
        <v>#N/A N/A</v>
        <stp/>
        <stp>##V3_BDPV12</stp>
        <stp>9128274H Govt</stp>
        <stp>YLD_YTM_BID</stp>
        <stp>[TREASURY.xlsx]Sheet1!R1460C4</stp>
        <tr r="D1460" s="1"/>
      </tp>
      <tp t="s">
        <v>#N/A N/A</v>
        <stp/>
        <stp>##V3_BDPV12</stp>
        <stp>9128273V Govt</stp>
        <stp>YLD_YTM_BID</stp>
        <stp>[TREASURY.xlsx]Sheet1!R1360C4</stp>
        <tr r="D1360" s="1"/>
      </tp>
      <tp t="s">
        <v>#N/A N/A</v>
        <stp/>
        <stp>##V3_BDPV12</stp>
        <stp>9128272D Govt</stp>
        <stp>YLD_YTM_BID</stp>
        <stp>[TREASURY.xlsx]Sheet1!R1350C4</stp>
        <tr r="D1350" s="1"/>
      </tp>
      <tp t="s">
        <v>#N/A N/A</v>
        <stp/>
        <stp>##V3_BDPV12</stp>
        <stp>9128276A Govt</stp>
        <stp>YLD_YTM_BID</stp>
        <stp>[TREASURY.xlsx]Sheet1!R1020C4</stp>
        <tr r="D1020" s="1"/>
      </tp>
      <tp t="s">
        <v>#N/A N/A</v>
        <stp/>
        <stp>##V3_BDPV12</stp>
        <stp>9128275H Govt</stp>
        <stp>YLD_YTM_BID</stp>
        <stp>[TREASURY.xlsx]Sheet1!R1370C4</stp>
        <tr r="D1370" s="1"/>
      </tp>
      <tp t="s">
        <v>#N/A N/A</v>
        <stp/>
        <stp>##V3_BDPV12</stp>
        <stp>9128272H Govt</stp>
        <stp>YLD_YTM_BID</stp>
        <stp>[TREASURY.xlsx]Sheet1!R1450C4</stp>
        <tr r="D1450" s="1"/>
      </tp>
      <tp t="s">
        <v>#N/A N/A</v>
        <stp/>
        <stp>##V3_BDPV12</stp>
        <stp>9128273P Govt</stp>
        <stp>YLD_YTM_BID</stp>
        <stp>[TREASURY.xlsx]Sheet1!R1530C4</stp>
        <tr r="D1530" s="1"/>
      </tp>
      <tp t="s">
        <v>#N/A N/A</v>
        <stp/>
        <stp>##V3_BDPV12</stp>
        <stp>9128272S Govt</stp>
        <stp>YLD_YTM_BID</stp>
        <stp>[TREASURY.xlsx]Sheet1!R1520C4</stp>
        <tr r="D1520" s="1"/>
      </tp>
      <tp t="s">
        <v>USD</v>
        <stp/>
        <stp>##V3_BDPV12</stp>
        <stp>9128286D Govt</stp>
        <stp>CRNCY</stp>
        <stp>[TREASURY.xlsx]Sheet1!R348C7</stp>
        <tr r="G348" s="1"/>
      </tp>
      <tp t="s">
        <v>USD</v>
        <stp/>
        <stp>##V3_BDPV12</stp>
        <stp>9128286M Govt</stp>
        <stp>CRNCY</stp>
        <stp>[TREASURY.xlsx]Sheet1!R218C7</stp>
        <tr r="G218" s="1"/>
      </tp>
      <tp t="s">
        <v>USD</v>
        <stp/>
        <stp>##V3_BDPV12</stp>
        <stp>9128286H Govt</stp>
        <stp>CRNCY</stp>
        <stp>[TREASURY.xlsx]Sheet1!R228C7</stp>
        <tr r="G228" s="1"/>
      </tp>
      <tp t="s">
        <v>T 7 5/8 02/15/07</v>
        <stp/>
        <stp>##V3_BDPV12</stp>
        <stp>912810BX Govt</stp>
        <stp>SECURITY_NAME</stp>
        <stp>[TREASURY.xlsx]Sheet1!R1440C16</stp>
        <tr r="P1440" s="1"/>
      </tp>
      <tp t="s">
        <v>S/A</v>
        <stp/>
        <stp>##V3_BDPV12</stp>
        <stp>912828GB Govt</stp>
        <stp>COUPON_FREQUENCY_DESCRIPTION</stp>
        <stp>[TREASURY.xlsx]Sheet1!R1433C10</stp>
        <tr r="J1433" s="1"/>
      </tp>
      <tp t="s">
        <v>S/A</v>
        <stp/>
        <stp>##V3_BDPV12</stp>
        <stp>912828GE Govt</stp>
        <stp>COUPON_FREQUENCY_DESCRIPTION</stp>
        <stp>[TREASURY.xlsx]Sheet1!R1242C10</stp>
        <tr r="J1242" s="1"/>
      </tp>
      <tp t="s">
        <v>#N/A N/A</v>
        <stp/>
        <stp>##V3_BDPV12</stp>
        <stp>912828PR Govt</stp>
        <stp>YLD_YTM_BID</stp>
        <stp>[TREASURY.xlsx]Sheet1!R1260C4</stp>
        <tr r="D1260" s="1"/>
      </tp>
      <tp t="s">
        <v>#N/A N/A</v>
        <stp/>
        <stp>##V3_BDPV12</stp>
        <stp>912828RN Govt</stp>
        <stp>YLD_YTM_BID</stp>
        <stp>[TREASURY.xlsx]Sheet1!R1140C4</stp>
        <tr r="D1140" s="1"/>
      </tp>
      <tp t="s">
        <v>#N/A N/A</v>
        <stp/>
        <stp>##V3_BDPV12</stp>
        <stp>912828PT Govt</stp>
        <stp>YLD_YTM_BID</stp>
        <stp>[TREASURY.xlsx]Sheet1!R1300C4</stp>
        <tr r="D1300" s="1"/>
      </tp>
      <tp t="s">
        <v>#N/A N/A</v>
        <stp/>
        <stp>##V3_BDPV12</stp>
        <stp>912828QM Govt</stp>
        <stp>YLD_YTM_BID</stp>
        <stp>[TREASURY.xlsx]Sheet1!R1130C4</stp>
        <tr r="D1130" s="1"/>
      </tp>
      <tp t="s">
        <v>#N/A N/A</v>
        <stp/>
        <stp>##V3_BDPV12</stp>
        <stp>912828WL Govt</stp>
        <stp>YLD_YTM_BID</stp>
        <stp>[TREASURY.xlsx]Sheet1!R1150C4</stp>
        <tr r="D1150" s="1"/>
      </tp>
      <tp t="s">
        <v>#N/A N/A</v>
        <stp/>
        <stp>##V3_BDPV12</stp>
        <stp>912828UL Govt</stp>
        <stp>YLD_YTM_BID</stp>
        <stp>[TREASURY.xlsx]Sheet1!R1000C4</stp>
        <tr r="D1000" s="1"/>
      </tp>
      <tp t="s">
        <v>#N/A N/A</v>
        <stp/>
        <stp>##V3_BDPV12</stp>
        <stp>912828B7 Govt</stp>
        <stp>YLD_YTM_BID</stp>
        <stp>[TREASURY.xlsx]Sheet1!R1270C4</stp>
        <tr r="D1270" s="1"/>
      </tp>
      <tp>
        <v>7.625</v>
        <stp/>
        <stp>##V3_BDPV12</stp>
        <stp>912810BX Govt</stp>
        <stp>CPN</stp>
        <stp>[TREASURY.xlsx]Sheet1!R1440C3</stp>
        <tr r="C1440" s="1"/>
      </tp>
      <tp t="s">
        <v>#N/A N/A</v>
        <stp/>
        <stp>##V3_BDPV12</stp>
        <stp>912828DY Govt</stp>
        <stp>YLD_YTM_BID</stp>
        <stp>[TREASURY.xlsx]Sheet1!R1430C4</stp>
        <tr r="D1430" s="1"/>
      </tp>
      <tp>
        <v>13.875</v>
        <stp/>
        <stp>##V3_BDPV12</stp>
        <stp>912810CV Govt</stp>
        <stp>CPN</stp>
        <stp>[TREASURY.xlsx]Sheet1!R1310C3</stp>
        <tr r="C1310" s="1"/>
      </tp>
      <tp t="s">
        <v>#N/A N/A</v>
        <stp/>
        <stp>##V3_BDPV12</stp>
        <stp>912828GY Govt</stp>
        <stp>YLD_YTM_BID</stp>
        <stp>[TREASURY.xlsx]Sheet1!R1120C4</stp>
        <tr r="D1120" s="1"/>
      </tp>
      <tp t="s">
        <v>#N/A N/A</v>
        <stp/>
        <stp>##V3_BDPV12</stp>
        <stp>912828F5 Govt</stp>
        <stp>YLD_YTM_BID</stp>
        <stp>[TREASURY.xlsx]Sheet1!R1240C4</stp>
        <tr r="D1240" s="1"/>
      </tp>
      <tp>
        <v>12.5</v>
        <stp/>
        <stp>##V3_BDPV12</stp>
        <stp>912810DL Govt</stp>
        <stp>CPN</stp>
        <stp>[TREASURY.xlsx]Sheet1!R1620C3</stp>
        <tr r="C1620" s="1"/>
      </tp>
      <tp t="s">
        <v>#N/A N/A</v>
        <stp/>
        <stp>##V3_BDPV12</stp>
        <stp>912828G2 Govt</stp>
        <stp>YLD_YTM_BID</stp>
        <stp>[TREASURY.xlsx]Sheet1!R1280C4</stp>
        <tr r="D1280" s="1"/>
      </tp>
      <tp t="s">
        <v>#N/A N/A</v>
        <stp/>
        <stp>##V3_BDPV12</stp>
        <stp>912828DG Govt</stp>
        <stp>YLD_YTM_BID</stp>
        <stp>[TREASURY.xlsx]Sheet1!R1110C4</stp>
        <tr r="D1110" s="1"/>
      </tp>
      <tp t="s">
        <v>#N/A N/A</v>
        <stp/>
        <stp>##V3_BDPV12</stp>
        <stp>912828KN Govt</stp>
        <stp>YLD_YTM_BID</stp>
        <stp>[TREASURY.xlsx]Sheet1!R1250C4</stp>
        <tr r="D1250" s="1"/>
      </tp>
      <tp t="s">
        <v>#N/A N/A</v>
        <stp/>
        <stp>##V3_BDPV12</stp>
        <stp>912828LL Govt</stp>
        <stp>YLD_YTM_BID</stp>
        <stp>[TREASURY.xlsx]Sheet1!R1290C4</stp>
        <tr r="D1290" s="1"/>
      </tp>
      <tp t="s">
        <v>T 6 06/30/99</v>
        <stp/>
        <stp>##V3_BDPV12</stp>
        <stp>9128272X Govt</stp>
        <stp>SECURITY_NAME</stp>
        <stp>[TREASURY.xlsx]Sheet1!R1524C16</stp>
        <tr r="P1524" s="1"/>
      </tp>
      <tp t="s">
        <v>T 11 3/4 11/15/88</v>
        <stp/>
        <stp>##V3_BDPV12</stp>
        <stp>912827PX Govt</stp>
        <stp>SECURITY_NAME</stp>
        <stp>[TREASURY.xlsx]Sheet1!R1570C16</stp>
        <tr r="P1570" s="1"/>
      </tp>
      <tp t="s">
        <v>T 13 06/30/86</v>
        <stp/>
        <stp>##V3_BDPV12</stp>
        <stp>912827QX Govt</stp>
        <stp>SECURITY_NAME</stp>
        <stp>[TREASURY.xlsx]Sheet1!R1575C16</stp>
        <tr r="P1575" s="1"/>
      </tp>
      <tp t="s">
        <v>T 8 7/8 11/30/90</v>
        <stp/>
        <stp>##V3_BDPV12</stp>
        <stp>912827WX Govt</stp>
        <stp>SECURITY_NAME</stp>
        <stp>[TREASURY.xlsx]Sheet1!R1593C16</stp>
        <tr r="P1593" s="1"/>
      </tp>
      <tp t="s">
        <v>T 4 5/8 05/15/06</v>
        <stp/>
        <stp>##V3_BDPV12</stp>
        <stp>9128276X Govt</stp>
        <stp>SECURITY_NAME</stp>
        <stp>[TREASURY.xlsx]Sheet1!R1469C16</stp>
        <tr r="P1469" s="1"/>
      </tp>
      <tp t="s">
        <v>T 3 5/8 06/15/10</v>
        <stp/>
        <stp>##V3_BDPV12</stp>
        <stp>912828DX Govt</stp>
        <stp>SECURITY_NAME</stp>
        <stp>[TREASURY.xlsx]Sheet1!R1429C16</stp>
        <tr r="P1429" s="1"/>
      </tp>
      <tp t="s">
        <v>T 4 5/8 12/31/00</v>
        <stp/>
        <stp>##V3_BDPV12</stp>
        <stp>9128274X Govt</stp>
        <stp>SECURITY_NAME</stp>
        <stp>[TREASURY.xlsx]Sheet1!R1368C16</stp>
        <tr r="P1368" s="1"/>
      </tp>
      <tp t="s">
        <v>T 10 1/8 02/15/88</v>
        <stp/>
        <stp>##V3_BDPV12</stp>
        <stp>912827NX Govt</stp>
        <stp>SECURITY_NAME</stp>
        <stp>[TREASURY.xlsx]Sheet1!R1385C16</stp>
        <tr r="P1385" s="1"/>
      </tp>
      <tp t="s">
        <v>T 15 1/8 02/29/84</v>
        <stp/>
        <stp>##V3_BDPV12</stp>
        <stp>912827MX Govt</stp>
        <stp>SECURITY_NAME</stp>
        <stp>[TREASURY.xlsx]Sheet1!R1382C16</stp>
        <tr r="P1382" s="1"/>
      </tp>
      <tp t="s">
        <v>S/A</v>
        <stp/>
        <stp>##V3_BDPV12</stp>
        <stp>912828GF Govt</stp>
        <stp>COUPON_FREQUENCY_DESCRIPTION</stp>
        <stp>[TREASURY.xlsx]Sheet1!R1434C10</stp>
        <tr r="J1434" s="1"/>
      </tp>
      <tp>
        <v>6.25</v>
        <stp/>
        <stp>##V3_BDPV12</stp>
        <stp>912827Q9 Govt</stp>
        <stp>CPN</stp>
        <stp>[TREASURY.xlsx]Sheet1!R1573C3</stp>
        <tr r="C1573" s="1"/>
      </tp>
      <tp>
        <v>8.125</v>
        <stp/>
        <stp>##V3_BDPV12</stp>
        <stp>912827TJ Govt</stp>
        <stp>CPN</stp>
        <stp>[TREASURY.xlsx]Sheet1!R1073C3</stp>
        <tr r="C1073" s="1"/>
      </tp>
      <tp>
        <v>9.125</v>
        <stp/>
        <stp>##V3_BDPV12</stp>
        <stp>912827VJ Govt</stp>
        <stp>CPN</stp>
        <stp>[TREASURY.xlsx]Sheet1!R1203C3</stp>
        <tr r="C1203" s="1"/>
      </tp>
      <tp>
        <v>10.875</v>
        <stp/>
        <stp>##V3_BDPV12</stp>
        <stp>912827PY Govt</stp>
        <stp>CPN</stp>
        <stp>[TREASURY.xlsx]Sheet1!R1493C3</stp>
        <tr r="C1493" s="1"/>
      </tp>
      <tp>
        <v>6.875</v>
        <stp/>
        <stp>##V3_BDPV12</stp>
        <stp>912827TP Govt</stp>
        <stp>CPN</stp>
        <stp>[TREASURY.xlsx]Sheet1!R1193C3</stp>
        <tr r="C1193" s="1"/>
      </tp>
      <tp>
        <v>5.625</v>
        <stp/>
        <stp>##V3_BDPV12</stp>
        <stp>912827V5 Govt</stp>
        <stp>CPN</stp>
        <stp>[TREASURY.xlsx]Sheet1!R1083C3</stp>
        <tr r="C1083" s="1"/>
      </tp>
      <tp>
        <v>11</v>
        <stp/>
        <stp>##V3_BDPV12</stp>
        <stp>912827RL Govt</stp>
        <stp>CPN</stp>
        <stp>[TREASURY.xlsx]Sheet1!R1503C3</stp>
        <tr r="C1503" s="1"/>
      </tp>
      <tp>
        <v>11.375</v>
        <stp/>
        <stp>##V3_BDPV12</stp>
        <stp>912827RY Govt</stp>
        <stp>CPN</stp>
        <stp>[TREASURY.xlsx]Sheet1!R1583C3</stp>
        <tr r="C1583" s="1"/>
      </tp>
      <tp>
        <v>9</v>
        <stp/>
        <stp>##V3_BDPV12</stp>
        <stp>912827WQ Govt</stp>
        <stp>CPN</stp>
        <stp>[TREASURY.xlsx]Sheet1!R1093C3</stp>
        <tr r="C1093" s="1"/>
      </tp>
      <tp>
        <v>5.875</v>
        <stp/>
        <stp>##V3_BDPV12</stp>
        <stp>912827U4 Govt</stp>
        <stp>CPN</stp>
        <stp>[TREASURY.xlsx]Sheet1!R1403C3</stp>
        <tr r="C1403" s="1"/>
      </tp>
      <tp>
        <v>9.625</v>
        <stp/>
        <stp>##V3_BDPV12</stp>
        <stp>912827PG Govt</stp>
        <stp>CPN</stp>
        <stp>[TREASURY.xlsx]Sheet1!R1173C3</stp>
        <tr r="C1173" s="1"/>
      </tp>
      <tp>
        <v>6.875</v>
        <stp/>
        <stp>##V3_BDPV12</stp>
        <stp>912827Q6 Govt</stp>
        <stp>CPN</stp>
        <stp>[TREASURY.xlsx]Sheet1!R1343C3</stp>
        <tr r="C1343" s="1"/>
      </tp>
      <tp>
        <v>12.75</v>
        <stp/>
        <stp>##V3_BDPV12</stp>
        <stp>912827RE Govt</stp>
        <stp>CPN</stp>
        <stp>[TREASURY.xlsx]Sheet1!R1063C3</stp>
        <tr r="C1063" s="1"/>
      </tp>
      <tp>
        <v>11.75</v>
        <stp/>
        <stp>##V3_BDPV12</stp>
        <stp>912827SB Govt</stp>
        <stp>CPN</stp>
        <stp>[TREASURY.xlsx]Sheet1!R1183C3</stp>
        <tr r="C1183" s="1"/>
      </tp>
      <tp>
        <v>8.125</v>
        <stp/>
        <stp>##V3_BDPV12</stp>
        <stp>912827VW Govt</stp>
        <stp>CPN</stp>
        <stp>[TREASURY.xlsx]Sheet1!R1413C3</stp>
        <tr r="C1413" s="1"/>
      </tp>
      <tp>
        <v>8.875</v>
        <stp/>
        <stp>##V3_BDPV12</stp>
        <stp>912827WX Govt</stp>
        <stp>CPN</stp>
        <stp>[TREASURY.xlsx]Sheet1!R1593C3</stp>
        <tr r="C1593" s="1"/>
      </tp>
      <tp>
        <v>11.75</v>
        <stp/>
        <stp>##V3_BDPV12</stp>
        <stp>912827QS Govt</stp>
        <stp>CPN</stp>
        <stp>[TREASURY.xlsx]Sheet1!R1393C3</stp>
        <tr r="C1393" s="1"/>
      </tp>
      <tp>
        <v>9.125</v>
        <stp/>
        <stp>##V3_BDPV12</stp>
        <stp>912827WZ Govt</stp>
        <stp>CPN</stp>
        <stp>[TREASURY.xlsx]Sheet1!R1423C3</stp>
        <tr r="C1423" s="1"/>
      </tp>
      <tp>
        <v>6.75</v>
        <stp/>
        <stp>##V3_BDPV12</stp>
        <stp>912827ZY Govt</stp>
        <stp>CPN</stp>
        <stp>[TREASURY.xlsx]Sheet1!R1613C3</stp>
        <tr r="C1613" s="1"/>
      </tp>
      <tp>
        <v>7.75</v>
        <stp/>
        <stp>##V3_BDPV12</stp>
        <stp>912827YD Govt</stp>
        <stp>CPN</stp>
        <stp>[TREASURY.xlsx]Sheet1!R1603C3</stp>
        <tr r="C1603" s="1"/>
      </tp>
      <tp>
        <v>6.875</v>
        <stp/>
        <stp>##V3_BDPV12</stp>
        <stp>912827X8 Govt</stp>
        <stp>CPN</stp>
        <stp>[TREASURY.xlsx]Sheet1!R1213C3</stp>
        <tr r="C1213" s="1"/>
      </tp>
      <tp>
        <v>8.5</v>
        <stp/>
        <stp>##V3_BDPV12</stp>
        <stp>912827ZG Govt</stp>
        <stp>CPN</stp>
        <stp>[TREASURY.xlsx]Sheet1!R1103C3</stp>
        <tr r="C1103" s="1"/>
      </tp>
      <tp>
        <v>8.5</v>
        <stp/>
        <stp>##V3_BDPV12</stp>
        <stp>912827YQ Govt</stp>
        <stp>CPN</stp>
        <stp>[TREASURY.xlsx]Sheet1!R1223C3</stp>
        <tr r="C1223" s="1"/>
      </tp>
      <tp>
        <v>5.5</v>
        <stp/>
        <stp>##V3_BDPV12</stp>
        <stp>912827E2 Govt</stp>
        <stp>CPN</stp>
        <stp>[TREASURY.xlsx]Sheet1!R1153C3</stp>
        <tr r="C1153" s="1"/>
      </tp>
      <tp>
        <v>7.5</v>
        <stp/>
        <stp>##V3_BDPV12</stp>
        <stp>912827D2 Govt</stp>
        <stp>CPN</stp>
        <stp>[TREASURY.xlsx]Sheet1!R1033C3</stp>
        <tr r="C1033" s="1"/>
      </tp>
      <tp>
        <v>7</v>
        <stp/>
        <stp>##V3_BDPV12</stp>
        <stp>912827A5 Govt</stp>
        <stp>CPN</stp>
        <stp>[TREASURY.xlsx]Sheet1!R1473C3</stp>
        <tr r="C1473" s="1"/>
      </tp>
      <tp>
        <v>6.75</v>
        <stp/>
        <stp>##V3_BDPV12</stp>
        <stp>912827F6 Govt</stp>
        <stp>CPN</stp>
        <stp>[TREASURY.xlsx]Sheet1!R1373C3</stp>
        <tr r="C1373" s="1"/>
      </tp>
      <tp>
        <v>5.375</v>
        <stp/>
        <stp>##V3_BDPV12</stp>
        <stp>912827E4 Govt</stp>
        <stp>CPN</stp>
        <stp>[TREASURY.xlsx]Sheet1!R1313C3</stp>
        <tr r="C1313" s="1"/>
      </tp>
      <tp>
        <v>6.125</v>
        <stp/>
        <stp>##V3_BDPV12</stp>
        <stp>912827C4 Govt</stp>
        <stp>CPN</stp>
        <stp>[TREASURY.xlsx]Sheet1!R1553C3</stp>
        <tr r="C1553" s="1"/>
      </tp>
      <tp>
        <v>5.5</v>
        <stp/>
        <stp>##V3_BDPV12</stp>
        <stp>912827D3 Govt</stp>
        <stp>CPN</stp>
        <stp>[TREASURY.xlsx]Sheet1!R1483C3</stp>
        <tr r="C1483" s="1"/>
      </tp>
      <tp>
        <v>13.375</v>
        <stp/>
        <stp>##V3_BDPV12</stp>
        <stp>912827LS Govt</stp>
        <stp>CPN</stp>
        <stp>[TREASURY.xlsx]Sheet1!R1043C3</stp>
        <tr r="C1043" s="1"/>
      </tp>
      <tp>
        <v>5.375</v>
        <stp/>
        <stp>##V3_BDPV12</stp>
        <stp>912827L2 Govt</stp>
        <stp>CPN</stp>
        <stp>[TREASURY.xlsx]Sheet1!R1163C3</stp>
        <tr r="C1163" s="1"/>
      </tp>
      <tp>
        <v>14.375</v>
        <stp/>
        <stp>##V3_BDPV12</stp>
        <stp>912827NB Govt</stp>
        <stp>CPN</stp>
        <stp>[TREASURY.xlsx]Sheet1!R1383C3</stp>
        <tr r="C1383" s="1"/>
      </tp>
      <tp>
        <v>14.375</v>
        <stp/>
        <stp>##V3_BDPV12</stp>
        <stp>912827NH Govt</stp>
        <stp>CPN</stp>
        <stp>[TREASURY.xlsx]Sheet1!R1333C3</stp>
        <tr r="C1333" s="1"/>
      </tp>
      <tp>
        <v>4.25</v>
        <stp/>
        <stp>##V3_BDPV12</stp>
        <stp>912827K7 Govt</stp>
        <stp>CPN</stp>
        <stp>[TREASURY.xlsx]Sheet1!R1563C3</stp>
        <tr r="C1563" s="1"/>
      </tp>
      <tp>
        <v>9.875</v>
        <stp/>
        <stp>##V3_BDPV12</stp>
        <stp>912827NW Govt</stp>
        <stp>CPN</stp>
        <stp>[TREASURY.xlsx]Sheet1!R1053C3</stp>
        <tr r="C1053" s="1"/>
      </tp>
      <tp>
        <v>12.625</v>
        <stp/>
        <stp>##V3_BDPV12</stp>
        <stp>912827LR Govt</stp>
        <stp>CPN</stp>
        <stp>[TREASURY.xlsx]Sheet1!R1323C3</stp>
        <tr r="C1323" s="1"/>
      </tp>
      <tp>
        <v>4.875</v>
        <stp/>
        <stp>##V3_BDPV12</stp>
        <stp>9128275D Govt</stp>
        <stp>CPN</stp>
        <stp>[TREASURY.xlsx]Sheet1!R1013C3</stp>
        <tr r="C1013" s="1"/>
      </tp>
      <tp>
        <v>6.125</v>
        <stp/>
        <stp>##V3_BDPV12</stp>
        <stp>9128276K Govt</stp>
        <stp>CPN</stp>
        <stp>[TREASURY.xlsx]Sheet1!R1023C3</stp>
        <tr r="C1023" s="1"/>
      </tp>
      <tp>
        <v>6.375</v>
        <stp/>
        <stp>##V3_BDPV12</stp>
        <stp>9128272R Govt</stp>
        <stp>CPN</stp>
        <stp>[TREASURY.xlsx]Sheet1!R1453C3</stp>
        <tr r="C1453" s="1"/>
      </tp>
      <tp>
        <v>5.625</v>
        <stp/>
        <stp>##V3_BDPV12</stp>
        <stp>9128274E Govt</stp>
        <stp>CPN</stp>
        <stp>[TREASURY.xlsx]Sheet1!R1363C3</stp>
        <tr r="C1363" s="1"/>
      </tp>
      <tp>
        <v>6.5</v>
        <stp/>
        <stp>##V3_BDPV12</stp>
        <stp>9128272W Govt</stp>
        <stp>CPN</stp>
        <stp>[TREASURY.xlsx]Sheet1!R1523C3</stp>
        <tr r="C1523" s="1"/>
      </tp>
      <tp>
        <v>5.875</v>
        <stp/>
        <stp>##V3_BDPV12</stp>
        <stp>9128273B Govt</stp>
        <stp>CPN</stp>
        <stp>[TREASURY.xlsx]Sheet1!R1353C3</stp>
        <tr r="C1353" s="1"/>
      </tp>
      <tp>
        <v>4.75</v>
        <stp/>
        <stp>##V3_BDPV12</stp>
        <stp>9128275A Govt</stp>
        <stp>CPN</stp>
        <stp>[TREASURY.xlsx]Sheet1!R1463C3</stp>
        <tr r="C1463" s="1"/>
      </tp>
      <tp>
        <v>4.75</v>
        <stp/>
        <stp>##V3_BDPV12</stp>
        <stp>9128274V Govt</stp>
        <stp>CPN</stp>
        <stp>[TREASURY.xlsx]Sheet1!R1533C3</stp>
        <tr r="C1533" s="1"/>
      </tp>
      <tp>
        <v>3.875</v>
        <stp/>
        <stp>##V3_BDPV12</stp>
        <stp>9128277A Govt</stp>
        <stp>CPN</stp>
        <stp>[TREASURY.xlsx]Sheet1!R1543C3</stp>
        <tr r="C1543" s="1"/>
      </tp>
      <tp t="s">
        <v>T 4 5/8 11/15/09</v>
        <stp/>
        <stp>##V3_BDPV12</stp>
        <stp>912828FX Govt</stp>
        <stp>SECURITY_NAME</stp>
        <stp>[TREASURY.xlsx]Sheet1!R1278C16</stp>
        <tr r="P1278" s="1"/>
      </tp>
      <tp t="s">
        <v>T 2 1/4 02/15/21</v>
        <stp/>
        <stp>##V3_BDPV12</stp>
        <stp>9128283X Govt</stp>
        <stp>SECURITY_NAME</stp>
        <stp>[TREASURY.xlsx]Sheet1!R1269C16</stp>
        <tr r="P1269" s="1"/>
      </tp>
      <tp t="s">
        <v>UNITED STATES</v>
        <stp/>
        <stp>##V3_BDPV12</stp>
        <stp>912810CK Govt</stp>
        <stp>COUNTRY_FULL_NAME</stp>
        <stp>[TREASURY.xlsx]Sheet1!R1309C8</stp>
        <tr r="H1309" s="1"/>
      </tp>
      <tp t="s">
        <v>T 9 7/8 11/15/83</v>
        <stp/>
        <stp>##V3_BDPV12</stp>
        <stp>912827KX Govt</stp>
        <stp>SECURITY_NAME</stp>
        <stp>[TREASURY.xlsx]Sheet1!R1162C16</stp>
        <tr r="P1162" s="1"/>
      </tp>
      <tp t="s">
        <v>T 6 5/8 08/15/89</v>
        <stp/>
        <stp>##V3_BDPV12</stp>
        <stp>912827TX Govt</stp>
        <stp>SECURITY_NAME</stp>
        <stp>[TREASURY.xlsx]Sheet1!R1196C16</stp>
        <tr r="P1196" s="1"/>
      </tp>
      <tp t="s">
        <v>T 1 7/8 06/15/12</v>
        <stp/>
        <stp>##V3_BDPV12</stp>
        <stp>912828KX Govt</stp>
        <stp>SECURITY_NAME</stp>
        <stp>[TREASURY.xlsx]Sheet1!R1126C16</stp>
        <tr r="P1126" s="1"/>
      </tp>
      <tp t="s">
        <v>UNITED STATES</v>
        <stp/>
        <stp>##V3_BDPV12</stp>
        <stp>912827LH Govt</stp>
        <stp>COUNTRY_FULL_NAME</stp>
        <stp>[TREASURY.xlsx]Sheet1!R1566C8</stp>
        <tr r="H1566" s="1"/>
      </tp>
      <tp t="s">
        <v>T 8 05/31/89</v>
        <stp/>
        <stp>##V3_BDPV12</stp>
        <stp>912827UX Govt</stp>
        <stp>SECURITY_NAME</stp>
        <stp>[TREASURY.xlsx]Sheet1!R1081C16</stp>
        <tr r="P1081" s="1"/>
      </tp>
      <tp t="s">
        <v>S/A</v>
        <stp/>
        <stp>##V3_BDPV12</stp>
        <stp>912828GC Govt</stp>
        <stp>COUPON_FREQUENCY_DESCRIPTION</stp>
        <stp>[TREASURY.xlsx]Sheet1!R1282C10</stp>
        <tr r="J1282" s="1"/>
      </tp>
      <tp t="s">
        <v>UNITED STATES</v>
        <stp/>
        <stp>##V3_BDPV12</stp>
        <stp>912827MW Govt</stp>
        <stp>COUNTRY_FULL_NAME</stp>
        <stp>[TREASURY.xlsx]Sheet1!R1047C8</stp>
        <tr r="H1047" s="1"/>
      </tp>
      <tp t="s">
        <v>UNITED STATES</v>
        <stp/>
        <stp>##V3_BDPV12</stp>
        <stp>912828NW Govt</stp>
        <stp>COUNTRY_FULL_NAME</stp>
        <stp>[TREASURY.xlsx]Sheet1!R1294C8</stp>
        <tr r="H1294" s="1"/>
      </tp>
      <tp t="s">
        <v>UNITED STATES</v>
        <stp/>
        <stp>##V3_BDPV12</stp>
        <stp>912827NT Govt</stp>
        <stp>COUNTRY_FULL_NAME</stp>
        <stp>[TREASURY.xlsx]Sheet1!R1384C8</stp>
        <tr r="H1384" s="1"/>
      </tp>
      <tp t="s">
        <v>UNITED STATES</v>
        <stp/>
        <stp>##V3_BDPV12</stp>
        <stp>912827KR Govt</stp>
        <stp>COUNTRY_FULL_NAME</stp>
        <stp>[TREASURY.xlsx]Sheet1!R1161C8</stp>
        <tr r="H1161" s="1"/>
      </tp>
      <tp t="s">
        <v>UNITED STATES</v>
        <stp/>
        <stp>##V3_BDPV12</stp>
        <stp>912827MR Govt</stp>
        <stp>COUNTRY_FULL_NAME</stp>
        <stp>[TREASURY.xlsx]Sheet1!R1327C8</stp>
        <tr r="H1327" s="1"/>
      </tp>
      <tp t="s">
        <v>S/A</v>
        <stp/>
        <stp>##V3_BDPV12</stp>
        <stp>912828GZ Govt</stp>
        <stp>COUPON_FREQUENCY_DESCRIPTION</stp>
        <stp>[TREASURY.xlsx]Sheet1!R1121C10</stp>
        <tr r="J1121" s="1"/>
      </tp>
      <tp t="s">
        <v>UNITED STATES</v>
        <stp/>
        <stp>##V3_BDPV12</stp>
        <stp>912827NS Govt</stp>
        <stp>COUNTRY_FULL_NAME</stp>
        <stp>[TREASURY.xlsx]Sheet1!R1334C8</stp>
        <tr r="H1334" s="1"/>
      </tp>
      <tp t="s">
        <v>S/A</v>
        <stp/>
        <stp>##V3_BDPV12</stp>
        <stp>912828GY Govt</stp>
        <stp>COUPON_FREQUENCY_DESCRIPTION</stp>
        <stp>[TREASURY.xlsx]Sheet1!R1120C10</stp>
        <tr r="J1120" s="1"/>
      </tp>
      <tp t="s">
        <v>S/A</v>
        <stp/>
        <stp>##V3_BDPV12</stp>
        <stp>912828GW Govt</stp>
        <stp>COUPON_FREQUENCY_DESCRIPTION</stp>
        <stp>[TREASURY.xlsx]Sheet1!R1436C10</stp>
        <tr r="J1436" s="1"/>
      </tp>
      <tp t="s">
        <v>USD</v>
        <stp/>
        <stp>##V3_BDPV12</stp>
        <stp>912827QJ Govt</stp>
        <stp>CRNCY</stp>
        <stp>[TREASURY.xlsx]Sheet1!R907C7</stp>
        <tr r="G907" s="1"/>
      </tp>
      <tp t="s">
        <v>USD</v>
        <stp/>
        <stp>##V3_BDPV12</stp>
        <stp>912810QA Govt</stp>
        <stp>CRNCY</stp>
        <stp>[TREASURY.xlsx]Sheet1!R280C7</stp>
        <tr r="G280" s="1"/>
      </tp>
      <tp t="s">
        <v>USD</v>
        <stp/>
        <stp>##V3_BDPV12</stp>
        <stp>912828QB Govt</stp>
        <stp>CRNCY</stp>
        <stp>[TREASURY.xlsx]Sheet1!R988C7</stp>
        <tr r="G988" s="1"/>
      </tp>
      <tp t="s">
        <v>USD</v>
        <stp/>
        <stp>##V3_BDPV12</stp>
        <stp>912810QY Govt</stp>
        <stp>CRNCY</stp>
        <stp>[TREASURY.xlsx]Sheet1!R270C7</stp>
        <tr r="G270" s="1"/>
      </tp>
      <tp t="s">
        <v>USD</v>
        <stp/>
        <stp>##V3_BDPV12</stp>
        <stp>912810QZ Govt</stp>
        <stp>CRNCY</stp>
        <stp>[TREASURY.xlsx]Sheet1!R310C7</stp>
        <tr r="G310" s="1"/>
      </tp>
      <tp t="s">
        <v>USD</v>
        <stp/>
        <stp>##V3_BDPV12</stp>
        <stp>912828Q7 Govt</stp>
        <stp>CRNCY</stp>
        <stp>[TREASURY.xlsx]Sheet1!R378C7</stp>
        <tr r="G378" s="1"/>
      </tp>
      <tp t="s">
        <v>USD</v>
        <stp/>
        <stp>##V3_BDPV12</stp>
        <stp>912828PE Govt</stp>
        <stp>CRNCY</stp>
        <stp>[TREASURY.xlsx]Sheet1!R548C7</stp>
        <tr r="G548" s="1"/>
      </tp>
      <tp t="s">
        <v>USD</v>
        <stp/>
        <stp>##V3_BDPV12</stp>
        <stp>912827PF Govt</stp>
        <stp>CRNCY</stp>
        <stp>[TREASURY.xlsx]Sheet1!R737C7</stp>
        <tr r="G737" s="1"/>
      </tp>
      <tp t="s">
        <v>USD</v>
        <stp/>
        <stp>##V3_BDPV12</stp>
        <stp>912828SF Govt</stp>
        <stp>CRNCY</stp>
        <stp>[TREASURY.xlsx]Sheet1!R138C7</stp>
        <tr r="G138" s="1"/>
      </tp>
      <tp t="s">
        <v>USD</v>
        <stp/>
        <stp>##V3_BDPV12</stp>
        <stp>912827SC Govt</stp>
        <stp>CRNCY</stp>
        <stp>[TREASURY.xlsx]Sheet1!R747C7</stp>
        <tr r="G747" s="1"/>
      </tp>
      <tp t="s">
        <v>USD</v>
        <stp/>
        <stp>##V3_BDPV12</stp>
        <stp>912827SL Govt</stp>
        <stp>CRNCY</stp>
        <stp>[TREASURY.xlsx]Sheet1!R917C7</stp>
        <tr r="G917" s="1"/>
      </tp>
      <tp t="s">
        <v>USD</v>
        <stp/>
        <stp>##V3_BDPV12</stp>
        <stp>912828SE Govt</stp>
        <stp>CRNCY</stp>
        <stp>[TREASURY.xlsx]Sheet1!R618C7</stp>
        <tr r="G618" s="1"/>
      </tp>
      <tp t="s">
        <v>USD</v>
        <stp/>
        <stp>##V3_BDPV12</stp>
        <stp>912810SR Govt</stp>
        <stp>CRNCY</stp>
        <stp>[TREASURY.xlsx]Sheet1!R100C7</stp>
        <tr r="G100" s="1"/>
      </tp>
      <tp t="s">
        <v>USD</v>
        <stp/>
        <stp>##V3_BDPV12</stp>
        <stp>912828RF Govt</stp>
        <stp>CRNCY</stp>
        <stp>[TREASURY.xlsx]Sheet1!R828C7</stp>
        <tr r="G828" s="1"/>
      </tp>
      <tp t="s">
        <v>USD</v>
        <stp/>
        <stp>##V3_BDPV12</stp>
        <stp>912828RE Govt</stp>
        <stp>CRNCY</stp>
        <stp>[TREASURY.xlsx]Sheet1!R868C7</stp>
        <tr r="G868" s="1"/>
      </tp>
      <tp t="s">
        <v>USD</v>
        <stp/>
        <stp>##V3_BDPV12</stp>
        <stp>912810RJ Govt</stp>
        <stp>CRNCY</stp>
        <stp>[TREASURY.xlsx]Sheet1!R180C7</stp>
        <tr r="G180" s="1"/>
      </tp>
      <tp t="s">
        <v>USD</v>
        <stp/>
        <stp>##V3_BDPV12</stp>
        <stp>912828U9 Govt</stp>
        <stp>CRNCY</stp>
        <stp>[TREASURY.xlsx]Sheet1!R678C7</stp>
        <tr r="G678" s="1"/>
      </tp>
      <tp t="s">
        <v>USD</v>
        <stp/>
        <stp>##V3_BDPV12</stp>
        <stp>912828TV Govt</stp>
        <stp>CRNCY</stp>
        <stp>[TREASURY.xlsx]Sheet1!R498C7</stp>
        <tr r="G498" s="1"/>
      </tp>
      <tp t="s">
        <v>USD</v>
        <stp/>
        <stp>##V3_BDPV12</stp>
        <stp>912828TY Govt</stp>
        <stp>CRNCY</stp>
        <stp>[TREASURY.xlsx]Sheet1!R118C7</stp>
        <tr r="G118" s="1"/>
      </tp>
      <tp t="s">
        <v>USD</v>
        <stp/>
        <stp>##V3_BDPV12</stp>
        <stp>912828TP Govt</stp>
        <stp>CRNCY</stp>
        <stp>[TREASURY.xlsx]Sheet1!R998C7</stp>
        <tr r="G998" s="1"/>
      </tp>
      <tp t="s">
        <v>USD</v>
        <stp/>
        <stp>##V3_BDPV12</stp>
        <stp>912828WE Govt</stp>
        <stp>CRNCY</stp>
        <stp>[TREASURY.xlsx]Sheet1!R108C7</stp>
        <tr r="G108" s="1"/>
      </tp>
      <tp t="s">
        <v>USD</v>
        <stp/>
        <stp>##V3_BDPV12</stp>
        <stp>912828WN Govt</stp>
        <stp>CRNCY</stp>
        <stp>[TREASURY.xlsx]Sheet1!R338C7</stp>
        <tr r="G338" s="1"/>
      </tp>
      <tp t="s">
        <v>USD</v>
        <stp/>
        <stp>##V3_BDPV12</stp>
        <stp>912828WP Govt</stp>
        <stp>CRNCY</stp>
        <stp>[TREASURY.xlsx]Sheet1!R488C7</stp>
        <tr r="G488" s="1"/>
      </tp>
      <tp t="s">
        <v>USD</v>
        <stp/>
        <stp>##V3_BDPV12</stp>
        <stp>912827W2 Govt</stp>
        <stp>CRNCY</stp>
        <stp>[TREASURY.xlsx]Sheet1!R767C7</stp>
        <tr r="G767" s="1"/>
      </tp>
      <tp t="s">
        <v>USD</v>
        <stp/>
        <stp>##V3_BDPV12</stp>
        <stp>912828VA Govt</stp>
        <stp>CRNCY</stp>
        <stp>[TREASURY.xlsx]Sheet1!R638C7</stp>
        <tr r="G638" s="1"/>
      </tp>
      <tp t="s">
        <v>USD</v>
        <stp/>
        <stp>##V3_BDPV12</stp>
        <stp>912828VL Govt</stp>
        <stp>CRNCY</stp>
        <stp>[TREASURY.xlsx]Sheet1!R878C7</stp>
        <tr r="G878" s="1"/>
      </tp>
      <tp t="s">
        <v>USD</v>
        <stp/>
        <stp>##V3_BDPV12</stp>
        <stp>912828VB Govt</stp>
        <stp>CRNCY</stp>
        <stp>[TREASURY.xlsx]Sheet1!R168C7</stp>
        <tr r="G168" s="1"/>
      </tp>
      <tp t="s">
        <v>USD</v>
        <stp/>
        <stp>##V3_BDPV12</stp>
        <stp>912827VX Govt</stp>
        <stp>CRNCY</stp>
        <stp>[TREASURY.xlsx]Sheet1!R927C7</stp>
        <tr r="G927" s="1"/>
      </tp>
      <tp t="s">
        <v>USD</v>
        <stp/>
        <stp>##V3_BDPV12</stp>
        <stp>912827V4 Govt</stp>
        <stp>CRNCY</stp>
        <stp>[TREASURY.xlsx]Sheet1!R757C7</stp>
        <tr r="G757" s="1"/>
      </tp>
      <tp t="s">
        <v>USD</v>
        <stp/>
        <stp>##V3_BDPV12</stp>
        <stp>912828YD Govt</stp>
        <stp>CRNCY</stp>
        <stp>[TREASURY.xlsx]Sheet1!R178C7</stp>
        <tr r="G178" s="1"/>
      </tp>
      <tp t="s">
        <v>USD</v>
        <stp/>
        <stp>##V3_BDPV12</stp>
        <stp>912828YT Govt</stp>
        <stp>CRNCY</stp>
        <stp>[TREASURY.xlsx]Sheet1!R198C7</stp>
        <tr r="G198" s="1"/>
      </tp>
      <tp t="s">
        <v>USD</v>
        <stp/>
        <stp>##V3_BDPV12</stp>
        <stp>912827YV Govt</stp>
        <stp>CRNCY</stp>
        <stp>[TREASURY.xlsx]Sheet1!R947C7</stp>
        <tr r="G947" s="1"/>
      </tp>
      <tp t="s">
        <v>USD</v>
        <stp/>
        <stp>##V3_BDPV12</stp>
        <stp>912828YY Govt</stp>
        <stp>CRNCY</stp>
        <stp>[TREASURY.xlsx]Sheet1!R158C7</stp>
        <tr r="G158" s="1"/>
      </tp>
      <tp t="s">
        <v>USD</v>
        <stp/>
        <stp>##V3_BDPV12</stp>
        <stp>912828Y8 Govt</stp>
        <stp>CRNCY</stp>
        <stp>[TREASURY.xlsx]Sheet1!R208C7</stp>
        <tr r="G208" s="1"/>
      </tp>
      <tp t="s">
        <v>USD</v>
        <stp/>
        <stp>##V3_BDPV12</stp>
        <stp>912828XE Govt</stp>
        <stp>CRNCY</stp>
        <stp>[TREASURY.xlsx]Sheet1!R448C7</stp>
        <tr r="G448" s="1"/>
      </tp>
      <tp t="s">
        <v>USD</v>
        <stp/>
        <stp>##V3_BDPV12</stp>
        <stp>912828XH Govt</stp>
        <stp>CRNCY</stp>
        <stp>[TREASURY.xlsx]Sheet1!R468C7</stp>
        <tr r="G468" s="1"/>
      </tp>
      <tp t="s">
        <v>USD</v>
        <stp/>
        <stp>##V3_BDPV12</stp>
        <stp>912828XP Govt</stp>
        <stp>CRNCY</stp>
        <stp>[TREASURY.xlsx]Sheet1!R588C7</stp>
        <tr r="G588" s="1"/>
      </tp>
      <tp t="s">
        <v>USD</v>
        <stp/>
        <stp>##V3_BDPV12</stp>
        <stp>912827XP Govt</stp>
        <stp>CRNCY</stp>
        <stp>[TREASURY.xlsx]Sheet1!R937C7</stp>
        <tr r="G937" s="1"/>
      </tp>
      <tp t="s">
        <v>USD</v>
        <stp/>
        <stp>##V3_BDPV12</stp>
        <stp>912828ZB Govt</stp>
        <stp>CRNCY</stp>
        <stp>[TREASURY.xlsx]Sheet1!R148C7</stp>
        <tr r="G148" s="1"/>
      </tp>
      <tp t="s">
        <v>USD</v>
        <stp/>
        <stp>##V3_BDPV12</stp>
        <stp>912827Z7 Govt</stp>
        <stp>CRNCY</stp>
        <stp>[TREASURY.xlsx]Sheet1!R777C7</stp>
        <tr r="G777" s="1"/>
      </tp>
      <tp t="s">
        <v>USD</v>
        <stp/>
        <stp>##V3_BDPV12</stp>
        <stp>912828AB Govt</stp>
        <stp>CRNCY</stp>
        <stp>[TREASURY.xlsx]Sheet1!R958C7</stp>
        <tr r="G958" s="1"/>
      </tp>
      <tp t="s">
        <v>USD</v>
        <stp/>
        <stp>##V3_BDPV12</stp>
        <stp>912828AR Govt</stp>
        <stp>CRNCY</stp>
        <stp>[TREASURY.xlsx]Sheet1!R658C7</stp>
        <tr r="G658" s="1"/>
      </tp>
      <tp t="s">
        <v>USD</v>
        <stp/>
        <stp>##V3_BDPV12</stp>
        <stp>912810CS Govt</stp>
        <stp>CRNCY</stp>
        <stp>[TREASURY.xlsx]Sheet1!R660C7</stp>
        <tr r="G660" s="1"/>
      </tp>
      <tp t="s">
        <v>USD</v>
        <stp/>
        <stp>##V3_BDPV12</stp>
        <stp>912828CV Govt</stp>
        <stp>CRNCY</stp>
        <stp>[TREASURY.xlsx]Sheet1!R508C7</stp>
        <tr r="G508" s="1"/>
      </tp>
      <tp t="s">
        <v>USD</v>
        <stp/>
        <stp>##V3_BDPV12</stp>
        <stp>912828C2 Govt</stp>
        <stp>CRNCY</stp>
        <stp>[TREASURY.xlsx]Sheet1!R688C7</stp>
        <tr r="G688" s="1"/>
      </tp>
      <tp t="s">
        <v>USD</v>
        <stp/>
        <stp>##V3_BDPV12</stp>
        <stp>912828C8 Govt</stp>
        <stp>CRNCY</stp>
        <stp>[TREASURY.xlsx]Sheet1!R788C7</stp>
        <tr r="G788" s="1"/>
      </tp>
      <tp t="s">
        <v>USD</v>
        <stp/>
        <stp>##V3_BDPV12</stp>
        <stp>912828C3 Govt</stp>
        <stp>CRNCY</stp>
        <stp>[TREASURY.xlsx]Sheet1!R838C7</stp>
        <tr r="G838" s="1"/>
      </tp>
      <tp t="s">
        <v>USD</v>
        <stp/>
        <stp>##V3_BDPV12</stp>
        <stp>912828BA Govt</stp>
        <stp>CRNCY</stp>
        <stp>[TREASURY.xlsx]Sheet1!R408C7</stp>
        <tr r="G408" s="1"/>
      </tp>
      <tp t="s">
        <v>USD</v>
        <stp/>
        <stp>##V3_BDPV12</stp>
        <stp>912828BP Govt</stp>
        <stp>CRNCY</stp>
        <stp>[TREASURY.xlsx]Sheet1!R648C7</stp>
        <tr r="G648" s="1"/>
      </tp>
      <tp t="s">
        <v>USD</v>
        <stp/>
        <stp>##V3_BDPV12</stp>
        <stp>912828BS Govt</stp>
        <stp>CRNCY</stp>
        <stp>[TREASURY.xlsx]Sheet1!R628C7</stp>
        <tr r="G628" s="1"/>
      </tp>
      <tp t="s">
        <v>S/A</v>
        <stp/>
        <stp>##V3_BDPV12</stp>
        <stp>912827G9 Govt</stp>
        <stp>COUPON_FREQUENCY_DESCRIPTION</stp>
        <stp>[TREASURY.xlsx]Sheet1!R1486C10</stp>
        <tr r="J1486" s="1"/>
      </tp>
      <tp t="s">
        <v>USD</v>
        <stp/>
        <stp>##V3_BDPV12</stp>
        <stp>912828B4 Govt</stp>
        <stp>CRNCY</stp>
        <stp>[TREASURY.xlsx]Sheet1!R458C7</stp>
        <tr r="G458" s="1"/>
      </tp>
      <tp t="s">
        <v>USD</v>
        <stp/>
        <stp>##V3_BDPV12</stp>
        <stp>912810EH Govt</stp>
        <stp>CRNCY</stp>
        <stp>[TREASURY.xlsx]Sheet1!R400C7</stp>
        <tr r="G400" s="1"/>
      </tp>
      <tp t="s">
        <v>UNITED STATES</v>
        <stp/>
        <stp>##V3_BDPV12</stp>
        <stp>912827C2 Govt</stp>
        <stp>COUNTRY_FULL_NAME</stp>
        <stp>[TREASURY.xlsx]Sheet1!R1479C8</stp>
        <tr r="H1479" s="1"/>
      </tp>
      <tp t="s">
        <v>S/A</v>
        <stp/>
        <stp>##V3_BDPV12</stp>
        <stp>912827G8 Govt</stp>
        <stp>COUPON_FREQUENCY_DESCRIPTION</stp>
        <stp>[TREASURY.xlsx]Sheet1!R1374C10</stp>
        <tr r="J1374" s="1"/>
      </tp>
      <tp t="s">
        <v>UNITED STATES</v>
        <stp/>
        <stp>##V3_BDPV12</stp>
        <stp>912828B3 Govt</stp>
        <stp>COUNTRY_FULL_NAME</stp>
        <stp>[TREASURY.xlsx]Sheet1!R1108C8</stp>
        <tr r="H1108" s="1"/>
      </tp>
      <tp t="s">
        <v>USD</v>
        <stp/>
        <stp>##V3_BDPV12</stp>
        <stp>912828GU Govt</stp>
        <stp>CRNCY</stp>
        <stp>[TREASURY.xlsx]Sheet1!R848C7</stp>
        <tr r="G848" s="1"/>
      </tp>
      <tp t="s">
        <v>USD</v>
        <stp/>
        <stp>##V3_BDPV12</stp>
        <stp>912828FC Govt</stp>
        <stp>CRNCY</stp>
        <stp>[TREASURY.xlsx]Sheet1!R798C7</stp>
        <tr r="G798" s="1"/>
      </tp>
      <tp t="s">
        <v>USD</v>
        <stp/>
        <stp>##V3_BDPV12</stp>
        <stp>912810FB Govt</stp>
        <stp>CRNCY</stp>
        <stp>[TREASURY.xlsx]Sheet1!R320C7</stp>
        <tr r="G320" s="1"/>
      </tp>
      <tp t="s">
        <v>T</v>
        <stp/>
        <stp>##V3_BDPV12</stp>
        <stp>91282CBL Govt</stp>
        <stp>TICKER</stp>
        <stp>[TREASURY.xlsx]Sheet1!R14C2</stp>
        <tr r="B14" s="1"/>
      </tp>
      <tp t="s">
        <v>S/A</v>
        <stp/>
        <stp>##V3_BDPV12</stp>
        <stp>912828G4 Govt</stp>
        <stp>COUPON_FREQUENCY_DESCRIPTION</stp>
        <stp>[TREASURY.xlsx]Sheet1!R1281C10</stp>
        <tr r="J1281" s="1"/>
      </tp>
      <tp t="s">
        <v>S/A</v>
        <stp/>
        <stp>##V3_BDPV12</stp>
        <stp>912827G6 Govt</stp>
        <stp>COUPON_FREQUENCY_DESCRIPTION</stp>
        <stp>[TREASURY.xlsx]Sheet1!R1036C10</stp>
        <tr r="J1036" s="1"/>
      </tp>
      <tp t="s">
        <v>USD</v>
        <stp/>
        <stp>##V3_BDPV12</stp>
        <stp>912828HU Govt</stp>
        <stp>CRNCY</stp>
        <stp>[TREASURY.xlsx]Sheet1!R808C7</stp>
        <tr r="G808" s="1"/>
      </tp>
      <tp t="s">
        <v>T</v>
        <stp/>
        <stp>##V3_BDPV12</stp>
        <stp>91282CCN Govt</stp>
        <stp>TICKER</stp>
        <stp>[TREASURY.xlsx]Sheet1!R24C2</stp>
        <tr r="B24" s="1"/>
      </tp>
      <tp t="s">
        <v>T</v>
        <stp/>
        <stp>##V3_BDPV12</stp>
        <stp>91282CCF Govt</stp>
        <stp>TICKER</stp>
        <stp>[TREASURY.xlsx]Sheet1!R34C2</stp>
        <tr r="B34" s="1"/>
      </tp>
      <tp t="s">
        <v>S/A</v>
        <stp/>
        <stp>##V3_BDPV12</stp>
        <stp>912827G7 Govt</stp>
        <stp>COUPON_FREQUENCY_DESCRIPTION</stp>
        <stp>[TREASURY.xlsx]Sheet1!R1037C10</stp>
        <tr r="J1037" s="1"/>
      </tp>
      <tp t="s">
        <v>USD</v>
        <stp/>
        <stp>##V3_BDPV12</stp>
        <stp>912828H3 Govt</stp>
        <stp>CRNCY</stp>
        <stp>[TREASURY.xlsx]Sheet1!R968C7</stp>
        <tr r="G968" s="1"/>
      </tp>
      <tp t="s">
        <v>USD</v>
        <stp/>
        <stp>##V3_BDPV12</stp>
        <stp>912828KB Govt</stp>
        <stp>CRNCY</stp>
        <stp>[TREASURY.xlsx]Sheet1!R398C7</stp>
        <tr r="G398" s="1"/>
      </tp>
      <tp t="s">
        <v>USD</v>
        <stp/>
        <stp>##V3_BDPV12</stp>
        <stp>912828KS Govt</stp>
        <stp>CRNCY</stp>
        <stp>[TREASURY.xlsx]Sheet1!R418C7</stp>
        <tr r="G418" s="1"/>
      </tp>
      <tp t="s">
        <v>S/A</v>
        <stp/>
        <stp>##V3_BDPV12</stp>
        <stp>912827G5 Govt</stp>
        <stp>COUPON_FREQUENCY_DESCRIPTION</stp>
        <stp>[TREASURY.xlsx]Sheet1!R1156C10</stp>
        <tr r="J1156" s="1"/>
      </tp>
      <tp t="s">
        <v>S/A</v>
        <stp/>
        <stp>##V3_BDPV12</stp>
        <stp>912827G4 Govt</stp>
        <stp>COUPON_FREQUENCY_DESCRIPTION</stp>
        <stp>[TREASURY.xlsx]Sheet1!R1035C10</stp>
        <tr r="J1035" s="1"/>
      </tp>
      <tp t="s">
        <v>USD</v>
        <stp/>
        <stp>##V3_BDPV12</stp>
        <stp>912828K5 Govt</stp>
        <stp>CRNCY</stp>
        <stp>[TREASURY.xlsx]Sheet1!R518C7</stp>
        <tr r="G518" s="1"/>
      </tp>
      <tp t="s">
        <v>USD</v>
        <stp/>
        <stp>##V3_BDPV12</stp>
        <stp>912828JB Govt</stp>
        <stp>CRNCY</stp>
        <stp>[TREASURY.xlsx]Sheet1!R598C7</stp>
        <tr r="G598" s="1"/>
      </tp>
      <tp t="s">
        <v>USD</v>
        <stp/>
        <stp>##V3_BDPV12</stp>
        <stp>912828JZ Govt</stp>
        <stp>CRNCY</stp>
        <stp>[TREASURY.xlsx]Sheet1!R478C7</stp>
        <tr r="G478" s="1"/>
      </tp>
      <tp t="s">
        <v>T</v>
        <stp/>
        <stp>##V3_BDPV12</stp>
        <stp>91282CAR Govt</stp>
        <stp>TICKER</stp>
        <stp>[TREASURY.xlsx]Sheet1!R64C2</stp>
        <tr r="B64" s="1"/>
      </tp>
      <tp t="s">
        <v>USD</v>
        <stp/>
        <stp>##V3_BDPV12</stp>
        <stp>912828J4 Govt</stp>
        <stp>CRNCY</stp>
        <stp>[TREASURY.xlsx]Sheet1!R308C7</stp>
        <tr r="G308" s="1"/>
      </tp>
      <tp t="s">
        <v>USD</v>
        <stp/>
        <stp>##V3_BDPV12</stp>
        <stp>912827J3 Govt</stp>
        <stp>CRNCY</stp>
        <stp>[TREASURY.xlsx]Sheet1!R707C7</stp>
        <tr r="G707" s="1"/>
      </tp>
      <tp t="s">
        <v>USD</v>
        <stp/>
        <stp>##V3_BDPV12</stp>
        <stp>912827MJ Govt</stp>
        <stp>CRNCY</stp>
        <stp>[TREASURY.xlsx]Sheet1!R897C7</stp>
        <tr r="G897" s="1"/>
      </tp>
      <tp t="s">
        <v>USD</v>
        <stp/>
        <stp>##V3_BDPV12</stp>
        <stp>912828MK Govt</stp>
        <stp>CRNCY</stp>
        <stp>[TREASURY.xlsx]Sheet1!R538C7</stp>
        <tr r="G538" s="1"/>
      </tp>
      <tp t="s">
        <v>S/A</v>
        <stp/>
        <stp>##V3_BDPV12</stp>
        <stp>912827G2 Govt</stp>
        <stp>COUPON_FREQUENCY_DESCRIPTION</stp>
        <stp>[TREASURY.xlsx]Sheet1!R1034C10</stp>
        <tr r="J1034" s="1"/>
      </tp>
      <tp t="s">
        <v>USD</v>
        <stp/>
        <stp>##V3_BDPV12</stp>
        <stp>912828LB Govt</stp>
        <stp>CRNCY</stp>
        <stp>[TREASURY.xlsx]Sheet1!R558C7</stp>
        <tr r="G558" s="1"/>
      </tp>
      <tp t="s">
        <v>USD</v>
        <stp/>
        <stp>##V3_BDPV12</stp>
        <stp>912827LA Govt</stp>
        <stp>CRNCY</stp>
        <stp>[TREASURY.xlsx]Sheet1!R887C7</stp>
        <tr r="G887" s="1"/>
      </tp>
      <tp t="s">
        <v>USD</v>
        <stp/>
        <stp>##V3_BDPV12</stp>
        <stp>912827LV Govt</stp>
        <stp>CRNCY</stp>
        <stp>[TREASURY.xlsx]Sheet1!R717C7</stp>
        <tr r="G717" s="1"/>
      </tp>
      <tp t="s">
        <v>USD</v>
        <stp/>
        <stp>##V3_BDPV12</stp>
        <stp>912828LU Govt</stp>
        <stp>CRNCY</stp>
        <stp>[TREASURY.xlsx]Sheet1!R818C7</stp>
        <tr r="G818" s="1"/>
      </tp>
      <tp t="s">
        <v>USD</v>
        <stp/>
        <stp>##V3_BDPV12</stp>
        <stp>912828LS Govt</stp>
        <stp>CRNCY</stp>
        <stp>[TREASURY.xlsx]Sheet1!R858C7</stp>
        <tr r="G858" s="1"/>
      </tp>
      <tp t="s">
        <v>USD</v>
        <stp/>
        <stp>##V3_BDPV12</stp>
        <stp>912828L9 Govt</stp>
        <stp>CRNCY</stp>
        <stp>[TREASURY.xlsx]Sheet1!R358C7</stp>
        <tr r="G358" s="1"/>
      </tp>
      <tp t="s">
        <v>S/A</v>
        <stp/>
        <stp>##V3_BDPV12</stp>
        <stp>912828G2 Govt</stp>
        <stp>COUPON_FREQUENCY_DESCRIPTION</stp>
        <stp>[TREASURY.xlsx]Sheet1!R1280C10</stp>
        <tr r="J1280" s="1"/>
      </tp>
      <tp t="s">
        <v>UNITED STATES</v>
        <stp/>
        <stp>##V3_BDPV12</stp>
        <stp>912827B8 Govt</stp>
        <stp>COUNTRY_FULL_NAME</stp>
        <stp>[TREASURY.xlsx]Sheet1!R1478C8</stp>
        <tr r="H1478" s="1"/>
      </tp>
      <tp t="s">
        <v>USD</v>
        <stp/>
        <stp>##V3_BDPV12</stp>
        <stp>912828NK Govt</stp>
        <stp>CRNCY</stp>
        <stp>[TREASURY.xlsx]Sheet1!R978C7</stp>
        <tr r="G978" s="1"/>
      </tp>
      <tp t="s">
        <v>USD</v>
        <stp/>
        <stp>##V3_BDPV12</stp>
        <stp>912828NB Govt</stp>
        <stp>CRNCY</stp>
        <stp>[TREASURY.xlsx]Sheet1!R388C7</stp>
        <tr r="G388" s="1"/>
      </tp>
      <tp t="s">
        <v>USD</v>
        <stp/>
        <stp>##V3_BDPV12</stp>
        <stp>912827N5 Govt</stp>
        <stp>CRNCY</stp>
        <stp>[TREASURY.xlsx]Sheet1!R727C7</stp>
        <tr r="G727" s="1"/>
      </tp>
      <tp t="s">
        <v>S/A</v>
        <stp/>
        <stp>##V3_BDPV12</stp>
        <stp>91282CCU Govt</stp>
        <stp>COUPON_FREQUENCY_DESCRIPTION</stp>
        <stp>[TREASURY.xlsx]Sheet1!R6C10</stp>
        <tr r="J6" s="1"/>
      </tp>
      <tp>
        <v>1.25</v>
        <stp/>
        <stp>##V3_BDPV12</stp>
        <stp>91282CBZ Govt</stp>
        <stp>CPN</stp>
        <stp>[TREASURY.xlsx]Sheet1!R126C3</stp>
        <tr r="C126" s="1"/>
      </tp>
      <tp>
        <v>2.125</v>
        <stp/>
        <stp>##V3_BDPV12</stp>
        <stp>9128286X Govt</stp>
        <stp>CPN</stp>
        <stp>[TREASURY.xlsx]Sheet1!R264C3</stp>
        <tr r="C264" s="1"/>
      </tp>
      <tp t="s">
        <v>#N/A N/A</v>
        <stp/>
        <stp>##V3_BDPV12</stp>
        <stp>912810CY Govt</stp>
        <stp>YLD_YTM_BID</stp>
        <stp>[TREASURY.xlsx]Sheet1!R414C4</stp>
        <tr r="D414" s="1"/>
      </tp>
      <tp>
        <v>3.875</v>
        <stp/>
        <stp>##V3_BDPV12</stp>
        <stp>912828HZ Govt</stp>
        <stp>CPN</stp>
        <stp>[TREASURY.xlsx]Sheet1!R356C3</stp>
        <tr r="C356" s="1"/>
      </tp>
      <tp>
        <v>0.875</v>
        <stp/>
        <stp>##V3_BDPV12</stp>
        <stp>912828RX Govt</stp>
        <stp>CPN</stp>
        <stp>[TREASURY.xlsx]Sheet1!R374C3</stp>
        <tr r="C374" s="1"/>
      </tp>
      <tp>
        <v>2.25</v>
        <stp/>
        <stp>##V3_BDPV12</stp>
        <stp>9128283Y Govt</stp>
        <stp>CPN</stp>
        <stp>[TREASURY.xlsx]Sheet1!R395C3</stp>
        <tr r="C395" s="1"/>
      </tp>
      <tp>
        <v>1.5</v>
        <stp/>
        <stp>##V3_BDPV12</stp>
        <stp>912828YT Govt</stp>
        <stp>CPN</stp>
        <stp>[TREASURY.xlsx]Sheet1!R198C3</stp>
        <tr r="C198" s="1"/>
      </tp>
      <tp>
        <v>1.75</v>
        <stp/>
        <stp>##V3_BDPV12</stp>
        <stp>912828YX Govt</stp>
        <stp>CPN</stp>
        <stp>[TREASURY.xlsx]Sheet1!R104C3</stp>
        <tr r="C104" s="1"/>
      </tp>
      <tp>
        <v>2.125</v>
        <stp/>
        <stp>##V3_BDPV12</stp>
        <stp>9128282Y Govt</stp>
        <stp>CPN</stp>
        <stp>[TREASURY.xlsx]Sheet1!R145C3</stp>
        <tr r="C145" s="1"/>
      </tp>
      <tp>
        <v>1.5</v>
        <stp/>
        <stp>##V3_BDPV12</stp>
        <stp>912828XU Govt</stp>
        <stp>CPN</stp>
        <stp>[TREASURY.xlsx]Sheet1!R639C3</stp>
        <tr r="C639" s="1"/>
      </tp>
      <tp>
        <v>3</v>
        <stp/>
        <stp>##V3_BDPV12</stp>
        <stp>912828BZ Govt</stp>
        <stp>CPN</stp>
        <stp>[TREASURY.xlsx]Sheet1!R436C3</stp>
        <tr r="C436" s="1"/>
      </tp>
      <tp>
        <v>2.0302843169677267</v>
        <stp/>
        <stp>##V3_BDPV12</stp>
        <stp>912810QX Govt</stp>
        <stp>YLD_YTM_BID</stp>
        <stp>[TREASURY.xlsx]Sheet1!R275C4</stp>
        <tr r="D275" s="1"/>
      </tp>
      <tp>
        <v>0.25</v>
        <stp/>
        <stp>##V3_BDPV12</stp>
        <stp>912828TU Govt</stp>
        <stp>CPN</stp>
        <stp>[TREASURY.xlsx]Sheet1!R539C3</stp>
        <tr r="C539" s="1"/>
      </tp>
      <tp>
        <v>1.375</v>
        <stp/>
        <stp>##V3_BDPV12</stp>
        <stp>9128282X Govt</stp>
        <stp>CPN</stp>
        <stp>[TREASURY.xlsx]Sheet1!R554C3</stp>
        <tr r="C554" s="1"/>
      </tp>
      <tp>
        <v>14</v>
        <stp/>
        <stp>##V3_BDPV12</stp>
        <stp>912827MY Govt</stp>
        <stp>CPN</stp>
        <stp>[TREASURY.xlsx]Sheet1!R725C3</stp>
        <tr r="C725" s="1"/>
      </tp>
      <tp>
        <v>1.1984804166388674</v>
        <stp/>
        <stp>##V3_BDPV12</stp>
        <stp>91282CAY Govt</stp>
        <stp>YLD_YTM_BID</stp>
        <stp>[TREASURY.xlsx]Sheet1!R144C4</stp>
        <tr r="D144" s="1"/>
      </tp>
      <tp t="s">
        <v>#N/A N/A</v>
        <stp/>
        <stp>##V3_BDPV12</stp>
        <stp>912828GU Govt</stp>
        <stp>YLD_YTM_BID</stp>
        <stp>[TREASURY.xlsx]Sheet1!R848C4</stp>
        <tr r="D848" s="1"/>
      </tp>
      <tp t="s">
        <v>#N/A N/A</v>
        <stp/>
        <stp>##V3_BDPV12</stp>
        <stp>912828MX Govt</stp>
        <stp>YLD_YTM_BID</stp>
        <stp>[TREASURY.xlsx]Sheet1!R825C4</stp>
        <tr r="D825" s="1"/>
      </tp>
      <tp t="s">
        <v>#N/A N/A</v>
        <stp/>
        <stp>##V3_BDPV12</stp>
        <stp>912828LU Govt</stp>
        <stp>YLD_YTM_BID</stp>
        <stp>[TREASURY.xlsx]Sheet1!R818C4</stp>
        <tr r="D818" s="1"/>
      </tp>
      <tp t="s">
        <v>#N/A N/A</v>
        <stp/>
        <stp>##V3_BDPV12</stp>
        <stp>912828HU Govt</stp>
        <stp>YLD_YTM_BID</stp>
        <stp>[TREASURY.xlsx]Sheet1!R808C4</stp>
        <tr r="D808" s="1"/>
      </tp>
      <tp t="s">
        <v>#N/A N/A</v>
        <stp/>
        <stp>##V3_BDPV12</stp>
        <stp>912828LX Govt</stp>
        <stp>YLD_YTM_BID</stp>
        <stp>[TREASURY.xlsx]Sheet1!R535C4</stp>
        <tr r="D535" s="1"/>
      </tp>
      <tp t="s">
        <v>#N/A N/A</v>
        <stp/>
        <stp>##V3_BDPV12</stp>
        <stp>912828PY Govt</stp>
        <stp>YLD_YTM_BID</stp>
        <stp>[TREASURY.xlsx]Sheet1!R594C4</stp>
        <tr r="D594" s="1"/>
      </tp>
      <tp>
        <v>6.75</v>
        <stp/>
        <stp>##V3_BDPV12</stp>
        <stp>912810EX Govt</stp>
        <stp>CPN</stp>
        <stp>[TREASURY.xlsx]Sheet1!R324C3</stp>
        <tr r="C324" s="1"/>
      </tp>
      <tp t="s">
        <v>#N/A N/A</v>
        <stp/>
        <stp>##V3_BDPV12</stp>
        <stp>912827LY Govt</stp>
        <stp>YLD_YTM_BID</stp>
        <stp>[TREASURY.xlsx]Sheet1!R894C4</stp>
        <tr r="D894" s="1"/>
      </tp>
      <tp t="s">
        <v>#N/A N/A</v>
        <stp/>
        <stp>##V3_BDPV12</stp>
        <stp>912828KY Govt</stp>
        <stp>YLD_YTM_BID</stp>
        <stp>[TREASURY.xlsx]Sheet1!R644C4</stp>
        <tr r="D644" s="1"/>
      </tp>
      <tp t="s">
        <v>#N/A N/A</v>
        <stp/>
        <stp>##V3_BDPV12</stp>
        <stp>912827RX Govt</stp>
        <stp>YLD_YTM_BID</stp>
        <stp>[TREASURY.xlsx]Sheet1!R915C4</stp>
        <tr r="D915" s="1"/>
      </tp>
      <tp>
        <v>0.24198900549075011</v>
        <stp/>
        <stp>##V3_BDPV12</stp>
        <stp>912828ZY Govt</stp>
        <stp>YLD_YTM_BID</stp>
        <stp>[TREASURY.xlsx]Sheet1!R184C4</stp>
        <tr r="D184" s="1"/>
      </tp>
      <tp>
        <v>0.23921681473934611</v>
        <stp/>
        <stp>##V3_BDPV12</stp>
        <stp>9128284U Govt</stp>
        <stp>YLD_YTM_BID</stp>
        <stp>[TREASURY.xlsx]Sheet1!R128C4</stp>
        <tr r="D128" s="1"/>
      </tp>
      <tp t="s">
        <v>#N/A N/A</v>
        <stp/>
        <stp>##V3_BDPV12</stp>
        <stp>912828FY Govt</stp>
        <stp>YLD_YTM_BID</stp>
        <stp>[TREASURY.xlsx]Sheet1!R394C4</stp>
        <tr r="D394" s="1"/>
      </tp>
      <tp t="s">
        <v>#N/A N/A</v>
        <stp/>
        <stp>##V3_BDPV12</stp>
        <stp>912828PX Govt</stp>
        <stp>YLD_YTM_BID</stp>
        <stp>[TREASURY.xlsx]Sheet1!R355C4</stp>
        <tr r="D355" s="1"/>
      </tp>
      <tp>
        <v>0.83688249847933727</v>
        <stp/>
        <stp>##V3_BDPV12</stp>
        <stp>9128285T Govt</stp>
        <stp>YLD_YTM_BID</stp>
        <stp>[TREASURY.xlsx]Sheet1!R239C4</stp>
        <tr r="D239" s="1"/>
      </tp>
      <tp>
        <v>0.16060512368021004</v>
        <stp/>
        <stp>##V3_BDPV12</stp>
        <stp>9128283U Govt</stp>
        <stp>YLD_YTM_BID</stp>
        <stp>[TREASURY.xlsx]Sheet1!R268C4</stp>
        <tr r="D268" s="1"/>
      </tp>
      <tp t="s">
        <v>FIXED</v>
        <stp/>
        <stp>##V3_BDPV12</stp>
        <stp>9128282G Govt</stp>
        <stp>CPN_TYP</stp>
        <stp>[TREASURY.xlsx]Sheet1!R1105C11</stp>
        <tr r="K1105" s="1"/>
      </tp>
      <tp t="s">
        <v>FIXED</v>
        <stp/>
        <stp>##V3_BDPV12</stp>
        <stp>9128283X Govt</stp>
        <stp>CPN_TYP</stp>
        <stp>[TREASURY.xlsx]Sheet1!R1269C11</stp>
        <tr r="K1269" s="1"/>
      </tp>
      <tp t="s">
        <v>FIXED</v>
        <stp/>
        <stp>##V3_BDPV12</stp>
        <stp>9128282Z Govt</stp>
        <stp>CPN_TYP</stp>
        <stp>[TREASURY.xlsx]Sheet1!R1615C11</stp>
        <tr r="K1615" s="1"/>
      </tp>
      <tp t="s">
        <v>FIXED</v>
        <stp/>
        <stp>##V3_BDPV12</stp>
        <stp>9128284B Govt</stp>
        <stp>CPN_TYP</stp>
        <stp>[TREASURY.xlsx]Sheet1!R1106C11</stp>
        <tr r="K1106" s="1"/>
      </tp>
      <tp t="s">
        <v>S/A</v>
        <stp/>
        <stp>##V3_BDPV12</stp>
        <stp>912810DH Govt</stp>
        <stp>COUPON_FREQUENCY_DESCRIPTION</stp>
        <stp>[TREASURY.xlsx]Sheet1!R1619C10</stp>
        <tr r="J1619" s="1"/>
      </tp>
      <tp>
        <v>1.375</v>
        <stp/>
        <stp>##V3_BDPV12</stp>
        <stp>912828UL Govt</stp>
        <stp>CPN</stp>
        <stp>[TREASURY.xlsx]Sheet1!R1000C3</stp>
        <tr r="C1000" s="1"/>
      </tp>
      <tp>
        <v>1.5</v>
        <stp/>
        <stp>##V3_BDPV12</stp>
        <stp>912828WL Govt</stp>
        <stp>CPN</stp>
        <stp>[TREASURY.xlsx]Sheet1!R1150C3</stp>
        <tr r="C1150" s="1"/>
      </tp>
      <tp>
        <v>1</v>
        <stp/>
        <stp>##V3_BDPV12</stp>
        <stp>912828QM Govt</stp>
        <stp>CPN</stp>
        <stp>[TREASURY.xlsx]Sheet1!R1130C3</stp>
        <tr r="C1130" s="1"/>
      </tp>
      <tp>
        <v>0.625</v>
        <stp/>
        <stp>##V3_BDPV12</stp>
        <stp>912828PR Govt</stp>
        <stp>CPN</stp>
        <stp>[TREASURY.xlsx]Sheet1!R1260C3</stp>
        <tr r="C1260" s="1"/>
      </tp>
      <tp>
        <v>0.25</v>
        <stp/>
        <stp>##V3_BDPV12</stp>
        <stp>912828RN Govt</stp>
        <stp>CPN</stp>
        <stp>[TREASURY.xlsx]Sheet1!R1140C3</stp>
        <tr r="C1140" s="1"/>
      </tp>
      <tp>
        <v>2.625</v>
        <stp/>
        <stp>##V3_BDPV12</stp>
        <stp>912828PT Govt</stp>
        <stp>CPN</stp>
        <stp>[TREASURY.xlsx]Sheet1!R1300C3</stp>
        <tr r="C1300" s="1"/>
      </tp>
      <tp>
        <v>0.875</v>
        <stp/>
        <stp>##V3_BDPV12</stp>
        <stp>912828F5 Govt</stp>
        <stp>CPN</stp>
        <stp>[TREASURY.xlsx]Sheet1!R1240C3</stp>
        <tr r="C1240" s="1"/>
      </tp>
      <tp t="s">
        <v>#N/A N/A</v>
        <stp/>
        <stp>##V3_BDPV12</stp>
        <stp>912810DL Govt</stp>
        <stp>YLD_YTM_BID</stp>
        <stp>[TREASURY.xlsx]Sheet1!R1620C4</stp>
        <tr r="D1620" s="1"/>
      </tp>
      <tp>
        <v>0.875</v>
        <stp/>
        <stp>##V3_BDPV12</stp>
        <stp>912828G2 Govt</stp>
        <stp>CPN</stp>
        <stp>[TREASURY.xlsx]Sheet1!R1280C3</stp>
        <tr r="C1280" s="1"/>
      </tp>
      <tp>
        <v>3.625</v>
        <stp/>
        <stp>##V3_BDPV12</stp>
        <stp>912828DG Govt</stp>
        <stp>CPN</stp>
        <stp>[TREASURY.xlsx]Sheet1!R1110C3</stp>
        <tr r="C1110" s="1"/>
      </tp>
      <tp t="s">
        <v>#N/A N/A</v>
        <stp/>
        <stp>##V3_BDPV12</stp>
        <stp>912810CV Govt</stp>
        <stp>YLD_YTM_BID</stp>
        <stp>[TREASURY.xlsx]Sheet1!R1310C4</stp>
        <tr r="D1310" s="1"/>
      </tp>
      <tp>
        <v>4.625</v>
        <stp/>
        <stp>##V3_BDPV12</stp>
        <stp>912828GY Govt</stp>
        <stp>CPN</stp>
        <stp>[TREASURY.xlsx]Sheet1!R1120C3</stp>
        <tr r="C1120" s="1"/>
      </tp>
      <tp>
        <v>0.625</v>
        <stp/>
        <stp>##V3_BDPV12</stp>
        <stp>912828B7 Govt</stp>
        <stp>CPN</stp>
        <stp>[TREASURY.xlsx]Sheet1!R1270C3</stp>
        <tr r="C1270" s="1"/>
      </tp>
      <tp t="s">
        <v>#N/A N/A</v>
        <stp/>
        <stp>##V3_BDPV12</stp>
        <stp>912810BX Govt</stp>
        <stp>YLD_YTM_BID</stp>
        <stp>[TREASURY.xlsx]Sheet1!R1440C4</stp>
        <tr r="D1440" s="1"/>
      </tp>
      <tp>
        <v>3.625</v>
        <stp/>
        <stp>##V3_BDPV12</stp>
        <stp>912828DY Govt</stp>
        <stp>CPN</stp>
        <stp>[TREASURY.xlsx]Sheet1!R1430C3</stp>
        <tr r="C1430" s="1"/>
      </tp>
      <tp>
        <v>3</v>
        <stp/>
        <stp>##V3_BDPV12</stp>
        <stp>912828LL Govt</stp>
        <stp>CPN</stp>
        <stp>[TREASURY.xlsx]Sheet1!R1290C3</stp>
        <tr r="C1290" s="1"/>
      </tp>
      <tp>
        <v>1.875</v>
        <stp/>
        <stp>##V3_BDPV12</stp>
        <stp>912828KN Govt</stp>
        <stp>CPN</stp>
        <stp>[TREASURY.xlsx]Sheet1!R1250C3</stp>
        <tr r="C1250" s="1"/>
      </tp>
      <tp t="s">
        <v>S/A</v>
        <stp/>
        <stp>##V3_BDPV12</stp>
        <stp>912810DN Govt</stp>
        <stp>COUPON_FREQUENCY_DESCRIPTION</stp>
        <stp>[TREASURY.xlsx]Sheet1!R1348C10</stp>
        <tr r="J1348" s="1"/>
      </tp>
      <tp t="s">
        <v>USD</v>
        <stp/>
        <stp>##V3_BDPV12</stp>
        <stp>9128275N Govt</stp>
        <stp>CRNCY</stp>
        <stp>[TREASURY.xlsx]Sheet1!R674C7</stp>
        <tr r="G674" s="1"/>
      </tp>
      <tp t="s">
        <v>S/A</v>
        <stp/>
        <stp>##V3_BDPV12</stp>
        <stp>912810DL Govt</stp>
        <stp>COUPON_FREQUENCY_DESCRIPTION</stp>
        <stp>[TREASURY.xlsx]Sheet1!R1620C10</stp>
        <tr r="J1620" s="1"/>
      </tp>
      <tp t="s">
        <v>#N/A N/A</v>
        <stp/>
        <stp>##V3_BDPV12</stp>
        <stp>912827Q6 Govt</stp>
        <stp>YLD_YTM_BID</stp>
        <stp>[TREASURY.xlsx]Sheet1!R1343C4</stp>
        <tr r="D1343" s="1"/>
      </tp>
      <tp t="s">
        <v>#N/A N/A</v>
        <stp/>
        <stp>##V3_BDPV12</stp>
        <stp>912827RE Govt</stp>
        <stp>YLD_YTM_BID</stp>
        <stp>[TREASURY.xlsx]Sheet1!R1063C4</stp>
        <tr r="D1063" s="1"/>
      </tp>
      <tp t="s">
        <v>#N/A N/A</v>
        <stp/>
        <stp>##V3_BDPV12</stp>
        <stp>912827SB Govt</stp>
        <stp>YLD_YTM_BID</stp>
        <stp>[TREASURY.xlsx]Sheet1!R1183C4</stp>
        <tr r="D1183" s="1"/>
      </tp>
      <tp t="s">
        <v>#N/A N/A</v>
        <stp/>
        <stp>##V3_BDPV12</stp>
        <stp>912827VW Govt</stp>
        <stp>YLD_YTM_BID</stp>
        <stp>[TREASURY.xlsx]Sheet1!R1413C4</stp>
        <tr r="D1413" s="1"/>
      </tp>
      <tp t="s">
        <v>#N/A N/A</v>
        <stp/>
        <stp>##V3_BDPV12</stp>
        <stp>912827WX Govt</stp>
        <stp>YLD_YTM_BID</stp>
        <stp>[TREASURY.xlsx]Sheet1!R1593C4</stp>
        <tr r="D1593" s="1"/>
      </tp>
      <tp t="s">
        <v>#N/A N/A</v>
        <stp/>
        <stp>##V3_BDPV12</stp>
        <stp>912827QS Govt</stp>
        <stp>YLD_YTM_BID</stp>
        <stp>[TREASURY.xlsx]Sheet1!R1393C4</stp>
        <tr r="D1393" s="1"/>
      </tp>
      <tp t="s">
        <v>#N/A N/A</v>
        <stp/>
        <stp>##V3_BDPV12</stp>
        <stp>912827WZ Govt</stp>
        <stp>YLD_YTM_BID</stp>
        <stp>[TREASURY.xlsx]Sheet1!R1423C4</stp>
        <tr r="D1423" s="1"/>
      </tp>
      <tp t="s">
        <v>#N/A N/A</v>
        <stp/>
        <stp>##V3_BDPV12</stp>
        <stp>912827U4 Govt</stp>
        <stp>YLD_YTM_BID</stp>
        <stp>[TREASURY.xlsx]Sheet1!R1403C4</stp>
        <tr r="D1403" s="1"/>
      </tp>
      <tp t="s">
        <v>#N/A N/A</v>
        <stp/>
        <stp>##V3_BDPV12</stp>
        <stp>912827PG Govt</stp>
        <stp>YLD_YTM_BID</stp>
        <stp>[TREASURY.xlsx]Sheet1!R1173C4</stp>
        <tr r="D1173" s="1"/>
      </tp>
      <tp t="s">
        <v>#N/A N/A</v>
        <stp/>
        <stp>##V3_BDPV12</stp>
        <stp>912827V5 Govt</stp>
        <stp>YLD_YTM_BID</stp>
        <stp>[TREASURY.xlsx]Sheet1!R1083C4</stp>
        <tr r="D1083" s="1"/>
      </tp>
      <tp t="s">
        <v>#N/A N/A</v>
        <stp/>
        <stp>##V3_BDPV12</stp>
        <stp>912827RL Govt</stp>
        <stp>YLD_YTM_BID</stp>
        <stp>[TREASURY.xlsx]Sheet1!R1503C4</stp>
        <tr r="D1503" s="1"/>
      </tp>
      <tp t="s">
        <v>#N/A N/A</v>
        <stp/>
        <stp>##V3_BDPV12</stp>
        <stp>912827RY Govt</stp>
        <stp>YLD_YTM_BID</stp>
        <stp>[TREASURY.xlsx]Sheet1!R1583C4</stp>
        <tr r="D1583" s="1"/>
      </tp>
      <tp t="s">
        <v>#N/A N/A</v>
        <stp/>
        <stp>##V3_BDPV12</stp>
        <stp>912827WQ Govt</stp>
        <stp>YLD_YTM_BID</stp>
        <stp>[TREASURY.xlsx]Sheet1!R1093C4</stp>
        <tr r="D1093" s="1"/>
      </tp>
      <tp t="s">
        <v>#N/A N/A</v>
        <stp/>
        <stp>##V3_BDPV12</stp>
        <stp>912827Q9 Govt</stp>
        <stp>YLD_YTM_BID</stp>
        <stp>[TREASURY.xlsx]Sheet1!R1573C4</stp>
        <tr r="D1573" s="1"/>
      </tp>
      <tp t="s">
        <v>#N/A N/A</v>
        <stp/>
        <stp>##V3_BDPV12</stp>
        <stp>912827TJ Govt</stp>
        <stp>YLD_YTM_BID</stp>
        <stp>[TREASURY.xlsx]Sheet1!R1073C4</stp>
        <tr r="D1073" s="1"/>
      </tp>
      <tp t="s">
        <v>#N/A N/A</v>
        <stp/>
        <stp>##V3_BDPV12</stp>
        <stp>912827VJ Govt</stp>
        <stp>YLD_YTM_BID</stp>
        <stp>[TREASURY.xlsx]Sheet1!R1203C4</stp>
        <tr r="D1203" s="1"/>
      </tp>
      <tp t="s">
        <v>#N/A N/A</v>
        <stp/>
        <stp>##V3_BDPV12</stp>
        <stp>912827PY Govt</stp>
        <stp>YLD_YTM_BID</stp>
        <stp>[TREASURY.xlsx]Sheet1!R1493C4</stp>
        <tr r="D1493" s="1"/>
      </tp>
      <tp t="s">
        <v>#N/A N/A</v>
        <stp/>
        <stp>##V3_BDPV12</stp>
        <stp>912827TP Govt</stp>
        <stp>YLD_YTM_BID</stp>
        <stp>[TREASURY.xlsx]Sheet1!R1193C4</stp>
        <tr r="D1193" s="1"/>
      </tp>
      <tp t="s">
        <v>#N/A N/A</v>
        <stp/>
        <stp>##V3_BDPV12</stp>
        <stp>912827X8 Govt</stp>
        <stp>YLD_YTM_BID</stp>
        <stp>[TREASURY.xlsx]Sheet1!R1213C4</stp>
        <tr r="D1213" s="1"/>
      </tp>
      <tp t="s">
        <v>#N/A N/A</v>
        <stp/>
        <stp>##V3_BDPV12</stp>
        <stp>912827ZG Govt</stp>
        <stp>YLD_YTM_BID</stp>
        <stp>[TREASURY.xlsx]Sheet1!R1103C4</stp>
        <tr r="D1103" s="1"/>
      </tp>
      <tp t="s">
        <v>#N/A N/A</v>
        <stp/>
        <stp>##V3_BDPV12</stp>
        <stp>912827YQ Govt</stp>
        <stp>YLD_YTM_BID</stp>
        <stp>[TREASURY.xlsx]Sheet1!R1223C4</stp>
        <tr r="D1223" s="1"/>
      </tp>
      <tp t="s">
        <v>#N/A N/A</v>
        <stp/>
        <stp>##V3_BDPV12</stp>
        <stp>912827YD Govt</stp>
        <stp>YLD_YTM_BID</stp>
        <stp>[TREASURY.xlsx]Sheet1!R1603C4</stp>
        <tr r="D1603" s="1"/>
      </tp>
      <tp t="s">
        <v>#N/A N/A</v>
        <stp/>
        <stp>##V3_BDPV12</stp>
        <stp>912827ZY Govt</stp>
        <stp>YLD_YTM_BID</stp>
        <stp>[TREASURY.xlsx]Sheet1!R1613C4</stp>
        <tr r="D1613" s="1"/>
      </tp>
      <tp t="s">
        <v>#N/A N/A</v>
        <stp/>
        <stp>##V3_BDPV12</stp>
        <stp>912827D3 Govt</stp>
        <stp>YLD_YTM_BID</stp>
        <stp>[TREASURY.xlsx]Sheet1!R1483C4</stp>
        <tr r="D1483" s="1"/>
      </tp>
      <tp t="s">
        <v>#N/A N/A</v>
        <stp/>
        <stp>##V3_BDPV12</stp>
        <stp>912827E4 Govt</stp>
        <stp>YLD_YTM_BID</stp>
        <stp>[TREASURY.xlsx]Sheet1!R1313C4</stp>
        <tr r="D1313" s="1"/>
      </tp>
      <tp t="s">
        <v>#N/A N/A</v>
        <stp/>
        <stp>##V3_BDPV12</stp>
        <stp>912827C4 Govt</stp>
        <stp>YLD_YTM_BID</stp>
        <stp>[TREASURY.xlsx]Sheet1!R1553C4</stp>
        <tr r="D1553" s="1"/>
      </tp>
      <tp t="s">
        <v>#N/A N/A</v>
        <stp/>
        <stp>##V3_BDPV12</stp>
        <stp>912827E2 Govt</stp>
        <stp>YLD_YTM_BID</stp>
        <stp>[TREASURY.xlsx]Sheet1!R1153C4</stp>
        <tr r="D1153" s="1"/>
      </tp>
      <tp t="s">
        <v>#N/A N/A</v>
        <stp/>
        <stp>##V3_BDPV12</stp>
        <stp>912827D2 Govt</stp>
        <stp>YLD_YTM_BID</stp>
        <stp>[TREASURY.xlsx]Sheet1!R1033C4</stp>
        <tr r="D1033" s="1"/>
      </tp>
      <tp t="s">
        <v>#N/A N/A</v>
        <stp/>
        <stp>##V3_BDPV12</stp>
        <stp>912827A5 Govt</stp>
        <stp>YLD_YTM_BID</stp>
        <stp>[TREASURY.xlsx]Sheet1!R1473C4</stp>
        <tr r="D1473" s="1"/>
      </tp>
      <tp t="s">
        <v>#N/A N/A</v>
        <stp/>
        <stp>##V3_BDPV12</stp>
        <stp>912827F6 Govt</stp>
        <stp>YLD_YTM_BID</stp>
        <stp>[TREASURY.xlsx]Sheet1!R1373C4</stp>
        <tr r="D1373" s="1"/>
      </tp>
      <tp t="s">
        <v>#N/A N/A</v>
        <stp/>
        <stp>##V3_BDPV12</stp>
        <stp>912827K7 Govt</stp>
        <stp>YLD_YTM_BID</stp>
        <stp>[TREASURY.xlsx]Sheet1!R1563C4</stp>
        <tr r="D1563" s="1"/>
      </tp>
      <tp t="s">
        <v>#N/A N/A</v>
        <stp/>
        <stp>##V3_BDPV12</stp>
        <stp>912827NW Govt</stp>
        <stp>YLD_YTM_BID</stp>
        <stp>[TREASURY.xlsx]Sheet1!R1053C4</stp>
        <tr r="D1053" s="1"/>
      </tp>
      <tp t="s">
        <v>#N/A N/A</v>
        <stp/>
        <stp>##V3_BDPV12</stp>
        <stp>912827LR Govt</stp>
        <stp>YLD_YTM_BID</stp>
        <stp>[TREASURY.xlsx]Sheet1!R1323C4</stp>
        <tr r="D1323" s="1"/>
      </tp>
      <tp t="s">
        <v>#N/A N/A</v>
        <stp/>
        <stp>##V3_BDPV12</stp>
        <stp>912827LS Govt</stp>
        <stp>YLD_YTM_BID</stp>
        <stp>[TREASURY.xlsx]Sheet1!R1043C4</stp>
        <tr r="D1043" s="1"/>
      </tp>
      <tp t="s">
        <v>#N/A N/A</v>
        <stp/>
        <stp>##V3_BDPV12</stp>
        <stp>912827L2 Govt</stp>
        <stp>YLD_YTM_BID</stp>
        <stp>[TREASURY.xlsx]Sheet1!R1163C4</stp>
        <tr r="D1163" s="1"/>
      </tp>
      <tp t="s">
        <v>#N/A N/A</v>
        <stp/>
        <stp>##V3_BDPV12</stp>
        <stp>912827NH Govt</stp>
        <stp>YLD_YTM_BID</stp>
        <stp>[TREASURY.xlsx]Sheet1!R1333C4</stp>
        <tr r="D1333" s="1"/>
      </tp>
      <tp t="s">
        <v>#N/A N/A</v>
        <stp/>
        <stp>##V3_BDPV12</stp>
        <stp>912827NB Govt</stp>
        <stp>YLD_YTM_BID</stp>
        <stp>[TREASURY.xlsx]Sheet1!R1383C4</stp>
        <tr r="D1383" s="1"/>
      </tp>
      <tp t="s">
        <v>#N/A N/A</v>
        <stp/>
        <stp>##V3_BDPV12</stp>
        <stp>9128277A Govt</stp>
        <stp>YLD_YTM_BID</stp>
        <stp>[TREASURY.xlsx]Sheet1!R1543C4</stp>
        <tr r="D1543" s="1"/>
      </tp>
      <tp t="s">
        <v>#N/A N/A</v>
        <stp/>
        <stp>##V3_BDPV12</stp>
        <stp>9128273B Govt</stp>
        <stp>YLD_YTM_BID</stp>
        <stp>[TREASURY.xlsx]Sheet1!R1353C4</stp>
        <tr r="D1353" s="1"/>
      </tp>
      <tp t="s">
        <v>#N/A N/A</v>
        <stp/>
        <stp>##V3_BDPV12</stp>
        <stp>9128275A Govt</stp>
        <stp>YLD_YTM_BID</stp>
        <stp>[TREASURY.xlsx]Sheet1!R1463C4</stp>
        <tr r="D1463" s="1"/>
      </tp>
      <tp t="s">
        <v>#N/A N/A</v>
        <stp/>
        <stp>##V3_BDPV12</stp>
        <stp>9128274V Govt</stp>
        <stp>YLD_YTM_BID</stp>
        <stp>[TREASURY.xlsx]Sheet1!R1533C4</stp>
        <tr r="D1533" s="1"/>
      </tp>
      <tp t="s">
        <v>#N/A N/A</v>
        <stp/>
        <stp>##V3_BDPV12</stp>
        <stp>9128276K Govt</stp>
        <stp>YLD_YTM_BID</stp>
        <stp>[TREASURY.xlsx]Sheet1!R1023C4</stp>
        <tr r="D1023" s="1"/>
      </tp>
      <tp t="s">
        <v>#N/A N/A</v>
        <stp/>
        <stp>##V3_BDPV12</stp>
        <stp>9128272R Govt</stp>
        <stp>YLD_YTM_BID</stp>
        <stp>[TREASURY.xlsx]Sheet1!R1453C4</stp>
        <tr r="D1453" s="1"/>
      </tp>
      <tp t="s">
        <v>#N/A N/A</v>
        <stp/>
        <stp>##V3_BDPV12</stp>
        <stp>9128274E Govt</stp>
        <stp>YLD_YTM_BID</stp>
        <stp>[TREASURY.xlsx]Sheet1!R1363C4</stp>
        <tr r="D1363" s="1"/>
      </tp>
      <tp t="s">
        <v>#N/A N/A</v>
        <stp/>
        <stp>##V3_BDPV12</stp>
        <stp>9128272W Govt</stp>
        <stp>YLD_YTM_BID</stp>
        <stp>[TREASURY.xlsx]Sheet1!R1523C4</stp>
        <tr r="D1523" s="1"/>
      </tp>
      <tp t="s">
        <v>#N/A N/A</v>
        <stp/>
        <stp>##V3_BDPV12</stp>
        <stp>9128275D Govt</stp>
        <stp>YLD_YTM_BID</stp>
        <stp>[TREASURY.xlsx]Sheet1!R1013C4</stp>
        <tr r="D1013" s="1"/>
      </tp>
      <tp t="s">
        <v>S/A</v>
        <stp/>
        <stp>##V3_BDPV12</stp>
        <stp>912828DJ Govt</stp>
        <stp>COUPON_FREQUENCY_DESCRIPTION</stp>
        <stp>[TREASURY.xlsx]Sheet1!R1111C10</stp>
        <tr r="J1111" s="1"/>
      </tp>
      <tp t="s">
        <v>UNITED STATES</v>
        <stp/>
        <stp>##V3_BDPV12</stp>
        <stp>912827MC Govt</stp>
        <stp>COUNTRY_FULL_NAME</stp>
        <stp>[TREASURY.xlsx]Sheet1!R1324C8</stp>
        <tr r="H1324" s="1"/>
      </tp>
      <tp t="s">
        <v>USD</v>
        <stp/>
        <stp>##V3_BDPV12</stp>
        <stp>9128277B Govt</stp>
        <stp>CRNCY</stp>
        <stp>[TREASURY.xlsx]Sheet1!R354C7</stp>
        <tr r="G354" s="1"/>
      </tp>
      <tp t="s">
        <v>S/A</v>
        <stp/>
        <stp>##V3_BDPV12</stp>
        <stp>912810DK Govt</stp>
        <stp>COUPON_FREQUENCY_DESCRIPTION</stp>
        <stp>[TREASURY.xlsx]Sheet1!R1347C10</stp>
        <tr r="J1347" s="1"/>
      </tp>
      <tp t="s">
        <v>S/A</v>
        <stp/>
        <stp>##V3_BDPV12</stp>
        <stp>912828DK Govt</stp>
        <stp>COUPON_FREQUENCY_DESCRIPTION</stp>
        <stp>[TREASURY.xlsx]Sheet1!R1271C10</stp>
        <tr r="J1271" s="1"/>
      </tp>
      <tp t="s">
        <v>S/A</v>
        <stp/>
        <stp>##V3_BDPV12</stp>
        <stp>912828DM Govt</stp>
        <stp>COUPON_FREQUENCY_DESCRIPTION</stp>
        <stp>[TREASURY.xlsx]Sheet1!R1427C10</stp>
        <tr r="J1427" s="1"/>
      </tp>
      <tp t="s">
        <v>S/A</v>
        <stp/>
        <stp>##V3_BDPV12</stp>
        <stp>912810DE Govt</stp>
        <stp>COUPON_FREQUENCY_DESCRIPTION</stp>
        <stp>[TREASURY.xlsx]Sheet1!R1311C10</stp>
        <tr r="J1311" s="1"/>
      </tp>
      <tp t="s">
        <v>S/A</v>
        <stp/>
        <stp>##V3_BDPV12</stp>
        <stp>912828DG Govt</stp>
        <stp>COUPON_FREQUENCY_DESCRIPTION</stp>
        <stp>[TREASURY.xlsx]Sheet1!R1110C10</stp>
        <tr r="J1110" s="1"/>
      </tp>
      <tp t="s">
        <v>S/A</v>
        <stp/>
        <stp>##V3_BDPV12</stp>
        <stp>912810DC Govt</stp>
        <stp>COUPON_FREQUENCY_DESCRIPTION</stp>
        <stp>[TREASURY.xlsx]Sheet1!R1443C10</stp>
        <tr r="J1443" s="1"/>
      </tp>
      <tp t="s">
        <v>#N/A N/A</v>
        <stp/>
        <stp>##V3_BDPV12</stp>
        <stp>912828SY Govt</stp>
        <stp>YLD_YTM_BID</stp>
        <stp>[TREASURY.xlsx]Sheet1!R1133C4</stp>
        <tr r="D1133" s="1"/>
      </tp>
      <tp t="s">
        <v>#N/A N/A</v>
        <stp/>
        <stp>##V3_BDPV12</stp>
        <stp>912828QK Govt</stp>
        <stp>YLD_YTM_BID</stp>
        <stp>[TREASURY.xlsx]Sheet1!R1263C4</stp>
        <tr r="D1263" s="1"/>
      </tp>
      <tp t="s">
        <v>#N/A N/A</v>
        <stp/>
        <stp>##V3_BDPV12</stp>
        <stp>912828RW Govt</stp>
        <stp>YLD_YTM_BID</stp>
        <stp>[TREASURY.xlsx]Sheet1!R1303C4</stp>
        <tr r="D1303" s="1"/>
      </tp>
      <tp t="s">
        <v>#N/A N/A</v>
        <stp/>
        <stp>##V3_BDPV12</stp>
        <stp>912828VU Govt</stp>
        <stp>YLD_YTM_BID</stp>
        <stp>[TREASURY.xlsx]Sheet1!R1003C4</stp>
        <tr r="D1003" s="1"/>
      </tp>
      <tp t="s">
        <v>#N/A N/A</v>
        <stp/>
        <stp>##V3_BDPV12</stp>
        <stp>912828TN Govt</stp>
        <stp>YLD_YTM_BID</stp>
        <stp>[TREASURY.xlsx]Sheet1!R1143C4</stp>
        <tr r="D1143" s="1"/>
      </tp>
      <tp t="s">
        <v>#N/A N/A</v>
        <stp/>
        <stp>##V3_BDPV12</stp>
        <stp>912828A5 Govt</stp>
        <stp>YLD_YTM_BID</stp>
        <stp>[TREASURY.xlsx]Sheet1!R1233C4</stp>
        <tr r="D1233" s="1"/>
      </tp>
      <tp t="s">
        <v>#N/A N/A</v>
        <stp/>
        <stp>##V3_BDPV12</stp>
        <stp>912828GB Govt</stp>
        <stp>YLD_YTM_BID</stp>
        <stp>[TREASURY.xlsx]Sheet1!R1433C4</stp>
        <tr r="D1433" s="1"/>
      </tp>
      <tp>
        <v>10.375</v>
        <stp/>
        <stp>##V3_BDPV12</stp>
        <stp>912810CQ Govt</stp>
        <stp>CPN</stp>
        <stp>[TREASURY.xlsx]Sheet1!R1623C3</stp>
        <tr r="C1623" s="1"/>
      </tp>
      <tp>
        <v>3.5</v>
        <stp/>
        <stp>##V3_BDPV12</stp>
        <stp>912810BG Govt</stp>
        <stp>CPN</stp>
        <stp>[TREASURY.xlsx]Sheet1!R1513C3</stp>
        <tr r="C1513" s="1"/>
      </tp>
      <tp>
        <v>10.75</v>
        <stp/>
        <stp>##V3_BDPV12</stp>
        <stp>912810DC Govt</stp>
        <stp>CPN</stp>
        <stp>[TREASURY.xlsx]Sheet1!R1443C3</stp>
        <tr r="C1443" s="1"/>
      </tp>
      <tp t="s">
        <v>#N/A N/A</v>
        <stp/>
        <stp>##V3_BDPV12</stp>
        <stp>912828DZ Govt</stp>
        <stp>YLD_YTM_BID</stp>
        <stp>[TREASURY.xlsx]Sheet1!R1273C4</stp>
        <tr r="D1273" s="1"/>
      </tp>
      <tp t="s">
        <v>#N/A N/A</v>
        <stp/>
        <stp>##V3_BDPV12</stp>
        <stp>912828EB Govt</stp>
        <stp>YLD_YTM_BID</stp>
        <stp>[TREASURY.xlsx]Sheet1!R1113C4</stp>
        <tr r="D1113" s="1"/>
      </tp>
      <tp t="s">
        <v>#N/A N/A</v>
        <stp/>
        <stp>##V3_BDPV12</stp>
        <stp>912828H9 Govt</stp>
        <stp>YLD_YTM_BID</stp>
        <stp>[TREASURY.xlsx]Sheet1!R1243C4</stp>
        <tr r="D1243" s="1"/>
      </tp>
      <tp t="s">
        <v>#N/A N/A</v>
        <stp/>
        <stp>##V3_BDPV12</stp>
        <stp>912828HC Govt</stp>
        <stp>YLD_YTM_BID</stp>
        <stp>[TREASURY.xlsx]Sheet1!R1283C4</stp>
        <tr r="D1283" s="1"/>
      </tp>
      <tp t="s">
        <v>#N/A N/A</v>
        <stp/>
        <stp>##V3_BDPV12</stp>
        <stp>912828KH Govt</stp>
        <stp>YLD_YTM_BID</stp>
        <stp>[TREASURY.xlsx]Sheet1!R1123C4</stp>
        <tr r="D1123" s="1"/>
      </tp>
      <tp t="s">
        <v>#N/A N/A</v>
        <stp/>
        <stp>##V3_BDPV12</stp>
        <stp>912828ML Govt</stp>
        <stp>YLD_YTM_BID</stp>
        <stp>[TREASURY.xlsx]Sheet1!R1253C4</stp>
        <tr r="D1253" s="1"/>
      </tp>
      <tp t="s">
        <v>#N/A N/A</v>
        <stp/>
        <stp>##V3_BDPV12</stp>
        <stp>912828NQ Govt</stp>
        <stp>YLD_YTM_BID</stp>
        <stp>[TREASURY.xlsx]Sheet1!R1293C4</stp>
        <tr r="D1293" s="1"/>
      </tp>
      <tp t="s">
        <v>S/A</v>
        <stp/>
        <stp>##V3_BDPV12</stp>
        <stp>912828DE Govt</stp>
        <stp>COUPON_FREQUENCY_DESCRIPTION</stp>
        <stp>[TREASURY.xlsx]Sheet1!R1109C10</stp>
        <tr r="J1109" s="1"/>
      </tp>
      <tp t="s">
        <v>S/A</v>
        <stp/>
        <stp>##V3_BDPV12</stp>
        <stp>912810DF Govt</stp>
        <stp>COUPON_FREQUENCY_DESCRIPTION</stp>
        <stp>[TREASURY.xlsx]Sheet1!R1312C10</stp>
        <tr r="J1312" s="1"/>
      </tp>
      <tp t="s">
        <v>S/A</v>
        <stp/>
        <stp>##V3_BDPV12</stp>
        <stp>912810DG Govt</stp>
        <stp>COUPON_FREQUENCY_DESCRIPTION</stp>
        <stp>[TREASURY.xlsx]Sheet1!R1516C10</stp>
        <tr r="J1516" s="1"/>
      </tp>
      <tp>
        <v>6.125</v>
        <stp/>
        <stp>##V3_BDPV12</stp>
        <stp>912827T7 Govt</stp>
        <stp>CPN</stp>
        <stp>[TREASURY.xlsx]Sheet1!R1070C3</stp>
        <tr r="C1070" s="1"/>
      </tp>
      <tp>
        <v>11.75</v>
        <stp/>
        <stp>##V3_BDPV12</stp>
        <stp>912827PX Govt</stp>
        <stp>CPN</stp>
        <stp>[TREASURY.xlsx]Sheet1!R1570C3</stp>
        <tr r="C1570" s="1"/>
      </tp>
      <tp>
        <v>6.375</v>
        <stp/>
        <stp>##V3_BDPV12</stp>
        <stp>912827UR Govt</stp>
        <stp>CPN</stp>
        <stp>[TREASURY.xlsx]Sheet1!R1080C3</stp>
        <tr r="C1080" s="1"/>
      </tp>
      <tp>
        <v>8.875</v>
        <stp/>
        <stp>##V3_BDPV12</stp>
        <stp>912827WY Govt</stp>
        <stp>CPN</stp>
        <stp>[TREASURY.xlsx]Sheet1!R1210C3</stp>
        <tr r="C1210" s="1"/>
      </tp>
      <tp>
        <v>7.5</v>
        <stp/>
        <stp>##V3_BDPV12</stp>
        <stp>912827R6 Govt</stp>
        <stp>CPN</stp>
        <stp>[TREASURY.xlsx]Sheet1!R1500C3</stp>
        <tr r="C1500" s="1"/>
      </tp>
      <tp>
        <v>11.625</v>
        <stp/>
        <stp>##V3_BDPV12</stp>
        <stp>912827RM Govt</stp>
        <stp>CPN</stp>
        <stp>[TREASURY.xlsx]Sheet1!R1580C3</stp>
        <tr r="C1580" s="1"/>
      </tp>
      <tp>
        <v>8.125</v>
        <stp/>
        <stp>##V3_BDPV12</stp>
        <stp>912827WF Govt</stp>
        <stp>CPN</stp>
        <stp>[TREASURY.xlsx]Sheet1!R1090C3</stp>
        <tr r="C1090" s="1"/>
      </tp>
      <tp>
        <v>6.625</v>
        <stp/>
        <stp>##V3_BDPV12</stp>
        <stp>912827UK Govt</stp>
        <stp>CPN</stp>
        <stp>[TREASURY.xlsx]Sheet1!R1200C3</stp>
        <tr r="C1200" s="1"/>
      </tp>
      <tp>
        <v>7.375</v>
        <stp/>
        <stp>##V3_BDPV12</stp>
        <stp>912827TM Govt</stp>
        <stp>CPN</stp>
        <stp>[TREASURY.xlsx]Sheet1!R1400C3</stp>
        <tr r="C1400" s="1"/>
      </tp>
      <tp>
        <v>8.25</v>
        <stp/>
        <stp>##V3_BDPV12</stp>
        <stp>912827UY Govt</stp>
        <stp>CPN</stp>
        <stp>[TREASURY.xlsx]Sheet1!R1590C3</stp>
        <tr r="C1590" s="1"/>
      </tp>
      <tp>
        <v>12</v>
        <stp/>
        <stp>##V3_BDPV12</stp>
        <stp>912827QQ Govt</stp>
        <stp>CPN</stp>
        <stp>[TREASURY.xlsx]Sheet1!R1180C3</stp>
        <tr r="C1180" s="1"/>
      </tp>
      <tp>
        <v>7.25</v>
        <stp/>
        <stp>##V3_BDPV12</stp>
        <stp>912827TV Govt</stp>
        <stp>CPN</stp>
        <stp>[TREASURY.xlsx]Sheet1!R1510C3</stp>
        <tr r="C1510" s="1"/>
      </tp>
      <tp>
        <v>5.5</v>
        <stp/>
        <stp>##V3_BDPV12</stp>
        <stp>912827V7 Govt</stp>
        <stp>CPN</stp>
        <stp>[TREASURY.xlsx]Sheet1!R1410C3</stp>
        <tr r="C1410" s="1"/>
      </tp>
      <tp>
        <v>6.5</v>
        <stp/>
        <stp>##V3_BDPV12</stp>
        <stp>912827R3 Govt</stp>
        <stp>CPN</stp>
        <stp>[TREASURY.xlsx]Sheet1!R1060C3</stp>
        <tr r="C1060" s="1"/>
      </tp>
      <tp>
        <v>9.5</v>
        <stp/>
        <stp>##V3_BDPV12</stp>
        <stp>912827SY Govt</stp>
        <stp>CPN</stp>
        <stp>[TREASURY.xlsx]Sheet1!R1190C3</stp>
        <tr r="C1190" s="1"/>
      </tp>
      <tp>
        <v>9.5</v>
        <stp/>
        <stp>##V3_BDPV12</stp>
        <stp>912827PK Govt</stp>
        <stp>CPN</stp>
        <stp>[TREASURY.xlsx]Sheet1!R1340C3</stp>
        <tr r="C1340" s="1"/>
      </tp>
      <tp>
        <v>8.75</v>
        <stp/>
        <stp>##V3_BDPV12</stp>
        <stp>912827WS Govt</stp>
        <stp>CPN</stp>
        <stp>[TREASURY.xlsx]Sheet1!R1420C3</stp>
        <tr r="C1420" s="1"/>
      </tp>
      <tp>
        <v>10.75</v>
        <stp/>
        <stp>##V3_BDPV12</stp>
        <stp>912827PS Govt</stp>
        <stp>CPN</stp>
        <stp>[TREASURY.xlsx]Sheet1!R1390C3</stp>
        <tr r="C1390" s="1"/>
      </tp>
      <tp>
        <v>8</v>
        <stp/>
        <stp>##V3_BDPV12</stp>
        <stp>912827ZD Govt</stp>
        <stp>CPN</stp>
        <stp>[TREASURY.xlsx]Sheet1!R1610C3</stp>
        <tr r="C1610" s="1"/>
      </tp>
      <tp>
        <v>8.25</v>
        <stp/>
        <stp>##V3_BDPV12</stp>
        <stp>912827XY Govt</stp>
        <stp>CPN</stp>
        <stp>[TREASURY.xlsx]Sheet1!R1600C3</stp>
        <tr r="C1600" s="1"/>
      </tp>
      <tp>
        <v>8</v>
        <stp/>
        <stp>##V3_BDPV12</stp>
        <stp>912827YB Govt</stp>
        <stp>CPN</stp>
        <stp>[TREASURY.xlsx]Sheet1!R1100C3</stp>
        <tr r="C1100" s="1"/>
      </tp>
      <tp>
        <v>7.75</v>
        <stp/>
        <stp>##V3_BDPV12</stp>
        <stp>912827ZM Govt</stp>
        <stp>CPN</stp>
        <stp>[TREASURY.xlsx]Sheet1!R1230C3</stp>
        <tr r="C1230" s="1"/>
      </tp>
      <tp>
        <v>7.625</v>
        <stp/>
        <stp>##V3_BDPV12</stp>
        <stp>912827YC Govt</stp>
        <stp>CPN</stp>
        <stp>[TREASURY.xlsx]Sheet1!R1220C3</stp>
        <tr r="C1220" s="1"/>
      </tp>
      <tp>
        <v>6.875</v>
        <stp/>
        <stp>##V3_BDPV12</stp>
        <stp>912827B6 Govt</stp>
        <stp>CPN</stp>
        <stp>[TREASURY.xlsx]Sheet1!R1550C3</stp>
        <tr r="C1550" s="1"/>
      </tp>
      <tp>
        <v>7.25</v>
        <stp/>
        <stp>##V3_BDPV12</stp>
        <stp>912827C3 Govt</stp>
        <stp>CPN</stp>
        <stp>[TREASURY.xlsx]Sheet1!R1480C3</stp>
        <tr r="C1480" s="1"/>
      </tp>
      <tp>
        <v>7.75</v>
        <stp/>
        <stp>##V3_BDPV12</stp>
        <stp>912827A3 Govt</stp>
        <stp>CPN</stp>
        <stp>[TREASURY.xlsx]Sheet1!R1030C3</stp>
        <tr r="C1030" s="1"/>
      </tp>
      <tp>
        <v>5.125</v>
        <stp/>
        <stp>##V3_BDPV12</stp>
        <stp>912827F5 Govt</stp>
        <stp>CPN</stp>
        <stp>[TREASURY.xlsx]Sheet1!R1560C3</stp>
        <tr r="C1560" s="1"/>
      </tp>
      <tp>
        <v>5.125</v>
        <stp/>
        <stp>##V3_BDPV12</stp>
        <stp>912827L4 Govt</stp>
        <stp>CPN</stp>
        <stp>[TREASURY.xlsx]Sheet1!R1040C3</stp>
        <tr r="C1040" s="1"/>
      </tp>
      <tp>
        <v>4.625</v>
        <stp/>
        <stp>##V3_BDPV12</stp>
        <stp>912827N9 Govt</stp>
        <stp>CPN</stp>
        <stp>[TREASURY.xlsx]Sheet1!R1330C3</stp>
        <tr r="C1330" s="1"/>
      </tp>
      <tp>
        <v>14.875</v>
        <stp/>
        <stp>##V3_BDPV12</stp>
        <stp>912827NJ Govt</stp>
        <stp>CPN</stp>
        <stp>[TREASURY.xlsx]Sheet1!R1050C3</stp>
        <tr r="C1050" s="1"/>
      </tp>
      <tp>
        <v>5.125</v>
        <stp/>
        <stp>##V3_BDPV12</stp>
        <stp>912827K6 Govt</stp>
        <stp>CPN</stp>
        <stp>[TREASURY.xlsx]Sheet1!R1490C3</stp>
        <tr r="C1490" s="1"/>
      </tp>
      <tp>
        <v>11.875</v>
        <stp/>
        <stp>##V3_BDPV12</stp>
        <stp>912827LB Govt</stp>
        <stp>CPN</stp>
        <stp>[TREASURY.xlsx]Sheet1!R1320C3</stp>
        <tr r="C1320" s="1"/>
      </tp>
      <tp>
        <v>9.375</v>
        <stp/>
        <stp>##V3_BDPV12</stp>
        <stp>912827NY Govt</stp>
        <stp>CPN</stp>
        <stp>[TREASURY.xlsx]Sheet1!R1170C3</stp>
        <tr r="C1170" s="1"/>
      </tp>
      <tp>
        <v>14.5</v>
        <stp/>
        <stp>##V3_BDPV12</stp>
        <stp>912827LW Govt</stp>
        <stp>CPN</stp>
        <stp>[TREASURY.xlsx]Sheet1!R1380C3</stp>
        <tr r="C1380" s="1"/>
      </tp>
      <tp>
        <v>4.125</v>
        <stp/>
        <stp>##V3_BDPV12</stp>
        <stp>912827K9 Govt</stp>
        <stp>CPN</stp>
        <stp>[TREASURY.xlsx]Sheet1!R1160C3</stp>
        <tr r="C1160" s="1"/>
      </tp>
      <tp>
        <v>6.5</v>
        <stp/>
        <stp>##V3_BDPV12</stp>
        <stp>9128276A Govt</stp>
        <stp>CPN</stp>
        <stp>[TREASURY.xlsx]Sheet1!R1020C3</stp>
        <tr r="C1020" s="1"/>
      </tp>
      <tp>
        <v>5.25</v>
        <stp/>
        <stp>##V3_BDPV12</stp>
        <stp>9128275H Govt</stp>
        <stp>CPN</stp>
        <stp>[TREASURY.xlsx]Sheet1!R1370C3</stp>
        <tr r="C1370" s="1"/>
      </tp>
      <tp>
        <v>5.875</v>
        <stp/>
        <stp>##V3_BDPV12</stp>
        <stp>9128272H Govt</stp>
        <stp>CPN</stp>
        <stp>[TREASURY.xlsx]Sheet1!R1450C3</stp>
        <tr r="C1450" s="1"/>
      </tp>
      <tp>
        <v>5.625</v>
        <stp/>
        <stp>##V3_BDPV12</stp>
        <stp>9128273P Govt</stp>
        <stp>CPN</stp>
        <stp>[TREASURY.xlsx]Sheet1!R1530C3</stp>
        <tr r="C1530" s="1"/>
      </tp>
      <tp>
        <v>6.625</v>
        <stp/>
        <stp>##V3_BDPV12</stp>
        <stp>9128272S Govt</stp>
        <stp>CPN</stp>
        <stp>[TREASURY.xlsx]Sheet1!R1520C3</stp>
        <tr r="C1520" s="1"/>
      </tp>
      <tp>
        <v>5.5</v>
        <stp/>
        <stp>##V3_BDPV12</stp>
        <stp>9128274H Govt</stp>
        <stp>CPN</stp>
        <stp>[TREASURY.xlsx]Sheet1!R1460C3</stp>
        <tr r="C1460" s="1"/>
      </tp>
      <tp>
        <v>5.5</v>
        <stp/>
        <stp>##V3_BDPV12</stp>
        <stp>9128273V Govt</stp>
        <stp>CPN</stp>
        <stp>[TREASURY.xlsx]Sheet1!R1360C3</stp>
        <tr r="C1360" s="1"/>
      </tp>
      <tp>
        <v>5.75</v>
        <stp/>
        <stp>##V3_BDPV12</stp>
        <stp>9128272D Govt</stp>
        <stp>CPN</stp>
        <stp>[TREASURY.xlsx]Sheet1!R1350C3</stp>
        <tr r="C1350" s="1"/>
      </tp>
      <tp>
        <v>6</v>
        <stp/>
        <stp>##V3_BDPV12</stp>
        <stp>9128273C Govt</stp>
        <stp>CPN</stp>
        <stp>[TREASURY.xlsx]Sheet1!R1010C3</stp>
        <tr r="C1010" s="1"/>
      </tp>
      <tp>
        <v>2.75</v>
        <stp/>
        <stp>##V3_BDPV12</stp>
        <stp>9128277D Govt</stp>
        <stp>CPN</stp>
        <stp>[TREASURY.xlsx]Sheet1!R1470C3</stp>
        <tr r="C1470" s="1"/>
      </tp>
      <tp>
        <v>4.75</v>
        <stp/>
        <stp>##V3_BDPV12</stp>
        <stp>9128276S Govt</stp>
        <stp>CPN</stp>
        <stp>[TREASURY.xlsx]Sheet1!R1540C3</stp>
        <tr r="C1540" s="1"/>
      </tp>
      <tp t="s">
        <v>S/A</v>
        <stp/>
        <stp>##V3_BDPV12</stp>
        <stp>912810DD Govt</stp>
        <stp>COUPON_FREQUENCY_DESCRIPTION</stp>
        <stp>[TREASURY.xlsx]Sheet1!R1444C10</stp>
        <tr r="J1444" s="1"/>
      </tp>
      <tp t="s">
        <v>S/A</v>
        <stp/>
        <stp>##V3_BDPV12</stp>
        <stp>912810DB Govt</stp>
        <stp>COUPON_FREQUENCY_DESCRIPTION</stp>
        <stp>[TREASURY.xlsx]Sheet1!R1346C10</stp>
        <tr r="J1346" s="1"/>
      </tp>
      <tp t="s">
        <v>S/A</v>
        <stp/>
        <stp>##V3_BDPV12</stp>
        <stp>912828DX Govt</stp>
        <stp>COUPON_FREQUENCY_DESCRIPTION</stp>
        <stp>[TREASURY.xlsx]Sheet1!R1429C10</stp>
        <tr r="J1429" s="1"/>
      </tp>
      <tp t="s">
        <v>UNITED STATES</v>
        <stp/>
        <stp>##V3_BDPV12</stp>
        <stp>912828MT Govt</stp>
        <stp>COUNTRY_FULL_NAME</stp>
        <stp>[TREASURY.xlsx]Sheet1!R1254C8</stp>
        <tr r="H1254" s="1"/>
      </tp>
      <tp t="s">
        <v>S/A</v>
        <stp/>
        <stp>##V3_BDPV12</stp>
        <stp>912810DY Govt</stp>
        <stp>COUPON_FREQUENCY_DESCRIPTION</stp>
        <stp>[TREASURY.xlsx]Sheet1!R1448C10</stp>
        <tr r="J1448" s="1"/>
      </tp>
      <tp t="s">
        <v>S/A</v>
        <stp/>
        <stp>##V3_BDPV12</stp>
        <stp>912828DY Govt</stp>
        <stp>COUPON_FREQUENCY_DESCRIPTION</stp>
        <stp>[TREASURY.xlsx]Sheet1!R1430C10</stp>
        <tr r="J1430" s="1"/>
      </tp>
      <tp t="s">
        <v>UNITED STATES</v>
        <stp/>
        <stp>##V3_BDPV12</stp>
        <stp>912828NR Govt</stp>
        <stp>COUNTRY_FULL_NAME</stp>
        <stp>[TREASURY.xlsx]Sheet1!R1257C8</stp>
        <tr r="H1257" s="1"/>
      </tp>
      <tp t="s">
        <v>S/A</v>
        <stp/>
        <stp>##V3_BDPV12</stp>
        <stp>912828DZ Govt</stp>
        <stp>COUPON_FREQUENCY_DESCRIPTION</stp>
        <stp>[TREASURY.xlsx]Sheet1!R1273C10</stp>
        <tr r="J1273" s="1"/>
      </tp>
      <tp t="s">
        <v>S/A</v>
        <stp/>
        <stp>##V3_BDPV12</stp>
        <stp>912810DR Govt</stp>
        <stp>COUPON_FREQUENCY_DESCRIPTION</stp>
        <stp>[TREASURY.xlsx]Sheet1!R1447C10</stp>
        <tr r="J1447" s="1"/>
      </tp>
      <tp t="s">
        <v>S/A</v>
        <stp/>
        <stp>##V3_BDPV12</stp>
        <stp>912828DT Govt</stp>
        <stp>COUPON_FREQUENCY_DESCRIPTION</stp>
        <stp>[TREASURY.xlsx]Sheet1!R1272C10</stp>
        <tr r="J1272" s="1"/>
      </tp>
      <tp t="s">
        <v>UNITED STATES</v>
        <stp/>
        <stp>##V3_BDPV12</stp>
        <stp>912810SZ Govt</stp>
        <stp>COUNTRY_FULL_NAME</stp>
        <stp>[TREASURY.xlsx]Sheet1!R3C8</stp>
        <tr r="H3" s="1"/>
      </tp>
      <tp t="s">
        <v>S/A</v>
        <stp/>
        <stp>##V3_BDPV12</stp>
        <stp>912828DU Govt</stp>
        <stp>COUPON_FREQUENCY_DESCRIPTION</stp>
        <stp>[TREASURY.xlsx]Sheet1!R1237C10</stp>
        <tr r="J1237" s="1"/>
      </tp>
      <tp t="s">
        <v>S/A</v>
        <stp/>
        <stp>##V3_BDPV12</stp>
        <stp>912828DS Govt</stp>
        <stp>COUPON_FREQUENCY_DESCRIPTION</stp>
        <stp>[TREASURY.xlsx]Sheet1!R1428C10</stp>
        <tr r="J1428" s="1"/>
      </tp>
      <tp t="s">
        <v>S/A</v>
        <stp/>
        <stp>##V3_BDPV12</stp>
        <stp>912810DQ Govt</stp>
        <stp>COUPON_FREQUENCY_DESCRIPTION</stp>
        <stp>[TREASURY.xlsx]Sheet1!R1621C10</stp>
        <tr r="J1621" s="1"/>
      </tp>
      <tp t="s">
        <v>S/A</v>
        <stp/>
        <stp>##V3_BDPV12</stp>
        <stp>912810DT Govt</stp>
        <stp>COUPON_FREQUENCY_DESCRIPTION</stp>
        <stp>[TREASURY.xlsx]Sheet1!R1622C10</stp>
        <tr r="J1622" s="1"/>
      </tp>
      <tp t="s">
        <v>S/A</v>
        <stp/>
        <stp>##V3_BDPV12</stp>
        <stp>912828DQ Govt</stp>
        <stp>COUPON_FREQUENCY_DESCRIPTION</stp>
        <stp>[TREASURY.xlsx]Sheet1!R1112C10</stp>
        <tr r="J1112" s="1"/>
      </tp>
      <tp t="s">
        <v>UNITED STATES</v>
        <stp/>
        <stp>##V3_BDPV12</stp>
        <stp>912827KX Govt</stp>
        <stp>COUNTRY_FULL_NAME</stp>
        <stp>[TREASURY.xlsx]Sheet1!R1162C8</stp>
        <tr r="H1162" s="1"/>
      </tp>
      <tp t="s">
        <v>USD</v>
        <stp/>
        <stp>##V3_BDPV12</stp>
        <stp>912810QS Govt</stp>
        <stp>CRNCY</stp>
        <stp>[TREASURY.xlsx]Sheet1!R303C7</stp>
        <tr r="G303" s="1"/>
      </tp>
      <tp t="s">
        <v>USD</v>
        <stp/>
        <stp>##V3_BDPV12</stp>
        <stp>912827PP Govt</stp>
        <stp>CRNCY</stp>
        <stp>[TREASURY.xlsx]Sheet1!R904C7</stp>
        <tr r="G904" s="1"/>
      </tp>
      <tp t="s">
        <v>USD</v>
        <stp/>
        <stp>##V3_BDPV12</stp>
        <stp>912810SC Govt</stp>
        <stp>CRNCY</stp>
        <stp>[TREASURY.xlsx]Sheet1!R243C7</stp>
        <tr r="G243" s="1"/>
      </tp>
      <tp t="s">
        <v>USD</v>
        <stp/>
        <stp>##V3_BDPV12</stp>
        <stp>912827RB Govt</stp>
        <stp>CRNCY</stp>
        <stp>[TREASURY.xlsx]Sheet1!R744C7</stp>
        <tr r="G744" s="1"/>
      </tp>
      <tp t="s">
        <v>USD</v>
        <stp/>
        <stp>##V3_BDPV12</stp>
        <stp>912810RC Govt</stp>
        <stp>CRNCY</stp>
        <stp>[TREASURY.xlsx]Sheet1!R263C7</stp>
        <tr r="G263" s="1"/>
      </tp>
      <tp t="s">
        <v>USD</v>
        <stp/>
        <stp>##V3_BDPV12</stp>
        <stp>912810RN Govt</stp>
        <stp>CRNCY</stp>
        <stp>[TREASURY.xlsx]Sheet1!R293C7</stp>
        <tr r="G293" s="1"/>
      </tp>
      <tp t="s">
        <v>USD</v>
        <stp/>
        <stp>##V3_BDPV12</stp>
        <stp>912810RK Govt</stp>
        <stp>CRNCY</stp>
        <stp>[TREASURY.xlsx]Sheet1!R103C7</stp>
        <tr r="G103" s="1"/>
      </tp>
      <tp t="s">
        <v>USD</v>
        <stp/>
        <stp>##V3_BDPV12</stp>
        <stp>912810RS Govt</stp>
        <stp>CRNCY</stp>
        <stp>[TREASURY.xlsx]Sheet1!R163C7</stp>
        <tr r="G163" s="1"/>
      </tp>
      <tp t="s">
        <v>USD</v>
        <stp/>
        <stp>##V3_BDPV12</stp>
        <stp>912827RU Govt</stp>
        <stp>CRNCY</stp>
        <stp>[TREASURY.xlsx]Sheet1!R914C7</stp>
        <tr r="G914" s="1"/>
      </tp>
      <tp t="s">
        <v>USD</v>
        <stp/>
        <stp>##V3_BDPV12</stp>
        <stp>912810RZ Govt</stp>
        <stp>CRNCY</stp>
        <stp>[TREASURY.xlsx]Sheet1!R273C7</stp>
        <tr r="G273" s="1"/>
      </tp>
      <tp t="s">
        <v>USD</v>
        <stp/>
        <stp>##V3_BDPV12</stp>
        <stp>912827UC Govt</stp>
        <stp>CRNCY</stp>
        <stp>[TREASURY.xlsx]Sheet1!R754C7</stp>
        <tr r="G754" s="1"/>
      </tp>
      <tp t="s">
        <v>USD</v>
        <stp/>
        <stp>##V3_BDPV12</stp>
        <stp>912827TA Govt</stp>
        <stp>CRNCY</stp>
        <stp>[TREASURY.xlsx]Sheet1!R834C7</stp>
        <tr r="G834" s="1"/>
      </tp>
      <tp t="s">
        <v>USD</v>
        <stp/>
        <stp>##V3_BDPV12</stp>
        <stp>912827VH Govt</stp>
        <stp>CRNCY</stp>
        <stp>[TREASURY.xlsx]Sheet1!R924C7</stp>
        <tr r="G924" s="1"/>
      </tp>
      <tp t="s">
        <v>USD</v>
        <stp/>
        <stp>##V3_BDPV12</stp>
        <stp>912827VR Govt</stp>
        <stp>CRNCY</stp>
        <stp>[TREASURY.xlsx]Sheet1!R764C7</stp>
        <tr r="G764" s="1"/>
      </tp>
      <tp t="s">
        <v>USD</v>
        <stp/>
        <stp>##V3_BDPV12</stp>
        <stp>912827YG Govt</stp>
        <stp>CRNCY</stp>
        <stp>[TREASURY.xlsx]Sheet1!R944C7</stp>
        <tr r="G944" s="1"/>
      </tp>
      <tp t="s">
        <v>USD</v>
        <stp/>
        <stp>##V3_BDPV12</stp>
        <stp>912827YR Govt</stp>
        <stp>CRNCY</stp>
        <stp>[TREASURY.xlsx]Sheet1!R684C7</stp>
        <tr r="G684" s="1"/>
      </tp>
      <tp t="s">
        <v>USD</v>
        <stp/>
        <stp>##V3_BDPV12</stp>
        <stp>912827XT Govt</stp>
        <stp>CRNCY</stp>
        <stp>[TREASURY.xlsx]Sheet1!R774C7</stp>
        <tr r="G774" s="1"/>
      </tp>
      <tp t="s">
        <v>USD</v>
        <stp/>
        <stp>##V3_BDPV12</stp>
        <stp>912827X5 Govt</stp>
        <stp>CRNCY</stp>
        <stp>[TREASURY.xlsx]Sheet1!R934C7</stp>
        <tr r="G934" s="1"/>
      </tp>
      <tp t="s">
        <v>USD</v>
        <stp/>
        <stp>##V3_BDPV12</stp>
        <stp>912827ZH Govt</stp>
        <stp>CRNCY</stp>
        <stp>[TREASURY.xlsx]Sheet1!R634C7</stp>
        <tr r="G634" s="1"/>
      </tp>
      <tp t="s">
        <v>USD</v>
        <stp/>
        <stp>##V3_BDPV12</stp>
        <stp>912827ZS Govt</stp>
        <stp>CRNCY</stp>
        <stp>[TREASURY.xlsx]Sheet1!R954C7</stp>
        <tr r="G954" s="1"/>
      </tp>
      <tp t="s">
        <v>UNITED STATES</v>
        <stp/>
        <stp>##V3_BDPV12</stp>
        <stp>912827M7 Govt</stp>
        <stp>COUNTRY_FULL_NAME</stp>
        <stp>[TREASURY.xlsx]Sheet1!R1044C8</stp>
        <tr r="H1044" s="1"/>
      </tp>
      <tp t="s">
        <v>UNITED STATES</v>
        <stp/>
        <stp>##V3_BDPV12</stp>
        <stp>912827L7 Govt</stp>
        <stp>COUNTRY_FULL_NAME</stp>
        <stp>[TREASURY.xlsx]Sheet1!R1565C8</stp>
        <tr r="H1565" s="1"/>
      </tp>
      <tp t="s">
        <v>S/A</v>
        <stp/>
        <stp>##V3_BDPV12</stp>
        <stp>912827D8 Govt</stp>
        <stp>COUPON_FREQUENCY_DESCRIPTION</stp>
        <stp>[TREASURY.xlsx]Sheet1!R1485C10</stp>
        <tr r="J1485" s="1"/>
      </tp>
      <tp t="s">
        <v>USD</v>
        <stp/>
        <stp>##V3_BDPV12</stp>
        <stp>912810EE Govt</stp>
        <stp>CRNCY</stp>
        <stp>[TREASURY.xlsx]Sheet1!R503C7</stp>
        <tr r="G503" s="1"/>
      </tp>
      <tp t="s">
        <v>USD</v>
        <stp/>
        <stp>##V3_BDPV12</stp>
        <stp>912810ET Govt</stp>
        <stp>CRNCY</stp>
        <stp>[TREASURY.xlsx]Sheet1!R313C7</stp>
        <tr r="G313" s="1"/>
      </tp>
      <tp t="s">
        <v>USD</v>
        <stp/>
        <stp>##V3_BDPV12</stp>
        <stp>912810EZ Govt</stp>
        <stp>CRNCY</stp>
        <stp>[TREASURY.xlsx]Sheet1!R323C7</stp>
        <tr r="G323" s="1"/>
      </tp>
      <tp t="s">
        <v>UNITED STATES</v>
        <stp/>
        <stp>##V3_BDPV12</stp>
        <stp>912827M2 Govt</stp>
        <stp>COUNTRY_FULL_NAME</stp>
        <stp>[TREASURY.xlsx]Sheet1!R1164C8</stp>
        <tr r="H1164" s="1"/>
      </tp>
      <tp t="s">
        <v>USD</v>
        <stp/>
        <stp>##V3_BDPV12</stp>
        <stp>912810FE Govt</stp>
        <stp>CRNCY</stp>
        <stp>[TREASURY.xlsx]Sheet1!R253C7</stp>
        <tr r="G253" s="1"/>
      </tp>
      <tp t="s">
        <v>USD</v>
        <stp/>
        <stp>##V3_BDPV12</stp>
        <stp>912810FG Govt</stp>
        <stp>CRNCY</stp>
        <stp>[TREASURY.xlsx]Sheet1!R223C7</stp>
        <tr r="G223" s="1"/>
      </tp>
      <tp t="s">
        <v>T</v>
        <stp/>
        <stp>##V3_BDPV12</stp>
        <stp>91282CBG Govt</stp>
        <stp>TICKER</stp>
        <stp>[TREASURY.xlsx]Sheet1!R57C2</stp>
        <tr r="B57" s="1"/>
      </tp>
      <tp t="s">
        <v>T</v>
        <stp/>
        <stp>##V3_BDPV12</stp>
        <stp>91282CCG Govt</stp>
        <stp>TICKER</stp>
        <stp>[TREASURY.xlsx]Sheet1!R47C2</stp>
        <tr r="B47" s="1"/>
      </tp>
      <tp t="s">
        <v>T</v>
        <stp/>
        <stp>##V3_BDPV12</stp>
        <stp>91282CCE Govt</stp>
        <stp>TICKER</stp>
        <stp>[TREASURY.xlsx]Sheet1!R77C2</stp>
        <tr r="B77" s="1"/>
      </tp>
      <tp t="s">
        <v>S/A</v>
        <stp/>
        <stp>##V3_BDPV12</stp>
        <stp>912827D3 Govt</stp>
        <stp>COUPON_FREQUENCY_DESCRIPTION</stp>
        <stp>[TREASURY.xlsx]Sheet1!R1483C10</stp>
        <tr r="J1483" s="1"/>
      </tp>
      <tp t="s">
        <v>USD</v>
        <stp/>
        <stp>##V3_BDPV12</stp>
        <stp>912827H2 Govt</stp>
        <stp>CRNCY</stp>
        <stp>[TREASURY.xlsx]Sheet1!R704C7</stp>
        <tr r="G704" s="1"/>
      </tp>
      <tp t="s">
        <v>USD</v>
        <stp/>
        <stp>##V3_BDPV12</stp>
        <stp>912827KJ Govt</stp>
        <stp>CRNCY</stp>
        <stp>[TREASURY.xlsx]Sheet1!R884C7</stp>
        <tr r="G884" s="1"/>
      </tp>
      <tp t="s">
        <v>T</v>
        <stp/>
        <stp>##V3_BDPV12</stp>
        <stp>91282CAX Govt</stp>
        <stp>TICKER</stp>
        <stp>[TREASURY.xlsx]Sheet1!R67C2</stp>
        <tr r="B67" s="1"/>
      </tp>
      <tp t="s">
        <v>T</v>
        <stp/>
        <stp>##V3_BDPV12</stp>
        <stp>91282CAV Govt</stp>
        <stp>TICKER</stp>
        <stp>[TREASURY.xlsx]Sheet1!R17C2</stp>
        <tr r="B17" s="1"/>
      </tp>
      <tp t="s">
        <v>USD</v>
        <stp/>
        <stp>##V3_BDPV12</stp>
        <stp>912827MH Govt</stp>
        <stp>CRNCY</stp>
        <stp>[TREASURY.xlsx]Sheet1!R544C7</stp>
        <tr r="G544" s="1"/>
      </tp>
      <tp t="s">
        <v>USD</v>
        <stp/>
        <stp>##V3_BDPV12</stp>
        <stp>912827MT Govt</stp>
        <stp>CRNCY</stp>
        <stp>[TREASURY.xlsx]Sheet1!R724C7</stp>
        <tr r="G724" s="1"/>
      </tp>
      <tp t="s">
        <v>S/A</v>
        <stp/>
        <stp>##V3_BDPV12</stp>
        <stp>912827D2 Govt</stp>
        <stp>COUPON_FREQUENCY_DESCRIPTION</stp>
        <stp>[TREASURY.xlsx]Sheet1!R1033C10</stp>
        <tr r="J1033" s="1"/>
      </tp>
      <tp t="s">
        <v>USD</v>
        <stp/>
        <stp>##V3_BDPV12</stp>
        <stp>912827LY Govt</stp>
        <stp>CRNCY</stp>
        <stp>[TREASURY.xlsx]Sheet1!R894C7</stp>
        <tr r="G894" s="1"/>
      </tp>
      <tp t="s">
        <v>USD</v>
        <stp/>
        <stp>##V3_BDPV12</stp>
        <stp>912827L9 Govt</stp>
        <stp>CRNCY</stp>
        <stp>[TREASURY.xlsx]Sheet1!R714C7</stp>
        <tr r="G714" s="1"/>
      </tp>
      <tp t="s">
        <v>USD</v>
        <stp/>
        <stp>##V3_BDPV12</stp>
        <stp>912827NV Govt</stp>
        <stp>CRNCY</stp>
        <stp>[TREASURY.xlsx]Sheet1!R734C7</stp>
        <tr r="G734" s="1"/>
      </tp>
      <tp t="s">
        <v>S/A</v>
        <stp/>
        <stp>##V3_BDPV12</stp>
        <stp>912827D5 Govt</stp>
        <stp>COUPON_FREQUENCY_DESCRIPTION</stp>
        <stp>[TREASURY.xlsx]Sheet1!R1484C10</stp>
        <tr r="J1484" s="1"/>
      </tp>
      <tp t="s">
        <v>S/A</v>
        <stp/>
        <stp>##V3_BDPV12</stp>
        <stp>912827D4 Govt</stp>
        <stp>COUPON_FREQUENCY_DESCRIPTION</stp>
        <stp>[TREASURY.xlsx]Sheet1!R1557C10</stp>
        <tr r="J1557" s="1"/>
      </tp>
      <tp t="s">
        <v>UNITED STATES</v>
        <stp/>
        <stp>##V3_BDPV12</stp>
        <stp>912827A9 Govt</stp>
        <stp>COUNTRY_FULL_NAME</stp>
        <stp>[TREASURY.xlsx]Sheet1!R1548C8</stp>
        <tr r="H1548" s="1"/>
      </tp>
      <tp t="s">
        <v>FIXED</v>
        <stp/>
        <stp>##V3_BDPV12</stp>
        <stp>912828FA Govt</stp>
        <stp>CPN_TYP</stp>
        <stp>[TREASURY.xlsx]Sheet1!R1432C11</stp>
        <tr r="K1432" s="1"/>
      </tp>
      <tp t="s">
        <v>FIXED</v>
        <stp/>
        <stp>##V3_BDPV12</stp>
        <stp>912828GH Govt</stp>
        <stp>CPN_TYP</stp>
        <stp>[TREASURY.xlsx]Sheet1!R1435C11</stp>
        <tr r="K1435" s="1"/>
      </tp>
      <tp t="s">
        <v>FIXED</v>
        <stp/>
        <stp>##V3_BDPV12</stp>
        <stp>912828GF Govt</stp>
        <stp>CPN_TYP</stp>
        <stp>[TREASURY.xlsx]Sheet1!R1434C11</stp>
        <tr r="K1434" s="1"/>
      </tp>
      <tp t="s">
        <v>FIXED</v>
        <stp/>
        <stp>##V3_BDPV12</stp>
        <stp>912828AC Govt</stp>
        <stp>CPN_TYP</stp>
        <stp>[TREASURY.xlsx]Sheet1!R1234C11</stp>
        <tr r="K1234" s="1"/>
      </tp>
      <tp t="s">
        <v>FIXED</v>
        <stp/>
        <stp>##V3_BDPV12</stp>
        <stp>912828GB Govt</stp>
        <stp>CPN_TYP</stp>
        <stp>[TREASURY.xlsx]Sheet1!R1433C11</stp>
        <tr r="K1433" s="1"/>
      </tp>
      <tp t="s">
        <v>FIXED</v>
        <stp/>
        <stp>##V3_BDPV12</stp>
        <stp>912828GW Govt</stp>
        <stp>CPN_TYP</stp>
        <stp>[TREASURY.xlsx]Sheet1!R1436C11</stp>
        <tr r="K1436" s="1"/>
      </tp>
      <tp t="s">
        <v>FIXED</v>
        <stp/>
        <stp>##V3_BDPV12</stp>
        <stp>912828A5 Govt</stp>
        <stp>CPN_TYP</stp>
        <stp>[TREASURY.xlsx]Sheet1!R1233C11</stp>
        <tr r="K1233" s="1"/>
      </tp>
      <tp t="s">
        <v>FIXED</v>
        <stp/>
        <stp>##V3_BDPV12</stp>
        <stp>912828B3 Govt</stp>
        <stp>CPN_TYP</stp>
        <stp>[TREASURY.xlsx]Sheet1!R1108C11</stp>
        <tr r="K1108" s="1"/>
      </tp>
      <tp t="s">
        <v>FIXED</v>
        <stp/>
        <stp>##V3_BDPV12</stp>
        <stp>912828A2 Govt</stp>
        <stp>CPN_TYP</stp>
        <stp>[TREASURY.xlsx]Sheet1!R1232C11</stp>
        <tr r="K1232" s="1"/>
      </tp>
      <tp t="s">
        <v>FIXED</v>
        <stp/>
        <stp>##V3_BDPV12</stp>
        <stp>912828DM Govt</stp>
        <stp>CPN_TYP</stp>
        <stp>[TREASURY.xlsx]Sheet1!R1427C11</stp>
        <tr r="K1427" s="1"/>
      </tp>
      <tp t="s">
        <v>FIXED</v>
        <stp/>
        <stp>##V3_BDPV12</stp>
        <stp>912828AH Govt</stp>
        <stp>CPN_TYP</stp>
        <stp>[TREASURY.xlsx]Sheet1!R1107C11</stp>
        <tr r="K1107" s="1"/>
      </tp>
      <tp t="s">
        <v>FIXED</v>
        <stp/>
        <stp>##V3_BDPV12</stp>
        <stp>912828BF Govt</stp>
        <stp>CPN_TYP</stp>
        <stp>[TREASURY.xlsx]Sheet1!R1235C11</stp>
        <tr r="K1235" s="1"/>
      </tp>
      <tp t="s">
        <v>FIXED</v>
        <stp/>
        <stp>##V3_BDPV12</stp>
        <stp>912828DX Govt</stp>
        <stp>CPN_TYP</stp>
        <stp>[TREASURY.xlsx]Sheet1!R1429C11</stp>
        <tr r="K1429" s="1"/>
      </tp>
      <tp t="s">
        <v>FIXED</v>
        <stp/>
        <stp>##V3_BDPV12</stp>
        <stp>912828DY Govt</stp>
        <stp>CPN_TYP</stp>
        <stp>[TREASURY.xlsx]Sheet1!R1430C11</stp>
        <tr r="K1430" s="1"/>
      </tp>
      <tp t="s">
        <v>FIXED</v>
        <stp/>
        <stp>##V3_BDPV12</stp>
        <stp>912828DS Govt</stp>
        <stp>CPN_TYP</stp>
        <stp>[TREASURY.xlsx]Sheet1!R1428C11</stp>
        <tr r="K1428" s="1"/>
      </tp>
      <tp t="s">
        <v>FIXED</v>
        <stp/>
        <stp>##V3_BDPV12</stp>
        <stp>912828B7 Govt</stp>
        <stp>CPN_TYP</stp>
        <stp>[TREASURY.xlsx]Sheet1!R1270C11</stp>
        <tr r="K1270" s="1"/>
      </tp>
      <tp t="s">
        <v>FIXED</v>
        <stp/>
        <stp>##V3_BDPV12</stp>
        <stp>912828EF Govt</stp>
        <stp>CPN_TYP</stp>
        <stp>[TREASURY.xlsx]Sheet1!R1431C11</stp>
        <tr r="K1431" s="1"/>
      </tp>
      <tp t="s">
        <v>FIXED</v>
        <stp/>
        <stp>##V3_BDPV12</stp>
        <stp>912828CQ Govt</stp>
        <stp>CPN_TYP</stp>
        <stp>[TREASURY.xlsx]Sheet1!R1236C11</stp>
        <tr r="K1236" s="1"/>
      </tp>
      <tp t="s">
        <v>FIXED</v>
        <stp/>
        <stp>##V3_BDPV12</stp>
        <stp>912828DK Govt</stp>
        <stp>CPN_TYP</stp>
        <stp>[TREASURY.xlsx]Sheet1!R1271C11</stp>
        <tr r="K1271" s="1"/>
      </tp>
      <tp t="s">
        <v>FIXED</v>
        <stp/>
        <stp>##V3_BDPV12</stp>
        <stp>912828GK Govt</stp>
        <stp>CPN_TYP</stp>
        <stp>[TREASURY.xlsx]Sheet1!R1119C11</stp>
        <tr r="K1119" s="1"/>
      </tp>
      <tp t="s">
        <v>FIXED</v>
        <stp/>
        <stp>##V3_BDPV12</stp>
        <stp>912828BE Govt</stp>
        <stp>CPN_TYP</stp>
        <stp>[TREASURY.xlsx]Sheet1!R1425C11</stp>
        <tr r="K1425" s="1"/>
      </tp>
      <tp t="s">
        <v>FIXED</v>
        <stp/>
        <stp>##V3_BDPV12</stp>
        <stp>912828DZ Govt</stp>
        <stp>CPN_TYP</stp>
        <stp>[TREASURY.xlsx]Sheet1!R1273C11</stp>
        <tr r="K1273" s="1"/>
      </tp>
      <tp t="s">
        <v>FIXED</v>
        <stp/>
        <stp>##V3_BDPV12</stp>
        <stp>912828GY Govt</stp>
        <stp>CPN_TYP</stp>
        <stp>[TREASURY.xlsx]Sheet1!R1120C11</stp>
        <tr r="K1120" s="1"/>
      </tp>
      <tp t="s">
        <v>FIXED</v>
        <stp/>
        <stp>##V3_BDPV12</stp>
        <stp>912828GZ Govt</stp>
        <stp>CPN_TYP</stp>
        <stp>[TREASURY.xlsx]Sheet1!R1121C11</stp>
        <tr r="K1121" s="1"/>
      </tp>
      <tp t="s">
        <v>FIXED</v>
        <stp/>
        <stp>##V3_BDPV12</stp>
        <stp>912828DU Govt</stp>
        <stp>CPN_TYP</stp>
        <stp>[TREASURY.xlsx]Sheet1!R1237C11</stp>
        <tr r="K1237" s="1"/>
      </tp>
      <tp t="s">
        <v>FIXED</v>
        <stp/>
        <stp>##V3_BDPV12</stp>
        <stp>912828DT Govt</stp>
        <stp>CPN_TYP</stp>
        <stp>[TREASURY.xlsx]Sheet1!R1272C11</stp>
        <tr r="K1272" s="1"/>
      </tp>
      <tp t="s">
        <v>FIXED</v>
        <stp/>
        <stp>##V3_BDPV12</stp>
        <stp>912828AM Govt</stp>
        <stp>CPN_TYP</stp>
        <stp>[TREASURY.xlsx]Sheet1!R1616C11</stp>
        <tr r="K1616" s="1"/>
      </tp>
      <tp t="s">
        <v>FIXED</v>
        <stp/>
        <stp>##V3_BDPV12</stp>
        <stp>912828EJ Govt</stp>
        <stp>CPN_TYP</stp>
        <stp>[TREASURY.xlsx]Sheet1!R1238C11</stp>
        <tr r="K1238" s="1"/>
      </tp>
      <tp t="s">
        <v>FIXED</v>
        <stp/>
        <stp>##V3_BDPV12</stp>
        <stp>912828CE Govt</stp>
        <stp>CPN_TYP</stp>
        <stp>[TREASURY.xlsx]Sheet1!R1426C11</stp>
        <tr r="K1426" s="1"/>
      </tp>
      <tp t="s">
        <v>FIXED</v>
        <stp/>
        <stp>##V3_BDPV12</stp>
        <stp>912828EY Govt</stp>
        <stp>CPN_TYP</stp>
        <stp>[TREASURY.xlsx]Sheet1!R1239C11</stp>
        <tr r="K1239" s="1"/>
      </tp>
      <tp t="s">
        <v>FIXED</v>
        <stp/>
        <stp>##V3_BDPV12</stp>
        <stp>912828F8 Govt</stp>
        <stp>CPN_TYP</stp>
        <stp>[TREASURY.xlsx]Sheet1!R1118C11</stp>
        <tr r="K1118" s="1"/>
      </tp>
      <tp t="s">
        <v>FIXED</v>
        <stp/>
        <stp>##V3_BDPV12</stp>
        <stp>912828F4 Govt</stp>
        <stp>CPN_TYP</stp>
        <stp>[TREASURY.xlsx]Sheet1!R1117C11</stp>
        <tr r="K1117" s="1"/>
      </tp>
      <tp t="s">
        <v>FIXED</v>
        <stp/>
        <stp>##V3_BDPV12</stp>
        <stp>912828EM Govt</stp>
        <stp>CPN_TYP</stp>
        <stp>[TREASURY.xlsx]Sheet1!R1115C11</stp>
        <tr r="K1115" s="1"/>
      </tp>
      <tp t="s">
        <v>FIXED</v>
        <stp/>
        <stp>##V3_BDPV12</stp>
        <stp>912828EH Govt</stp>
        <stp>CPN_TYP</stp>
        <stp>[TREASURY.xlsx]Sheet1!R1114C11</stp>
        <tr r="K1114" s="1"/>
      </tp>
      <tp t="s">
        <v>FIXED</v>
        <stp/>
        <stp>##V3_BDPV12</stp>
        <stp>912828FN Govt</stp>
        <stp>CPN_TYP</stp>
        <stp>[TREASURY.xlsx]Sheet1!R1275C11</stp>
        <tr r="K1275" s="1"/>
      </tp>
      <tp t="s">
        <v>FIXED</v>
        <stp/>
        <stp>##V3_BDPV12</stp>
        <stp>912828FE Govt</stp>
        <stp>CPN_TYP</stp>
        <stp>[TREASURY.xlsx]Sheet1!R1274C11</stp>
        <tr r="K1274" s="1"/>
      </tp>
      <tp t="s">
        <v>FIXED</v>
        <stp/>
        <stp>##V3_BDPV12</stp>
        <stp>912828EB Govt</stp>
        <stp>CPN_TYP</stp>
        <stp>[TREASURY.xlsx]Sheet1!R1113C11</stp>
        <tr r="K1113" s="1"/>
      </tp>
      <tp t="s">
        <v>FIXED</v>
        <stp/>
        <stp>##V3_BDPV12</stp>
        <stp>912828FG Govt</stp>
        <stp>CPN_TYP</stp>
        <stp>[TREASURY.xlsx]Sheet1!R1241C11</stp>
        <tr r="K1241" s="1"/>
      </tp>
      <tp t="s">
        <v>FIXED</v>
        <stp/>
        <stp>##V3_BDPV12</stp>
        <stp>912828FX Govt</stp>
        <stp>CPN_TYP</stp>
        <stp>[TREASURY.xlsx]Sheet1!R1278C11</stp>
        <tr r="K1278" s="1"/>
      </tp>
      <tp t="s">
        <v>FIXED</v>
        <stp/>
        <stp>##V3_BDPV12</stp>
        <stp>912828FZ Govt</stp>
        <stp>CPN_TYP</stp>
        <stp>[TREASURY.xlsx]Sheet1!R1279C11</stp>
        <tr r="K1279" s="1"/>
      </tp>
      <tp t="s">
        <v>FIXED</v>
        <stp/>
        <stp>##V3_BDPV12</stp>
        <stp>912828FP Govt</stp>
        <stp>CPN_TYP</stp>
        <stp>[TREASURY.xlsx]Sheet1!R1276C11</stp>
        <tr r="K1276" s="1"/>
      </tp>
      <tp t="s">
        <v>FIXED</v>
        <stp/>
        <stp>##V3_BDPV12</stp>
        <stp>912828FR Govt</stp>
        <stp>CPN_TYP</stp>
        <stp>[TREASURY.xlsx]Sheet1!R1277C11</stp>
        <tr r="K1277" s="1"/>
      </tp>
      <tp t="s">
        <v>FIXED</v>
        <stp/>
        <stp>##V3_BDPV12</stp>
        <stp>912828ES Govt</stp>
        <stp>CPN_TYP</stp>
        <stp>[TREASURY.xlsx]Sheet1!R1116C11</stp>
        <tr r="K1116" s="1"/>
      </tp>
      <tp t="s">
        <v>FIXED</v>
        <stp/>
        <stp>##V3_BDPV12</stp>
        <stp>912828F5 Govt</stp>
        <stp>CPN_TYP</stp>
        <stp>[TREASURY.xlsx]Sheet1!R1240C11</stp>
        <tr r="K1240" s="1"/>
      </tp>
      <tp t="s">
        <v>FIXED</v>
        <stp/>
        <stp>##V3_BDPV12</stp>
        <stp>912828GC Govt</stp>
        <stp>CPN_TYP</stp>
        <stp>[TREASURY.xlsx]Sheet1!R1282C11</stp>
        <tr r="K1282" s="1"/>
      </tp>
      <tp t="s">
        <v>FIXED</v>
        <stp/>
        <stp>##V3_BDPV12</stp>
        <stp>912828DJ Govt</stp>
        <stp>CPN_TYP</stp>
        <stp>[TREASURY.xlsx]Sheet1!R1111C11</stp>
        <tr r="K1111" s="1"/>
      </tp>
      <tp t="s">
        <v>FIXED</v>
        <stp/>
        <stp>##V3_BDPV12</stp>
        <stp>912828DG Govt</stp>
        <stp>CPN_TYP</stp>
        <stp>[TREASURY.xlsx]Sheet1!R1110C11</stp>
        <tr r="K1110" s="1"/>
      </tp>
      <tp t="s">
        <v>FIXED</v>
        <stp/>
        <stp>##V3_BDPV12</stp>
        <stp>912828DE Govt</stp>
        <stp>CPN_TYP</stp>
        <stp>[TREASURY.xlsx]Sheet1!R1109C11</stp>
        <tr r="K1109" s="1"/>
      </tp>
      <tp t="s">
        <v>FIXED</v>
        <stp/>
        <stp>##V3_BDPV12</stp>
        <stp>912828GE Govt</stp>
        <stp>CPN_TYP</stp>
        <stp>[TREASURY.xlsx]Sheet1!R1242C11</stp>
        <tr r="K1242" s="1"/>
      </tp>
      <tp t="s">
        <v>FIXED</v>
        <stp/>
        <stp>##V3_BDPV12</stp>
        <stp>912828AP Govt</stp>
        <stp>CPN_TYP</stp>
        <stp>[TREASURY.xlsx]Sheet1!R1424C11</stp>
        <tr r="K1424" s="1"/>
      </tp>
      <tp t="s">
        <v>FIXED</v>
        <stp/>
        <stp>##V3_BDPV12</stp>
        <stp>912828DQ Govt</stp>
        <stp>CPN_TYP</stp>
        <stp>[TREASURY.xlsx]Sheet1!R1112C11</stp>
        <tr r="K1112" s="1"/>
      </tp>
      <tp t="s">
        <v>FIXED</v>
        <stp/>
        <stp>##V3_BDPV12</stp>
        <stp>912828G4 Govt</stp>
        <stp>CPN_TYP</stp>
        <stp>[TREASURY.xlsx]Sheet1!R1281C11</stp>
        <tr r="K1281" s="1"/>
      </tp>
      <tp t="s">
        <v>FIXED</v>
        <stp/>
        <stp>##V3_BDPV12</stp>
        <stp>912828G2 Govt</stp>
        <stp>CPN_TYP</stp>
        <stp>[TREASURY.xlsx]Sheet1!R1280C11</stp>
        <tr r="K1280" s="1"/>
      </tp>
      <tp t="s">
        <v>FIXED</v>
        <stp/>
        <stp>##V3_BDPV12</stp>
        <stp>912828KH Govt</stp>
        <stp>CPN_TYP</stp>
        <stp>[TREASURY.xlsx]Sheet1!R1123C11</stp>
        <tr r="K1123" s="1"/>
      </tp>
      <tp t="s">
        <v>FIXED</v>
        <stp/>
        <stp>##V3_BDPV12</stp>
        <stp>912828HC Govt</stp>
        <stp>CPN_TYP</stp>
        <stp>[TREASURY.xlsx]Sheet1!R1283C11</stp>
        <tr r="K1283" s="1"/>
      </tp>
      <tp t="s">
        <v>FIXED</v>
        <stp/>
        <stp>##V3_BDPV12</stp>
        <stp>912828KK Govt</stp>
        <stp>CPN_TYP</stp>
        <stp>[TREASURY.xlsx]Sheet1!R1124C11</stp>
        <tr r="K1124" s="1"/>
      </tp>
      <tp t="s">
        <v>FIXED</v>
        <stp/>
        <stp>##V3_BDPV12</stp>
        <stp>912828KX Govt</stp>
        <stp>CPN_TYP</stp>
        <stp>[TREASURY.xlsx]Sheet1!R1126C11</stp>
        <tr r="K1126" s="1"/>
      </tp>
      <tp t="s">
        <v>FIXED</v>
        <stp/>
        <stp>##V3_BDPV12</stp>
        <stp>912828HS Govt</stp>
        <stp>CPN_TYP</stp>
        <stp>[TREASURY.xlsx]Sheet1!R1245C11</stp>
        <tr r="K1245" s="1"/>
      </tp>
      <tp t="s">
        <v>FIXED</v>
        <stp/>
        <stp>##V3_BDPV12</stp>
        <stp>912828HQ Govt</stp>
        <stp>CPN_TYP</stp>
        <stp>[TREASURY.xlsx]Sheet1!R1244C11</stp>
        <tr r="K1244" s="1"/>
      </tp>
      <tp t="s">
        <v>FIXED</v>
        <stp/>
        <stp>##V3_BDPV12</stp>
        <stp>912828KP Govt</stp>
        <stp>CPN_TYP</stp>
        <stp>[TREASURY.xlsx]Sheet1!R1125C11</stp>
        <tr r="K1125" s="1"/>
      </tp>
      <tp t="s">
        <v>FIXED</v>
        <stp/>
        <stp>##V3_BDPV12</stp>
        <stp>912828H9 Govt</stp>
        <stp>CPN_TYP</stp>
        <stp>[TREASURY.xlsx]Sheet1!R1243C11</stp>
        <tr r="K1243" s="1"/>
      </tp>
      <tp t="s">
        <v>FIXED</v>
        <stp/>
        <stp>##V3_BDPV12</stp>
        <stp>912828JL Govt</stp>
        <stp>CPN_TYP</stp>
        <stp>[TREASURY.xlsx]Sheet1!R1122C11</stp>
        <tr r="K1122" s="1"/>
      </tp>
      <tp t="s">
        <v>FIXED</v>
        <stp/>
        <stp>##V3_BDPV12</stp>
        <stp>912828JA Govt</stp>
        <stp>CPN_TYP</stp>
        <stp>[TREASURY.xlsx]Sheet1!R1285C11</stp>
        <tr r="K1285" s="1"/>
      </tp>
      <tp t="s">
        <v>FIXED</v>
        <stp/>
        <stp>##V3_BDPV12</stp>
        <stp>912828JP Govt</stp>
        <stp>CPN_TYP</stp>
        <stp>[TREASURY.xlsx]Sheet1!R1286C11</stp>
        <tr r="K1286" s="1"/>
      </tp>
      <tp t="s">
        <v>FIXED</v>
        <stp/>
        <stp>##V3_BDPV12</stp>
        <stp>912828JS Govt</stp>
        <stp>CPN_TYP</stp>
        <stp>[TREASURY.xlsx]Sheet1!R1247C11</stp>
        <tr r="K1247" s="1"/>
      </tp>
      <tp t="s">
        <v>FIXED</v>
        <stp/>
        <stp>##V3_BDPV12</stp>
        <stp>912828J3 Govt</stp>
        <stp>CPN_TYP</stp>
        <stp>[TREASURY.xlsx]Sheet1!R1246C11</stp>
        <tr r="K1246" s="1"/>
      </tp>
      <tp t="s">
        <v>FIXED</v>
        <stp/>
        <stp>##V3_BDPV12</stp>
        <stp>912828KG Govt</stp>
        <stp>CPN_TYP</stp>
        <stp>[TREASURY.xlsx]Sheet1!R1288C11</stp>
        <tr r="K1288" s="1"/>
      </tp>
      <tp t="s">
        <v>FIXED</v>
        <stp/>
        <stp>##V3_BDPV12</stp>
        <stp>912828KN Govt</stp>
        <stp>CPN_TYP</stp>
        <stp>[TREASURY.xlsx]Sheet1!R1250C11</stp>
        <tr r="K1250" s="1"/>
      </tp>
      <tp t="s">
        <v>FIXED</v>
        <stp/>
        <stp>##V3_BDPV12</stp>
        <stp>912828KC Govt</stp>
        <stp>CPN_TYP</stp>
        <stp>[TREASURY.xlsx]Sheet1!R1249C11</stp>
        <tr r="K1249" s="1"/>
      </tp>
      <tp t="s">
        <v>ACT/ACT</v>
        <stp/>
        <stp>##V3_BDPV12</stp>
        <stp>912828Z5 Govt</stp>
        <stp>DAY_CNT_DES</stp>
        <stp>[TREASURY.xlsx]Sheet1!R83C17</stp>
        <tr r="Q83" s="1"/>
      </tp>
      <tp t="s">
        <v>ACT/ACT</v>
        <stp/>
        <stp>##V3_BDPV12</stp>
        <stp>912828D5 Govt</stp>
        <stp>DAY_CNT_DES</stp>
        <stp>[TREASURY.xlsx]Sheet1!R70C17</stp>
        <tr r="Q70" s="1"/>
      </tp>
      <tp t="s">
        <v>FIXED</v>
        <stp/>
        <stp>##V3_BDPV12</stp>
        <stp>912828K2 Govt</stp>
        <stp>CPN_TYP</stp>
        <stp>[TREASURY.xlsx]Sheet1!R1287C11</stp>
        <tr r="K1287" s="1"/>
      </tp>
      <tp t="s">
        <v>FIXED</v>
        <stp/>
        <stp>##V3_BDPV12</stp>
        <stp>912828K6 Govt</stp>
        <stp>CPN_TYP</stp>
        <stp>[TREASURY.xlsx]Sheet1!R1248C11</stp>
        <tr r="K1248" s="1"/>
      </tp>
      <tp t="s">
        <v>FIXED</v>
        <stp/>
        <stp>##V3_BDPV12</stp>
        <stp>912828LC Govt</stp>
        <stp>CPN_TYP</stp>
        <stp>[TREASURY.xlsx]Sheet1!R1289C11</stp>
        <tr r="K1289" s="1"/>
      </tp>
      <tp t="s">
        <v>FIXED</v>
        <stp/>
        <stp>##V3_BDPV12</stp>
        <stp>912828LL Govt</stp>
        <stp>CPN_TYP</stp>
        <stp>[TREASURY.xlsx]Sheet1!R1290C11</stp>
        <tr r="K1290" s="1"/>
      </tp>
      <tp t="s">
        <v>FIXED</v>
        <stp/>
        <stp>##V3_BDPV12</stp>
        <stp>912828LV Govt</stp>
        <stp>CPN_TYP</stp>
        <stp>[TREASURY.xlsx]Sheet1!R1291C11</stp>
        <tr r="K1291" s="1"/>
      </tp>
      <tp t="s">
        <v>FIXED</v>
        <stp/>
        <stp>##V3_BDPV12</stp>
        <stp>912828ML Govt</stp>
        <stp>CPN_TYP</stp>
        <stp>[TREASURY.xlsx]Sheet1!R1253C11</stp>
        <tr r="K1253" s="1"/>
      </tp>
      <tp t="s">
        <v>FIXED</v>
        <stp/>
        <stp>##V3_BDPV12</stp>
        <stp>912828MA Govt</stp>
        <stp>CPN_TYP</stp>
        <stp>[TREASURY.xlsx]Sheet1!R1252C11</stp>
        <tr r="K1252" s="1"/>
      </tp>
      <tp t="s">
        <v>FIXED</v>
        <stp/>
        <stp>##V3_BDPV12</stp>
        <stp>912828MZ Govt</stp>
        <stp>CPN_TYP</stp>
        <stp>[TREASURY.xlsx]Sheet1!R1255C11</stp>
        <tr r="K1255" s="1"/>
      </tp>
      <tp t="s">
        <v>FIXED</v>
        <stp/>
        <stp>##V3_BDPV12</stp>
        <stp>912828MT Govt</stp>
        <stp>CPN_TYP</stp>
        <stp>[TREASURY.xlsx]Sheet1!R1254C11</stp>
        <tr r="K1254" s="1"/>
      </tp>
      <tp t="s">
        <v>FIXED</v>
        <stp/>
        <stp>##V3_BDPV12</stp>
        <stp>912828M6 Govt</stp>
        <stp>CPN_TYP</stp>
        <stp>[TREASURY.xlsx]Sheet1!R1251C11</stp>
        <tr r="K1251" s="1"/>
      </tp>
      <tp t="s">
        <v>FIXED</v>
        <stp/>
        <stp>##V3_BDPV12</stp>
        <stp>912828NA Govt</stp>
        <stp>CPN_TYP</stp>
        <stp>[TREASURY.xlsx]Sheet1!R1292C11</stp>
        <tr r="K1292" s="1"/>
      </tp>
      <tp t="s">
        <v>S/A</v>
        <stp/>
        <stp>##V3_BDPV12</stp>
        <stp>91282CCV Govt</stp>
        <stp>COUPON_FREQUENCY_DESCRIPTION</stp>
        <stp>[TREASURY.xlsx]Sheet1!R9C10</stp>
        <tr r="J9" s="1"/>
      </tp>
      <tp t="s">
        <v>FIXED</v>
        <stp/>
        <stp>##V3_BDPV12</stp>
        <stp>912828HA Govt</stp>
        <stp>CPN_TYP</stp>
        <stp>[TREASURY.xlsx]Sheet1!R1437C11</stp>
        <tr r="K1437" s="1"/>
      </tp>
      <tp t="s">
        <v>FIXED</v>
        <stp/>
        <stp>##V3_BDPV12</stp>
        <stp>912828NF Govt</stp>
        <stp>CPN_TYP</stp>
        <stp>[TREASURY.xlsx]Sheet1!R1256C11</stp>
        <tr r="K1256" s="1"/>
      </tp>
      <tp t="s">
        <v>FIXED</v>
        <stp/>
        <stp>##V3_BDPV12</stp>
        <stp>912828NW Govt</stp>
        <stp>CPN_TYP</stp>
        <stp>[TREASURY.xlsx]Sheet1!R1294C11</stp>
        <tr r="K1294" s="1"/>
      </tp>
      <tp t="s">
        <v>FIXED</v>
        <stp/>
        <stp>##V3_BDPV12</stp>
        <stp>912828NY Govt</stp>
        <stp>CPN_TYP</stp>
        <stp>[TREASURY.xlsx]Sheet1!R1258C11</stp>
        <tr r="K1258" s="1"/>
      </tp>
      <tp t="s">
        <v>FIXED</v>
        <stp/>
        <stp>##V3_BDPV12</stp>
        <stp>912828NQ Govt</stp>
        <stp>CPN_TYP</stp>
        <stp>[TREASURY.xlsx]Sheet1!R1293C11</stp>
        <tr r="K1293" s="1"/>
      </tp>
      <tp t="s">
        <v>FIXED</v>
        <stp/>
        <stp>##V3_BDPV12</stp>
        <stp>912828NR Govt</stp>
        <stp>CPN_TYP</stp>
        <stp>[TREASURY.xlsx]Sheet1!R1257C11</stp>
        <tr r="K1257" s="1"/>
      </tp>
      <tp t="s">
        <v>FIXED</v>
        <stp/>
        <stp>##V3_BDPV12</stp>
        <stp>912828HP Govt</stp>
        <stp>CPN_TYP</stp>
        <stp>[TREASURY.xlsx]Sheet1!R1438C11</stp>
        <tr r="K1438" s="1"/>
      </tp>
      <tp t="s">
        <v>FIXED</v>
        <stp/>
        <stp>##V3_BDPV12</stp>
        <stp>912828NZ Govt</stp>
        <stp>CPN_TYP</stp>
        <stp>[TREASURY.xlsx]Sheet1!R1295C11</stp>
        <tr r="K1295" s="1"/>
      </tp>
      <tp t="s">
        <v>FIXED</v>
        <stp/>
        <stp>##V3_BDPV12</stp>
        <stp>912828LM Govt</stp>
        <stp>CPN_TYP</stp>
        <stp>[TREASURY.xlsx]Sheet1!R1129C11</stp>
        <tr r="K1129" s="1"/>
      </tp>
      <tp t="s">
        <v>FIXED</v>
        <stp/>
        <stp>##V3_BDPV12</stp>
        <stp>912828LH Govt</stp>
        <stp>CPN_TYP</stp>
        <stp>[TREASURY.xlsx]Sheet1!R1128C11</stp>
        <tr r="K1128" s="1"/>
      </tp>
      <tp t="s">
        <v>FIXED</v>
        <stp/>
        <stp>##V3_BDPV12</stp>
        <stp>912828L8 Govt</stp>
        <stp>CPN_TYP</stp>
        <stp>[TREASURY.xlsx]Sheet1!R1127C11</stp>
        <tr r="K1127" s="1"/>
      </tp>
      <tp t="s">
        <v>FIXED</v>
        <stp/>
        <stp>##V3_BDPV12</stp>
        <stp>912828PF Govt</stp>
        <stp>CPN_TYP</stp>
        <stp>[TREASURY.xlsx]Sheet1!R1299C11</stp>
        <tr r="K1299" s="1"/>
      </tp>
      <tp t="s">
        <v>FIXED</v>
        <stp/>
        <stp>##V3_BDPV12</stp>
        <stp>912828PD Govt</stp>
        <stp>CPN_TYP</stp>
        <stp>[TREASURY.xlsx]Sheet1!R1298C11</stp>
        <tr r="K1298" s="1"/>
      </tp>
      <tp t="s">
        <v>FIXED</v>
        <stp/>
        <stp>##V3_BDPV12</stp>
        <stp>912828PB Govt</stp>
        <stp>CPN_TYP</stp>
        <stp>[TREASURY.xlsx]Sheet1!R1297C11</stp>
        <tr r="K1297" s="1"/>
      </tp>
      <tp t="s">
        <v>FIXED</v>
        <stp/>
        <stp>##V3_BDPV12</stp>
        <stp>912828SK Govt</stp>
        <stp>CPN_TYP</stp>
        <stp>[TREASURY.xlsx]Sheet1!R1132C11</stp>
        <tr r="K1132" s="1"/>
      </tp>
      <tp t="s">
        <v>FIXED</v>
        <stp/>
        <stp>##V3_BDPV12</stp>
        <stp>912828PA Govt</stp>
        <stp>CPN_TYP</stp>
        <stp>[TREASURY.xlsx]Sheet1!R1296C11</stp>
        <tr r="K1296" s="1"/>
      </tp>
      <tp t="s">
        <v>FIXED</v>
        <stp/>
        <stp>##V3_BDPV12</stp>
        <stp>912828SC Govt</stp>
        <stp>CPN_TYP</stp>
        <stp>[TREASURY.xlsx]Sheet1!R1141C11</stp>
        <tr r="K1141" s="1"/>
      </tp>
      <tp t="s">
        <v>FIXED</v>
        <stp/>
        <stp>##V3_BDPV12</stp>
        <stp>912828QC Govt</stp>
        <stp>CPN_TYP</stp>
        <stp>[TREASURY.xlsx]Sheet1!R1301C11</stp>
        <tr r="K1301" s="1"/>
      </tp>
      <tp t="s">
        <v>FIXED</v>
        <stp/>
        <stp>##V3_BDPV12</stp>
        <stp>912828SY Govt</stp>
        <stp>CPN_TYP</stp>
        <stp>[TREASURY.xlsx]Sheet1!R1133C11</stp>
        <tr r="K1133" s="1"/>
      </tp>
      <tp t="s">
        <v>FIXED</v>
        <stp/>
        <stp>##V3_BDPV12</stp>
        <stp>912828SR Govt</stp>
        <stp>CPN_TYP</stp>
        <stp>[TREASURY.xlsx]Sheet1!R1142C11</stp>
        <tr r="K1142" s="1"/>
      </tp>
      <tp t="s">
        <v>FIXED</v>
        <stp/>
        <stp>##V3_BDPV12</stp>
        <stp>912828PR Govt</stp>
        <stp>CPN_TYP</stp>
        <stp>[TREASURY.xlsx]Sheet1!R1260C11</stp>
        <tr r="K1260" s="1"/>
      </tp>
      <tp t="s">
        <v>FIXED</v>
        <stp/>
        <stp>##V3_BDPV12</stp>
        <stp>912828PU Govt</stp>
        <stp>CPN_TYP</stp>
        <stp>[TREASURY.xlsx]Sheet1!R1261C11</stp>
        <tr r="K1261" s="1"/>
      </tp>
      <tp t="s">
        <v>FIXED</v>
        <stp/>
        <stp>##V3_BDPV12</stp>
        <stp>912828P5 Govt</stp>
        <stp>CPN_TYP</stp>
        <stp>[TREASURY.xlsx]Sheet1!R1259C11</stp>
        <tr r="K1259" s="1"/>
      </tp>
      <tp t="s">
        <v>FIXED</v>
        <stp/>
        <stp>##V3_BDPV12</stp>
        <stp>912828RL Govt</stp>
        <stp>CPN_TYP</stp>
        <stp>[TREASURY.xlsx]Sheet1!R1131C11</stp>
        <tr r="K1131" s="1"/>
      </tp>
      <tp t="s">
        <v>FIXED</v>
        <stp/>
        <stp>##V3_BDPV12</stp>
        <stp>912828QK Govt</stp>
        <stp>CPN_TYP</stp>
        <stp>[TREASURY.xlsx]Sheet1!R1263C11</stp>
        <tr r="K1263" s="1"/>
      </tp>
      <tp t="s">
        <v>FIXED</v>
        <stp/>
        <stp>##V3_BDPV12</stp>
        <stp>912828RN Govt</stp>
        <stp>CPN_TYP</stp>
        <stp>[TREASURY.xlsx]Sheet1!R1140C11</stp>
        <tr r="K1140" s="1"/>
      </tp>
      <tp t="s">
        <v>FIXED</v>
        <stp/>
        <stp>##V3_BDPV12</stp>
        <stp>912828PT Govt</stp>
        <stp>CPN_TYP</stp>
        <stp>[TREASURY.xlsx]Sheet1!R1300C11</stp>
        <tr r="K1300" s="1"/>
      </tp>
      <tp t="s">
        <v>FIXED</v>
        <stp/>
        <stp>##V3_BDPV12</stp>
        <stp>912828Q5 Govt</stp>
        <stp>CPN_TYP</stp>
        <stp>[TREASURY.xlsx]Sheet1!R1262C11</stp>
        <tr r="K1262" s="1"/>
      </tp>
      <tp t="s">
        <v>FIXED</v>
        <stp/>
        <stp>##V3_BDPV12</stp>
        <stp>912828QM Govt</stp>
        <stp>CPN_TYP</stp>
        <stp>[TREASURY.xlsx]Sheet1!R1130C11</stp>
        <tr r="K1130" s="1"/>
      </tp>
      <tp t="s">
        <v>FIXED</v>
        <stp/>
        <stp>##V3_BDPV12</stp>
        <stp>912828RK Govt</stp>
        <stp>CPN_TYP</stp>
        <stp>[TREASURY.xlsx]Sheet1!R1266C11</stp>
        <tr r="K1266" s="1"/>
      </tp>
      <tp t="s">
        <v>FIXED</v>
        <stp/>
        <stp>##V3_BDPV12</stp>
        <stp>912828RD Govt</stp>
        <stp>CPN_TYP</stp>
        <stp>[TREASURY.xlsx]Sheet1!R1265C11</stp>
        <tr r="K1265" s="1"/>
      </tp>
      <tp t="s">
        <v>FIXED</v>
        <stp/>
        <stp>##V3_BDPV12</stp>
        <stp>912828RY Govt</stp>
        <stp>CPN_TYP</stp>
        <stp>[TREASURY.xlsx]Sheet1!R1267C11</stp>
        <tr r="K1267" s="1"/>
      </tp>
      <tp t="s">
        <v>FIXED</v>
        <stp/>
        <stp>##V3_BDPV12</stp>
        <stp>912828RZ Govt</stp>
        <stp>CPN_TYP</stp>
        <stp>[TREASURY.xlsx]Sheet1!R1268C11</stp>
        <tr r="K1268" s="1"/>
      </tp>
      <tp t="s">
        <v>FIXED</v>
        <stp/>
        <stp>##V3_BDPV12</stp>
        <stp>912828R5 Govt</stp>
        <stp>CPN_TYP</stp>
        <stp>[TREASURY.xlsx]Sheet1!R1284C11</stp>
        <tr r="K1284" s="1"/>
      </tp>
      <tp t="s">
        <v>FIXED</v>
        <stp/>
        <stp>##V3_BDPV12</stp>
        <stp>912828R4 Govt</stp>
        <stp>CPN_TYP</stp>
        <stp>[TREASURY.xlsx]Sheet1!R1264C11</stp>
        <tr r="K1264" s="1"/>
      </tp>
      <tp t="s">
        <v>FIXED</v>
        <stp/>
        <stp>##V3_BDPV12</stp>
        <stp>912828RW Govt</stp>
        <stp>CPN_TYP</stp>
        <stp>[TREASURY.xlsx]Sheet1!R1303C11</stp>
        <tr r="K1303" s="1"/>
      </tp>
      <tp t="s">
        <v>FIXED</v>
        <stp/>
        <stp>##V3_BDPV12</stp>
        <stp>912828RU Govt</stp>
        <stp>CPN_TYP</stp>
        <stp>[TREASURY.xlsx]Sheet1!R1302C11</stp>
        <tr r="K1302" s="1"/>
      </tp>
      <tp t="s">
        <v>FIXED</v>
        <stp/>
        <stp>##V3_BDPV12</stp>
        <stp>912828WL Govt</stp>
        <stp>CPN_TYP</stp>
        <stp>[TREASURY.xlsx]Sheet1!R1150C11</stp>
        <tr r="K1150" s="1"/>
      </tp>
      <tp t="s">
        <v>FIXED</v>
        <stp/>
        <stp>##V3_BDPV12</stp>
        <stp>912828WC Govt</stp>
        <stp>CPN_TYP</stp>
        <stp>[TREASURY.xlsx]Sheet1!R1139C11</stp>
        <tr r="K1139" s="1"/>
      </tp>
      <tp t="s">
        <v>FIXED</v>
        <stp/>
        <stp>##V3_BDPV12</stp>
        <stp>912828VY Govt</stp>
        <stp>CPN_TYP</stp>
        <stp>[TREASURY.xlsx]Sheet1!R1004C11</stp>
        <tr r="K1004" s="1"/>
      </tp>
      <tp t="s">
        <v>FIXED</v>
        <stp/>
        <stp>##V3_BDPV12</stp>
        <stp>912828VU Govt</stp>
        <stp>CPN_TYP</stp>
        <stp>[TREASURY.xlsx]Sheet1!R1003C11</stp>
        <tr r="K1003" s="1"/>
      </tp>
      <tp t="s">
        <v>FIXED</v>
        <stp/>
        <stp>##V3_BDPV12</stp>
        <stp>912828VK Govt</stp>
        <stp>CPN_TYP</stp>
        <stp>[TREASURY.xlsx]Sheet1!R1148C11</stp>
        <tr r="K1148" s="1"/>
      </tp>
      <tp t="s">
        <v>FIXED</v>
        <stp/>
        <stp>##V3_BDPV12</stp>
        <stp>912828VD Govt</stp>
        <stp>CPN_TYP</stp>
        <stp>[TREASURY.xlsx]Sheet1!R1147C11</stp>
        <tr r="K1147" s="1"/>
      </tp>
      <tp t="s">
        <v>FIXED</v>
        <stp/>
        <stp>##V3_BDPV12</stp>
        <stp>912828WA Govt</stp>
        <stp>CPN_TYP</stp>
        <stp>[TREASURY.xlsx]Sheet1!R1005C11</stp>
        <tr r="K1005" s="1"/>
      </tp>
      <tp t="s">
        <v>FIXED</v>
        <stp/>
        <stp>##V3_BDPV12</stp>
        <stp>912828WT Govt</stp>
        <stp>CPN_TYP</stp>
        <stp>[TREASURY.xlsx]Sheet1!R1007C11</stp>
        <tr r="K1007" s="1"/>
      </tp>
      <tp t="s">
        <v>FIXED</v>
        <stp/>
        <stp>##V3_BDPV12</stp>
        <stp>912828VW Govt</stp>
        <stp>CPN_TYP</stp>
        <stp>[TREASURY.xlsx]Sheet1!R1149C11</stp>
        <tr r="K1149" s="1"/>
      </tp>
      <tp t="s">
        <v>FIXED</v>
        <stp/>
        <stp>##V3_BDPV12</stp>
        <stp>912828WQ Govt</stp>
        <stp>CPN_TYP</stp>
        <stp>[TREASURY.xlsx]Sheet1!R1006C11</stp>
        <tr r="K1006" s="1"/>
      </tp>
      <tp t="s">
        <v>FIXED</v>
        <stp/>
        <stp>##V3_BDPV12</stp>
        <stp>912828T8 Govt</stp>
        <stp>CPN_TYP</stp>
        <stp>[TREASURY.xlsx]Sheet1!R1304C11</stp>
        <tr r="K1304" s="1"/>
      </tp>
      <tp t="s">
        <v>FIXED</v>
        <stp/>
        <stp>##V3_BDPV12</stp>
        <stp>912828UK Govt</stp>
        <stp>CPN_TYP</stp>
        <stp>[TREASURY.xlsx]Sheet1!R1136C11</stp>
        <tr r="K1136" s="1"/>
      </tp>
      <tp t="s">
        <v>FIXED</v>
        <stp/>
        <stp>##V3_BDPV12</stp>
        <stp>912828WH Govt</stp>
        <stp>CPN_TYP</stp>
        <stp>[TREASURY.xlsx]Sheet1!R1306C11</stp>
        <tr r="K1306" s="1"/>
      </tp>
      <tp t="s">
        <v>FIXED</v>
        <stp/>
        <stp>##V3_BDPV12</stp>
        <stp>912828UC Govt</stp>
        <stp>CPN_TYP</stp>
        <stp>[TREASURY.xlsx]Sheet1!R1144C11</stp>
        <tr r="K1144" s="1"/>
      </tp>
      <tp t="s">
        <v>FIXED</v>
        <stp/>
        <stp>##V3_BDPV12</stp>
        <stp>912828UG Govt</stp>
        <stp>CPN_TYP</stp>
        <stp>[TREASURY.xlsx]Sheet1!R1135C11</stp>
        <tr r="K1135" s="1"/>
      </tp>
      <tp t="s">
        <v>FIXED</v>
        <stp/>
        <stp>##V3_BDPV12</stp>
        <stp>912828UY Govt</stp>
        <stp>CPN_TYP</stp>
        <stp>[TREASURY.xlsx]Sheet1!R1138C11</stp>
        <tr r="K1138" s="1"/>
      </tp>
      <tp t="s">
        <v>FIXED</v>
        <stp/>
        <stp>##V3_BDPV12</stp>
        <stp>912828UR Govt</stp>
        <stp>CPN_TYP</stp>
        <stp>[TREASURY.xlsx]Sheet1!R1146C11</stp>
        <tr r="K1146" s="1"/>
      </tp>
      <tp t="s">
        <v>FIXED</v>
        <stp/>
        <stp>##V3_BDPV12</stp>
        <stp>912828UP Govt</stp>
        <stp>CPN_TYP</stp>
        <stp>[TREASURY.xlsx]Sheet1!R1145C11</stp>
        <tr r="K1145" s="1"/>
      </tp>
      <tp t="s">
        <v>FIXED</v>
        <stp/>
        <stp>##V3_BDPV12</stp>
        <stp>912828US Govt</stp>
        <stp>CPN_TYP</stp>
        <stp>[TREASURY.xlsx]Sheet1!R1137C11</stp>
        <tr r="K1137" s="1"/>
      </tp>
      <tp t="s">
        <v>FIXED</v>
        <stp/>
        <stp>##V3_BDPV12</stp>
        <stp>912828UL Govt</stp>
        <stp>CPN_TYP</stp>
        <stp>[TREASURY.xlsx]Sheet1!R1000C11</stp>
        <tr r="K1000" s="1"/>
      </tp>
      <tp t="s">
        <v>FIXED</v>
        <stp/>
        <stp>##V3_BDPV12</stp>
        <stp>912828TN Govt</stp>
        <stp>CPN_TYP</stp>
        <stp>[TREASURY.xlsx]Sheet1!R1143C11</stp>
        <tr r="K1143" s="1"/>
      </tp>
      <tp t="s">
        <v>FIXED</v>
        <stp/>
        <stp>##V3_BDPV12</stp>
        <stp>912828VV Govt</stp>
        <stp>CPN_TYP</stp>
        <stp>[TREASURY.xlsx]Sheet1!R1305C11</stp>
        <tr r="K1305" s="1"/>
      </tp>
      <tp t="s">
        <v>FIXED</v>
        <stp/>
        <stp>##V3_BDPV12</stp>
        <stp>912828UW Govt</stp>
        <stp>CPN_TYP</stp>
        <stp>[TREASURY.xlsx]Sheet1!R1002C11</stp>
        <tr r="K1002" s="1"/>
      </tp>
      <tp t="s">
        <v>FIXED</v>
        <stp/>
        <stp>##V3_BDPV12</stp>
        <stp>912828TT Govt</stp>
        <stp>CPN_TYP</stp>
        <stp>[TREASURY.xlsx]Sheet1!R1134C11</stp>
        <tr r="K1134" s="1"/>
      </tp>
      <tp t="s">
        <v>FIXED</v>
        <stp/>
        <stp>##V3_BDPV12</stp>
        <stp>912828UU Govt</stp>
        <stp>CPN_TYP</stp>
        <stp>[TREASURY.xlsx]Sheet1!R1001C11</stp>
        <tr r="K1001" s="1"/>
      </tp>
      <tp t="s">
        <v>FIXED</v>
        <stp/>
        <stp>##V3_BDPV12</stp>
        <stp>912828XS Govt</stp>
        <stp>CPN_TYP</stp>
        <stp>[TREASURY.xlsx]Sheet1!R1307C11</stp>
        <tr r="K1307" s="1"/>
      </tp>
      <tp t="s">
        <v>FIXED</v>
        <stp/>
        <stp>##V3_BDPV12</stp>
        <stp>912828XJ Govt</stp>
        <stp>CPN_TYP</stp>
        <stp>[TREASURY.xlsx]Sheet1!R1152C11</stp>
        <tr r="K1152" s="1"/>
      </tp>
      <tp t="s">
        <v>FIXED</v>
        <stp/>
        <stp>##V3_BDPV12</stp>
        <stp>912828XF Govt</stp>
        <stp>CPN_TYP</stp>
        <stp>[TREASURY.xlsx]Sheet1!R1151C11</stp>
        <tr r="K1151" s="1"/>
      </tp>
      <tp>
        <v>0.625</v>
        <stp/>
        <stp>##V3_BDPV12</stp>
        <stp>91282CAY Govt</stp>
        <stp>CPN</stp>
        <stp>[TREASURY.xlsx]Sheet1!R144C3</stp>
        <tr r="C144" s="1"/>
      </tp>
      <tp>
        <v>2.625</v>
        <stp/>
        <stp>##V3_BDPV12</stp>
        <stp>9128285T Govt</stp>
        <stp>CPN</stp>
        <stp>[TREASURY.xlsx]Sheet1!R239C3</stp>
        <tr r="C239" s="1"/>
      </tp>
      <tp>
        <v>2.375</v>
        <stp/>
        <stp>##V3_BDPV12</stp>
        <stp>9128283U Govt</stp>
        <stp>CPN</stp>
        <stp>[TREASURY.xlsx]Sheet1!R268C3</stp>
        <tr r="C268" s="1"/>
      </tp>
      <tp>
        <v>4.625</v>
        <stp/>
        <stp>##V3_BDPV12</stp>
        <stp>912828FY Govt</stp>
        <stp>CPN</stp>
        <stp>[TREASURY.xlsx]Sheet1!R394C3</stp>
        <tr r="C394" s="1"/>
      </tp>
      <tp>
        <v>3.625</v>
        <stp/>
        <stp>##V3_BDPV12</stp>
        <stp>912828PX Govt</stp>
        <stp>CPN</stp>
        <stp>[TREASURY.xlsx]Sheet1!R355C3</stp>
        <tr r="C355" s="1"/>
      </tp>
      <tp>
        <v>0.125</v>
        <stp/>
        <stp>##V3_BDPV12</stp>
        <stp>912828ZY Govt</stp>
        <stp>CPN</stp>
        <stp>[TREASURY.xlsx]Sheet1!R184C3</stp>
        <tr r="C184" s="1"/>
      </tp>
      <tp>
        <v>2.625</v>
        <stp/>
        <stp>##V3_BDPV12</stp>
        <stp>9128284U Govt</stp>
        <stp>CPN</stp>
        <stp>[TREASURY.xlsx]Sheet1!R128C3</stp>
        <tr r="C128" s="1"/>
      </tp>
      <tp>
        <v>2.625</v>
        <stp/>
        <stp>##V3_BDPV12</stp>
        <stp>912828KY Govt</stp>
        <stp>CPN</stp>
        <stp>[TREASURY.xlsx]Sheet1!R644C3</stp>
        <tr r="C644" s="1"/>
      </tp>
      <tp>
        <v>10</v>
        <stp/>
        <stp>##V3_BDPV12</stp>
        <stp>912827RX Govt</stp>
        <stp>CPN</stp>
        <stp>[TREASURY.xlsx]Sheet1!R915C3</stp>
        <tr r="C915" s="1"/>
      </tp>
      <tp>
        <v>13.875</v>
        <stp/>
        <stp>##V3_BDPV12</stp>
        <stp>912827LY Govt</stp>
        <stp>CPN</stp>
        <stp>[TREASURY.xlsx]Sheet1!R894C3</stp>
        <tr r="C894" s="1"/>
      </tp>
      <tp>
        <v>0.95965165286517606</v>
        <stp/>
        <stp>##V3_BDPV12</stp>
        <stp>912810EX Govt</stp>
        <stp>YLD_YTM_BID</stp>
        <stp>[TREASURY.xlsx]Sheet1!R324C4</stp>
        <tr r="D324" s="1"/>
      </tp>
      <tp>
        <v>1.375</v>
        <stp/>
        <stp>##V3_BDPV12</stp>
        <stp>912828LX Govt</stp>
        <stp>CPN</stp>
        <stp>[TREASURY.xlsx]Sheet1!R535C3</stp>
        <tr r="C535" s="1"/>
      </tp>
      <tp>
        <v>2.75</v>
        <stp/>
        <stp>##V3_BDPV12</stp>
        <stp>912828PY Govt</stp>
        <stp>CPN</stp>
        <stp>[TREASURY.xlsx]Sheet1!R594C3</stp>
        <tr r="C594" s="1"/>
      </tp>
      <tp>
        <v>4.75</v>
        <stp/>
        <stp>##V3_BDPV12</stp>
        <stp>912828GU Govt</stp>
        <stp>CPN</stp>
        <stp>[TREASURY.xlsx]Sheet1!R848C3</stp>
        <tr r="C848" s="1"/>
      </tp>
      <tp>
        <v>1.75</v>
        <stp/>
        <stp>##V3_BDPV12</stp>
        <stp>912828MX Govt</stp>
        <stp>CPN</stp>
        <stp>[TREASURY.xlsx]Sheet1!R825C3</stp>
        <tr r="C825" s="1"/>
      </tp>
      <tp>
        <v>3.125</v>
        <stp/>
        <stp>##V3_BDPV12</stp>
        <stp>912828LU Govt</stp>
        <stp>CPN</stp>
        <stp>[TREASURY.xlsx]Sheet1!R818C3</stp>
        <tr r="C818" s="1"/>
      </tp>
      <tp>
        <v>1.75</v>
        <stp/>
        <stp>##V3_BDPV12</stp>
        <stp>912828HU Govt</stp>
        <stp>CPN</stp>
        <stp>[TREASURY.xlsx]Sheet1!R808C3</stp>
        <tr r="C808" s="1"/>
      </tp>
      <tp>
        <v>1.254935105147855</v>
        <stp/>
        <stp>##V3_BDPV12</stp>
        <stp>91282CBZ Govt</stp>
        <stp>YLD_YTM_BID</stp>
        <stp>[TREASURY.xlsx]Sheet1!R126C4</stp>
        <tr r="D126" s="1"/>
      </tp>
      <tp t="s">
        <v>#N/A N/A</v>
        <stp/>
        <stp>##V3_BDPV12</stp>
        <stp>912827MY Govt</stp>
        <stp>YLD_YTM_BID</stp>
        <stp>[TREASURY.xlsx]Sheet1!R725C4</stp>
        <tr r="D725" s="1"/>
      </tp>
      <tp>
        <v>2.75</v>
        <stp/>
        <stp>##V3_BDPV12</stp>
        <stp>912810QX Govt</stp>
        <stp>CPN</stp>
        <stp>[TREASURY.xlsx]Sheet1!R275C3</stp>
        <tr r="C275" s="1"/>
      </tp>
      <tp t="s">
        <v>#N/A N/A</v>
        <stp/>
        <stp>##V3_BDPV12</stp>
        <stp>912828TU Govt</stp>
        <stp>YLD_YTM_BID</stp>
        <stp>[TREASURY.xlsx]Sheet1!R539C4</stp>
        <tr r="D539" s="1"/>
      </tp>
      <tp t="s">
        <v>#N/A N/A</v>
        <stp/>
        <stp>##V3_BDPV12</stp>
        <stp>9128282X Govt</stp>
        <stp>YLD_YTM_BID</stp>
        <stp>[TREASURY.xlsx]Sheet1!R554C4</stp>
        <tr r="D554" s="1"/>
      </tp>
      <tp t="s">
        <v>#N/A N/A</v>
        <stp/>
        <stp>##V3_BDPV12</stp>
        <stp>912828BZ Govt</stp>
        <stp>YLD_YTM_BID</stp>
        <stp>[TREASURY.xlsx]Sheet1!R436C4</stp>
        <tr r="D436" s="1"/>
      </tp>
      <tp t="s">
        <v>#N/A N/A</v>
        <stp/>
        <stp>##V3_BDPV12</stp>
        <stp>912828XU Govt</stp>
        <stp>YLD_YTM_BID</stp>
        <stp>[TREASURY.xlsx]Sheet1!R639C4</stp>
        <tr r="D639" s="1"/>
      </tp>
      <tp>
        <v>9.5603627057148088E-2</v>
        <stp/>
        <stp>##V3_BDPV12</stp>
        <stp>912828YT Govt</stp>
        <stp>YLD_YTM_BID</stp>
        <stp>[TREASURY.xlsx]Sheet1!R198C4</stp>
        <tr r="D198" s="1"/>
      </tp>
      <tp>
        <v>1.0139237805561363</v>
        <stp/>
        <stp>##V3_BDPV12</stp>
        <stp>912828YX Govt</stp>
        <stp>YLD_YTM_BID</stp>
        <stp>[TREASURY.xlsx]Sheet1!R104C4</stp>
        <tr r="D104" s="1"/>
      </tp>
      <tp>
        <v>0.52620814216380618</v>
        <stp/>
        <stp>##V3_BDPV12</stp>
        <stp>9128282Y Govt</stp>
        <stp>YLD_YTM_BID</stp>
        <stp>[TREASURY.xlsx]Sheet1!R145C4</stp>
        <tr r="D145" s="1"/>
      </tp>
      <tp>
        <v>14</v>
        <stp/>
        <stp>##V3_BDPV12</stp>
        <stp>912810CY Govt</stp>
        <stp>CPN</stp>
        <stp>[TREASURY.xlsx]Sheet1!R414C3</stp>
        <tr r="C414" s="1"/>
      </tp>
      <tp t="s">
        <v>#N/A N/A</v>
        <stp/>
        <stp>##V3_BDPV12</stp>
        <stp>912828HZ Govt</stp>
        <stp>YLD_YTM_BID</stp>
        <stp>[TREASURY.xlsx]Sheet1!R356C4</stp>
        <tr r="D356" s="1"/>
      </tp>
      <tp t="s">
        <v>#N/A N/A</v>
        <stp/>
        <stp>##V3_BDPV12</stp>
        <stp>912828RX Govt</stp>
        <stp>YLD_YTM_BID</stp>
        <stp>[TREASURY.xlsx]Sheet1!R374C4</stp>
        <tr r="D374" s="1"/>
      </tp>
      <tp t="s">
        <v>#N/A N/A</v>
        <stp/>
        <stp>##V3_BDPV12</stp>
        <stp>9128283Y Govt</stp>
        <stp>YLD_YTM_BID</stp>
        <stp>[TREASURY.xlsx]Sheet1!R395C4</stp>
        <tr r="D395" s="1"/>
      </tp>
      <tp>
        <v>0.91914917147767983</v>
        <stp/>
        <stp>##V3_BDPV12</stp>
        <stp>9128286X Govt</stp>
        <stp>YLD_YTM_BID</stp>
        <stp>[TREASURY.xlsx]Sheet1!R264C4</stp>
        <tr r="D264" s="1"/>
      </tp>
      <tp t="s">
        <v>UNITED STATES</v>
        <stp/>
        <stp>##V3_BDPV12</stp>
        <stp>912828NF Govt</stp>
        <stp>COUNTRY_FULL_NAME</stp>
        <stp>[TREASURY.xlsx]Sheet1!R1256C8</stp>
        <tr r="H1256" s="1"/>
      </tp>
      <tp>
        <v>0.75</v>
        <stp/>
        <stp>##V3_BDPV12</stp>
        <stp>912828UU Govt</stp>
        <stp>CPN</stp>
        <stp>[TREASURY.xlsx]Sheet1!R1001C3</stp>
        <tr r="C1001" s="1"/>
      </tp>
      <tp>
        <v>0.875</v>
        <stp/>
        <stp>##V3_BDPV12</stp>
        <stp>912828SC Govt</stp>
        <stp>CPN</stp>
        <stp>[TREASURY.xlsx]Sheet1!R1141C3</stp>
        <tr r="C1141" s="1"/>
      </tp>
      <tp>
        <v>1.25</v>
        <stp/>
        <stp>##V3_BDPV12</stp>
        <stp>912828QC Govt</stp>
        <stp>CPN</stp>
        <stp>[TREASURY.xlsx]Sheet1!R1301C3</stp>
        <tr r="C1301" s="1"/>
      </tp>
      <tp>
        <v>0.5</v>
        <stp/>
        <stp>##V3_BDPV12</stp>
        <stp>912828PU Govt</stp>
        <stp>CPN</stp>
        <stp>[TREASURY.xlsx]Sheet1!R1261C3</stp>
        <tr r="C1261" s="1"/>
      </tp>
      <tp>
        <v>0.5</v>
        <stp/>
        <stp>##V3_BDPV12</stp>
        <stp>912828RL Govt</stp>
        <stp>CPN</stp>
        <stp>[TREASURY.xlsx]Sheet1!R1131C3</stp>
        <tr r="C1131" s="1"/>
      </tp>
      <tp>
        <v>1.125</v>
        <stp/>
        <stp>##V3_BDPV12</stp>
        <stp>912828XF Govt</stp>
        <stp>CPN</stp>
        <stp>[TREASURY.xlsx]Sheet1!R1151C3</stp>
        <tr r="C1151" s="1"/>
      </tp>
      <tp>
        <v>4.875</v>
        <stp/>
        <stp>##V3_BDPV12</stp>
        <stp>912828FG Govt</stp>
        <stp>CPN</stp>
        <stp>[TREASURY.xlsx]Sheet1!R1241C3</stp>
        <tr r="C1241" s="1"/>
      </tp>
      <tp t="s">
        <v>#N/A N/A</v>
        <stp/>
        <stp>##V3_BDPV12</stp>
        <stp>912810DQ Govt</stp>
        <stp>YLD_YTM_BID</stp>
        <stp>[TREASURY.xlsx]Sheet1!R1621C4</stp>
        <tr r="D1621" s="1"/>
      </tp>
      <tp>
        <v>0.5</v>
        <stp/>
        <stp>##V3_BDPV12</stp>
        <stp>912828G4 Govt</stp>
        <stp>CPN</stp>
        <stp>[TREASURY.xlsx]Sheet1!R1281C3</stp>
        <tr r="C1281" s="1"/>
      </tp>
      <tp>
        <v>3.125</v>
        <stp/>
        <stp>##V3_BDPV12</stp>
        <stp>912828DJ Govt</stp>
        <stp>CPN</stp>
        <stp>[TREASURY.xlsx]Sheet1!R1111C3</stp>
        <tr r="C1111" s="1"/>
      </tp>
      <tp>
        <v>3.375</v>
        <stp/>
        <stp>##V3_BDPV12</stp>
        <stp>912828DK Govt</stp>
        <stp>CPN</stp>
        <stp>[TREASURY.xlsx]Sheet1!R1271C3</stp>
        <tr r="C1271" s="1"/>
      </tp>
      <tp>
        <v>4.625</v>
        <stp/>
        <stp>##V3_BDPV12</stp>
        <stp>912828GZ Govt</stp>
        <stp>CPN</stp>
        <stp>[TREASURY.xlsx]Sheet1!R1121C3</stp>
        <tr r="C1121" s="1"/>
      </tp>
      <tp t="s">
        <v>#N/A N/A</v>
        <stp/>
        <stp>##V3_BDPV12</stp>
        <stp>912810DE Govt</stp>
        <stp>YLD_YTM_BID</stp>
        <stp>[TREASURY.xlsx]Sheet1!R1311C4</stp>
        <tr r="D1311" s="1"/>
      </tp>
      <tp>
        <v>4</v>
        <stp/>
        <stp>##V3_BDPV12</stp>
        <stp>912828EF Govt</stp>
        <stp>CPN</stp>
        <stp>[TREASURY.xlsx]Sheet1!R1431C3</stp>
        <tr r="C1431" s="1"/>
      </tp>
      <tp t="s">
        <v>#N/A N/A</v>
        <stp/>
        <stp>##V3_BDPV12</stp>
        <stp>912810CE Govt</stp>
        <stp>YLD_YTM_BID</stp>
        <stp>[TREASURY.xlsx]Sheet1!R1441C4</stp>
        <tr r="D1441" s="1"/>
      </tp>
      <tp>
        <v>1</v>
        <stp/>
        <stp>##V3_BDPV12</stp>
        <stp>912828LV Govt</stp>
        <stp>CPN</stp>
        <stp>[TREASURY.xlsx]Sheet1!R1291C3</stp>
        <tr r="C1291" s="1"/>
      </tp>
      <tp>
        <v>1.25</v>
        <stp/>
        <stp>##V3_BDPV12</stp>
        <stp>912828M6 Govt</stp>
        <stp>CPN</stp>
        <stp>[TREASURY.xlsx]Sheet1!R1251C3</stp>
        <tr r="C1251" s="1"/>
      </tp>
      <tp t="s">
        <v>S/A</v>
        <stp/>
        <stp>##V3_BDPV12</stp>
        <stp>912828EM Govt</stp>
        <stp>COUPON_FREQUENCY_DESCRIPTION</stp>
        <stp>[TREASURY.xlsx]Sheet1!R1115C10</stp>
        <tr r="J1115" s="1"/>
      </tp>
      <tp t="s">
        <v>#N/A N/A</v>
        <stp/>
        <stp>##V3_BDPV12</stp>
        <stp>912827S6 Govt</stp>
        <stp>YLD_YTM_BID</stp>
        <stp>[TREASURY.xlsx]Sheet1!R1182C4</stp>
        <tr r="D1182" s="1"/>
      </tp>
      <tp t="s">
        <v>#N/A N/A</v>
        <stp/>
        <stp>##V3_BDPV12</stp>
        <stp>912827RC Govt</stp>
        <stp>YLD_YTM_BID</stp>
        <stp>[TREASURY.xlsx]Sheet1!R1062C4</stp>
        <tr r="D1062" s="1"/>
      </tp>
      <tp t="s">
        <v>#N/A N/A</v>
        <stp/>
        <stp>##V3_BDPV12</stp>
        <stp>912827QA Govt</stp>
        <stp>YLD_YTM_BID</stp>
        <stp>[TREASURY.xlsx]Sheet1!R1392C4</stp>
        <tr r="D1392" s="1"/>
      </tp>
      <tp t="s">
        <v>#N/A N/A</v>
        <stp/>
        <stp>##V3_BDPV12</stp>
        <stp>912827VU Govt</stp>
        <stp>YLD_YTM_BID</stp>
        <stp>[TREASURY.xlsx]Sheet1!R1412C4</stp>
        <tr r="D1412" s="1"/>
      </tp>
      <tp t="s">
        <v>#N/A N/A</v>
        <stp/>
        <stp>##V3_BDPV12</stp>
        <stp>912827WW Govt</stp>
        <stp>YLD_YTM_BID</stp>
        <stp>[TREASURY.xlsx]Sheet1!R1592C4</stp>
        <tr r="D1592" s="1"/>
      </tp>
      <tp t="s">
        <v>#N/A N/A</v>
        <stp/>
        <stp>##V3_BDPV12</stp>
        <stp>912827WU Govt</stp>
        <stp>YLD_YTM_BID</stp>
        <stp>[TREASURY.xlsx]Sheet1!R1422C4</stp>
        <tr r="D1422" s="1"/>
      </tp>
      <tp t="s">
        <v>#N/A N/A</v>
        <stp/>
        <stp>##V3_BDPV12</stp>
        <stp>912827PT Govt</stp>
        <stp>YLD_YTM_BID</stp>
        <stp>[TREASURY.xlsx]Sheet1!R1342C4</stp>
        <tr r="D1342" s="1"/>
      </tp>
      <tp t="s">
        <v>#N/A N/A</v>
        <stp/>
        <stp>##V3_BDPV12</stp>
        <stp>912827UD Govt</stp>
        <stp>YLD_YTM_BID</stp>
        <stp>[TREASURY.xlsx]Sheet1!R1512C4</stp>
        <tr r="D1512" s="1"/>
      </tp>
      <tp t="s">
        <v>#N/A N/A</v>
        <stp/>
        <stp>##V3_BDPV12</stp>
        <stp>912827TW Govt</stp>
        <stp>YLD_YTM_BID</stp>
        <stp>[TREASURY.xlsx]Sheet1!R1402C4</stp>
        <tr r="D1402" s="1"/>
      </tp>
      <tp t="s">
        <v>#N/A N/A</v>
        <stp/>
        <stp>##V3_BDPV12</stp>
        <stp>912827PA Govt</stp>
        <stp>YLD_YTM_BID</stp>
        <stp>[TREASURY.xlsx]Sheet1!R1172C4</stp>
        <tr r="D1172" s="1"/>
      </tp>
      <tp t="s">
        <v>#N/A N/A</v>
        <stp/>
        <stp>##V3_BDPV12</stp>
        <stp>912827V2 Govt</stp>
        <stp>YLD_YTM_BID</stp>
        <stp>[TREASURY.xlsx]Sheet1!R1082C4</stp>
        <tr r="D1082" s="1"/>
      </tp>
      <tp t="s">
        <v>#N/A N/A</v>
        <stp/>
        <stp>##V3_BDPV12</stp>
        <stp>912827WN Govt</stp>
        <stp>YLD_YTM_BID</stp>
        <stp>[TREASURY.xlsx]Sheet1!R1092C4</stp>
        <tr r="D1092" s="1"/>
      </tp>
      <tp t="s">
        <v>#N/A N/A</v>
        <stp/>
        <stp>##V3_BDPV12</stp>
        <stp>912827RH Govt</stp>
        <stp>YLD_YTM_BID</stp>
        <stp>[TREASURY.xlsx]Sheet1!R1502C4</stp>
        <tr r="D1502" s="1"/>
      </tp>
      <tp t="s">
        <v>#N/A N/A</v>
        <stp/>
        <stp>##V3_BDPV12</stp>
        <stp>912827UP Govt</stp>
        <stp>YLD_YTM_BID</stp>
        <stp>[TREASURY.xlsx]Sheet1!R1202C4</stp>
        <tr r="D1202" s="1"/>
      </tp>
      <tp t="s">
        <v>#N/A N/A</v>
        <stp/>
        <stp>##V3_BDPV12</stp>
        <stp>912827RV Govt</stp>
        <stp>YLD_YTM_BID</stp>
        <stp>[TREASURY.xlsx]Sheet1!R1582C4</stp>
        <tr r="D1582" s="1"/>
      </tp>
      <tp t="s">
        <v>#N/A N/A</v>
        <stp/>
        <stp>##V3_BDPV12</stp>
        <stp>912827P8 Govt</stp>
        <stp>YLD_YTM_BID</stp>
        <stp>[TREASURY.xlsx]Sheet1!R1492C4</stp>
        <tr r="D1492" s="1"/>
      </tp>
      <tp t="s">
        <v>#N/A N/A</v>
        <stp/>
        <stp>##V3_BDPV12</stp>
        <stp>912827Q8 Govt</stp>
        <stp>YLD_YTM_BID</stp>
        <stp>[TREASURY.xlsx]Sheet1!R1572C4</stp>
        <tr r="D1572" s="1"/>
      </tp>
      <tp t="s">
        <v>#N/A N/A</v>
        <stp/>
        <stp>##V3_BDPV12</stp>
        <stp>912827TB Govt</stp>
        <stp>YLD_YTM_BID</stp>
        <stp>[TREASURY.xlsx]Sheet1!R1072C4</stp>
        <tr r="D1072" s="1"/>
      </tp>
      <tp t="s">
        <v>#N/A N/A</v>
        <stp/>
        <stp>##V3_BDPV12</stp>
        <stp>912827TH Govt</stp>
        <stp>YLD_YTM_BID</stp>
        <stp>[TREASURY.xlsx]Sheet1!R1192C4</stp>
        <tr r="D1192" s="1"/>
      </tp>
      <tp t="s">
        <v>#N/A N/A</v>
        <stp/>
        <stp>##V3_BDPV12</stp>
        <stp>912827X6 Govt</stp>
        <stp>YLD_YTM_BID</stp>
        <stp>[TREASURY.xlsx]Sheet1!R1212C4</stp>
        <tr r="D1212" s="1"/>
      </tp>
      <tp t="s">
        <v>#N/A N/A</v>
        <stp/>
        <stp>##V3_BDPV12</stp>
        <stp>912827Z8 Govt</stp>
        <stp>YLD_YTM_BID</stp>
        <stp>[TREASURY.xlsx]Sheet1!R1102C4</stp>
        <tr r="D1102" s="1"/>
      </tp>
      <tp t="s">
        <v>#N/A N/A</v>
        <stp/>
        <stp>##V3_BDPV12</stp>
        <stp>912827YK Govt</stp>
        <stp>YLD_YTM_BID</stp>
        <stp>[TREASURY.xlsx]Sheet1!R1222C4</stp>
        <tr r="D1222" s="1"/>
      </tp>
      <tp t="s">
        <v>#N/A N/A</v>
        <stp/>
        <stp>##V3_BDPV12</stp>
        <stp>912827Y4 Govt</stp>
        <stp>YLD_YTM_BID</stp>
        <stp>[TREASURY.xlsx]Sheet1!R1602C4</stp>
        <tr r="D1602" s="1"/>
      </tp>
      <tp t="s">
        <v>#N/A N/A</v>
        <stp/>
        <stp>##V3_BDPV12</stp>
        <stp>912827ZT Govt</stp>
        <stp>YLD_YTM_BID</stp>
        <stp>[TREASURY.xlsx]Sheet1!R1612C4</stp>
        <tr r="D1612" s="1"/>
      </tp>
      <tp t="s">
        <v>#N/A N/A</v>
        <stp/>
        <stp>##V3_BDPV12</stp>
        <stp>912827A8 Govt</stp>
        <stp>YLD_YTM_BID</stp>
        <stp>[TREASURY.xlsx]Sheet1!R1032C4</stp>
        <tr r="D1032" s="1"/>
      </tp>
      <tp t="s">
        <v>#N/A N/A</v>
        <stp/>
        <stp>##V3_BDPV12</stp>
        <stp>912827E9 Govt</stp>
        <stp>YLD_YTM_BID</stp>
        <stp>[TREASURY.xlsx]Sheet1!R1372C4</stp>
        <tr r="D1372" s="1"/>
      </tp>
      <tp t="s">
        <v>#N/A N/A</v>
        <stp/>
        <stp>##V3_BDPV12</stp>
        <stp>912827C8 Govt</stp>
        <stp>YLD_YTM_BID</stp>
        <stp>[TREASURY.xlsx]Sheet1!R1482C4</stp>
        <tr r="D1482" s="1"/>
      </tp>
      <tp t="s">
        <v>#N/A N/A</v>
        <stp/>
        <stp>##V3_BDPV12</stp>
        <stp>912827B9 Govt</stp>
        <stp>YLD_YTM_BID</stp>
        <stp>[TREASURY.xlsx]Sheet1!R1552C4</stp>
        <tr r="D1552" s="1"/>
      </tp>
      <tp t="s">
        <v>#N/A N/A</v>
        <stp/>
        <stp>##V3_BDPV12</stp>
        <stp>912827KX Govt</stp>
        <stp>YLD_YTM_BID</stp>
        <stp>[TREASURY.xlsx]Sheet1!R1162C4</stp>
        <tr r="D1162" s="1"/>
      </tp>
      <tp t="s">
        <v>#N/A N/A</v>
        <stp/>
        <stp>##V3_BDPV12</stp>
        <stp>912827NR Govt</stp>
        <stp>YLD_YTM_BID</stp>
        <stp>[TREASURY.xlsx]Sheet1!R1052C4</stp>
        <tr r="D1052" s="1"/>
      </tp>
      <tp t="s">
        <v>#N/A N/A</v>
        <stp/>
        <stp>##V3_BDPV12</stp>
        <stp>912827MX Govt</stp>
        <stp>YLD_YTM_BID</stp>
        <stp>[TREASURY.xlsx]Sheet1!R1382C4</stp>
        <tr r="D1382" s="1"/>
      </tp>
      <tp t="s">
        <v>#N/A N/A</v>
        <stp/>
        <stp>##V3_BDPV12</stp>
        <stp>912827J7 Govt</stp>
        <stp>YLD_YTM_BID</stp>
        <stp>[TREASURY.xlsx]Sheet1!R1562C4</stp>
        <tr r="D1562" s="1"/>
      </tp>
      <tp t="s">
        <v>#N/A N/A</v>
        <stp/>
        <stp>##V3_BDPV12</stp>
        <stp>912827LQ Govt</stp>
        <stp>YLD_YTM_BID</stp>
        <stp>[TREASURY.xlsx]Sheet1!R1322C4</stp>
        <tr r="D1322" s="1"/>
      </tp>
      <tp t="s">
        <v>#N/A N/A</v>
        <stp/>
        <stp>##V3_BDPV12</stp>
        <stp>912827LK Govt</stp>
        <stp>YLD_YTM_BID</stp>
        <stp>[TREASURY.xlsx]Sheet1!R1042C4</stp>
        <tr r="D1042" s="1"/>
      </tp>
      <tp t="s">
        <v>#N/A N/A</v>
        <stp/>
        <stp>##V3_BDPV12</stp>
        <stp>912827NE Govt</stp>
        <stp>YLD_YTM_BID</stp>
        <stp>[TREASURY.xlsx]Sheet1!R1332C4</stp>
        <tr r="D1332" s="1"/>
      </tp>
      <tp t="s">
        <v>#N/A N/A</v>
        <stp/>
        <stp>##V3_BDPV12</stp>
        <stp>9128277M Govt</stp>
        <stp>YLD_YTM_BID</stp>
        <stp>[TREASURY.xlsx]Sheet1!R1472C4</stp>
        <tr r="D1472" s="1"/>
      </tp>
      <tp t="s">
        <v>#N/A N/A</v>
        <stp/>
        <stp>##V3_BDPV12</stp>
        <stp>9128276Y Govt</stp>
        <stp>YLD_YTM_BID</stp>
        <stp>[TREASURY.xlsx]Sheet1!R1542C4</stp>
        <tr r="D1542" s="1"/>
      </tp>
      <tp t="s">
        <v>#N/A N/A</v>
        <stp/>
        <stp>##V3_BDPV12</stp>
        <stp>9128274N Govt</stp>
        <stp>YLD_YTM_BID</stp>
        <stp>[TREASURY.xlsx]Sheet1!R1462C4</stp>
        <tr r="D1462" s="1"/>
      </tp>
      <tp t="s">
        <v>#N/A N/A</v>
        <stp/>
        <stp>##V3_BDPV12</stp>
        <stp>9128272N Govt</stp>
        <stp>YLD_YTM_BID</stp>
        <stp>[TREASURY.xlsx]Sheet1!R1352C4</stp>
        <tr r="D1352" s="1"/>
      </tp>
      <tp t="s">
        <v>#N/A N/A</v>
        <stp/>
        <stp>##V3_BDPV12</stp>
        <stp>9128274R Govt</stp>
        <stp>YLD_YTM_BID</stp>
        <stp>[TREASURY.xlsx]Sheet1!R1532C4</stp>
        <tr r="D1532" s="1"/>
      </tp>
      <tp t="s">
        <v>#N/A N/A</v>
        <stp/>
        <stp>##V3_BDPV12</stp>
        <stp>9128276C Govt</stp>
        <stp>YLD_YTM_BID</stp>
        <stp>[TREASURY.xlsx]Sheet1!R1022C4</stp>
        <tr r="D1022" s="1"/>
      </tp>
      <tp t="s">
        <v>#N/A N/A</v>
        <stp/>
        <stp>##V3_BDPV12</stp>
        <stp>9128272L Govt</stp>
        <stp>YLD_YTM_BID</stp>
        <stp>[TREASURY.xlsx]Sheet1!R1452C4</stp>
        <tr r="D1452" s="1"/>
      </tp>
      <tp t="s">
        <v>#N/A N/A</v>
        <stp/>
        <stp>##V3_BDPV12</stp>
        <stp>9128274B Govt</stp>
        <stp>YLD_YTM_BID</stp>
        <stp>[TREASURY.xlsx]Sheet1!R1362C4</stp>
        <tr r="D1362" s="1"/>
      </tp>
      <tp t="s">
        <v>#N/A N/A</v>
        <stp/>
        <stp>##V3_BDPV12</stp>
        <stp>9128272V Govt</stp>
        <stp>YLD_YTM_BID</stp>
        <stp>[TREASURY.xlsx]Sheet1!R1522C4</stp>
        <tr r="D1522" s="1"/>
      </tp>
      <tp t="s">
        <v>#N/A N/A</v>
        <stp/>
        <stp>##V3_BDPV12</stp>
        <stp>9128274U Govt</stp>
        <stp>YLD_YTM_BID</stp>
        <stp>[TREASURY.xlsx]Sheet1!R1012C4</stp>
        <tr r="D1012" s="1"/>
      </tp>
      <tp t="s">
        <v>S/A</v>
        <stp/>
        <stp>##V3_BDPV12</stp>
        <stp>912828EJ Govt</stp>
        <stp>COUPON_FREQUENCY_DESCRIPTION</stp>
        <stp>[TREASURY.xlsx]Sheet1!R1238C10</stp>
        <tr r="J1238" s="1"/>
      </tp>
      <tp t="s">
        <v>S/A</v>
        <stp/>
        <stp>##V3_BDPV12</stp>
        <stp>912828EH Govt</stp>
        <stp>COUPON_FREQUENCY_DESCRIPTION</stp>
        <stp>[TREASURY.xlsx]Sheet1!R1114C10</stp>
        <tr r="J1114" s="1"/>
      </tp>
      <tp t="s">
        <v>T 14 1/4 02/15/02</v>
        <stp/>
        <stp>##V3_BDPV12</stp>
        <stp>912810CZ Govt</stp>
        <stp>SECURITY_NAME</stp>
        <stp>[TREASURY.xlsx]Sheet1!R1446C16</stp>
        <tr r="P1446" s="1"/>
      </tp>
      <tp t="s">
        <v>T 7 1/2 02/29/96</v>
        <stp/>
        <stp>##V3_BDPV12</stp>
        <stp>912827ZZ Govt</stp>
        <stp>SECURITY_NAME</stp>
        <stp>[TREASURY.xlsx]Sheet1!R1614C16</stp>
        <tr r="P1614" s="1"/>
      </tp>
      <tp t="s">
        <v>T 7 7/8 11/15/07</v>
        <stp/>
        <stp>##V3_BDPV12</stp>
        <stp>912810BZ Govt</stp>
        <stp>SECURITY_NAME</stp>
        <stp>[TREASURY.xlsx]Sheet1!R1514C16</stp>
        <tr r="P1514" s="1"/>
      </tp>
      <tp t="s">
        <v>T 1 5/8 10/15/20</v>
        <stp/>
        <stp>##V3_BDPV12</stp>
        <stp>9128282Z Govt</stp>
        <stp>SECURITY_NAME</stp>
        <stp>[TREASURY.xlsx]Sheet1!R1615C16</stp>
        <tr r="P1615" s="1"/>
      </tp>
      <tp t="s">
        <v>#N/A N/A</v>
        <stp/>
        <stp>##V3_BDPV12</stp>
        <stp>912828SK Govt</stp>
        <stp>YLD_YTM_BID</stp>
        <stp>[TREASURY.xlsx]Sheet1!R1132C4</stp>
        <tr r="D1132" s="1"/>
      </tp>
      <tp t="s">
        <v>#N/A N/A</v>
        <stp/>
        <stp>##V3_BDPV12</stp>
        <stp>912828SR Govt</stp>
        <stp>YLD_YTM_BID</stp>
        <stp>[TREASURY.xlsx]Sheet1!R1142C4</stp>
        <tr r="D1142" s="1"/>
      </tp>
      <tp t="s">
        <v>#N/A N/A</v>
        <stp/>
        <stp>##V3_BDPV12</stp>
        <stp>912828Q5 Govt</stp>
        <stp>YLD_YTM_BID</stp>
        <stp>[TREASURY.xlsx]Sheet1!R1262C4</stp>
        <tr r="D1262" s="1"/>
      </tp>
      <tp t="s">
        <v>#N/A N/A</v>
        <stp/>
        <stp>##V3_BDPV12</stp>
        <stp>912828RU Govt</stp>
        <stp>YLD_YTM_BID</stp>
        <stp>[TREASURY.xlsx]Sheet1!R1302C4</stp>
        <tr r="D1302" s="1"/>
      </tp>
      <tp t="s">
        <v>#N/A N/A</v>
        <stp/>
        <stp>##V3_BDPV12</stp>
        <stp>912828UW Govt</stp>
        <stp>YLD_YTM_BID</stp>
        <stp>[TREASURY.xlsx]Sheet1!R1002C4</stp>
        <tr r="D1002" s="1"/>
      </tp>
      <tp t="s">
        <v>#N/A N/A</v>
        <stp/>
        <stp>##V3_BDPV12</stp>
        <stp>912828XJ Govt</stp>
        <stp>YLD_YTM_BID</stp>
        <stp>[TREASURY.xlsx]Sheet1!R1152C4</stp>
        <tr r="D1152" s="1"/>
      </tp>
      <tp t="s">
        <v>#N/A N/A</v>
        <stp/>
        <stp>##V3_BDPV12</stp>
        <stp>912828FA Govt</stp>
        <stp>YLD_YTM_BID</stp>
        <stp>[TREASURY.xlsx]Sheet1!R1432C4</stp>
        <tr r="D1432" s="1"/>
      </tp>
      <tp t="s">
        <v>#N/A N/A</v>
        <stp/>
        <stp>##V3_BDPV12</stp>
        <stp>912828A2 Govt</stp>
        <stp>YLD_YTM_BID</stp>
        <stp>[TREASURY.xlsx]Sheet1!R1232C4</stp>
        <tr r="D1232" s="1"/>
      </tp>
      <tp>
        <v>12</v>
        <stp/>
        <stp>##V3_BDPV12</stp>
        <stp>912810DF Govt</stp>
        <stp>CPN</stp>
        <stp>[TREASURY.xlsx]Sheet1!R1312C3</stp>
        <tr r="C1312" s="1"/>
      </tp>
      <tp>
        <v>12.625</v>
        <stp/>
        <stp>##V3_BDPV12</stp>
        <stp>912810CN Govt</stp>
        <stp>CPN</stp>
        <stp>[TREASURY.xlsx]Sheet1!R1442C3</stp>
        <tr r="C1442" s="1"/>
      </tp>
      <tp t="s">
        <v>#N/A N/A</v>
        <stp/>
        <stp>##V3_BDPV12</stp>
        <stp>912828DT Govt</stp>
        <stp>YLD_YTM_BID</stp>
        <stp>[TREASURY.xlsx]Sheet1!R1272C4</stp>
        <tr r="D1272" s="1"/>
      </tp>
      <tp>
        <v>9.875</v>
        <stp/>
        <stp>##V3_BDPV12</stp>
        <stp>912810DT Govt</stp>
        <stp>CPN</stp>
        <stp>[TREASURY.xlsx]Sheet1!R1622C3</stp>
        <tr r="C1622" s="1"/>
      </tp>
      <tp t="s">
        <v>#N/A N/A</v>
        <stp/>
        <stp>##V3_BDPV12</stp>
        <stp>912828GE Govt</stp>
        <stp>YLD_YTM_BID</stp>
        <stp>[TREASURY.xlsx]Sheet1!R1242C4</stp>
        <tr r="D1242" s="1"/>
      </tp>
      <tp t="s">
        <v>#N/A N/A</v>
        <stp/>
        <stp>##V3_BDPV12</stp>
        <stp>912828GC Govt</stp>
        <stp>YLD_YTM_BID</stp>
        <stp>[TREASURY.xlsx]Sheet1!R1282C4</stp>
        <tr r="D1282" s="1"/>
      </tp>
      <tp t="s">
        <v>#N/A N/A</v>
        <stp/>
        <stp>##V3_BDPV12</stp>
        <stp>912828DQ Govt</stp>
        <stp>YLD_YTM_BID</stp>
        <stp>[TREASURY.xlsx]Sheet1!R1112C4</stp>
        <tr r="D1112" s="1"/>
      </tp>
      <tp t="s">
        <v>#N/A N/A</v>
        <stp/>
        <stp>##V3_BDPV12</stp>
        <stp>912828JL Govt</stp>
        <stp>YLD_YTM_BID</stp>
        <stp>[TREASURY.xlsx]Sheet1!R1122C4</stp>
        <tr r="D1122" s="1"/>
      </tp>
      <tp t="s">
        <v>#N/A N/A</v>
        <stp/>
        <stp>##V3_BDPV12</stp>
        <stp>912828MA Govt</stp>
        <stp>YLD_YTM_BID</stp>
        <stp>[TREASURY.xlsx]Sheet1!R1252C4</stp>
        <tr r="D1252" s="1"/>
      </tp>
      <tp t="s">
        <v>#N/A N/A</v>
        <stp/>
        <stp>##V3_BDPV12</stp>
        <stp>912828NA Govt</stp>
        <stp>YLD_YTM_BID</stp>
        <stp>[TREASURY.xlsx]Sheet1!R1292C4</stp>
        <tr r="D1292" s="1"/>
      </tp>
      <tp t="s">
        <v>T 4 1/2 01/31/01</v>
        <stp/>
        <stp>##V3_BDPV12</stp>
        <stp>9128274Z Govt</stp>
        <stp>SECURITY_NAME</stp>
        <stp>[TREASURY.xlsx]Sheet1!R1534C16</stp>
        <tr r="P1534" s="1"/>
      </tp>
      <tp t="s">
        <v>T 14 5/8 06/30/83</v>
        <stp/>
        <stp>##V3_BDPV12</stp>
        <stp>912827LZ Govt</stp>
        <stp>SECURITY_NAME</stp>
        <stp>[TREASURY.xlsx]Sheet1!R1567C16</stp>
        <tr r="P1567" s="1"/>
      </tp>
      <tp t="s">
        <v>T 11 1/8 09/30/87</v>
        <stp/>
        <stp>##V3_BDPV12</stp>
        <stp>912827PZ Govt</stp>
        <stp>SECURITY_NAME</stp>
        <stp>[TREASURY.xlsx]Sheet1!R1571C16</stp>
        <tr r="P1571" s="1"/>
      </tp>
      <tp t="s">
        <v>T 13 3/4 07/15/91</v>
        <stp/>
        <stp>##V3_BDPV12</stp>
        <stp>912827QZ Govt</stp>
        <stp>SECURITY_NAME</stp>
        <stp>[TREASURY.xlsx]Sheet1!R1576C16</stp>
        <tr r="P1576" s="1"/>
      </tp>
      <tp t="s">
        <v>T 10 3/4 03/31/87</v>
        <stp/>
        <stp>##V3_BDPV12</stp>
        <stp>912827RZ Govt</stp>
        <stp>SECURITY_NAME</stp>
        <stp>[TREASURY.xlsx]Sheet1!R1584C16</stp>
        <tr r="P1584" s="1"/>
      </tp>
      <tp t="s">
        <v>S/A</v>
        <stp/>
        <stp>##V3_BDPV12</stp>
        <stp>912810EG Govt</stp>
        <stp>COUPON_FREQUENCY_DESCRIPTION</stp>
        <stp>[TREASURY.xlsx]Sheet1!R1349C10</stp>
        <tr r="J1349" s="1"/>
      </tp>
      <tp t="s">
        <v>S/A</v>
        <stp/>
        <stp>##V3_BDPV12</stp>
        <stp>912810EB Govt</stp>
        <stp>COUPON_FREQUENCY_DESCRIPTION</stp>
        <stp>[TREASURY.xlsx]Sheet1!R1624C10</stp>
        <tr r="J1624" s="1"/>
      </tp>
      <tp t="s">
        <v>UNITED STATES</v>
        <stp/>
        <stp>##V3_BDPV12</stp>
        <stp>912828JL Govt</stp>
        <stp>COUNTRY_FULL_NAME</stp>
        <stp>[TREASURY.xlsx]Sheet1!R1122C8</stp>
        <tr r="H1122" s="1"/>
      </tp>
      <tp t="s">
        <v>UNITED STATES</v>
        <stp/>
        <stp>##V3_BDPV12</stp>
        <stp>912827ML Govt</stp>
        <stp>COUNTRY_FULL_NAME</stp>
        <stp>[TREASURY.xlsx]Sheet1!R1325C8</stp>
        <tr r="H1325" s="1"/>
      </tp>
      <tp t="s">
        <v>T 9 1/8 12/31/90</v>
        <stp/>
        <stp>##V3_BDPV12</stp>
        <stp>912827WZ Govt</stp>
        <stp>SECURITY_NAME</stp>
        <stp>[TREASURY.xlsx]Sheet1!R1423C16</stp>
        <tr r="P1423" s="1"/>
      </tp>
      <tp t="s">
        <v>T 7 3/8 06/30/89</v>
        <stp/>
        <stp>##V3_BDPV12</stp>
        <stp>912827UZ Govt</stp>
        <stp>SECURITY_NAME</stp>
        <stp>[TREASURY.xlsx]Sheet1!R1409C16</stp>
        <tr r="P1409" s="1"/>
      </tp>
      <tp t="s">
        <v>S/A</v>
        <stp/>
        <stp>##V3_BDPV12</stp>
        <stp>912810EA Govt</stp>
        <stp>COUPON_FREQUENCY_DESCRIPTION</stp>
        <stp>[TREASURY.xlsx]Sheet1!R1445C10</stp>
        <tr r="J1445" s="1"/>
      </tp>
      <tp t="s">
        <v>UNITED STATES</v>
        <stp/>
        <stp>##V3_BDPV12</stp>
        <stp>912827MM Govt</stp>
        <stp>COUNTRY_FULL_NAME</stp>
        <stp>[TREASURY.xlsx]Sheet1!R1045C8</stp>
        <tr r="H1045" s="1"/>
      </tp>
      <tp t="s">
        <v>T 10 12/31/86</v>
        <stp/>
        <stp>##V3_BDPV12</stp>
        <stp>912827NZ Govt</stp>
        <stp>SECURITY_NAME</stp>
        <stp>[TREASURY.xlsx]Sheet1!R1336C16</stp>
        <tr r="P1336" s="1"/>
      </tp>
      <tp t="s">
        <v>T 5 1/2 02/28/03</v>
        <stp/>
        <stp>##V3_BDPV12</stp>
        <stp>9128273Z Govt</stp>
        <stp>SECURITY_NAME</stp>
        <stp>[TREASURY.xlsx]Sheet1!R1361C16</stp>
        <tr r="P1361" s="1"/>
      </tp>
      <tp t="s">
        <v>S/A</v>
        <stp/>
        <stp>##V3_BDPV12</stp>
        <stp>912828EF Govt</stp>
        <stp>COUPON_FREQUENCY_DESCRIPTION</stp>
        <stp>[TREASURY.xlsx]Sheet1!R1431C10</stp>
        <tr r="J1431" s="1"/>
      </tp>
      <tp>
        <v>6.5</v>
        <stp/>
        <stp>##V3_BDPV12</stp>
        <stp>912827T8 Govt</stp>
        <stp>CPN</stp>
        <stp>[TREASURY.xlsx]Sheet1!R1071C3</stp>
        <tr r="C1071" s="1"/>
      </tp>
      <tp>
        <v>6.75</v>
        <stp/>
        <stp>##V3_BDPV12</stp>
        <stp>912827T6 Govt</stp>
        <stp>CPN</stp>
        <stp>[TREASURY.xlsx]Sheet1!R1191C3</stp>
        <tr r="C1191" s="1"/>
      </tp>
      <tp>
        <v>8</v>
        <stp/>
        <stp>##V3_BDPV12</stp>
        <stp>912827UX Govt</stp>
        <stp>CPN</stp>
        <stp>[TREASURY.xlsx]Sheet1!R1081C3</stp>
        <tr r="C1081" s="1"/>
      </tp>
      <tp>
        <v>11.125</v>
        <stp/>
        <stp>##V3_BDPV12</stp>
        <stp>912827PZ Govt</stp>
        <stp>CPN</stp>
        <stp>[TREASURY.xlsx]Sheet1!R1571C3</stp>
        <tr r="C1571" s="1"/>
      </tp>
      <tp>
        <v>12.25</v>
        <stp/>
        <stp>##V3_BDPV12</stp>
        <stp>912827RG Govt</stp>
        <stp>CPN</stp>
        <stp>[TREASURY.xlsx]Sheet1!R1501C3</stp>
        <tr r="C1501" s="1"/>
      </tp>
      <tp>
        <v>8.75</v>
        <stp/>
        <stp>##V3_BDPV12</stp>
        <stp>912827WG Govt</stp>
        <stp>CPN</stp>
        <stp>[TREASURY.xlsx]Sheet1!R1091C3</stp>
        <tr r="C1091" s="1"/>
      </tp>
      <tp>
        <v>7</v>
        <stp/>
        <stp>##V3_BDPV12</stp>
        <stp>912827UL Govt</stp>
        <stp>CPN</stp>
        <stp>[TREASURY.xlsx]Sheet1!R1201C3</stp>
        <tr r="C1201" s="1"/>
      </tp>
      <tp>
        <v>11.625</v>
        <stp/>
        <stp>##V3_BDPV12</stp>
        <stp>912827RT Govt</stp>
        <stp>CPN</stp>
        <stp>[TREASURY.xlsx]Sheet1!R1581C3</stp>
        <tr r="C1581" s="1"/>
      </tp>
      <tp>
        <v>5.875</v>
        <stp/>
        <stp>##V3_BDPV12</stp>
        <stp>912827U7 Govt</stp>
        <stp>CPN</stp>
        <stp>[TREASURY.xlsx]Sheet1!R1511C3</stp>
        <tr r="C1511" s="1"/>
      </tp>
      <tp>
        <v>7.25</v>
        <stp/>
        <stp>##V3_BDPV12</stp>
        <stp>912827TU Govt</stp>
        <stp>CPN</stp>
        <stp>[TREASURY.xlsx]Sheet1!R1401C3</stp>
        <tr r="C1401" s="1"/>
      </tp>
      <tp>
        <v>5.875</v>
        <stp/>
        <stp>##V3_BDPV12</stp>
        <stp>912827P4 Govt</stp>
        <stp>CPN</stp>
        <stp>[TREASURY.xlsx]Sheet1!R1171C3</stp>
        <tr r="C1171" s="1"/>
      </tp>
      <tp>
        <v>7.75</v>
        <stp/>
        <stp>##V3_BDPV12</stp>
        <stp>912827S2 Govt</stp>
        <stp>CPN</stp>
        <stp>[TREASURY.xlsx]Sheet1!R1181C3</stp>
        <tr r="C1181" s="1"/>
      </tp>
      <tp>
        <v>12.625</v>
        <stp/>
        <stp>##V3_BDPV12</stp>
        <stp>912827RA Govt</stp>
        <stp>CPN</stp>
        <stp>[TREASURY.xlsx]Sheet1!R1061C3</stp>
        <tr r="C1061" s="1"/>
      </tp>
      <tp>
        <v>8</v>
        <stp/>
        <stp>##V3_BDPV12</stp>
        <stp>912827VB Govt</stp>
        <stp>CPN</stp>
        <stp>[TREASURY.xlsx]Sheet1!R1411C3</stp>
        <tr r="C1411" s="1"/>
      </tp>
      <tp>
        <v>5.75</v>
        <stp/>
        <stp>##V3_BDPV12</stp>
        <stp>912827V3 Govt</stp>
        <stp>CPN</stp>
        <stp>[TREASURY.xlsx]Sheet1!R1591C3</stp>
        <tr r="C1591" s="1"/>
      </tp>
      <tp>
        <v>10.5</v>
        <stp/>
        <stp>##V3_BDPV12</stp>
        <stp>912827PR Govt</stp>
        <stp>CPN</stp>
        <stp>[TREASURY.xlsx]Sheet1!R1341C3</stp>
        <tr r="C1341" s="1"/>
      </tp>
      <tp>
        <v>8.625</v>
        <stp/>
        <stp>##V3_BDPV12</stp>
        <stp>912827WT Govt</stp>
        <stp>CPN</stp>
        <stp>[TREASURY.xlsx]Sheet1!R1421C3</stp>
        <tr r="C1421" s="1"/>
      </tp>
      <tp>
        <v>11.875</v>
        <stp/>
        <stp>##V3_BDPV12</stp>
        <stp>912827PV Govt</stp>
        <stp>CPN</stp>
        <stp>[TREASURY.xlsx]Sheet1!R1391C3</stp>
        <tr r="C1391" s="1"/>
      </tp>
      <tp>
        <v>7.875</v>
        <stp/>
        <stp>##V3_BDPV12</stp>
        <stp>912827ZQ Govt</stp>
        <stp>CPN</stp>
        <stp>[TREASURY.xlsx]Sheet1!R1611C3</stp>
        <tr r="C1611" s="1"/>
      </tp>
      <tp>
        <v>6.25</v>
        <stp/>
        <stp>##V3_BDPV12</stp>
        <stp>912827Y3 Govt</stp>
        <stp>CPN</stp>
        <stp>[TREASURY.xlsx]Sheet1!R1601C3</stp>
        <tr r="C1601" s="1"/>
      </tp>
      <tp>
        <v>8.5</v>
        <stp/>
        <stp>##V3_BDPV12</stp>
        <stp>912827YT Govt</stp>
        <stp>CPN</stp>
        <stp>[TREASURY.xlsx]Sheet1!R1101C3</stp>
        <tr r="C1101" s="1"/>
      </tp>
      <tp>
        <v>7.5</v>
        <stp/>
        <stp>##V3_BDPV12</stp>
        <stp>912827ZV Govt</stp>
        <stp>CPN</stp>
        <stp>[TREASURY.xlsx]Sheet1!R1231C3</stp>
        <tr r="C1231" s="1"/>
      </tp>
      <tp>
        <v>5.625</v>
        <stp/>
        <stp>##V3_BDPV12</stp>
        <stp>912827X2 Govt</stp>
        <stp>CPN</stp>
        <stp>[TREASURY.xlsx]Sheet1!R1211C3</stp>
        <tr r="C1211" s="1"/>
      </tp>
      <tp>
        <v>7.625</v>
        <stp/>
        <stp>##V3_BDPV12</stp>
        <stp>912827YH Govt</stp>
        <stp>CPN</stp>
        <stp>[TREASURY.xlsx]Sheet1!R1221C3</stp>
        <tr r="C1221" s="1"/>
      </tp>
      <tp>
        <v>5.75</v>
        <stp/>
        <stp>##V3_BDPV12</stp>
        <stp>912827E6 Govt</stp>
        <stp>CPN</stp>
        <stp>[TREASURY.xlsx]Sheet1!R1371C3</stp>
        <tr r="C1371" s="1"/>
      </tp>
      <tp>
        <v>7.875</v>
        <stp/>
        <stp>##V3_BDPV12</stp>
        <stp>912827B7 Govt</stp>
        <stp>CPN</stp>
        <stp>[TREASURY.xlsx]Sheet1!R1551C3</stp>
        <tr r="C1551" s="1"/>
      </tp>
      <tp>
        <v>7</v>
        <stp/>
        <stp>##V3_BDPV12</stp>
        <stp>912827C5 Govt</stp>
        <stp>CPN</stp>
        <stp>[TREASURY.xlsx]Sheet1!R1481C3</stp>
        <tr r="C1481" s="1"/>
      </tp>
      <tp>
        <v>7</v>
        <stp/>
        <stp>##V3_BDPV12</stp>
        <stp>912827A7 Govt</stp>
        <stp>CPN</stp>
        <stp>[TREASURY.xlsx]Sheet1!R1031C3</stp>
        <tr r="C1031" s="1"/>
      </tp>
      <tp>
        <v>5.25</v>
        <stp/>
        <stp>##V3_BDPV12</stp>
        <stp>912827L6 Govt</stp>
        <stp>CPN</stp>
        <stp>[TREASURY.xlsx]Sheet1!R1041C3</stp>
        <tr r="C1041" s="1"/>
      </tp>
      <tp>
        <v>14</v>
        <stp/>
        <stp>##V3_BDPV12</stp>
        <stp>912827NA Govt</stp>
        <stp>CPN</stp>
        <stp>[TREASURY.xlsx]Sheet1!R1331C3</stp>
        <tr r="C1331" s="1"/>
      </tp>
      <tp>
        <v>11.625</v>
        <stp/>
        <stp>##V3_BDPV12</stp>
        <stp>912827NN Govt</stp>
        <stp>CPN</stp>
        <stp>[TREASURY.xlsx]Sheet1!R1051C3</stp>
        <tr r="C1051" s="1"/>
      </tp>
      <tp>
        <v>14.625</v>
        <stp/>
        <stp>##V3_BDPV12</stp>
        <stp>912827MV Govt</stp>
        <stp>CPN</stp>
        <stp>[TREASURY.xlsx]Sheet1!R1381C3</stp>
        <tr r="C1381" s="1"/>
      </tp>
      <tp>
        <v>5.625</v>
        <stp/>
        <stp>##V3_BDPV12</stp>
        <stp>912827J4 Govt</stp>
        <stp>CPN</stp>
        <stp>[TREASURY.xlsx]Sheet1!R1561C3</stp>
        <tr r="C1561" s="1"/>
      </tp>
      <tp>
        <v>13.875</v>
        <stp/>
        <stp>##V3_BDPV12</stp>
        <stp>912827LG Govt</stp>
        <stp>CPN</stp>
        <stp>[TREASURY.xlsx]Sheet1!R1321C3</stp>
        <tr r="C1321" s="1"/>
      </tp>
      <tp>
        <v>13.875</v>
        <stp/>
        <stp>##V3_BDPV12</stp>
        <stp>912827LP Govt</stp>
        <stp>CPN</stp>
        <stp>[TREASURY.xlsx]Sheet1!R1491C3</stp>
        <tr r="C1491" s="1"/>
      </tp>
      <tp>
        <v>9.25</v>
        <stp/>
        <stp>##V3_BDPV12</stp>
        <stp>912827KR Govt</stp>
        <stp>CPN</stp>
        <stp>[TREASURY.xlsx]Sheet1!R1161C3</stp>
        <tr r="C1161" s="1"/>
      </tp>
      <tp>
        <v>6.5</v>
        <stp/>
        <stp>##V3_BDPV12</stp>
        <stp>9128276B Govt</stp>
        <stp>CPN</stp>
        <stp>[TREASURY.xlsx]Sheet1!R1021C3</stp>
        <tr r="C1021" s="1"/>
      </tp>
      <tp>
        <v>6.25</v>
        <stp/>
        <stp>##V3_BDPV12</stp>
        <stp>9128272J Govt</stp>
        <stp>CPN</stp>
        <stp>[TREASURY.xlsx]Sheet1!R1451C3</stp>
        <tr r="C1451" s="1"/>
      </tp>
      <tp>
        <v>5.625</v>
        <stp/>
        <stp>##V3_BDPV12</stp>
        <stp>9128273S Govt</stp>
        <stp>CPN</stp>
        <stp>[TREASURY.xlsx]Sheet1!R1531C3</stp>
        <tr r="C1531" s="1"/>
      </tp>
      <tp>
        <v>6.375</v>
        <stp/>
        <stp>##V3_BDPV12</stp>
        <stp>9128272T Govt</stp>
        <stp>CPN</stp>
        <stp>[TREASURY.xlsx]Sheet1!R1521C3</stp>
        <tr r="C1521" s="1"/>
      </tp>
      <tp t="s">
        <v>T 1 1/4 09/30/15</v>
        <stp/>
        <stp>##V3_BDPV12</stp>
        <stp>912828NZ Govt</stp>
        <stp>SECURITY_NAME</stp>
        <stp>[TREASURY.xlsx]Sheet1!R1295C16</stp>
        <tr r="P1295" s="1"/>
      </tp>
      <tp>
        <v>5.375</v>
        <stp/>
        <stp>##V3_BDPV12</stp>
        <stp>9128274M Govt</stp>
        <stp>CPN</stp>
        <stp>[TREASURY.xlsx]Sheet1!R1461C3</stp>
        <tr r="C1461" s="1"/>
      </tp>
      <tp>
        <v>5.5</v>
        <stp/>
        <stp>##V3_BDPV12</stp>
        <stp>9128273Z Govt</stp>
        <stp>CPN</stp>
        <stp>[TREASURY.xlsx]Sheet1!R1361C3</stp>
        <tr r="C1361" s="1"/>
      </tp>
      <tp>
        <v>5.875</v>
        <stp/>
        <stp>##V3_BDPV12</stp>
        <stp>9128272F Govt</stp>
        <stp>CPN</stp>
        <stp>[TREASURY.xlsx]Sheet1!R1351C3</stp>
        <tr r="C1351" s="1"/>
      </tp>
      <tp>
        <v>6.25</v>
        <stp/>
        <stp>##V3_BDPV12</stp>
        <stp>9128273G Govt</stp>
        <stp>CPN</stp>
        <stp>[TREASURY.xlsx]Sheet1!R1011C3</stp>
        <tr r="C1011" s="1"/>
      </tp>
      <tp>
        <v>3</v>
        <stp/>
        <stp>##V3_BDPV12</stp>
        <stp>9128277G Govt</stp>
        <stp>CPN</stp>
        <stp>[TREASURY.xlsx]Sheet1!R1471C3</stp>
        <tr r="C1471" s="1"/>
      </tp>
      <tp>
        <v>4</v>
        <stp/>
        <stp>##V3_BDPV12</stp>
        <stp>9128276W Govt</stp>
        <stp>CPN</stp>
        <stp>[TREASURY.xlsx]Sheet1!R1541C3</stp>
        <tr r="C1541" s="1"/>
      </tp>
      <tp t="s">
        <v>T 2 1/2 04/30/15</v>
        <stp/>
        <stp>##V3_BDPV12</stp>
        <stp>912828MZ Govt</stp>
        <stp>SECURITY_NAME</stp>
        <stp>[TREASURY.xlsx]Sheet1!R1255C16</stp>
        <tr r="P1255" s="1"/>
      </tp>
      <tp t="s">
        <v>T 3 7/8 07/15/10</v>
        <stp/>
        <stp>##V3_BDPV12</stp>
        <stp>912828DZ Govt</stp>
        <stp>SECURITY_NAME</stp>
        <stp>[TREASURY.xlsx]Sheet1!R1273C16</stp>
        <tr r="P1273" s="1"/>
      </tp>
      <tp t="s">
        <v>T 4 5/8 11/30/08</v>
        <stp/>
        <stp>##V3_BDPV12</stp>
        <stp>912828FZ Govt</stp>
        <stp>SECURITY_NAME</stp>
        <stp>[TREASURY.xlsx]Sheet1!R1279C16</stp>
        <tr r="P1279" s="1"/>
      </tp>
      <tp t="s">
        <v>T 0 1/4 01/15/15</v>
        <stp/>
        <stp>##V3_BDPV12</stp>
        <stp>912828RZ Govt</stp>
        <stp>SECURITY_NAME</stp>
        <stp>[TREASURY.xlsx]Sheet1!R1268C16</stp>
        <tr r="P1268" s="1"/>
      </tp>
      <tp t="s">
        <v>S/A</v>
        <stp/>
        <stp>##V3_BDPV12</stp>
        <stp>912828EB Govt</stp>
        <stp>COUPON_FREQUENCY_DESCRIPTION</stp>
        <stp>[TREASURY.xlsx]Sheet1!R1113C10</stp>
        <tr r="J1113" s="1"/>
      </tp>
      <tp t="s">
        <v>T 14 1/8 03/31/84</v>
        <stp/>
        <stp>##V3_BDPV12</stp>
        <stp>912827MZ Govt</stp>
        <stp>SECURITY_NAME</stp>
        <stp>[TREASURY.xlsx]Sheet1!R1168C16</stp>
        <tr r="P1168" s="1"/>
      </tp>
      <tp t="s">
        <v>T 4 5/8 07/31/12</v>
        <stp/>
        <stp>##V3_BDPV12</stp>
        <stp>912828GZ Govt</stp>
        <stp>SECURITY_NAME</stp>
        <stp>[TREASURY.xlsx]Sheet1!R1121C16</stp>
        <tr r="P1121" s="1"/>
      </tp>
      <tp t="s">
        <v>UNITED STATES</v>
        <stp/>
        <stp>##V3_BDPV12</stp>
        <stp>912828KH Govt</stp>
        <stp>COUNTRY_FULL_NAME</stp>
        <stp>[TREASURY.xlsx]Sheet1!R1123C8</stp>
        <tr r="H1123" s="1"/>
      </tp>
      <tp t="s">
        <v>T 3 7/8 06/30/03</v>
        <stp/>
        <stp>##V3_BDPV12</stp>
        <stp>9128276Z Govt</stp>
        <stp>SECURITY_NAME</stp>
        <stp>[TREASURY.xlsx]Sheet1!R1026C16</stp>
        <tr r="P1026" s="1"/>
      </tp>
      <tp t="s">
        <v>T 9 1/8 02/15/91</v>
        <stp/>
        <stp>##V3_BDPV12</stp>
        <stp>912827SZ Govt</stp>
        <stp>SECURITY_NAME</stp>
        <stp>[TREASURY.xlsx]Sheet1!R1068C16</stp>
        <tr r="P1068" s="1"/>
      </tp>
      <tp t="s">
        <v>T 7 3/8 03/31/90</v>
        <stp/>
        <stp>##V3_BDPV12</stp>
        <stp>912827VZ Govt</stp>
        <stp>SECURITY_NAME</stp>
        <stp>[TREASURY.xlsx]Sheet1!R1089C16</stp>
        <tr r="P1089" s="1"/>
      </tp>
      <tp t="s">
        <v>T 8 3/8 09/30/91</v>
        <stp/>
        <stp>##V3_BDPV12</stp>
        <stp>912827XZ Govt</stp>
        <stp>SECURITY_NAME</stp>
        <stp>[TREASURY.xlsx]Sheet1!R1097C16</stp>
        <tr r="P1097" s="1"/>
      </tp>
      <tp t="s">
        <v>S/A</v>
        <stp/>
        <stp>##V3_BDPV12</stp>
        <stp>912828EY Govt</stp>
        <stp>COUPON_FREQUENCY_DESCRIPTION</stp>
        <stp>[TREASURY.xlsx]Sheet1!R1239C10</stp>
        <tr r="J1239" s="1"/>
      </tp>
      <tp t="s">
        <v>S/A</v>
        <stp/>
        <stp>##V3_BDPV12</stp>
        <stp>912828ES Govt</stp>
        <stp>COUPON_FREQUENCY_DESCRIPTION</stp>
        <stp>[TREASURY.xlsx]Sheet1!R1116C10</stp>
        <tr r="J1116" s="1"/>
      </tp>
      <tp t="s">
        <v>UNITED STATES</v>
        <stp/>
        <stp>##V3_BDPV12</stp>
        <stp>912827NZ Govt</stp>
        <stp>COUNTRY_FULL_NAME</stp>
        <stp>[TREASURY.xlsx]Sheet1!R1336C8</stp>
        <tr r="H1336" s="1"/>
      </tp>
      <tp t="s">
        <v>UNITED STATES</v>
        <stp/>
        <stp>##V3_BDPV12</stp>
        <stp>912828MZ Govt</stp>
        <stp>COUNTRY_FULL_NAME</stp>
        <stp>[TREASURY.xlsx]Sheet1!R1255C8</stp>
        <tr r="H1255" s="1"/>
      </tp>
      <tp t="s">
        <v>USD</v>
        <stp/>
        <stp>##V3_BDPV12</stp>
        <stp>912810QE Govt</stp>
        <stp>CRNCY</stp>
        <stp>[TREASURY.xlsx]Sheet1!R302C7</stp>
        <tr r="G302" s="1"/>
      </tp>
      <tp t="s">
        <v>USD</v>
        <stp/>
        <stp>##V3_BDPV12</stp>
        <stp>912827Q5 Govt</stp>
        <stp>CRNCY</stp>
        <stp>[TREASURY.xlsx]Sheet1!R905C7</stp>
        <tr r="G905" s="1"/>
      </tp>
      <tp t="s">
        <v>USD</v>
        <stp/>
        <stp>##V3_BDPV12</stp>
        <stp>912827PQ Govt</stp>
        <stp>CRNCY</stp>
        <stp>[TREASURY.xlsx]Sheet1!R665C7</stp>
        <tr r="G665" s="1"/>
      </tp>
      <tp t="s">
        <v>USD</v>
        <stp/>
        <stp>##V3_BDPV12</stp>
        <stp>912810PX Govt</stp>
        <stp>CRNCY</stp>
        <stp>[TREASURY.xlsx]Sheet1!R282C7</stp>
        <tr r="G282" s="1"/>
      </tp>
      <tp t="s">
        <v>USD</v>
        <stp/>
        <stp>##V3_BDPV12</stp>
        <stp>912827P2 Govt</stp>
        <stp>CRNCY</stp>
        <stp>[TREASURY.xlsx]Sheet1!R735C7</stp>
        <tr r="G735" s="1"/>
      </tp>
      <tp t="s">
        <v>USD</v>
        <stp/>
        <stp>##V3_BDPV12</stp>
        <stp>912810SE Govt</stp>
        <stp>CRNCY</stp>
        <stp>[TREASURY.xlsx]Sheet1!R152C7</stp>
        <tr r="G152" s="1"/>
      </tp>
      <tp t="s">
        <v>USD</v>
        <stp/>
        <stp>##V3_BDPV12</stp>
        <stp>912827S4 Govt</stp>
        <stp>CRNCY</stp>
        <stp>[TREASURY.xlsx]Sheet1!R745C7</stp>
        <tr r="G745" s="1"/>
      </tp>
      <tp t="s">
        <v>USD</v>
        <stp/>
        <stp>##V3_BDPV12</stp>
        <stp>912810RQ Govt</stp>
        <stp>CRNCY</stp>
        <stp>[TREASURY.xlsx]Sheet1!R172C7</stp>
        <tr r="G172" s="1"/>
      </tp>
      <tp t="s">
        <v>USD</v>
        <stp/>
        <stp>##V3_BDPV12</stp>
        <stp>912827RX Govt</stp>
        <stp>CRNCY</stp>
        <stp>[TREASURY.xlsx]Sheet1!R915C7</stp>
        <tr r="G915" s="1"/>
      </tp>
      <tp t="s">
        <v>USD</v>
        <stp/>
        <stp>##V3_BDPV12</stp>
        <stp>912827UJ Govt</stp>
        <stp>CRNCY</stp>
        <stp>[TREASURY.xlsx]Sheet1!R755C7</stp>
        <tr r="G755" s="1"/>
      </tp>
      <tp t="s">
        <v>USD</v>
        <stp/>
        <stp>##V3_BDPV12</stp>
        <stp>912827U2 Govt</stp>
        <stp>CRNCY</stp>
        <stp>[TREASURY.xlsx]Sheet1!R835C7</stp>
        <tr r="G835" s="1"/>
      </tp>
      <tp t="s">
        <v>USD</v>
        <stp/>
        <stp>##V3_BDPV12</stp>
        <stp>912827VN Govt</stp>
        <stp>CRNCY</stp>
        <stp>[TREASURY.xlsx]Sheet1!R925C7</stp>
        <tr r="G925" s="1"/>
      </tp>
      <tp t="s">
        <v>USD</v>
        <stp/>
        <stp>##V3_BDPV12</stp>
        <stp>912827VT Govt</stp>
        <stp>CRNCY</stp>
        <stp>[TREASURY.xlsx]Sheet1!R765C7</stp>
        <tr r="G765" s="1"/>
      </tp>
      <tp t="s">
        <v>USD</v>
        <stp/>
        <stp>##V3_BDPV12</stp>
        <stp>912827YM Govt</stp>
        <stp>CRNCY</stp>
        <stp>[TREASURY.xlsx]Sheet1!R945C7</stp>
        <tr r="G945" s="1"/>
      </tp>
      <tp t="s">
        <v>USD</v>
        <stp/>
        <stp>##V3_BDPV12</stp>
        <stp>912827YJ Govt</stp>
        <stp>CRNCY</stp>
        <stp>[TREASURY.xlsx]Sheet1!R775C7</stp>
        <tr r="G775" s="1"/>
      </tp>
      <tp t="s">
        <v>USD</v>
        <stp/>
        <stp>##V3_BDPV12</stp>
        <stp>912827XD Govt</stp>
        <stp>CRNCY</stp>
        <stp>[TREASURY.xlsx]Sheet1!R935C7</stp>
        <tr r="G935" s="1"/>
      </tp>
      <tp t="s">
        <v>USD</v>
        <stp/>
        <stp>##V3_BDPV12</stp>
        <stp>912827ZN Govt</stp>
        <stp>CRNCY</stp>
        <stp>[TREASURY.xlsx]Sheet1!R685C7</stp>
        <tr r="G685" s="1"/>
      </tp>
      <tp t="s">
        <v>USD</v>
        <stp/>
        <stp>##V3_BDPV12</stp>
        <stp>912827ZU Govt</stp>
        <stp>CRNCY</stp>
        <stp>[TREASURY.xlsx]Sheet1!R955C7</stp>
        <tr r="G955" s="1"/>
      </tp>
      <tp t="s">
        <v>UNITED STATES</v>
        <stp/>
        <stp>##V3_BDPV12</stp>
        <stp>912827J7 Govt</stp>
        <stp>COUNTRY_FULL_NAME</stp>
        <stp>[TREASURY.xlsx]Sheet1!R1562C8</stp>
        <tr r="H1562" s="1"/>
      </tp>
      <tp t="s">
        <v>UNITED STATES</v>
        <stp/>
        <stp>##V3_BDPV12</stp>
        <stp>912827K7 Govt</stp>
        <stp>COUNTRY_FULL_NAME</stp>
        <stp>[TREASURY.xlsx]Sheet1!R1563C8</stp>
        <tr r="H1563" s="1"/>
      </tp>
      <tp t="s">
        <v>UNITED STATES</v>
        <stp/>
        <stp>##V3_BDPV12</stp>
        <stp>912827M4 Govt</stp>
        <stp>COUNTRY_FULL_NAME</stp>
        <stp>[TREASURY.xlsx]Sheet1!R1165C8</stp>
        <tr r="H1165" s="1"/>
      </tp>
      <tp t="s">
        <v>S/A</v>
        <stp/>
        <stp>##V3_BDPV12</stp>
        <stp>912827E8 Govt</stp>
        <stp>COUPON_FREQUENCY_DESCRIPTION</stp>
        <stp>[TREASURY.xlsx]Sheet1!R1558C10</stp>
        <tr r="J1558" s="1"/>
      </tp>
      <tp t="s">
        <v>USD</v>
        <stp/>
        <stp>##V3_BDPV12</stp>
        <stp>912810EC Govt</stp>
        <stp>CRNCY</stp>
        <stp>[TREASURY.xlsx]Sheet1!R612C7</stp>
        <tr r="G612" s="1"/>
      </tp>
      <tp t="s">
        <v>USD</v>
        <stp/>
        <stp>##V3_BDPV12</stp>
        <stp>912810ES Govt</stp>
        <stp>CRNCY</stp>
        <stp>[TREASURY.xlsx]Sheet1!R312C7</stp>
        <tr r="G312" s="1"/>
      </tp>
      <tp t="s">
        <v>S/A</v>
        <stp/>
        <stp>##V3_BDPV12</stp>
        <stp>912827E9 Govt</stp>
        <stp>COUPON_FREQUENCY_DESCRIPTION</stp>
        <stp>[TREASURY.xlsx]Sheet1!R1372C10</stp>
        <tr r="J1372" s="1"/>
      </tp>
      <tp t="s">
        <v>UNITED STATES</v>
        <stp/>
        <stp>##V3_BDPV12</stp>
        <stp>912827A2 Govt</stp>
        <stp>COUNTRY_FULL_NAME</stp>
        <stp>[TREASURY.xlsx]Sheet1!R1029C8</stp>
        <tr r="H1029" s="1"/>
      </tp>
      <tp t="s">
        <v>USD</v>
        <stp/>
        <stp>##V3_BDPV12</stp>
        <stp>912810DU Govt</stp>
        <stp>CRNCY</stp>
        <stp>[TREASURY.xlsx]Sheet1!R432C7</stp>
        <tr r="G432" s="1"/>
      </tp>
      <tp t="s">
        <v>UNITED STATES</v>
        <stp/>
        <stp>##V3_BDPV12</stp>
        <stp>912827L3 Govt</stp>
        <stp>COUNTRY_FULL_NAME</stp>
        <stp>[TREASURY.xlsx]Sheet1!R1564C8</stp>
        <tr r="H1564" s="1"/>
      </tp>
      <tp t="s">
        <v>USD</v>
        <stp/>
        <stp>##V3_BDPV12</stp>
        <stp>912810FF Govt</stp>
        <stp>CRNCY</stp>
        <stp>[TREASURY.xlsx]Sheet1!R292C7</stp>
        <tr r="G292" s="1"/>
      </tp>
      <tp t="s">
        <v>T</v>
        <stp/>
        <stp>##V3_BDPV12</stp>
        <stp>91282CBP Govt</stp>
        <stp>TICKER</stp>
        <stp>[TREASURY.xlsx]Sheet1!R86C2</stp>
        <tr r="B86" s="1"/>
      </tp>
      <tp t="s">
        <v>T</v>
        <stp/>
        <stp>##V3_BDPV12</stp>
        <stp>91282CCH Govt</stp>
        <stp>TICKER</stp>
        <stp>[TREASURY.xlsx]Sheet1!R36C2</stp>
        <tr r="B36" s="1"/>
      </tp>
      <tp t="s">
        <v>T</v>
        <stp/>
        <stp>##V3_BDPV12</stp>
        <stp>91282CCT Govt</stp>
        <stp>TICKER</stp>
        <stp>[TREASURY.xlsx]Sheet1!R16C2</stp>
        <tr r="B16" s="1"/>
      </tp>
      <tp t="s">
        <v>S/A</v>
        <stp/>
        <stp>##V3_BDPV12</stp>
        <stp>912827E4 Govt</stp>
        <stp>COUPON_FREQUENCY_DESCRIPTION</stp>
        <stp>[TREASURY.xlsx]Sheet1!R1313C10</stp>
        <tr r="J1313" s="1"/>
      </tp>
      <tp t="s">
        <v>USD</v>
        <stp/>
        <stp>##V3_BDPV12</stp>
        <stp>912827H5 Govt</stp>
        <stp>CRNCY</stp>
        <stp>[TREASURY.xlsx]Sheet1!R705C7</stp>
        <tr r="G705" s="1"/>
      </tp>
      <tp t="s">
        <v>USD</v>
        <stp/>
        <stp>##V3_BDPV12</stp>
        <stp>912827KH Govt</stp>
        <stp>CRNCY</stp>
        <stp>[TREASURY.xlsx]Sheet1!R455C7</stp>
        <tr r="G455" s="1"/>
      </tp>
      <tp t="s">
        <v>USD</v>
        <stp/>
        <stp>##V3_BDPV12</stp>
        <stp>912827KP Govt</stp>
        <stp>CRNCY</stp>
        <stp>[TREASURY.xlsx]Sheet1!R885C7</stp>
        <tr r="G885" s="1"/>
      </tp>
      <tp t="s">
        <v>T</v>
        <stp/>
        <stp>##V3_BDPV12</stp>
        <stp>91282CAN Govt</stp>
        <stp>TICKER</stp>
        <stp>[TREASURY.xlsx]Sheet1!R46C2</stp>
        <tr r="B46" s="1"/>
      </tp>
      <tp t="s">
        <v>S/A</v>
        <stp/>
        <stp>##V3_BDPV12</stp>
        <stp>912827E6 Govt</stp>
        <stp>COUPON_FREQUENCY_DESCRIPTION</stp>
        <stp>[TREASURY.xlsx]Sheet1!R1371C10</stp>
        <tr r="J1371" s="1"/>
      </tp>
      <tp t="s">
        <v>USD</v>
        <stp/>
        <stp>##V3_BDPV12</stp>
        <stp>912827ME Govt</stp>
        <stp>CRNCY</stp>
        <stp>[TREASURY.xlsx]Sheet1!R895C7</stp>
        <tr r="G895" s="1"/>
      </tp>
      <tp t="s">
        <v>USD</v>
        <stp/>
        <stp>##V3_BDPV12</stp>
        <stp>912827MY Govt</stp>
        <stp>CRNCY</stp>
        <stp>[TREASURY.xlsx]Sheet1!R725C7</stp>
        <tr r="G725" s="1"/>
      </tp>
      <tp t="s">
        <v>USD</v>
        <stp/>
        <stp>##V3_BDPV12</stp>
        <stp>912827LM Govt</stp>
        <stp>CRNCY</stp>
        <stp>[TREASURY.xlsx]Sheet1!R715C7</stp>
        <tr r="G715" s="1"/>
      </tp>
      <tp t="s">
        <v>S/A</v>
        <stp/>
        <stp>##V3_BDPV12</stp>
        <stp>912827E2 Govt</stp>
        <stp>COUPON_FREQUENCY_DESCRIPTION</stp>
        <stp>[TREASURY.xlsx]Sheet1!R1153C10</stp>
        <tr r="J1153" s="1"/>
      </tp>
      <tp t="s">
        <v>ACT/ACT</v>
        <stp/>
        <stp>##V3_BDPV12</stp>
        <stp>912828P4 Govt</stp>
        <stp>DAY_CNT_DES</stp>
        <stp>[TREASURY.xlsx]Sheet1!R91C17</stp>
        <tr r="Q91" s="1"/>
      </tp>
      <tp t="s">
        <v>S/A</v>
        <stp/>
        <stp>##V3_BDPV12</stp>
        <stp>91282CCW Govt</stp>
        <stp>COUPON_FREQUENCY_DESCRIPTION</stp>
        <stp>[TREASURY.xlsx]Sheet1!R4C10</stp>
        <tr r="J4" s="1"/>
      </tp>
      <tp>
        <v>2.75</v>
        <stp/>
        <stp>##V3_BDPV12</stp>
        <stp>9128283W Govt</stp>
        <stp>CPN</stp>
        <stp>[TREASURY.xlsx]Sheet1!R68C3</stp>
        <tr r="C68" s="1"/>
      </tp>
      <tp>
        <v>1.1332164267109832</v>
        <stp/>
        <stp>##V3_BDPV12</stp>
        <stp>9128282R Govt</stp>
        <stp>YLD_YTM_BID</stp>
        <stp>[TREASURY.xlsx]Sheet1!R98C4</stp>
        <tr r="D98" s="1"/>
      </tp>
      <tp>
        <v>2.5</v>
        <stp/>
        <stp>##V3_BDPV12</stp>
        <stp>9128285Z Govt</stp>
        <stp>CPN</stp>
        <stp>[TREASURY.xlsx]Sheet1!R220C3</stp>
        <tr r="C220" s="1"/>
      </tp>
      <tp>
        <v>1.75</v>
        <stp/>
        <stp>##V3_BDPV12</stp>
        <stp>9128286Z Govt</stp>
        <stp>CPN</stp>
        <stp>[TREASURY.xlsx]Sheet1!R200C3</stp>
        <tr r="C200" s="1"/>
      </tp>
      <tp>
        <v>3.375</v>
        <stp/>
        <stp>##V3_BDPV12</stp>
        <stp>912828LY Govt</stp>
        <stp>CPN</stp>
        <stp>[TREASURY.xlsx]Sheet1!R353C3</stp>
        <tr r="C353" s="1"/>
      </tp>
      <tp>
        <v>2.5</v>
        <stp/>
        <stp>##V3_BDPV12</stp>
        <stp>9128285X Govt</stp>
        <stp>CPN</stp>
        <stp>[TREASURY.xlsx]Sheet1!R372C3</stp>
        <tr r="C372" s="1"/>
      </tp>
      <tp>
        <v>1.625</v>
        <stp/>
        <stp>##V3_BDPV12</stp>
        <stp>912828YZ Govt</stp>
        <stp>CPN</stp>
        <stp>[TREASURY.xlsx]Sheet1!R170C3</stp>
        <tr r="C170" s="1"/>
      </tp>
      <tp>
        <v>1.75</v>
        <stp/>
        <stp>##V3_BDPV12</stp>
        <stp>912828AR Govt</stp>
        <stp>CPN</stp>
        <stp>[TREASURY.xlsx]Sheet1!R658C3</stp>
        <tr r="C658" s="1"/>
      </tp>
      <tp>
        <v>6.5</v>
        <stp/>
        <stp>##V3_BDPV12</stp>
        <stp>912827TZ Govt</stp>
        <stp>CPN</stp>
        <stp>[TREASURY.xlsx]Sheet1!R920C3</stp>
        <tr r="C920" s="1"/>
      </tp>
      <tp>
        <v>12.375</v>
        <stp/>
        <stp>##V3_BDPV12</stp>
        <stp>912827QR Govt</stp>
        <stp>CPN</stp>
        <stp>[TREASURY.xlsx]Sheet1!R908C3</stp>
        <tr r="C908" s="1"/>
      </tp>
      <tp>
        <v>8.375</v>
        <stp/>
        <stp>##V3_BDPV12</stp>
        <stp>912827YZ Govt</stp>
        <stp>CPN</stp>
        <stp>[TREASURY.xlsx]Sheet1!R950C3</stp>
        <tr r="C950" s="1"/>
      </tp>
      <tp>
        <v>2.5</v>
        <stp/>
        <stp>##V3_BDPV12</stp>
        <stp>912828XY Govt</stp>
        <stp>CPN</stp>
        <stp>[TREASURY.xlsx]Sheet1!R473C3</stp>
        <tr r="C473" s="1"/>
      </tp>
      <tp>
        <v>2.5</v>
        <stp/>
        <stp>##V3_BDPV12</stp>
        <stp>9128285S Govt</stp>
        <stp>CPN</stp>
        <stp>[TREASURY.xlsx]Sheet1!R429C3</stp>
        <tr r="C429" s="1"/>
      </tp>
      <tp>
        <v>1.625</v>
        <stp/>
        <stp>##V3_BDPV12</stp>
        <stp>912828AX Govt</stp>
        <stp>CPN</stp>
        <stp>[TREASURY.xlsx]Sheet1!R502C3</stp>
        <tr r="C502" s="1"/>
      </tp>
      <tp>
        <v>0.625</v>
        <stp/>
        <stp>##V3_BDPV12</stp>
        <stp>912828NS Govt</stp>
        <stp>CPN</stp>
        <stp>[TREASURY.xlsx]Sheet1!R979C3</stp>
        <tr r="C979" s="1"/>
      </tp>
      <tp t="s">
        <v>#N/A N/A</v>
        <stp/>
        <stp>##V3_BDPV12</stp>
        <stp>912827KS Govt</stp>
        <stp>YLD_YTM_BID</stp>
        <stp>[TREASURY.xlsx]Sheet1!R668C4</stp>
        <tr r="D668" s="1"/>
      </tp>
      <tp t="s">
        <v>#N/A N/A</v>
        <stp/>
        <stp>##V3_BDPV12</stp>
        <stp>9128275X Govt</stp>
        <stp>YLD_YTM_BID</stp>
        <stp>[TREASURY.xlsx]Sheet1!R633C4</stp>
        <tr r="D633" s="1"/>
      </tp>
      <tp t="s">
        <v>#N/A N/A</v>
        <stp/>
        <stp>##V3_BDPV12</stp>
        <stp>912827KY Govt</stp>
        <stp>YLD_YTM_BID</stp>
        <stp>[TREASURY.xlsx]Sheet1!R712C4</stp>
        <tr r="D712" s="1"/>
      </tp>
      <tp t="s">
        <v>#N/A N/A</v>
        <stp/>
        <stp>##V3_BDPV12</stp>
        <stp>912828LS Govt</stp>
        <stp>YLD_YTM_BID</stp>
        <stp>[TREASURY.xlsx]Sheet1!R858C4</stp>
        <tr r="D858" s="1"/>
      </tp>
      <tp t="s">
        <v>#N/A N/A</v>
        <stp/>
        <stp>##V3_BDPV12</stp>
        <stp>912828SZ Govt</stp>
        <stp>YLD_YTM_BID</stp>
        <stp>[TREASURY.xlsx]Sheet1!R551C4</stp>
        <tr r="D551" s="1"/>
      </tp>
      <tp>
        <v>4.5</v>
        <stp/>
        <stp>##V3_BDPV12</stp>
        <stp>912810PX Govt</stp>
        <stp>CPN</stp>
        <stp>[TREASURY.xlsx]Sheet1!R282C3</stp>
        <tr r="C282" s="1"/>
      </tp>
      <tp t="s">
        <v>#N/A N/A</v>
        <stp/>
        <stp>##V3_BDPV12</stp>
        <stp>912828KS Govt</stp>
        <stp>YLD_YTM_BID</stp>
        <stp>[TREASURY.xlsx]Sheet1!R418C4</stp>
        <tr r="D418" s="1"/>
      </tp>
      <tp>
        <v>3.125</v>
        <stp/>
        <stp>##V3_BDPV12</stp>
        <stp>912810QZ Govt</stp>
        <stp>CPN</stp>
        <stp>[TREASURY.xlsx]Sheet1!R310C3</stp>
        <tr r="C310" s="1"/>
      </tp>
      <tp t="s">
        <v>#N/A N/A</v>
        <stp/>
        <stp>##V3_BDPV12</stp>
        <stp>912827LX Govt</stp>
        <stp>YLD_YTM_BID</stp>
        <stp>[TREASURY.xlsx]Sheet1!R893C4</stp>
        <tr r="D893" s="1"/>
      </tp>
      <tp t="s">
        <v>#N/A N/A</v>
        <stp/>
        <stp>##V3_BDPV12</stp>
        <stp>912827RR Govt</stp>
        <stp>YLD_YTM_BID</stp>
        <stp>[TREASURY.xlsx]Sheet1!R829C4</stp>
        <tr r="D829" s="1"/>
      </tp>
      <tp t="s">
        <v>#N/A N/A</v>
        <stp/>
        <stp>##V3_BDPV12</stp>
        <stp>912828BS Govt</stp>
        <stp>YLD_YTM_BID</stp>
        <stp>[TREASURY.xlsx]Sheet1!R628C4</stp>
        <tr r="D628" s="1"/>
      </tp>
      <tp t="s">
        <v>#N/A N/A</v>
        <stp/>
        <stp>##V3_BDPV12</stp>
        <stp>912827XS Govt</stp>
        <stp>YLD_YTM_BID</stp>
        <stp>[TREASURY.xlsx]Sheet1!R938C4</stp>
        <tr r="D938" s="1"/>
      </tp>
      <tp>
        <v>0.12996885322002605</v>
        <stp/>
        <stp>##V3_BDPV12</stp>
        <stp>912828RR Govt</stp>
        <stp>YLD_YTM_BID</stp>
        <stp>[TREASURY.xlsx]Sheet1!R119C4</stp>
        <tr r="D119" s="1"/>
      </tp>
      <tp>
        <v>0.62887412992494118</v>
        <stp/>
        <stp>##V3_BDPV12</stp>
        <stp>9128283Z Govt</stp>
        <stp>YLD_YTM_BID</stp>
        <stp>[TREASURY.xlsx]Sheet1!R261C4</stp>
        <tr r="D261" s="1"/>
      </tp>
      <tp>
        <v>0.75626413455876651</v>
        <stp/>
        <stp>##V3_BDPV12</stp>
        <stp>9128284Z Govt</stp>
        <stp>YLD_YTM_BID</stp>
        <stp>[TREASURY.xlsx]Sheet1!R251C4</stp>
        <tr r="D251" s="1"/>
      </tp>
      <tp t="s">
        <v>11/15/2017</v>
        <stp/>
        <stp>##V3_BDPV12</stp>
        <stp>912828X8 Govt</stp>
        <stp>FIRST_CPN_DT</stp>
        <stp>[TREASURY.xlsx]Sheet1!R97C9</stp>
        <tr r="I97" s="1"/>
      </tp>
      <tp>
        <v>0.25</v>
        <stp/>
        <stp>##V3_BDPV12</stp>
        <stp>912828UK Govt</stp>
        <stp>CPN</stp>
        <stp>[TREASURY.xlsx]Sheet1!R1136C3</stp>
        <tr r="C1136" s="1"/>
      </tp>
      <tp>
        <v>0.875</v>
        <stp/>
        <stp>##V3_BDPV12</stp>
        <stp>912828WH Govt</stp>
        <stp>CPN</stp>
        <stp>[TREASURY.xlsx]Sheet1!R1306C3</stp>
        <tr r="C1306" s="1"/>
      </tp>
      <tp>
        <v>0.75</v>
        <stp/>
        <stp>##V3_BDPV12</stp>
        <stp>912828UR Govt</stp>
        <stp>CPN</stp>
        <stp>[TREASURY.xlsx]Sheet1!R1146C3</stp>
        <tr r="C1146" s="1"/>
      </tp>
      <tp>
        <v>0.5</v>
        <stp/>
        <stp>##V3_BDPV12</stp>
        <stp>912828WQ Govt</stp>
        <stp>CPN</stp>
        <stp>[TREASURY.xlsx]Sheet1!R1006C3</stp>
        <tr r="C1006" s="1"/>
      </tp>
      <tp>
        <v>0.125</v>
        <stp/>
        <stp>##V3_BDPV12</stp>
        <stp>912828RK Govt</stp>
        <stp>CPN</stp>
        <stp>[TREASURY.xlsx]Sheet1!R1266C3</stp>
        <tr r="C1266" s="1"/>
      </tp>
      <tp>
        <v>1.875</v>
        <stp/>
        <stp>##V3_BDPV12</stp>
        <stp>912828PA Govt</stp>
        <stp>CPN</stp>
        <stp>[TREASURY.xlsx]Sheet1!R1296C3</stp>
        <tr r="C1296" s="1"/>
      </tp>
      <tp>
        <v>4.875</v>
        <stp/>
        <stp>##V3_BDPV12</stp>
        <stp>912828FP Govt</stp>
        <stp>CPN</stp>
        <stp>[TREASURY.xlsx]Sheet1!R1276C3</stp>
        <tr r="C1276" s="1"/>
      </tp>
      <tp>
        <v>4.25</v>
        <stp/>
        <stp>##V3_BDPV12</stp>
        <stp>912828ES Govt</stp>
        <stp>CPN</stp>
        <stp>[TREASURY.xlsx]Sheet1!R1116C3</stp>
        <tr r="C1116" s="1"/>
      </tp>
      <tp t="s">
        <v>#N/A N/A</v>
        <stp/>
        <stp>##V3_BDPV12</stp>
        <stp>912810DG Govt</stp>
        <stp>YLD_YTM_BID</stp>
        <stp>[TREASURY.xlsx]Sheet1!R1516C4</stp>
        <tr r="D1516" s="1"/>
      </tp>
      <tp>
        <v>3.125</v>
        <stp/>
        <stp>##V3_BDPV12</stp>
        <stp>912828CE Govt</stp>
        <stp>CPN</stp>
        <stp>[TREASURY.xlsx]Sheet1!R1426C3</stp>
        <tr r="C1426" s="1"/>
      </tp>
      <tp>
        <v>2.125</v>
        <stp/>
        <stp>##V3_BDPV12</stp>
        <stp>912828AM Govt</stp>
        <stp>CPN</stp>
        <stp>[TREASURY.xlsx]Sheet1!R1616C3</stp>
        <tr r="C1616" s="1"/>
      </tp>
      <tp t="s">
        <v>#N/A N/A</v>
        <stp/>
        <stp>##V3_BDPV12</stp>
        <stp>912810DB Govt</stp>
        <stp>YLD_YTM_BID</stp>
        <stp>[TREASURY.xlsx]Sheet1!R1346C4</stp>
        <tr r="D1346" s="1"/>
      </tp>
      <tp>
        <v>2.75</v>
        <stp/>
        <stp>##V3_BDPV12</stp>
        <stp>912828CQ Govt</stp>
        <stp>CPN</stp>
        <stp>[TREASURY.xlsx]Sheet1!R1236C3</stp>
        <tr r="C1236" s="1"/>
      </tp>
      <tp t="s">
        <v>#N/A N/A</v>
        <stp/>
        <stp>##V3_BDPV12</stp>
        <stp>912810CZ Govt</stp>
        <stp>YLD_YTM_BID</stp>
        <stp>[TREASURY.xlsx]Sheet1!R1446C4</stp>
        <tr r="D1446" s="1"/>
      </tp>
      <tp>
        <v>4.875</v>
        <stp/>
        <stp>##V3_BDPV12</stp>
        <stp>912828GW Govt</stp>
        <stp>CPN</stp>
        <stp>[TREASURY.xlsx]Sheet1!R1436C3</stp>
        <tr r="C1436" s="1"/>
      </tp>
      <tp>
        <v>2.125</v>
        <stp/>
        <stp>##V3_BDPV12</stp>
        <stp>912828NF Govt</stp>
        <stp>CPN</stp>
        <stp>[TREASURY.xlsx]Sheet1!R1256C3</stp>
        <tr r="C1256" s="1"/>
      </tp>
      <tp>
        <v>0.5</v>
        <stp/>
        <stp>##V3_BDPV12</stp>
        <stp>912828J3 Govt</stp>
        <stp>CPN</stp>
        <stp>[TREASURY.xlsx]Sheet1!R1246C3</stp>
        <tr r="C1246" s="1"/>
      </tp>
      <tp>
        <v>1.5</v>
        <stp/>
        <stp>##V3_BDPV12</stp>
        <stp>912828JP Govt</stp>
        <stp>CPN</stp>
        <stp>[TREASURY.xlsx]Sheet1!R1286C3</stp>
        <tr r="C1286" s="1"/>
      </tp>
      <tp>
        <v>1.875</v>
        <stp/>
        <stp>##V3_BDPV12</stp>
        <stp>912828KX Govt</stp>
        <stp>CPN</stp>
        <stp>[TREASURY.xlsx]Sheet1!R1126C3</stp>
        <tr r="C1126" s="1"/>
      </tp>
      <tp>
        <v>2.375</v>
        <stp/>
        <stp>##V3_BDPV12</stp>
        <stp>9128284B Govt</stp>
        <stp>CPN</stp>
        <stp>[TREASURY.xlsx]Sheet1!R1106C3</stp>
        <tr r="C1106" s="1"/>
      </tp>
      <tp t="s">
        <v>USD</v>
        <stp/>
        <stp>##V3_BDPV12</stp>
        <stp>9128275F Govt</stp>
        <stp>CRNCY</stp>
        <stp>[TREASURY.xlsx]Sheet1!R662C7</stp>
        <tr r="G662" s="1"/>
      </tp>
      <tp t="s">
        <v>USD</v>
        <stp/>
        <stp>##V3_BDPV12</stp>
        <stp>9128274W Govt</stp>
        <stp>CRNCY</stp>
        <stp>[TREASURY.xlsx]Sheet1!R522C7</stp>
        <tr r="G522" s="1"/>
      </tp>
      <tp t="s">
        <v>#N/A N/A</v>
        <stp/>
        <stp>##V3_BDPV12</stp>
        <stp>912827SJ Govt</stp>
        <stp>YLD_YTM_BID</stp>
        <stp>[TREASURY.xlsx]Sheet1!R1185C4</stp>
        <tr r="D1185" s="1"/>
      </tp>
      <tp t="s">
        <v>#N/A N/A</v>
        <stp/>
        <stp>##V3_BDPV12</stp>
        <stp>912827QY Govt</stp>
        <stp>YLD_YTM_BID</stp>
        <stp>[TREASURY.xlsx]Sheet1!R1395C4</stp>
        <tr r="D1395" s="1"/>
      </tp>
      <tp t="s">
        <v>#N/A N/A</v>
        <stp/>
        <stp>##V3_BDPV12</stp>
        <stp>912827W6 Govt</stp>
        <stp>YLD_YTM_BID</stp>
        <stp>[TREASURY.xlsx]Sheet1!R1415C4</stp>
        <tr r="D1415" s="1"/>
      </tp>
      <tp t="s">
        <v>#N/A N/A</v>
        <stp/>
        <stp>##V3_BDPV12</stp>
        <stp>912827SF Govt</stp>
        <stp>YLD_YTM_BID</stp>
        <stp>[TREASURY.xlsx]Sheet1!R1065C4</stp>
        <tr r="D1065" s="1"/>
      </tp>
      <tp t="s">
        <v>#N/A N/A</v>
        <stp/>
        <stp>##V3_BDPV12</stp>
        <stp>912827T9 Govt</stp>
        <stp>YLD_YTM_BID</stp>
        <stp>[TREASURY.xlsx]Sheet1!R1505C4</stp>
        <tr r="D1505" s="1"/>
      </tp>
      <tp t="s">
        <v>#N/A N/A</v>
        <stp/>
        <stp>##V3_BDPV12</stp>
        <stp>912827QC Govt</stp>
        <stp>YLD_YTM_BID</stp>
        <stp>[TREASURY.xlsx]Sheet1!R1055C4</stp>
        <tr r="D1055" s="1"/>
      </tp>
      <tp t="s">
        <v>#N/A N/A</v>
        <stp/>
        <stp>##V3_BDPV12</stp>
        <stp>912827UM Govt</stp>
        <stp>YLD_YTM_BID</stp>
        <stp>[TREASURY.xlsx]Sheet1!R1405C4</stp>
        <tr r="D1405" s="1"/>
      </tp>
      <tp t="s">
        <v>#N/A N/A</v>
        <stp/>
        <stp>##V3_BDPV12</stp>
        <stp>912827PU Govt</stp>
        <stp>YLD_YTM_BID</stp>
        <stp>[TREASURY.xlsx]Sheet1!R1175C4</stp>
        <tr r="D1175" s="1"/>
      </tp>
      <tp t="s">
        <v>#N/A N/A</v>
        <stp/>
        <stp>##V3_BDPV12</stp>
        <stp>912827S3 Govt</stp>
        <stp>YLD_YTM_BID</stp>
        <stp>[TREASURY.xlsx]Sheet1!R1585C4</stp>
        <tr r="D1585" s="1"/>
      </tp>
      <tp t="s">
        <v>#N/A N/A</v>
        <stp/>
        <stp>##V3_BDPV12</stp>
        <stp>912827VD Govt</stp>
        <stp>YLD_YTM_BID</stp>
        <stp>[TREASURY.xlsx]Sheet1!R1085C4</stp>
        <tr r="D1085" s="1"/>
      </tp>
      <tp t="s">
        <v>#N/A N/A</v>
        <stp/>
        <stp>##V3_BDPV12</stp>
        <stp>912827TQ Govt</stp>
        <stp>YLD_YTM_BID</stp>
        <stp>[TREASURY.xlsx]Sheet1!R1075C4</stp>
        <tr r="D1075" s="1"/>
      </tp>
      <tp t="s">
        <v>#N/A N/A</v>
        <stp/>
        <stp>##V3_BDPV12</stp>
        <stp>912827VS Govt</stp>
        <stp>YLD_YTM_BID</stp>
        <stp>[TREASURY.xlsx]Sheet1!R1205C4</stp>
        <tr r="D1205" s="1"/>
      </tp>
      <tp t="s">
        <v>#N/A N/A</v>
        <stp/>
        <stp>##V3_BDPV12</stp>
        <stp>912827QX Govt</stp>
        <stp>YLD_YTM_BID</stp>
        <stp>[TREASURY.xlsx]Sheet1!R1575C4</stp>
        <tr r="D1575" s="1"/>
      </tp>
      <tp t="s">
        <v>#N/A N/A</v>
        <stp/>
        <stp>##V3_BDPV12</stp>
        <stp>912827QF Govt</stp>
        <stp>YLD_YTM_BID</stp>
        <stp>[TREASURY.xlsx]Sheet1!R1495C4</stp>
        <tr r="D1495" s="1"/>
      </tp>
      <tp t="s">
        <v>#N/A N/A</v>
        <stp/>
        <stp>##V3_BDPV12</stp>
        <stp>912827TT Govt</stp>
        <stp>YLD_YTM_BID</stp>
        <stp>[TREASURY.xlsx]Sheet1!R1195C4</stp>
        <tr r="D1195" s="1"/>
      </tp>
      <tp t="s">
        <v>#N/A N/A</v>
        <stp/>
        <stp>##V3_BDPV12</stp>
        <stp>912827XM Govt</stp>
        <stp>YLD_YTM_BID</stp>
        <stp>[TREASURY.xlsx]Sheet1!R1215C4</stp>
        <tr r="D1215" s="1"/>
      </tp>
      <tp t="s">
        <v>#N/A N/A</v>
        <stp/>
        <stp>##V3_BDPV12</stp>
        <stp>912827Z4 Govt</stp>
        <stp>YLD_YTM_BID</stp>
        <stp>[TREASURY.xlsx]Sheet1!R1225C4</stp>
        <tr r="D1225" s="1"/>
      </tp>
      <tp t="s">
        <v>#N/A N/A</v>
        <stp/>
        <stp>##V3_BDPV12</stp>
        <stp>912827X7 Govt</stp>
        <stp>YLD_YTM_BID</stp>
        <stp>[TREASURY.xlsx]Sheet1!R1095C4</stp>
        <tr r="D1095" s="1"/>
      </tp>
      <tp t="s">
        <v>#N/A N/A</v>
        <stp/>
        <stp>##V3_BDPV12</stp>
        <stp>912827YL Govt</stp>
        <stp>YLD_YTM_BID</stp>
        <stp>[TREASURY.xlsx]Sheet1!R1605C4</stp>
        <tr r="D1605" s="1"/>
      </tp>
      <tp t="s">
        <v>#N/A N/A</v>
        <stp/>
        <stp>##V3_BDPV12</stp>
        <stp>912827XB Govt</stp>
        <stp>YLD_YTM_BID</stp>
        <stp>[TREASURY.xlsx]Sheet1!R1595C4</stp>
        <tr r="D1595" s="1"/>
      </tp>
      <tp t="s">
        <v>#N/A N/A</v>
        <stp/>
        <stp>##V3_BDPV12</stp>
        <stp>912827D8 Govt</stp>
        <stp>YLD_YTM_BID</stp>
        <stp>[TREASURY.xlsx]Sheet1!R1485C4</stp>
        <tr r="D1485" s="1"/>
      </tp>
      <tp t="s">
        <v>#N/A N/A</v>
        <stp/>
        <stp>##V3_BDPV12</stp>
        <stp>912827B2 Govt</stp>
        <stp>YLD_YTM_BID</stp>
        <stp>[TREASURY.xlsx]Sheet1!R1475C4</stp>
        <tr r="D1475" s="1"/>
      </tp>
      <tp t="s">
        <v>#N/A N/A</v>
        <stp/>
        <stp>##V3_BDPV12</stp>
        <stp>912827C7 Govt</stp>
        <stp>YLD_YTM_BID</stp>
        <stp>[TREASURY.xlsx]Sheet1!R1555C4</stp>
        <tr r="D1555" s="1"/>
      </tp>
      <tp t="s">
        <v>#N/A N/A</v>
        <stp/>
        <stp>##V3_BDPV12</stp>
        <stp>912827G4 Govt</stp>
        <stp>YLD_YTM_BID</stp>
        <stp>[TREASURY.xlsx]Sheet1!R1035C4</stp>
        <tr r="D1035" s="1"/>
      </tp>
      <tp t="s">
        <v>#N/A N/A</v>
        <stp/>
        <stp>##V3_BDPV12</stp>
        <stp>912827F9 Govt</stp>
        <stp>YLD_YTM_BID</stp>
        <stp>[TREASURY.xlsx]Sheet1!R1155C4</stp>
        <tr r="D1155" s="1"/>
      </tp>
      <tp t="s">
        <v>#N/A N/A</v>
        <stp/>
        <stp>##V3_BDPV12</stp>
        <stp>912827F7 Govt</stp>
        <stp>YLD_YTM_BID</stp>
        <stp>[TREASURY.xlsx]Sheet1!R1315C4</stp>
        <tr r="D1315" s="1"/>
      </tp>
      <tp t="s">
        <v>#N/A N/A</v>
        <stp/>
        <stp>##V3_BDPV12</stp>
        <stp>912827H9 Govt</stp>
        <stp>YLD_YTM_BID</stp>
        <stp>[TREASURY.xlsx]Sheet1!R1375C4</stp>
        <tr r="D1375" s="1"/>
      </tp>
      <tp t="s">
        <v>#N/A N/A</v>
        <stp/>
        <stp>##V3_BDPV12</stp>
        <stp>912827L7 Govt</stp>
        <stp>YLD_YTM_BID</stp>
        <stp>[TREASURY.xlsx]Sheet1!R1565C4</stp>
        <tr r="D1565" s="1"/>
      </tp>
      <tp t="s">
        <v>#N/A N/A</v>
        <stp/>
        <stp>##V3_BDPV12</stp>
        <stp>912827ML Govt</stp>
        <stp>YLD_YTM_BID</stp>
        <stp>[TREASURY.xlsx]Sheet1!R1325C4</stp>
        <tr r="D1325" s="1"/>
      </tp>
      <tp t="s">
        <v>#N/A N/A</v>
        <stp/>
        <stp>##V3_BDPV12</stp>
        <stp>912827M4 Govt</stp>
        <stp>YLD_YTM_BID</stp>
        <stp>[TREASURY.xlsx]Sheet1!R1165C4</stp>
        <tr r="D1165" s="1"/>
      </tp>
      <tp t="s">
        <v>#N/A N/A</v>
        <stp/>
        <stp>##V3_BDPV12</stp>
        <stp>912827MM Govt</stp>
        <stp>YLD_YTM_BID</stp>
        <stp>[TREASURY.xlsx]Sheet1!R1045C4</stp>
        <tr r="D1045" s="1"/>
      </tp>
      <tp t="s">
        <v>#N/A N/A</v>
        <stp/>
        <stp>##V3_BDPV12</stp>
        <stp>912827NU Govt</stp>
        <stp>YLD_YTM_BID</stp>
        <stp>[TREASURY.xlsx]Sheet1!R1335C4</stp>
        <tr r="D1335" s="1"/>
      </tp>
      <tp t="s">
        <v>#N/A N/A</v>
        <stp/>
        <stp>##V3_BDPV12</stp>
        <stp>912827NX Govt</stp>
        <stp>YLD_YTM_BID</stp>
        <stp>[TREASURY.xlsx]Sheet1!R1385C4</stp>
        <tr r="D1385" s="1"/>
      </tp>
      <tp t="s">
        <v>#N/A N/A</v>
        <stp/>
        <stp>##V3_BDPV12</stp>
        <stp>9128276D Govt</stp>
        <stp>YLD_YTM_BID</stp>
        <stp>[TREASURY.xlsx]Sheet1!R1465C4</stp>
        <tr r="D1465" s="1"/>
      </tp>
      <tp t="s">
        <v>#N/A N/A</v>
        <stp/>
        <stp>##V3_BDPV12</stp>
        <stp>9128277E Govt</stp>
        <stp>YLD_YTM_BID</stp>
        <stp>[TREASURY.xlsx]Sheet1!R1545C4</stp>
        <tr r="D1545" s="1"/>
      </tp>
      <tp t="s">
        <v>#N/A N/A</v>
        <stp/>
        <stp>##V3_BDPV12</stp>
        <stp>9128273F Govt</stp>
        <stp>YLD_YTM_BID</stp>
        <stp>[TREASURY.xlsx]Sheet1!R1355C4</stp>
        <tr r="D1355" s="1"/>
      </tp>
      <tp t="s">
        <v>#N/A N/A</v>
        <stp/>
        <stp>##V3_BDPV12</stp>
        <stp>9128275C Govt</stp>
        <stp>YLD_YTM_BID</stp>
        <stp>[TREASURY.xlsx]Sheet1!R1535C4</stp>
        <tr r="D1535" s="1"/>
      </tp>
      <tp t="s">
        <v>#N/A N/A</v>
        <stp/>
        <stp>##V3_BDPV12</stp>
        <stp>9128276T Govt</stp>
        <stp>YLD_YTM_BID</stp>
        <stp>[TREASURY.xlsx]Sheet1!R1025C4</stp>
        <tr r="D1025" s="1"/>
      </tp>
      <tp t="s">
        <v>#N/A N/A</v>
        <stp/>
        <stp>##V3_BDPV12</stp>
        <stp>9128274J Govt</stp>
        <stp>YLD_YTM_BID</stp>
        <stp>[TREASURY.xlsx]Sheet1!R1365C4</stp>
        <tr r="D1365" s="1"/>
      </tp>
      <tp t="s">
        <v>#N/A N/A</v>
        <stp/>
        <stp>##V3_BDPV12</stp>
        <stp>9128273U Govt</stp>
        <stp>YLD_YTM_BID</stp>
        <stp>[TREASURY.xlsx]Sheet1!R1455C4</stp>
        <tr r="D1455" s="1"/>
      </tp>
      <tp t="s">
        <v>#N/A N/A</v>
        <stp/>
        <stp>##V3_BDPV12</stp>
        <stp>9128272Y Govt</stp>
        <stp>YLD_YTM_BID</stp>
        <stp>[TREASURY.xlsx]Sheet1!R1525C4</stp>
        <tr r="D1525" s="1"/>
      </tp>
      <tp t="s">
        <v>#N/A N/A</v>
        <stp/>
        <stp>##V3_BDPV12</stp>
        <stp>9128275M Govt</stp>
        <stp>YLD_YTM_BID</stp>
        <stp>[TREASURY.xlsx]Sheet1!R1015C4</stp>
        <tr r="D1015" s="1"/>
      </tp>
      <tp t="s">
        <v>UNITED STATES</v>
        <stp/>
        <stp>##V3_BDPV12</stp>
        <stp>912827NA Govt</stp>
        <stp>COUNTRY_FULL_NAME</stp>
        <stp>[TREASURY.xlsx]Sheet1!R1331C8</stp>
        <tr r="H1331" s="1"/>
      </tp>
      <tp t="s">
        <v>UNITED STATES</v>
        <stp/>
        <stp>##V3_BDPV12</stp>
        <stp>912828MA Govt</stp>
        <stp>COUNTRY_FULL_NAME</stp>
        <stp>[TREASURY.xlsx]Sheet1!R1252C8</stp>
        <tr r="H1252" s="1"/>
      </tp>
      <tp t="s">
        <v>UNITED STATES</v>
        <stp/>
        <stp>##V3_BDPV12</stp>
        <stp>912828JA Govt</stp>
        <stp>COUNTRY_FULL_NAME</stp>
        <stp>[TREASURY.xlsx]Sheet1!R1285C8</stp>
        <tr r="H1285" s="1"/>
      </tp>
      <tp t="s">
        <v>UNITED STATES</v>
        <stp/>
        <stp>##V3_BDPV12</stp>
        <stp>912828HA Govt</stp>
        <stp>COUNTRY_FULL_NAME</stp>
        <stp>[TREASURY.xlsx]Sheet1!R1437C8</stp>
        <tr r="H1437" s="1"/>
      </tp>
      <tp t="s">
        <v>UNITED STATES</v>
        <stp/>
        <stp>##V3_BDPV12</stp>
        <stp>912827NN Govt</stp>
        <stp>COUNTRY_FULL_NAME</stp>
        <stp>[TREASURY.xlsx]Sheet1!R1051C8</stp>
        <tr r="H1051" s="1"/>
      </tp>
      <tp t="s">
        <v>#N/A N/A</v>
        <stp/>
        <stp>##V3_BDPV12</stp>
        <stp>912828RD Govt</stp>
        <stp>YLD_YTM_BID</stp>
        <stp>[TREASURY.xlsx]Sheet1!R1265C4</stp>
        <tr r="D1265" s="1"/>
      </tp>
      <tp t="s">
        <v>#N/A N/A</v>
        <stp/>
        <stp>##V3_BDPV12</stp>
        <stp>912828WA Govt</stp>
        <stp>YLD_YTM_BID</stp>
        <stp>[TREASURY.xlsx]Sheet1!R1005C4</stp>
        <tr r="D1005" s="1"/>
      </tp>
      <tp t="s">
        <v>#N/A N/A</v>
        <stp/>
        <stp>##V3_BDPV12</stp>
        <stp>912828UG Govt</stp>
        <stp>YLD_YTM_BID</stp>
        <stp>[TREASURY.xlsx]Sheet1!R1135C4</stp>
        <tr r="D1135" s="1"/>
      </tp>
      <tp t="s">
        <v>#N/A N/A</v>
        <stp/>
        <stp>##V3_BDPV12</stp>
        <stp>912828UP Govt</stp>
        <stp>YLD_YTM_BID</stp>
        <stp>[TREASURY.xlsx]Sheet1!R1145C4</stp>
        <tr r="D1145" s="1"/>
      </tp>
      <tp t="s">
        <v>#N/A N/A</v>
        <stp/>
        <stp>##V3_BDPV12</stp>
        <stp>912828VV Govt</stp>
        <stp>YLD_YTM_BID</stp>
        <stp>[TREASURY.xlsx]Sheet1!R1305C4</stp>
        <tr r="D1305" s="1"/>
      </tp>
      <tp t="s">
        <v>#N/A N/A</v>
        <stp/>
        <stp>##V3_BDPV12</stp>
        <stp>912828GH Govt</stp>
        <stp>YLD_YTM_BID</stp>
        <stp>[TREASURY.xlsx]Sheet1!R1435C4</stp>
        <tr r="D1435" s="1"/>
      </tp>
      <tp t="s">
        <v>#N/A N/A</v>
        <stp/>
        <stp>##V3_BDPV12</stp>
        <stp>912828BF Govt</stp>
        <stp>YLD_YTM_BID</stp>
        <stp>[TREASURY.xlsx]Sheet1!R1235C4</stp>
        <tr r="D1235" s="1"/>
      </tp>
      <tp>
        <v>11.75</v>
        <stp/>
        <stp>##V3_BDPV12</stp>
        <stp>912810CM Govt</stp>
        <stp>CPN</stp>
        <stp>[TREASURY.xlsx]Sheet1!R1515C3</stp>
        <tr r="C1515" s="1"/>
      </tp>
      <tp t="s">
        <v>#N/A N/A</v>
        <stp/>
        <stp>##V3_BDPV12</stp>
        <stp>912828BE Govt</stp>
        <stp>YLD_YTM_BID</stp>
        <stp>[TREASURY.xlsx]Sheet1!R1425C4</stp>
        <tr r="D1425" s="1"/>
      </tp>
      <tp>
        <v>13.125</v>
        <stp/>
        <stp>##V3_BDPV12</stp>
        <stp>912810CU Govt</stp>
        <stp>CPN</stp>
        <stp>[TREASURY.xlsx]Sheet1!R1345C3</stp>
        <tr r="C1345" s="1"/>
      </tp>
      <tp>
        <v>9.125</v>
        <stp/>
        <stp>##V3_BDPV12</stp>
        <stp>912810EA Govt</stp>
        <stp>CPN</stp>
        <stp>[TREASURY.xlsx]Sheet1!R1445C3</stp>
        <tr r="C1445" s="1"/>
      </tp>
      <tp t="s">
        <v>#N/A N/A</v>
        <stp/>
        <stp>##V3_BDPV12</stp>
        <stp>912828EM Govt</stp>
        <stp>YLD_YTM_BID</stp>
        <stp>[TREASURY.xlsx]Sheet1!R1115C4</stp>
        <tr r="D1115" s="1"/>
      </tp>
      <tp t="s">
        <v>#N/A N/A</v>
        <stp/>
        <stp>##V3_BDPV12</stp>
        <stp>912828FN Govt</stp>
        <stp>YLD_YTM_BID</stp>
        <stp>[TREASURY.xlsx]Sheet1!R1275C4</stp>
        <tr r="D1275" s="1"/>
      </tp>
      <tp t="s">
        <v>#N/A N/A</v>
        <stp/>
        <stp>##V3_BDPV12</stp>
        <stp>912828HS Govt</stp>
        <stp>YLD_YTM_BID</stp>
        <stp>[TREASURY.xlsx]Sheet1!R1245C4</stp>
        <tr r="D1245" s="1"/>
      </tp>
      <tp t="s">
        <v>#N/A N/A</v>
        <stp/>
        <stp>##V3_BDPV12</stp>
        <stp>912828KP Govt</stp>
        <stp>YLD_YTM_BID</stp>
        <stp>[TREASURY.xlsx]Sheet1!R1125C4</stp>
        <tr r="D1125" s="1"/>
      </tp>
      <tp t="s">
        <v>#N/A N/A</v>
        <stp/>
        <stp>##V3_BDPV12</stp>
        <stp>912828JA Govt</stp>
        <stp>YLD_YTM_BID</stp>
        <stp>[TREASURY.xlsx]Sheet1!R1285C4</stp>
        <tr r="D1285" s="1"/>
      </tp>
      <tp t="s">
        <v>#N/A N/A</v>
        <stp/>
        <stp>##V3_BDPV12</stp>
        <stp>912828MZ Govt</stp>
        <stp>YLD_YTM_BID</stp>
        <stp>[TREASURY.xlsx]Sheet1!R1255C4</stp>
        <tr r="D1255" s="1"/>
      </tp>
      <tp t="s">
        <v>#N/A N/A</v>
        <stp/>
        <stp>##V3_BDPV12</stp>
        <stp>912828NZ Govt</stp>
        <stp>YLD_YTM_BID</stp>
        <stp>[TREASURY.xlsx]Sheet1!R1295C4</stp>
        <tr r="D1295" s="1"/>
      </tp>
      <tp t="s">
        <v>#N/A N/A</v>
        <stp/>
        <stp>##V3_BDPV12</stp>
        <stp>9128282G Govt</stp>
        <stp>YLD_YTM_BID</stp>
        <stp>[TREASURY.xlsx]Sheet1!R1105C4</stp>
        <tr r="D1105" s="1"/>
      </tp>
      <tp t="s">
        <v>#N/A N/A</v>
        <stp/>
        <stp>##V3_BDPV12</stp>
        <stp>9128282Z Govt</stp>
        <stp>YLD_YTM_BID</stp>
        <stp>[TREASURY.xlsx]Sheet1!R1615C4</stp>
        <tr r="D1615" s="1"/>
      </tp>
      <tp t="s">
        <v>S/A</v>
        <stp/>
        <stp>##V3_BDPV12</stp>
        <stp>912828BF Govt</stp>
        <stp>COUPON_FREQUENCY_DESCRIPTION</stp>
        <stp>[TREASURY.xlsx]Sheet1!R1235C10</stp>
        <tr r="J1235" s="1"/>
      </tp>
      <tp t="s">
        <v>S/A</v>
        <stp/>
        <stp>##V3_BDPV12</stp>
        <stp>912810BG Govt</stp>
        <stp>COUPON_FREQUENCY_DESCRIPTION</stp>
        <stp>[TREASURY.xlsx]Sheet1!R1513C10</stp>
        <tr r="J1513" s="1"/>
      </tp>
      <tp>
        <v>6.125</v>
        <stp/>
        <stp>##V3_BDPV12</stp>
        <stp>912827TY Govt</stp>
        <stp>CPN</stp>
        <stp>[TREASURY.xlsx]Sheet1!R1076C3</stp>
        <tr r="C1076" s="1"/>
      </tp>
      <tp>
        <v>13.75</v>
        <stp/>
        <stp>##V3_BDPV12</stp>
        <stp>912827QZ Govt</stp>
        <stp>CPN</stp>
        <stp>[TREASURY.xlsx]Sheet1!R1576C3</stp>
        <tr r="C1576" s="1"/>
      </tp>
      <tp>
        <v>10.625</v>
        <stp/>
        <stp>##V3_BDPV12</stp>
        <stp>912827QK Govt</stp>
        <stp>CPN</stp>
        <stp>[TREASURY.xlsx]Sheet1!R1496C3</stp>
        <tr r="C1496" s="1"/>
      </tp>
      <tp>
        <v>7.875</v>
        <stp/>
        <stp>##V3_BDPV12</stp>
        <stp>912827WA Govt</stp>
        <stp>CPN</stp>
        <stp>[TREASURY.xlsx]Sheet1!R1206C3</stp>
        <tr r="C1206" s="1"/>
      </tp>
      <tp>
        <v>6.625</v>
        <stp/>
        <stp>##V3_BDPV12</stp>
        <stp>912827TX Govt</stp>
        <stp>CPN</stp>
        <stp>[TREASURY.xlsx]Sheet1!R1196C3</stp>
        <tr r="C1196" s="1"/>
      </tp>
      <tp>
        <v>7.5</v>
        <stp/>
        <stp>##V3_BDPV12</stp>
        <stp>912827S8 Govt</stp>
        <stp>CPN</stp>
        <stp>[TREASURY.xlsx]Sheet1!R1586C3</stp>
        <tr r="C1586" s="1"/>
      </tp>
      <tp>
        <v>7.75</v>
        <stp/>
        <stp>##V3_BDPV12</stp>
        <stp>912827VF Govt</stp>
        <stp>CPN</stp>
        <stp>[TREASURY.xlsx]Sheet1!R1086C3</stp>
        <tr r="C1086" s="1"/>
      </tp>
      <tp>
        <v>6.75</v>
        <stp/>
        <stp>##V3_BDPV12</stp>
        <stp>912827Q2 Govt</stp>
        <stp>CPN</stp>
        <stp>[TREASURY.xlsx]Sheet1!R1176C3</stp>
        <tr r="C1176" s="1"/>
      </tp>
      <tp>
        <v>9.625</v>
        <stp/>
        <stp>##V3_BDPV12</stp>
        <stp>912827SR Govt</stp>
        <stp>CPN</stp>
        <stp>[TREASURY.xlsx]Sheet1!R1396C3</stp>
        <tr r="C1396" s="1"/>
      </tp>
      <tp>
        <v>8.75</v>
        <stp/>
        <stp>##V3_BDPV12</stp>
        <stp>912827TC Govt</stp>
        <stp>CPN</stp>
        <stp>[TREASURY.xlsx]Sheet1!R1506C3</stp>
        <tr r="C1506" s="1"/>
      </tp>
      <tp>
        <v>11.75</v>
        <stp/>
        <stp>##V3_BDPV12</stp>
        <stp>912827QD Govt</stp>
        <stp>CPN</stp>
        <stp>[TREASURY.xlsx]Sheet1!R1056C3</stp>
        <tr r="C1056" s="1"/>
      </tp>
      <tp>
        <v>6.5</v>
        <stp/>
        <stp>##V3_BDPV12</stp>
        <stp>912827UN Govt</stp>
        <stp>CPN</stp>
        <stp>[TREASURY.xlsx]Sheet1!R1406C3</stp>
        <tr r="C1406" s="1"/>
      </tp>
      <tp>
        <v>10.5</v>
        <stp/>
        <stp>##V3_BDPV12</stp>
        <stp>912827SP Govt</stp>
        <stp>CPN</stp>
        <stp>[TREASURY.xlsx]Sheet1!R1186C3</stp>
        <tr r="C1186" s="1"/>
      </tp>
      <tp>
        <v>5</v>
        <stp/>
        <stp>##V3_BDPV12</stp>
        <stp>912827W7 Govt</stp>
        <stp>CPN</stp>
        <stp>[TREASURY.xlsx]Sheet1!R1416C3</stp>
        <tr r="C1416" s="1"/>
      </tp>
      <tp>
        <v>5.125</v>
        <stp/>
        <stp>##V3_BDPV12</stp>
        <stp>912827P3 Govt</stp>
        <stp>CPN</stp>
        <stp>[TREASURY.xlsx]Sheet1!R1386C3</stp>
        <tr r="C1386" s="1"/>
      </tp>
      <tp>
        <v>9.5</v>
        <stp/>
        <stp>##V3_BDPV12</stp>
        <stp>912827SN Govt</stp>
        <stp>CPN</stp>
        <stp>[TREASURY.xlsx]Sheet1!R1066C3</stp>
        <tr r="C1066" s="1"/>
      </tp>
      <tp>
        <v>9.375</v>
        <stp/>
        <stp>##V3_BDPV12</stp>
        <stp>912827XF Govt</stp>
        <stp>CPN</stp>
        <stp>[TREASURY.xlsx]Sheet1!R1596C3</stp>
        <tr r="C1596" s="1"/>
      </tp>
      <tp>
        <v>8.5</v>
        <stp/>
        <stp>##V3_BDPV12</stp>
        <stp>912827YP Govt</stp>
        <stp>CPN</stp>
        <stp>[TREASURY.xlsx]Sheet1!R1606C3</stp>
        <tr r="C1606" s="1"/>
      </tp>
      <tp>
        <v>6.5</v>
        <stp/>
        <stp>##V3_BDPV12</stp>
        <stp>912827Z6 Govt</stp>
        <stp>CPN</stp>
        <stp>[TREASURY.xlsx]Sheet1!R1226C3</stp>
        <tr r="C1226" s="1"/>
      </tp>
      <tp>
        <v>8.625</v>
        <stp/>
        <stp>##V3_BDPV12</stp>
        <stp>912827XQ Govt</stp>
        <stp>CPN</stp>
        <stp>[TREASURY.xlsx]Sheet1!R1096C3</stp>
        <tr r="C1096" s="1"/>
      </tp>
      <tp>
        <v>8.25</v>
        <stp/>
        <stp>##V3_BDPV12</stp>
        <stp>912827XR Govt</stp>
        <stp>CPN</stp>
        <stp>[TREASURY.xlsx]Sheet1!R1216C3</stp>
        <tr r="C1216" s="1"/>
      </tp>
      <tp>
        <v>7.875</v>
        <stp/>
        <stp>##V3_BDPV12</stp>
        <stp>912827B4 Govt</stp>
        <stp>CPN</stp>
        <stp>[TREASURY.xlsx]Sheet1!R1476C3</stp>
        <tr r="C1476" s="1"/>
      </tp>
      <tp>
        <v>6.375</v>
        <stp/>
        <stp>##V3_BDPV12</stp>
        <stp>912827G5 Govt</stp>
        <stp>CPN</stp>
        <stp>[TREASURY.xlsx]Sheet1!R1156C3</stp>
        <tr r="C1156" s="1"/>
      </tp>
      <tp>
        <v>6</v>
        <stp/>
        <stp>##V3_BDPV12</stp>
        <stp>912827C9 Govt</stp>
        <stp>CPN</stp>
        <stp>[TREASURY.xlsx]Sheet1!R1556C3</stp>
        <tr r="C1556" s="1"/>
      </tp>
      <tp>
        <v>4.25</v>
        <stp/>
        <stp>##V3_BDPV12</stp>
        <stp>912827G6 Govt</stp>
        <stp>CPN</stp>
        <stp>[TREASURY.xlsx]Sheet1!R1036C3</stp>
        <tr r="C1036" s="1"/>
      </tp>
      <tp>
        <v>5.5</v>
        <stp/>
        <stp>##V3_BDPV12</stp>
        <stp>912827G9 Govt</stp>
        <stp>CPN</stp>
        <stp>[TREASURY.xlsx]Sheet1!R1486C3</stp>
        <tr r="C1486" s="1"/>
      </tp>
      <tp>
        <v>4.25</v>
        <stp/>
        <stp>##V3_BDPV12</stp>
        <stp>912827M9 Govt</stp>
        <stp>CPN</stp>
        <stp>[TREASURY.xlsx]Sheet1!R1166C3</stp>
        <tr r="C1166" s="1"/>
      </tp>
      <tp>
        <v>14.125</v>
        <stp/>
        <stp>##V3_BDPV12</stp>
        <stp>912827MS Govt</stp>
        <stp>CPN</stp>
        <stp>[TREASURY.xlsx]Sheet1!R1046C3</stp>
        <tr r="C1046" s="1"/>
      </tp>
      <tp>
        <v>10</v>
        <stp/>
        <stp>##V3_BDPV12</stp>
        <stp>912827NZ Govt</stp>
        <stp>CPN</stp>
        <stp>[TREASURY.xlsx]Sheet1!R1336C3</stp>
        <tr r="C1336" s="1"/>
      </tp>
      <tp>
        <v>14.25</v>
        <stp/>
        <stp>##V3_BDPV12</stp>
        <stp>912827MN Govt</stp>
        <stp>CPN</stp>
        <stp>[TREASURY.xlsx]Sheet1!R1326C3</stp>
        <tr r="C1326" s="1"/>
      </tp>
      <tp>
        <v>5.125</v>
        <stp/>
        <stp>##V3_BDPV12</stp>
        <stp>912827J9 Govt</stp>
        <stp>CPN</stp>
        <stp>[TREASURY.xlsx]Sheet1!R1376C3</stp>
        <tr r="C1376" s="1"/>
      </tp>
      <tp>
        <v>13.5</v>
        <stp/>
        <stp>##V3_BDPV12</stp>
        <stp>912827LH Govt</stp>
        <stp>CPN</stp>
        <stp>[TREASURY.xlsx]Sheet1!R1566C3</stp>
        <tr r="C1566" s="1"/>
      </tp>
      <tp>
        <v>4.25</v>
        <stp/>
        <stp>##V3_BDPV12</stp>
        <stp>912827H3 Govt</stp>
        <stp>CPN</stp>
        <stp>[TREASURY.xlsx]Sheet1!R1316C3</stp>
        <tr r="C1316" s="1"/>
      </tp>
      <tp>
        <v>5.5</v>
        <stp/>
        <stp>##V3_BDPV12</stp>
        <stp>9128275P Govt</stp>
        <stp>CPN</stp>
        <stp>[TREASURY.xlsx]Sheet1!R1016C3</stp>
        <tr r="C1016" s="1"/>
      </tp>
      <tp>
        <v>6.125</v>
        <stp/>
        <stp>##V3_BDPV12</stp>
        <stp>9128273E Govt</stp>
        <stp>CPN</stp>
        <stp>[TREASURY.xlsx]Sheet1!R1526C3</stp>
        <tr r="C1526" s="1"/>
      </tp>
      <tp>
        <v>3.875</v>
        <stp/>
        <stp>##V3_BDPV12</stp>
        <stp>9128276Z Govt</stp>
        <stp>CPN</stp>
        <stp>[TREASURY.xlsx]Sheet1!R1026C3</stp>
        <tr r="C1026" s="1"/>
      </tp>
      <tp>
        <v>5.375</v>
        <stp/>
        <stp>##V3_BDPV12</stp>
        <stp>9128274K Govt</stp>
        <stp>CPN</stp>
        <stp>[TREASURY.xlsx]Sheet1!R1366C3</stp>
        <tr r="C1366" s="1"/>
      </tp>
      <tp>
        <v>5.375</v>
        <stp/>
        <stp>##V3_BDPV12</stp>
        <stp>9128273W Govt</stp>
        <stp>CPN</stp>
        <stp>[TREASURY.xlsx]Sheet1!R1456C3</stp>
        <tr r="C1456" s="1"/>
      </tp>
      <tp>
        <v>5.625</v>
        <stp/>
        <stp>##V3_BDPV12</stp>
        <stp>9128273K Govt</stp>
        <stp>CPN</stp>
        <stp>[TREASURY.xlsx]Sheet1!R1356C3</stp>
        <tr r="C1356" s="1"/>
      </tp>
      <tp>
        <v>6.375</v>
        <stp/>
        <stp>##V3_BDPV12</stp>
        <stp>9128276F Govt</stp>
        <stp>CPN</stp>
        <stp>[TREASURY.xlsx]Sheet1!R1466C3</stp>
        <tr r="C1466" s="1"/>
      </tp>
      <tp>
        <v>4.875</v>
        <stp/>
        <stp>##V3_BDPV12</stp>
        <stp>9128277L Govt</stp>
        <stp>CPN</stp>
        <stp>[TREASURY.xlsx]Sheet1!R1546C3</stp>
        <tr r="C1546" s="1"/>
      </tp>
      <tp>
        <v>6.625</v>
        <stp/>
        <stp>##V3_BDPV12</stp>
        <stp>9128276E Govt</stp>
        <stp>CPN</stp>
        <stp>[TREASURY.xlsx]Sheet1!R1536C3</stp>
        <tr r="C1536" s="1"/>
      </tp>
      <tp t="s">
        <v>UNITED STATES</v>
        <stp/>
        <stp>##V3_BDPV12</stp>
        <stp>912828KK Govt</stp>
        <stp>COUNTRY_FULL_NAME</stp>
        <stp>[TREASURY.xlsx]Sheet1!R1124C8</stp>
        <tr r="H1124" s="1"/>
      </tp>
      <tp t="s">
        <v>S/A</v>
        <stp/>
        <stp>##V3_BDPV12</stp>
        <stp>912828BE Govt</stp>
        <stp>COUPON_FREQUENCY_DESCRIPTION</stp>
        <stp>[TREASURY.xlsx]Sheet1!R1425C10</stp>
        <tr r="J1425" s="1"/>
      </tp>
      <tp t="s">
        <v>S/A</v>
        <stp/>
        <stp>##V3_BDPV12</stp>
        <stp>912810BZ Govt</stp>
        <stp>COUPON_FREQUENCY_DESCRIPTION</stp>
        <stp>[TREASURY.xlsx]Sheet1!R1514C10</stp>
        <tr r="J1514" s="1"/>
      </tp>
      <tp t="s">
        <v>S/A</v>
        <stp/>
        <stp>##V3_BDPV12</stp>
        <stp>912810BX Govt</stp>
        <stp>COUPON_FREQUENCY_DESCRIPTION</stp>
        <stp>[TREASURY.xlsx]Sheet1!R1440C10</stp>
        <tr r="J1440" s="1"/>
      </tp>
      <tp t="s">
        <v>UNITED STATES</v>
        <stp/>
        <stp>##V3_BDPV12</stp>
        <stp>912827LR Govt</stp>
        <stp>COUNTRY_FULL_NAME</stp>
        <stp>[TREASURY.xlsx]Sheet1!R1323C8</stp>
        <tr r="H1323" s="1"/>
      </tp>
      <tp t="s">
        <v>UNITED STATES</v>
        <stp/>
        <stp>##V3_BDPV12</stp>
        <stp>912827LS Govt</stp>
        <stp>COUNTRY_FULL_NAME</stp>
        <stp>[TREASURY.xlsx]Sheet1!R1043C8</stp>
        <tr r="H1043" s="1"/>
      </tp>
      <tp t="s">
        <v>UNITED STATES</v>
        <stp/>
        <stp>##V3_BDPV12</stp>
        <stp>91282CCV Govt</stp>
        <stp>COUNTRY_FULL_NAME</stp>
        <stp>[TREASURY.xlsx]Sheet1!R9C8</stp>
        <tr r="H9" s="1"/>
      </tp>
      <tp t="s">
        <v>UNITED STATES</v>
        <stp/>
        <stp>##V3_BDPV12</stp>
        <stp>912828FZ Govt</stp>
        <stp>COUNTRY_FULL_NAME</stp>
        <stp>[TREASURY.xlsx]Sheet1!R1279C8</stp>
        <tr r="H1279" s="1"/>
      </tp>
      <tp t="s">
        <v>UNITED STATES</v>
        <stp/>
        <stp>##V3_BDPV12</stp>
        <stp>912827MX Govt</stp>
        <stp>COUNTRY_FULL_NAME</stp>
        <stp>[TREASURY.xlsx]Sheet1!R1382C8</stp>
        <tr r="H1382" s="1"/>
      </tp>
      <tp t="s">
        <v>S/A</v>
        <stp/>
        <stp>##V3_BDPV12</stp>
        <stp>912810BU Govt</stp>
        <stp>COUPON_FREQUENCY_DESCRIPTION</stp>
        <stp>[TREASURY.xlsx]Sheet1!R1439C10</stp>
        <tr r="J1439" s="1"/>
      </tp>
      <tp t="s">
        <v>USD</v>
        <stp/>
        <stp>##V3_BDPV12</stp>
        <stp>912827QP Govt</stp>
        <stp>CRNCY</stp>
        <stp>[TREASURY.xlsx]Sheet1!R742C7</stp>
        <tr r="G742" s="1"/>
      </tp>
      <tp t="s">
        <v>USD</v>
        <stp/>
        <stp>##V3_BDPV12</stp>
        <stp>912810QQ Govt</stp>
        <stp>CRNCY</stp>
        <stp>[TREASURY.xlsx]Sheet1!R315C7</stp>
        <tr r="G315" s="1"/>
      </tp>
      <tp t="s">
        <v>USD</v>
        <stp/>
        <stp>##V3_BDPV12</stp>
        <stp>912810QX Govt</stp>
        <stp>CRNCY</stp>
        <stp>[TREASURY.xlsx]Sheet1!R275C7</stp>
        <tr r="G275" s="1"/>
      </tp>
      <tp t="s">
        <v>USD</v>
        <stp/>
        <stp>##V3_BDPV12</stp>
        <stp>912827SU Govt</stp>
        <stp>CRNCY</stp>
        <stp>[TREASURY.xlsx]Sheet1!R832C7</stp>
        <tr r="G832" s="1"/>
      </tp>
      <tp t="s">
        <v>USD</v>
        <stp/>
        <stp>##V3_BDPV12</stp>
        <stp>912810RD Govt</stp>
        <stp>CRNCY</stp>
        <stp>[TREASURY.xlsx]Sheet1!R235C7</stp>
        <tr r="G235" s="1"/>
      </tp>
      <tp t="s">
        <v>USD</v>
        <stp/>
        <stp>##V3_BDPV12</stp>
        <stp>912810RE Govt</stp>
        <stp>CRNCY</stp>
        <stp>[TREASURY.xlsx]Sheet1!R295C7</stp>
        <tr r="G295" s="1"/>
      </tp>
      <tp t="s">
        <v>USD</v>
        <stp/>
        <stp>##V3_BDPV12</stp>
        <stp>912827RP Govt</stp>
        <stp>CRNCY</stp>
        <stp>[TREASURY.xlsx]Sheet1!R912C7</stp>
        <tr r="G912" s="1"/>
      </tp>
      <tp t="s">
        <v>USD</v>
        <stp/>
        <stp>##V3_BDPV12</stp>
        <stp>912827UV Govt</stp>
        <stp>CRNCY</stp>
        <stp>[TREASURY.xlsx]Sheet1!R922C7</stp>
        <tr r="G922" s="1"/>
      </tp>
      <tp t="s">
        <v>USD</v>
        <stp/>
        <stp>##V3_BDPV12</stp>
        <stp>912827U9 Govt</stp>
        <stp>CRNCY</stp>
        <stp>[TREASURY.xlsx]Sheet1!R752C7</stp>
        <tr r="G752" s="1"/>
      </tp>
      <tp t="s">
        <v>USD</v>
        <stp/>
        <stp>##V3_BDPV12</stp>
        <stp>912827WK Govt</stp>
        <stp>CRNCY</stp>
        <stp>[TREASURY.xlsx]Sheet1!R932C7</stp>
        <tr r="G932" s="1"/>
      </tp>
      <tp t="s">
        <v>USD</v>
        <stp/>
        <stp>##V3_BDPV12</stp>
        <stp>912827VK Govt</stp>
        <stp>CRNCY</stp>
        <stp>[TREASURY.xlsx]Sheet1!R762C7</stp>
        <tr r="G762" s="1"/>
      </tp>
      <tp t="s">
        <v>USD</v>
        <stp/>
        <stp>##V3_BDPV12</stp>
        <stp>912827YA Govt</stp>
        <stp>CRNCY</stp>
        <stp>[TREASURY.xlsx]Sheet1!R942C7</stp>
        <tr r="G942" s="1"/>
      </tp>
      <tp t="s">
        <v>USD</v>
        <stp/>
        <stp>##V3_BDPV12</stp>
        <stp>912827XH Govt</stp>
        <stp>CRNCY</stp>
        <stp>[TREASURY.xlsx]Sheet1!R772C7</stp>
        <tr r="G772" s="1"/>
      </tp>
      <tp t="s">
        <v>USD</v>
        <stp/>
        <stp>##V3_BDPV12</stp>
        <stp>912827ZK Govt</stp>
        <stp>CRNCY</stp>
        <stp>[TREASURY.xlsx]Sheet1!R952C7</stp>
        <tr r="G952" s="1"/>
      </tp>
      <tp t="s">
        <v>USD</v>
        <stp/>
        <stp>##V3_BDPV12</stp>
        <stp>912827ZL Govt</stp>
        <stp>CRNCY</stp>
        <stp>[TREASURY.xlsx]Sheet1!R782C7</stp>
        <tr r="G782" s="1"/>
      </tp>
      <tp t="s">
        <v>USD</v>
        <stp/>
        <stp>##V3_BDPV12</stp>
        <stp>912810CP Govt</stp>
        <stp>CRNCY</stp>
        <stp>[TREASURY.xlsx]Sheet1!R405C7</stp>
        <tr r="G405" s="1"/>
      </tp>
      <tp t="s">
        <v>S/A</v>
        <stp/>
        <stp>##V3_BDPV12</stp>
        <stp>912827B8 Govt</stp>
        <stp>COUPON_FREQUENCY_DESCRIPTION</stp>
        <stp>[TREASURY.xlsx]Sheet1!R1478C10</stp>
        <tr r="J1478" s="1"/>
      </tp>
      <tp t="s">
        <v>S/A</v>
        <stp/>
        <stp>##V3_BDPV12</stp>
        <stp>912827B9 Govt</stp>
        <stp>COUPON_FREQUENCY_DESCRIPTION</stp>
        <stp>[TREASURY.xlsx]Sheet1!R1552C10</stp>
        <tr r="J1552" s="1"/>
      </tp>
      <tp t="s">
        <v>UNITED STATES</v>
        <stp/>
        <stp>##V3_BDPV12</stp>
        <stp>912827H4 Govt</stp>
        <stp>COUNTRY_FULL_NAME</stp>
        <stp>[TREASURY.xlsx]Sheet1!R1157C8</stp>
        <tr r="H1157" s="1"/>
      </tp>
      <tp t="s">
        <v>UNITED STATES</v>
        <stp/>
        <stp>##V3_BDPV12</stp>
        <stp>912827F4 Govt</stp>
        <stp>COUNTRY_FULL_NAME</stp>
        <stp>[TREASURY.xlsx]Sheet1!R1559C8</stp>
        <tr r="H1559" s="1"/>
      </tp>
      <tp t="s">
        <v>UNITED STATES</v>
        <stp/>
        <stp>##V3_BDPV12</stp>
        <stp>912827L2 Govt</stp>
        <stp>COUNTRY_FULL_NAME</stp>
        <stp>[TREASURY.xlsx]Sheet1!R1163C8</stp>
        <tr r="H1163" s="1"/>
      </tp>
      <tp t="s">
        <v>USD</v>
        <stp/>
        <stp>##V3_BDPV12</stp>
        <stp>912827D9 Govt</stp>
        <stp>CRNCY</stp>
        <stp>[TREASURY.xlsx]Sheet1!R702C7</stp>
        <tr r="G702" s="1"/>
      </tp>
      <tp t="s">
        <v>T</v>
        <stp/>
        <stp>##V3_BDPV12</stp>
        <stp>91282CBC Govt</stp>
        <stp>TICKER</stp>
        <stp>[TREASURY.xlsx]Sheet1!R41C2</stp>
        <tr r="B41" s="1"/>
      </tp>
      <tp t="s">
        <v>S/A</v>
        <stp/>
        <stp>##V3_BDPV12</stp>
        <stp>912827B2 Govt</stp>
        <stp>COUPON_FREQUENCY_DESCRIPTION</stp>
        <stp>[TREASURY.xlsx]Sheet1!R1475C10</stp>
        <tr r="J1475" s="1"/>
      </tp>
      <tp t="s">
        <v>S/A</v>
        <stp/>
        <stp>##V3_BDPV12</stp>
        <stp>912827B3 Govt</stp>
        <stp>COUPON_FREQUENCY_DESCRIPTION</stp>
        <stp>[TREASURY.xlsx]Sheet1!R1549C10</stp>
        <tr r="J1549" s="1"/>
      </tp>
      <tp t="s">
        <v>USD</v>
        <stp/>
        <stp>##V3_BDPV12</stp>
        <stp>912827KW Govt</stp>
        <stp>CRNCY</stp>
        <stp>[TREASURY.xlsx]Sheet1!R392C7</stp>
        <tr r="G392" s="1"/>
      </tp>
      <tp t="s">
        <v>USD</v>
        <stp/>
        <stp>##V3_BDPV12</stp>
        <stp>912827KY Govt</stp>
        <stp>CRNCY</stp>
        <stp>[TREASURY.xlsx]Sheet1!R712C7</stp>
        <tr r="G712" s="1"/>
      </tp>
      <tp t="s">
        <v>S/A</v>
        <stp/>
        <stp>##V3_BDPV12</stp>
        <stp>912828B7 Govt</stp>
        <stp>COUPON_FREQUENCY_DESCRIPTION</stp>
        <stp>[TREASURY.xlsx]Sheet1!R1270C10</stp>
        <tr r="J1270" s="1"/>
      </tp>
      <tp t="s">
        <v>USD</v>
        <stp/>
        <stp>##V3_BDPV12</stp>
        <stp>912827MF Govt</stp>
        <stp>CRNCY</stp>
        <stp>[TREASURY.xlsx]Sheet1!R722C7</stp>
        <tr r="G722" s="1"/>
      </tp>
      <tp t="s">
        <v>S/A</v>
        <stp/>
        <stp>##V3_BDPV12</stp>
        <stp>912827B7 Govt</stp>
        <stp>COUPON_FREQUENCY_DESCRIPTION</stp>
        <stp>[TREASURY.xlsx]Sheet1!R1551C10</stp>
        <tr r="J1551" s="1"/>
      </tp>
      <tp t="s">
        <v>S/A</v>
        <stp/>
        <stp>##V3_BDPV12</stp>
        <stp>912828B3 Govt</stp>
        <stp>COUPON_FREQUENCY_DESCRIPTION</stp>
        <stp>[TREASURY.xlsx]Sheet1!R1108C10</stp>
        <tr r="J1108" s="1"/>
      </tp>
      <tp t="s">
        <v>USD</v>
        <stp/>
        <stp>##V3_BDPV12</stp>
        <stp>912827LU Govt</stp>
        <stp>CRNCY</stp>
        <stp>[TREASURY.xlsx]Sheet1!R892C7</stp>
        <tr r="G892" s="1"/>
      </tp>
      <tp t="s">
        <v>S/A</v>
        <stp/>
        <stp>##V3_BDPV12</stp>
        <stp>912827B6 Govt</stp>
        <stp>COUPON_FREQUENCY_DESCRIPTION</stp>
        <stp>[TREASURY.xlsx]Sheet1!R1550C10</stp>
        <tr r="J1550" s="1"/>
      </tp>
      <tp t="s">
        <v>T</v>
        <stp/>
        <stp>##V3_BDPV12</stp>
        <stp>91282CDA Govt</stp>
        <stp>TICKER</stp>
        <stp>[TREASURY.xlsx]Sheet1!R11C2</stp>
        <tr r="B11" s="1"/>
      </tp>
      <tp t="s">
        <v>S/A</v>
        <stp/>
        <stp>##V3_BDPV12</stp>
        <stp>912827B4 Govt</stp>
        <stp>COUPON_FREQUENCY_DESCRIPTION</stp>
        <stp>[TREASURY.xlsx]Sheet1!R1476C10</stp>
        <tr r="J1476" s="1"/>
      </tp>
      <tp t="s">
        <v>UNITED STATES</v>
        <stp/>
        <stp>##V3_BDPV12</stp>
        <stp>912827H8 Govt</stp>
        <stp>COUNTRY_FULL_NAME</stp>
        <stp>[TREASURY.xlsx]Sheet1!R1487C8</stp>
        <tr r="H1487" s="1"/>
      </tp>
      <tp t="s">
        <v>USD</v>
        <stp/>
        <stp>##V3_BDPV12</stp>
        <stp>912827NL Govt</stp>
        <stp>CRNCY</stp>
        <stp>[TREASURY.xlsx]Sheet1!R902C7</stp>
        <tr r="G902" s="1"/>
      </tp>
      <tp t="s">
        <v>USD</v>
        <stp/>
        <stp>##V3_BDPV12</stp>
        <stp>912827NM Govt</stp>
        <stp>CRNCY</stp>
        <stp>[TREASURY.xlsx]Sheet1!R732C7</stp>
        <tr r="G732" s="1"/>
      </tp>
      <tp t="s">
        <v>S/A</v>
        <stp/>
        <stp>##V3_BDPV12</stp>
        <stp>912827B5 Govt</stp>
        <stp>COUPON_FREQUENCY_DESCRIPTION</stp>
        <stp>[TREASURY.xlsx]Sheet1!R1477C10</stp>
        <tr r="J1477" s="1"/>
      </tp>
      <tp>
        <v>1.2049081724982755</v>
        <stp/>
        <stp>##V3_BDPV12</stp>
        <stp>9128283W Govt</stp>
        <stp>YLD_YTM_BID</stp>
        <stp>[TREASURY.xlsx]Sheet1!R68C4</stp>
        <tr r="D68" s="1"/>
      </tp>
      <tp>
        <v>2.25</v>
        <stp/>
        <stp>##V3_BDPV12</stp>
        <stp>9128282R Govt</stp>
        <stp>CPN</stp>
        <stp>[TREASURY.xlsx]Sheet1!R98C3</stp>
        <tr r="C98" s="1"/>
      </tp>
      <tp>
        <v>2.75</v>
        <stp/>
        <stp>##V3_BDPV12</stp>
        <stp>9128283Z Govt</stp>
        <stp>CPN</stp>
        <stp>[TREASURY.xlsx]Sheet1!R261C3</stp>
        <tr r="C261" s="1"/>
      </tp>
      <tp>
        <v>2.75</v>
        <stp/>
        <stp>##V3_BDPV12</stp>
        <stp>9128284Z Govt</stp>
        <stp>CPN</stp>
        <stp>[TREASURY.xlsx]Sheet1!R251C3</stp>
        <tr r="C251" s="1"/>
      </tp>
      <tp>
        <v>2</v>
        <stp/>
        <stp>##V3_BDPV12</stp>
        <stp>912828RR Govt</stp>
        <stp>CPN</stp>
        <stp>[TREASURY.xlsx]Sheet1!R119C3</stp>
        <tr r="C119" s="1"/>
      </tp>
      <tp>
        <v>1.875</v>
        <stp/>
        <stp>##V3_BDPV12</stp>
        <stp>912828BS Govt</stp>
        <stp>CPN</stp>
        <stp>[TREASURY.xlsx]Sheet1!R628C3</stp>
        <tr r="C628" s="1"/>
      </tp>
      <tp>
        <v>8.125</v>
        <stp/>
        <stp>##V3_BDPV12</stp>
        <stp>912827XS Govt</stp>
        <stp>CPN</stp>
        <stp>[TREASURY.xlsx]Sheet1!R938C3</stp>
        <tr r="C938" s="1"/>
      </tp>
      <tp>
        <v>15.625</v>
        <stp/>
        <stp>##V3_BDPV12</stp>
        <stp>912827LX Govt</stp>
        <stp>CPN</stp>
        <stp>[TREASURY.xlsx]Sheet1!R893C3</stp>
        <tr r="C893" s="1"/>
      </tp>
      <tp>
        <v>9.875</v>
        <stp/>
        <stp>##V3_BDPV12</stp>
        <stp>912827RR Govt</stp>
        <stp>CPN</stp>
        <stp>[TREASURY.xlsx]Sheet1!R829C3</stp>
        <tr r="C829" s="1"/>
      </tp>
      <tp>
        <v>2.625</v>
        <stp/>
        <stp>##V3_BDPV12</stp>
        <stp>912828KS Govt</stp>
        <stp>CPN</stp>
        <stp>[TREASURY.xlsx]Sheet1!R418C3</stp>
        <tr r="C418" s="1"/>
      </tp>
      <tp>
        <v>2.0353421550939381</v>
        <stp/>
        <stp>##V3_BDPV12</stp>
        <stp>912810QZ Govt</stp>
        <stp>YLD_YTM_BID</stp>
        <stp>[TREASURY.xlsx]Sheet1!R310C4</stp>
        <tr r="D310" s="1"/>
      </tp>
      <tp>
        <v>0.375</v>
        <stp/>
        <stp>##V3_BDPV12</stp>
        <stp>912828SZ Govt</stp>
        <stp>CPN</stp>
        <stp>[TREASURY.xlsx]Sheet1!R551C3</stp>
        <tr r="C551" s="1"/>
      </tp>
      <tp>
        <v>1.8018691959854014</v>
        <stp/>
        <stp>##V3_BDPV12</stp>
        <stp>912810PX Govt</stp>
        <stp>YLD_YTM_BID</stp>
        <stp>[TREASURY.xlsx]Sheet1!R282C4</stp>
        <tr r="D282" s="1"/>
      </tp>
      <tp>
        <v>10.75</v>
        <stp/>
        <stp>##V3_BDPV12</stp>
        <stp>912827KY Govt</stp>
        <stp>CPN</stp>
        <stp>[TREASURY.xlsx]Sheet1!R712C3</stp>
        <tr r="C712" s="1"/>
      </tp>
      <tp>
        <v>2.375</v>
        <stp/>
        <stp>##V3_BDPV12</stp>
        <stp>912828LS Govt</stp>
        <stp>CPN</stp>
        <stp>[TREASURY.xlsx]Sheet1!R858C3</stp>
        <tr r="C858" s="1"/>
      </tp>
      <tp>
        <v>9.375</v>
        <stp/>
        <stp>##V3_BDPV12</stp>
        <stp>912827KS Govt</stp>
        <stp>CPN</stp>
        <stp>[TREASURY.xlsx]Sheet1!R668C3</stp>
        <tr r="C668" s="1"/>
      </tp>
      <tp>
        <v>6.375</v>
        <stp/>
        <stp>##V3_BDPV12</stp>
        <stp>9128275X Govt</stp>
        <stp>CPN</stp>
        <stp>[TREASURY.xlsx]Sheet1!R633C3</stp>
        <tr r="C633" s="1"/>
      </tp>
      <tp t="s">
        <v>#N/A N/A</v>
        <stp/>
        <stp>##V3_BDPV12</stp>
        <stp>912828NS Govt</stp>
        <stp>YLD_YTM_BID</stp>
        <stp>[TREASURY.xlsx]Sheet1!R979C4</stp>
        <tr r="D979" s="1"/>
      </tp>
      <tp t="s">
        <v>#N/A N/A</v>
        <stp/>
        <stp>##V3_BDPV12</stp>
        <stp>912828AX Govt</stp>
        <stp>YLD_YTM_BID</stp>
        <stp>[TREASURY.xlsx]Sheet1!R502C4</stp>
        <tr r="D502" s="1"/>
      </tp>
      <tp t="s">
        <v>#N/A N/A</v>
        <stp/>
        <stp>##V3_BDPV12</stp>
        <stp>912828XY Govt</stp>
        <stp>YLD_YTM_BID</stp>
        <stp>[TREASURY.xlsx]Sheet1!R473C4</stp>
        <tr r="D473" s="1"/>
      </tp>
      <tp t="s">
        <v>#N/A N/A</v>
        <stp/>
        <stp>##V3_BDPV12</stp>
        <stp>9128285S Govt</stp>
        <stp>YLD_YTM_BID</stp>
        <stp>[TREASURY.xlsx]Sheet1!R429C4</stp>
        <tr r="D429" s="1"/>
      </tp>
      <tp t="s">
        <v>#N/A N/A</v>
        <stp/>
        <stp>##V3_BDPV12</stp>
        <stp>912828AR Govt</stp>
        <stp>YLD_YTM_BID</stp>
        <stp>[TREASURY.xlsx]Sheet1!R658C4</stp>
        <tr r="D658" s="1"/>
      </tp>
      <tp t="s">
        <v>#N/A N/A</v>
        <stp/>
        <stp>##V3_BDPV12</stp>
        <stp>912827TZ Govt</stp>
        <stp>YLD_YTM_BID</stp>
        <stp>[TREASURY.xlsx]Sheet1!R920C4</stp>
        <tr r="D920" s="1"/>
      </tp>
      <tp t="s">
        <v>#N/A N/A</v>
        <stp/>
        <stp>##V3_BDPV12</stp>
        <stp>912827QR Govt</stp>
        <stp>YLD_YTM_BID</stp>
        <stp>[TREASURY.xlsx]Sheet1!R908C4</stp>
        <tr r="D908" s="1"/>
      </tp>
      <tp t="s">
        <v>#N/A N/A</v>
        <stp/>
        <stp>##V3_BDPV12</stp>
        <stp>912827YZ Govt</stp>
        <stp>YLD_YTM_BID</stp>
        <stp>[TREASURY.xlsx]Sheet1!R950C4</stp>
        <tr r="D950" s="1"/>
      </tp>
      <tp>
        <v>6.993746576454607E-2</v>
        <stp/>
        <stp>##V3_BDPV12</stp>
        <stp>912828YZ Govt</stp>
        <stp>YLD_YTM_BID</stp>
        <stp>[TREASURY.xlsx]Sheet1!R170C4</stp>
        <tr r="D170" s="1"/>
      </tp>
      <tp t="s">
        <v>#N/A N/A</v>
        <stp/>
        <stp>##V3_BDPV12</stp>
        <stp>912828LY Govt</stp>
        <stp>YLD_YTM_BID</stp>
        <stp>[TREASURY.xlsx]Sheet1!R353C4</stp>
        <tr r="D353" s="1"/>
      </tp>
      <tp t="s">
        <v>#N/A N/A</v>
        <stp/>
        <stp>##V3_BDPV12</stp>
        <stp>9128285X Govt</stp>
        <stp>YLD_YTM_BID</stp>
        <stp>[TREASURY.xlsx]Sheet1!R372C4</stp>
        <tr r="D372" s="1"/>
      </tp>
      <tp>
        <v>0.46287012500711322</v>
        <stp/>
        <stp>##V3_BDPV12</stp>
        <stp>9128286Z Govt</stp>
        <stp>YLD_YTM_BID</stp>
        <stp>[TREASURY.xlsx]Sheet1!R200C4</stp>
        <tr r="D200" s="1"/>
      </tp>
      <tp>
        <v>0.36226078312237087</v>
        <stp/>
        <stp>##V3_BDPV12</stp>
        <stp>9128285Z Govt</stp>
        <stp>YLD_YTM_BID</stp>
        <stp>[TREASURY.xlsx]Sheet1!R220C4</stp>
        <tr r="D220" s="1"/>
      </tp>
      <tp>
        <v>0.375</v>
        <stp/>
        <stp>##V3_BDPV12</stp>
        <stp>912828US Govt</stp>
        <stp>CPN</stp>
        <stp>[TREASURY.xlsx]Sheet1!R1137C3</stp>
        <tr r="C1137" s="1"/>
      </tp>
      <tp>
        <v>0.25</v>
        <stp/>
        <stp>##V3_BDPV12</stp>
        <stp>912828VD Govt</stp>
        <stp>CPN</stp>
        <stp>[TREASURY.xlsx]Sheet1!R1147C3</stp>
        <tr r="C1147" s="1"/>
      </tp>
      <tp>
        <v>0.875</v>
        <stp/>
        <stp>##V3_BDPV12</stp>
        <stp>912828WT Govt</stp>
        <stp>CPN</stp>
        <stp>[TREASURY.xlsx]Sheet1!R1007C3</stp>
        <tr r="C1007" s="1"/>
      </tp>
      <tp>
        <v>1.375</v>
        <stp/>
        <stp>##V3_BDPV12</stp>
        <stp>912828RY Govt</stp>
        <stp>CPN</stp>
        <stp>[TREASURY.xlsx]Sheet1!R1267C3</stp>
        <tr r="C1267" s="1"/>
      </tp>
      <tp>
        <v>0.5</v>
        <stp/>
        <stp>##V3_BDPV12</stp>
        <stp>912828PB Govt</stp>
        <stp>CPN</stp>
        <stp>[TREASURY.xlsx]Sheet1!R1297C3</stp>
        <tr r="C1297" s="1"/>
      </tp>
      <tp>
        <v>1.25</v>
        <stp/>
        <stp>##V3_BDPV12</stp>
        <stp>912828XS Govt</stp>
        <stp>CPN</stp>
        <stp>[TREASURY.xlsx]Sheet1!R1307C3</stp>
        <tr r="C1307" s="1"/>
      </tp>
      <tp>
        <v>4.875</v>
        <stp/>
        <stp>##V3_BDPV12</stp>
        <stp>912828FR Govt</stp>
        <stp>CPN</stp>
        <stp>[TREASURY.xlsx]Sheet1!R1277C3</stp>
        <tr r="C1277" s="1"/>
      </tp>
      <tp>
        <v>3.875</v>
        <stp/>
        <stp>##V3_BDPV12</stp>
        <stp>912828DU Govt</stp>
        <stp>CPN</stp>
        <stp>[TREASURY.xlsx]Sheet1!R1237C3</stp>
        <tr r="C1237" s="1"/>
      </tp>
      <tp t="s">
        <v>#N/A N/A</v>
        <stp/>
        <stp>##V3_BDPV12</stp>
        <stp>912810DR Govt</stp>
        <stp>YLD_YTM_BID</stp>
        <stp>[TREASURY.xlsx]Sheet1!R1447C4</stp>
        <tr r="D1447" s="1"/>
      </tp>
      <tp>
        <v>0.5</v>
        <stp/>
        <stp>##V3_BDPV12</stp>
        <stp>912828F4 Govt</stp>
        <stp>CPN</stp>
        <stp>[TREASURY.xlsx]Sheet1!R1117C3</stp>
        <tr r="C1117" s="1"/>
      </tp>
      <tp>
        <v>4</v>
        <stp/>
        <stp>##V3_BDPV12</stp>
        <stp>912828DM Govt</stp>
        <stp>CPN</stp>
        <stp>[TREASURY.xlsx]Sheet1!R1427C3</stp>
        <tr r="C1427" s="1"/>
      </tp>
      <tp>
        <v>3.25</v>
        <stp/>
        <stp>##V3_BDPV12</stp>
        <stp>912828AH Govt</stp>
        <stp>CPN</stp>
        <stp>[TREASURY.xlsx]Sheet1!R1107C3</stp>
        <tr r="C1107" s="1"/>
      </tp>
      <tp t="s">
        <v>#N/A N/A</v>
        <stp/>
        <stp>##V3_BDPV12</stp>
        <stp>912810DK Govt</stp>
        <stp>YLD_YTM_BID</stp>
        <stp>[TREASURY.xlsx]Sheet1!R1347C4</stp>
        <tr r="D1347" s="1"/>
      </tp>
      <tp t="s">
        <v>#N/A N/A</v>
        <stp/>
        <stp>##V3_BDPV12</stp>
        <stp>912810CL Govt</stp>
        <stp>YLD_YTM_BID</stp>
        <stp>[TREASURY.xlsx]Sheet1!R1617C4</stp>
        <tr r="D1617" s="1"/>
      </tp>
      <tp>
        <v>4.75</v>
        <stp/>
        <stp>##V3_BDPV12</stp>
        <stp>912828HA Govt</stp>
        <stp>CPN</stp>
        <stp>[TREASURY.xlsx]Sheet1!R1437C3</stp>
        <tr r="C1437" s="1"/>
      </tp>
      <tp>
        <v>2.375</v>
        <stp/>
        <stp>##V3_BDPV12</stp>
        <stp>912828NR Govt</stp>
        <stp>CPN</stp>
        <stp>[TREASURY.xlsx]Sheet1!R1257C3</stp>
        <tr r="C1257" s="1"/>
      </tp>
      <tp>
        <v>0.875</v>
        <stp/>
        <stp>##V3_BDPV12</stp>
        <stp>912828L8 Govt</stp>
        <stp>CPN</stp>
        <stp>[TREASURY.xlsx]Sheet1!R1127C3</stp>
        <tr r="C1127" s="1"/>
      </tp>
      <tp>
        <v>1.25</v>
        <stp/>
        <stp>##V3_BDPV12</stp>
        <stp>912828JS Govt</stp>
        <stp>CPN</stp>
        <stp>[TREASURY.xlsx]Sheet1!R1247C3</stp>
        <tr r="C1247" s="1"/>
      </tp>
      <tp>
        <v>0.75</v>
        <stp/>
        <stp>##V3_BDPV12</stp>
        <stp>912828K2 Govt</stp>
        <stp>CPN</stp>
        <stp>[TREASURY.xlsx]Sheet1!R1287C3</stp>
        <tr r="C1287" s="1"/>
      </tp>
      <tp t="s">
        <v>USD</v>
        <stp/>
        <stp>##V3_BDPV12</stp>
        <stp>9128275E Govt</stp>
        <stp>CRNCY</stp>
        <stp>[TREASURY.xlsx]Sheet1!R553C7</stp>
        <tr r="G553" s="1"/>
      </tp>
      <tp t="s">
        <v>USD</v>
        <stp/>
        <stp>##V3_BDPV12</stp>
        <stp>9128275X Govt</stp>
        <stp>CRNCY</stp>
        <stp>[TREASURY.xlsx]Sheet1!R633C7</stp>
        <tr r="G633" s="1"/>
      </tp>
      <tp t="s">
        <v>S/A</v>
        <stp/>
        <stp>##V3_BDPV12</stp>
        <stp>912810CN Govt</stp>
        <stp>COUPON_FREQUENCY_DESCRIPTION</stp>
        <stp>[TREASURY.xlsx]Sheet1!R1442C10</stp>
        <tr r="J1442" s="1"/>
      </tp>
      <tp t="s">
        <v>S/A</v>
        <stp/>
        <stp>##V3_BDPV12</stp>
        <stp>912810CL Govt</stp>
        <stp>COUPON_FREQUENCY_DESCRIPTION</stp>
        <stp>[TREASURY.xlsx]Sheet1!R1617C10</stp>
        <tr r="J1617" s="1"/>
      </tp>
      <tp t="s">
        <v>#N/A N/A</v>
        <stp/>
        <stp>##V3_BDPV12</stp>
        <stp>912827SE Govt</stp>
        <stp>YLD_YTM_BID</stp>
        <stp>[TREASURY.xlsx]Sheet1!R1184C4</stp>
        <tr r="D1184" s="1"/>
      </tp>
      <tp t="s">
        <v>#N/A N/A</v>
        <stp/>
        <stp>##V3_BDPV12</stp>
        <stp>912827RN Govt</stp>
        <stp>YLD_YTM_BID</stp>
        <stp>[TREASURY.xlsx]Sheet1!R1064C4</stp>
        <tr r="D1064" s="1"/>
      </tp>
      <tp t="s">
        <v>#N/A N/A</v>
        <stp/>
        <stp>##V3_BDPV12</stp>
        <stp>912827QW Govt</stp>
        <stp>YLD_YTM_BID</stp>
        <stp>[TREASURY.xlsx]Sheet1!R1394C4</stp>
        <tr r="D1394" s="1"/>
      </tp>
      <tp t="s">
        <v>#N/A N/A</v>
        <stp/>
        <stp>##V3_BDPV12</stp>
        <stp>912827W5 Govt</stp>
        <stp>YLD_YTM_BID</stp>
        <stp>[TREASURY.xlsx]Sheet1!R1414C4</stp>
        <tr r="D1414" s="1"/>
      </tp>
      <tp t="s">
        <v>#N/A N/A</v>
        <stp/>
        <stp>##V3_BDPV12</stp>
        <stp>912827PE Govt</stp>
        <stp>YLD_YTM_BID</stp>
        <stp>[TREASURY.xlsx]Sheet1!R1054C4</stp>
        <tr r="D1054" s="1"/>
      </tp>
      <tp t="s">
        <v>#N/A N/A</v>
        <stp/>
        <stp>##V3_BDPV12</stp>
        <stp>912827UF Govt</stp>
        <stp>YLD_YTM_BID</stp>
        <stp>[TREASURY.xlsx]Sheet1!R1404C4</stp>
        <tr r="D1404" s="1"/>
      </tp>
      <tp t="s">
        <v>#N/A N/A</v>
        <stp/>
        <stp>##V3_BDPV12</stp>
        <stp>912827PM Govt</stp>
        <stp>YLD_YTM_BID</stp>
        <stp>[TREASURY.xlsx]Sheet1!R1174C4</stp>
        <tr r="D1174" s="1"/>
      </tp>
      <tp t="s">
        <v>#N/A N/A</v>
        <stp/>
        <stp>##V3_BDPV12</stp>
        <stp>912827S7 Govt</stp>
        <stp>YLD_YTM_BID</stp>
        <stp>[TREASURY.xlsx]Sheet1!R1504C4</stp>
        <tr r="D1504" s="1"/>
      </tp>
      <tp t="s">
        <v>#N/A N/A</v>
        <stp/>
        <stp>##V3_BDPV12</stp>
        <stp>912827V6 Govt</stp>
        <stp>YLD_YTM_BID</stp>
        <stp>[TREASURY.xlsx]Sheet1!R1084C4</stp>
        <tr r="D1084" s="1"/>
      </tp>
      <tp t="s">
        <v>#N/A N/A</v>
        <stp/>
        <stp>##V3_BDPV12</stp>
        <stp>912827RZ Govt</stp>
        <stp>YLD_YTM_BID</stp>
        <stp>[TREASURY.xlsx]Sheet1!R1584C4</stp>
        <tr r="D1584" s="1"/>
      </tp>
      <tp t="s">
        <v>#N/A N/A</v>
        <stp/>
        <stp>##V3_BDPV12</stp>
        <stp>912827QB Govt</stp>
        <stp>YLD_YTM_BID</stp>
        <stp>[TREASURY.xlsx]Sheet1!R1574C4</stp>
        <tr r="D1574" s="1"/>
      </tp>
      <tp t="s">
        <v>#N/A N/A</v>
        <stp/>
        <stp>##V3_BDPV12</stp>
        <stp>912827TN Govt</stp>
        <stp>YLD_YTM_BID</stp>
        <stp>[TREASURY.xlsx]Sheet1!R1074C4</stp>
        <tr r="D1074" s="1"/>
      </tp>
      <tp t="s">
        <v>#N/A N/A</v>
        <stp/>
        <stp>##V3_BDPV12</stp>
        <stp>912827VP Govt</stp>
        <stp>YLD_YTM_BID</stp>
        <stp>[TREASURY.xlsx]Sheet1!R1204C4</stp>
        <tr r="D1204" s="1"/>
      </tp>
      <tp t="s">
        <v>#N/A N/A</v>
        <stp/>
        <stp>##V3_BDPV12</stp>
        <stp>912827Q3 Govt</stp>
        <stp>YLD_YTM_BID</stp>
        <stp>[TREASURY.xlsx]Sheet1!R1494C4</stp>
        <tr r="D1494" s="1"/>
      </tp>
      <tp t="s">
        <v>#N/A N/A</v>
        <stp/>
        <stp>##V3_BDPV12</stp>
        <stp>912827TR Govt</stp>
        <stp>YLD_YTM_BID</stp>
        <stp>[TREASURY.xlsx]Sheet1!R1194C4</stp>
        <tr r="D1194" s="1"/>
      </tp>
      <tp t="s">
        <v>#N/A N/A</v>
        <stp/>
        <stp>##V3_BDPV12</stp>
        <stp>912827XL Govt</stp>
        <stp>YLD_YTM_BID</stp>
        <stp>[TREASURY.xlsx]Sheet1!R1214C4</stp>
        <tr r="D1214" s="1"/>
      </tp>
      <tp t="s">
        <v>#N/A N/A</v>
        <stp/>
        <stp>##V3_BDPV12</stp>
        <stp>912827YU Govt</stp>
        <stp>YLD_YTM_BID</stp>
        <stp>[TREASURY.xlsx]Sheet1!R1224C4</stp>
        <tr r="D1224" s="1"/>
      </tp>
      <tp t="s">
        <v>#N/A N/A</v>
        <stp/>
        <stp>##V3_BDPV12</stp>
        <stp>912827ZW Govt</stp>
        <stp>YLD_YTM_BID</stp>
        <stp>[TREASURY.xlsx]Sheet1!R1104C4</stp>
        <tr r="D1104" s="1"/>
      </tp>
      <tp t="s">
        <v>#N/A N/A</v>
        <stp/>
        <stp>##V3_BDPV12</stp>
        <stp>912827X3 Govt</stp>
        <stp>YLD_YTM_BID</stp>
        <stp>[TREASURY.xlsx]Sheet1!R1094C4</stp>
        <tr r="D1094" s="1"/>
      </tp>
      <tp t="s">
        <v>#N/A N/A</v>
        <stp/>
        <stp>##V3_BDPV12</stp>
        <stp>912827YF Govt</stp>
        <stp>YLD_YTM_BID</stp>
        <stp>[TREASURY.xlsx]Sheet1!R1604C4</stp>
        <tr r="D1604" s="1"/>
      </tp>
      <tp t="s">
        <v>#N/A N/A</v>
        <stp/>
        <stp>##V3_BDPV12</stp>
        <stp>912827ZZ Govt</stp>
        <stp>YLD_YTM_BID</stp>
        <stp>[TREASURY.xlsx]Sheet1!R1614C4</stp>
        <tr r="D1614" s="1"/>
      </tp>
      <tp t="s">
        <v>#N/A N/A</v>
        <stp/>
        <stp>##V3_BDPV12</stp>
        <stp>912827XA Govt</stp>
        <stp>YLD_YTM_BID</stp>
        <stp>[TREASURY.xlsx]Sheet1!R1594C4</stp>
        <tr r="D1594" s="1"/>
      </tp>
      <tp t="s">
        <v>#N/A N/A</v>
        <stp/>
        <stp>##V3_BDPV12</stp>
        <stp>912827D5 Govt</stp>
        <stp>YLD_YTM_BID</stp>
        <stp>[TREASURY.xlsx]Sheet1!R1484C4</stp>
        <tr r="D1484" s="1"/>
      </tp>
      <tp t="s">
        <v>#N/A N/A</v>
        <stp/>
        <stp>##V3_BDPV12</stp>
        <stp>912827C6 Govt</stp>
        <stp>YLD_YTM_BID</stp>
        <stp>[TREASURY.xlsx]Sheet1!R1554C4</stp>
        <tr r="D1554" s="1"/>
      </tp>
      <tp t="s">
        <v>#N/A N/A</v>
        <stp/>
        <stp>##V3_BDPV12</stp>
        <stp>912827G2 Govt</stp>
        <stp>YLD_YTM_BID</stp>
        <stp>[TREASURY.xlsx]Sheet1!R1034C4</stp>
        <tr r="D1034" s="1"/>
      </tp>
      <tp t="s">
        <v>#N/A N/A</v>
        <stp/>
        <stp>##V3_BDPV12</stp>
        <stp>912827F8 Govt</stp>
        <stp>YLD_YTM_BID</stp>
        <stp>[TREASURY.xlsx]Sheet1!R1154C4</stp>
        <tr r="D1154" s="1"/>
      </tp>
      <tp t="s">
        <v>#N/A N/A</v>
        <stp/>
        <stp>##V3_BDPV12</stp>
        <stp>912827G8 Govt</stp>
        <stp>YLD_YTM_BID</stp>
        <stp>[TREASURY.xlsx]Sheet1!R1374C4</stp>
        <tr r="D1374" s="1"/>
      </tp>
      <tp t="s">
        <v>#N/A N/A</v>
        <stp/>
        <stp>##V3_BDPV12</stp>
        <stp>912827F3 Govt</stp>
        <stp>YLD_YTM_BID</stp>
        <stp>[TREASURY.xlsx]Sheet1!R1314C4</stp>
        <tr r="D1314" s="1"/>
      </tp>
      <tp t="s">
        <v>#N/A N/A</v>
        <stp/>
        <stp>##V3_BDPV12</stp>
        <stp>912827A6 Govt</stp>
        <stp>YLD_YTM_BID</stp>
        <stp>[TREASURY.xlsx]Sheet1!R1474C4</stp>
        <tr r="D1474" s="1"/>
      </tp>
      <tp t="s">
        <v>#N/A N/A</v>
        <stp/>
        <stp>##V3_BDPV12</stp>
        <stp>912827L3 Govt</stp>
        <stp>YLD_YTM_BID</stp>
        <stp>[TREASURY.xlsx]Sheet1!R1564C4</stp>
        <tr r="D1564" s="1"/>
      </tp>
      <tp t="s">
        <v>#N/A N/A</v>
        <stp/>
        <stp>##V3_BDPV12</stp>
        <stp>912827MC Govt</stp>
        <stp>YLD_YTM_BID</stp>
        <stp>[TREASURY.xlsx]Sheet1!R1324C4</stp>
        <tr r="D1324" s="1"/>
      </tp>
      <tp t="s">
        <v>#N/A N/A</v>
        <stp/>
        <stp>##V3_BDPV12</stp>
        <stp>912827M2 Govt</stp>
        <stp>YLD_YTM_BID</stp>
        <stp>[TREASURY.xlsx]Sheet1!R1164C4</stp>
        <tr r="D1164" s="1"/>
      </tp>
      <tp t="s">
        <v>#N/A N/A</v>
        <stp/>
        <stp>##V3_BDPV12</stp>
        <stp>912827M7 Govt</stp>
        <stp>YLD_YTM_BID</stp>
        <stp>[TREASURY.xlsx]Sheet1!R1044C4</stp>
        <tr r="D1044" s="1"/>
      </tp>
      <tp t="s">
        <v>#N/A N/A</v>
        <stp/>
        <stp>##V3_BDPV12</stp>
        <stp>912827NS Govt</stp>
        <stp>YLD_YTM_BID</stp>
        <stp>[TREASURY.xlsx]Sheet1!R1334C4</stp>
        <tr r="D1334" s="1"/>
      </tp>
      <tp t="s">
        <v>#N/A N/A</v>
        <stp/>
        <stp>##V3_BDPV12</stp>
        <stp>912827NT Govt</stp>
        <stp>YLD_YTM_BID</stp>
        <stp>[TREASURY.xlsx]Sheet1!R1384C4</stp>
        <tr r="D1384" s="1"/>
      </tp>
      <tp t="s">
        <v>#N/A N/A</v>
        <stp/>
        <stp>##V3_BDPV12</stp>
        <stp>9128277C Govt</stp>
        <stp>YLD_YTM_BID</stp>
        <stp>[TREASURY.xlsx]Sheet1!R1544C4</stp>
        <tr r="D1544" s="1"/>
      </tp>
      <tp t="s">
        <v>#N/A N/A</v>
        <stp/>
        <stp>##V3_BDPV12</stp>
        <stp>9128273D Govt</stp>
        <stp>YLD_YTM_BID</stp>
        <stp>[TREASURY.xlsx]Sheet1!R1354C4</stp>
        <tr r="D1354" s="1"/>
      </tp>
      <tp t="s">
        <v>#N/A N/A</v>
        <stp/>
        <stp>##V3_BDPV12</stp>
        <stp>9128275L Govt</stp>
        <stp>YLD_YTM_BID</stp>
        <stp>[TREASURY.xlsx]Sheet1!R1464C4</stp>
        <tr r="D1464" s="1"/>
      </tp>
      <tp t="s">
        <v>#N/A N/A</v>
        <stp/>
        <stp>##V3_BDPV12</stp>
        <stp>9128274Z Govt</stp>
        <stp>YLD_YTM_BID</stp>
        <stp>[TREASURY.xlsx]Sheet1!R1534C4</stp>
        <tr r="D1534" s="1"/>
      </tp>
      <tp t="s">
        <v>#N/A N/A</v>
        <stp/>
        <stp>##V3_BDPV12</stp>
        <stp>9128276N Govt</stp>
        <stp>YLD_YTM_BID</stp>
        <stp>[TREASURY.xlsx]Sheet1!R1024C4</stp>
        <tr r="D1024" s="1"/>
      </tp>
      <tp t="s">
        <v>#N/A N/A</v>
        <stp/>
        <stp>##V3_BDPV12</stp>
        <stp>9128272U Govt</stp>
        <stp>YLD_YTM_BID</stp>
        <stp>[TREASURY.xlsx]Sheet1!R1454C4</stp>
        <tr r="D1454" s="1"/>
      </tp>
      <tp t="s">
        <v>#N/A N/A</v>
        <stp/>
        <stp>##V3_BDPV12</stp>
        <stp>9128274G Govt</stp>
        <stp>YLD_YTM_BID</stp>
        <stp>[TREASURY.xlsx]Sheet1!R1364C4</stp>
        <tr r="D1364" s="1"/>
      </tp>
      <tp t="s">
        <v>#N/A N/A</v>
        <stp/>
        <stp>##V3_BDPV12</stp>
        <stp>9128272X Govt</stp>
        <stp>YLD_YTM_BID</stp>
        <stp>[TREASURY.xlsx]Sheet1!R1524C4</stp>
        <tr r="D1524" s="1"/>
      </tp>
      <tp t="s">
        <v>#N/A N/A</v>
        <stp/>
        <stp>##V3_BDPV12</stp>
        <stp>9128275J Govt</stp>
        <stp>YLD_YTM_BID</stp>
        <stp>[TREASURY.xlsx]Sheet1!R1014C4</stp>
        <tr r="D1014" s="1"/>
      </tp>
      <tp t="s">
        <v>S/A</v>
        <stp/>
        <stp>##V3_BDPV12</stp>
        <stp>912810CK Govt</stp>
        <stp>COUPON_FREQUENCY_DESCRIPTION</stp>
        <stp>[TREASURY.xlsx]Sheet1!R1309C10</stp>
        <tr r="J1309" s="1"/>
      </tp>
      <tp t="s">
        <v>S/A</v>
        <stp/>
        <stp>##V3_BDPV12</stp>
        <stp>912810CM Govt</stp>
        <stp>COUPON_FREQUENCY_DESCRIPTION</stp>
        <stp>[TREASURY.xlsx]Sheet1!R1515C10</stp>
        <tr r="J1515" s="1"/>
      </tp>
      <tp t="s">
        <v>#N/A N/A</v>
        <stp/>
        <stp>##V3_BDPV12</stp>
        <stp>912828R4 Govt</stp>
        <stp>YLD_YTM_BID</stp>
        <stp>[TREASURY.xlsx]Sheet1!R1264C4</stp>
        <tr r="D1264" s="1"/>
      </tp>
      <tp t="s">
        <v>#N/A N/A</v>
        <stp/>
        <stp>##V3_BDPV12</stp>
        <stp>912828R5 Govt</stp>
        <stp>YLD_YTM_BID</stp>
        <stp>[TREASURY.xlsx]Sheet1!R1284C4</stp>
        <tr r="D1284" s="1"/>
      </tp>
      <tp t="s">
        <v>#N/A N/A</v>
        <stp/>
        <stp>##V3_BDPV12</stp>
        <stp>912828VY Govt</stp>
        <stp>YLD_YTM_BID</stp>
        <stp>[TREASURY.xlsx]Sheet1!R1004C4</stp>
        <tr r="D1004" s="1"/>
      </tp>
      <tp t="s">
        <v>#N/A N/A</v>
        <stp/>
        <stp>##V3_BDPV12</stp>
        <stp>912828T8 Govt</stp>
        <stp>YLD_YTM_BID</stp>
        <stp>[TREASURY.xlsx]Sheet1!R1304C4</stp>
        <tr r="D1304" s="1"/>
      </tp>
      <tp t="s">
        <v>#N/A N/A</v>
        <stp/>
        <stp>##V3_BDPV12</stp>
        <stp>912828UC Govt</stp>
        <stp>YLD_YTM_BID</stp>
        <stp>[TREASURY.xlsx]Sheet1!R1144C4</stp>
        <tr r="D1144" s="1"/>
      </tp>
      <tp t="s">
        <v>#N/A N/A</v>
        <stp/>
        <stp>##V3_BDPV12</stp>
        <stp>912828TT Govt</stp>
        <stp>YLD_YTM_BID</stp>
        <stp>[TREASURY.xlsx]Sheet1!R1134C4</stp>
        <tr r="D1134" s="1"/>
      </tp>
      <tp t="s">
        <v>#N/A N/A</v>
        <stp/>
        <stp>##V3_BDPV12</stp>
        <stp>912828GF Govt</stp>
        <stp>YLD_YTM_BID</stp>
        <stp>[TREASURY.xlsx]Sheet1!R1434C4</stp>
        <tr r="D1434" s="1"/>
      </tp>
      <tp t="s">
        <v>#N/A N/A</v>
        <stp/>
        <stp>##V3_BDPV12</stp>
        <stp>912828AC Govt</stp>
        <stp>YLD_YTM_BID</stp>
        <stp>[TREASURY.xlsx]Sheet1!R1234C4</stp>
        <tr r="D1234" s="1"/>
      </tp>
      <tp>
        <v>7.875</v>
        <stp/>
        <stp>##V3_BDPV12</stp>
        <stp>912810BZ Govt</stp>
        <stp>CPN</stp>
        <stp>[TREASURY.xlsx]Sheet1!R1514C3</stp>
        <tr r="C1514" s="1"/>
      </tp>
      <tp>
        <v>10.75</v>
        <stp/>
        <stp>##V3_BDPV12</stp>
        <stp>912810DD Govt</stp>
        <stp>CPN</stp>
        <stp>[TREASURY.xlsx]Sheet1!R1444C3</stp>
        <tr r="C1444" s="1"/>
      </tp>
      <tp>
        <v>11.5</v>
        <stp/>
        <stp>##V3_BDPV12</stp>
        <stp>912810CR Govt</stp>
        <stp>CPN</stp>
        <stp>[TREASURY.xlsx]Sheet1!R1344C3</stp>
        <tr r="C1344" s="1"/>
      </tp>
      <tp t="s">
        <v>#N/A N/A</v>
        <stp/>
        <stp>##V3_BDPV12</stp>
        <stp>912828FE Govt</stp>
        <stp>YLD_YTM_BID</stp>
        <stp>[TREASURY.xlsx]Sheet1!R1274C4</stp>
        <tr r="D1274" s="1"/>
      </tp>
      <tp t="s">
        <v>#N/A N/A</v>
        <stp/>
        <stp>##V3_BDPV12</stp>
        <stp>912828EH Govt</stp>
        <stp>YLD_YTM_BID</stp>
        <stp>[TREASURY.xlsx]Sheet1!R1114C4</stp>
        <tr r="D1114" s="1"/>
      </tp>
      <tp>
        <v>9</v>
        <stp/>
        <stp>##V3_BDPV12</stp>
        <stp>912810EB Govt</stp>
        <stp>CPN</stp>
        <stp>[TREASURY.xlsx]Sheet1!R1624C3</stp>
        <tr r="C1624" s="1"/>
      </tp>
      <tp t="s">
        <v>#N/A N/A</v>
        <stp/>
        <stp>##V3_BDPV12</stp>
        <stp>912828AP Govt</stp>
        <stp>YLD_YTM_BID</stp>
        <stp>[TREASURY.xlsx]Sheet1!R1424C4</stp>
        <tr r="D1424" s="1"/>
      </tp>
      <tp t="s">
        <v>#N/A N/A</v>
        <stp/>
        <stp>##V3_BDPV12</stp>
        <stp>912828KK Govt</stp>
        <stp>YLD_YTM_BID</stp>
        <stp>[TREASURY.xlsx]Sheet1!R1124C4</stp>
        <tr r="D1124" s="1"/>
      </tp>
      <tp t="s">
        <v>#N/A N/A</v>
        <stp/>
        <stp>##V3_BDPV12</stp>
        <stp>912828HQ Govt</stp>
        <stp>YLD_YTM_BID</stp>
        <stp>[TREASURY.xlsx]Sheet1!R1244C4</stp>
        <tr r="D1244" s="1"/>
      </tp>
      <tp t="s">
        <v>#N/A N/A</v>
        <stp/>
        <stp>##V3_BDPV12</stp>
        <stp>912828MT Govt</stp>
        <stp>YLD_YTM_BID</stp>
        <stp>[TREASURY.xlsx]Sheet1!R1254C4</stp>
        <tr r="D1254" s="1"/>
      </tp>
      <tp t="s">
        <v>#N/A N/A</v>
        <stp/>
        <stp>##V3_BDPV12</stp>
        <stp>912828NW Govt</stp>
        <stp>YLD_YTM_BID</stp>
        <stp>[TREASURY.xlsx]Sheet1!R1294C4</stp>
        <tr r="D1294" s="1"/>
      </tp>
      <tp t="s">
        <v>S/A</v>
        <stp/>
        <stp>##V3_BDPV12</stp>
        <stp>912810CG Govt</stp>
        <stp>COUPON_FREQUENCY_DESCRIPTION</stp>
        <stp>[TREASURY.xlsx]Sheet1!R1308C10</stp>
        <tr r="J1308" s="1"/>
      </tp>
      <tp t="s">
        <v>UNITED STATES</v>
        <stp/>
        <stp>##V3_BDPV12</stp>
        <stp>912828ML Govt</stp>
        <stp>COUNTRY_FULL_NAME</stp>
        <stp>[TREASURY.xlsx]Sheet1!R1253C8</stp>
        <tr r="H1253" s="1"/>
      </tp>
      <tp t="s">
        <v>UNITED STATES</v>
        <stp/>
        <stp>##V3_BDPV12</stp>
        <stp>912827NJ Govt</stp>
        <stp>COUNTRY_FULL_NAME</stp>
        <stp>[TREASURY.xlsx]Sheet1!R1050C8</stp>
        <tr r="H1050" s="1"/>
      </tp>
      <tp>
        <v>5.875</v>
        <stp/>
        <stp>##V3_BDPV12</stp>
        <stp>912827U5 Govt</stp>
        <stp>CPN</stp>
        <stp>[TREASURY.xlsx]Sheet1!R1197C3</stp>
        <tr r="C1197" s="1"/>
      </tp>
      <tp>
        <v>6.375</v>
        <stp/>
        <stp>##V3_BDPV12</stp>
        <stp>912827UE Govt</stp>
        <stp>CPN</stp>
        <stp>[TREASURY.xlsx]Sheet1!R1077C3</stp>
        <tr r="C1077" s="1"/>
      </tp>
      <tp>
        <v>8.25</v>
        <stp/>
        <stp>##V3_BDPV12</stp>
        <stp>912827WJ Govt</stp>
        <stp>CPN</stp>
        <stp>[TREASURY.xlsx]Sheet1!R1207C3</stp>
        <tr r="C1207" s="1"/>
      </tp>
      <tp>
        <v>13.125</v>
        <stp/>
        <stp>##V3_BDPV12</stp>
        <stp>912827QU Govt</stp>
        <stp>CPN</stp>
        <stp>[TREASURY.xlsx]Sheet1!R1497C3</stp>
        <tr r="C1497" s="1"/>
      </tp>
      <tp>
        <v>7.875</v>
        <stp/>
        <stp>##V3_BDPV12</stp>
        <stp>912827VL Govt</stp>
        <stp>CPN</stp>
        <stp>[TREASURY.xlsx]Sheet1!R1087C3</stp>
        <tr r="C1087" s="1"/>
      </tp>
      <tp>
        <v>11.25</v>
        <stp/>
        <stp>##V3_BDPV12</stp>
        <stp>912827SA Govt</stp>
        <stp>CPN</stp>
        <stp>[TREASURY.xlsx]Sheet1!R1587C3</stp>
        <tr r="C1587" s="1"/>
      </tp>
      <tp>
        <v>7.375</v>
        <stp/>
        <stp>##V3_BDPV12</stp>
        <stp>912827R7 Govt</stp>
        <stp>CPN</stp>
        <stp>[TREASURY.xlsx]Sheet1!R1577C3</stp>
        <tr r="C1577" s="1"/>
      </tp>
      <tp>
        <v>6.875</v>
        <stp/>
        <stp>##V3_BDPV12</stp>
        <stp>912827T4 Govt</stp>
        <stp>CPN</stp>
        <stp>[TREASURY.xlsx]Sheet1!R1397C3</stp>
        <tr r="C1397" s="1"/>
      </tp>
      <tp>
        <v>6.75</v>
        <stp/>
        <stp>##V3_BDPV12</stp>
        <stp>912827Q4 Govt</stp>
        <stp>CPN</stp>
        <stp>[TREASURY.xlsx]Sheet1!R1177C3</stp>
        <tr r="C1177" s="1"/>
      </tp>
      <tp>
        <v>8</v>
        <stp/>
        <stp>##V3_BDPV12</stp>
        <stp>912827TE Govt</stp>
        <stp>CPN</stp>
        <stp>[TREASURY.xlsx]Sheet1!R1507C3</stp>
        <tr r="C1507" s="1"/>
      </tp>
      <tp>
        <v>11.25</v>
        <stp/>
        <stp>##V3_BDPV12</stp>
        <stp>912827QH Govt</stp>
        <stp>CPN</stp>
        <stp>[TREASURY.xlsx]Sheet1!R1057C3</stp>
        <tr r="C1057" s="1"/>
      </tp>
      <tp>
        <v>6.75</v>
        <stp/>
        <stp>##V3_BDPV12</stp>
        <stp>912827US Govt</stp>
        <stp>CPN</stp>
        <stp>[TREASURY.xlsx]Sheet1!R1407C3</stp>
        <tr r="C1407" s="1"/>
      </tp>
      <tp>
        <v>8.875</v>
        <stp/>
        <stp>##V3_BDPV12</stp>
        <stp>912827SQ Govt</stp>
        <stp>CPN</stp>
        <stp>[TREASURY.xlsx]Sheet1!R1187C3</stp>
        <tr r="C1187" s="1"/>
      </tp>
      <tp>
        <v>5.5</v>
        <stp/>
        <stp>##V3_BDPV12</stp>
        <stp>912827P5 Govt</stp>
        <stp>CPN</stp>
        <stp>[TREASURY.xlsx]Sheet1!R1337C3</stp>
        <tr r="C1337" s="1"/>
      </tp>
      <tp>
        <v>6.5</v>
        <stp/>
        <stp>##V3_BDPV12</stp>
        <stp>912827P6 Govt</stp>
        <stp>CPN</stp>
        <stp>[TREASURY.xlsx]Sheet1!R1387C3</stp>
        <tr r="C1387" s="1"/>
      </tp>
      <tp>
        <v>8</v>
        <stp/>
        <stp>##V3_BDPV12</stp>
        <stp>912827WH Govt</stp>
        <stp>CPN</stp>
        <stp>[TREASURY.xlsx]Sheet1!R1417C3</stp>
        <tr r="C1417" s="1"/>
      </tp>
      <tp>
        <v>8.875</v>
        <stp/>
        <stp>##V3_BDPV12</stp>
        <stp>912827ST Govt</stp>
        <stp>CPN</stp>
        <stp>[TREASURY.xlsx]Sheet1!R1067C3</stp>
        <tr r="C1067" s="1"/>
      </tp>
      <tp>
        <v>9.5</v>
        <stp/>
        <stp>##V3_BDPV12</stp>
        <stp>912827XG Govt</stp>
        <stp>CPN</stp>
        <stp>[TREASURY.xlsx]Sheet1!R1597C3</stp>
        <tr r="C1597" s="1"/>
      </tp>
      <tp>
        <v>8.875</v>
        <stp/>
        <stp>##V3_BDPV12</stp>
        <stp>912827YW Govt</stp>
        <stp>CPN</stp>
        <stp>[TREASURY.xlsx]Sheet1!R1607C3</stp>
        <tr r="C1607" s="1"/>
      </tp>
      <tp>
        <v>8.5</v>
        <stp/>
        <stp>##V3_BDPV12</stp>
        <stp>912827ZA Govt</stp>
        <stp>CPN</stp>
        <stp>[TREASURY.xlsx]Sheet1!R1227C3</stp>
        <tr r="C1227" s="1"/>
      </tp>
      <tp>
        <v>8.375</v>
        <stp/>
        <stp>##V3_BDPV12</stp>
        <stp>912827XZ Govt</stp>
        <stp>CPN</stp>
        <stp>[TREASURY.xlsx]Sheet1!R1097C3</stp>
        <tr r="C1097" s="1"/>
      </tp>
      <tp>
        <v>7.75</v>
        <stp/>
        <stp>##V3_BDPV12</stp>
        <stp>912827XU Govt</stp>
        <stp>CPN</stp>
        <stp>[TREASURY.xlsx]Sheet1!R1217C3</stp>
        <tr r="C1217" s="1"/>
      </tp>
      <tp>
        <v>7.875</v>
        <stp/>
        <stp>##V3_BDPV12</stp>
        <stp>912827A4 Govt</stp>
        <stp>CPN</stp>
        <stp>[TREASURY.xlsx]Sheet1!R1547C3</stp>
        <tr r="C1547" s="1"/>
      </tp>
      <tp>
        <v>8.25</v>
        <stp/>
        <stp>##V3_BDPV12</stp>
        <stp>912827B5 Govt</stp>
        <stp>CPN</stp>
        <stp>[TREASURY.xlsx]Sheet1!R1477C3</stp>
        <tr r="C1477" s="1"/>
      </tp>
      <tp>
        <v>5.625</v>
        <stp/>
        <stp>##V3_BDPV12</stp>
        <stp>912827G7 Govt</stp>
        <stp>CPN</stp>
        <stp>[TREASURY.xlsx]Sheet1!R1037C3</stp>
        <tr r="C1037" s="1"/>
      </tp>
      <tp>
        <v>6.5</v>
        <stp/>
        <stp>##V3_BDPV12</stp>
        <stp>912827D4 Govt</stp>
        <stp>CPN</stp>
        <stp>[TREASURY.xlsx]Sheet1!R1557C3</stp>
        <tr r="C1557" s="1"/>
      </tp>
      <tp>
        <v>6</v>
        <stp/>
        <stp>##V3_BDPV12</stp>
        <stp>912827H8 Govt</stp>
        <stp>CPN</stp>
        <stp>[TREASURY.xlsx]Sheet1!R1487C3</stp>
        <tr r="C1487" s="1"/>
      </tp>
      <tp>
        <v>16</v>
        <stp/>
        <stp>##V3_BDPV12</stp>
        <stp>912827MD Govt</stp>
        <stp>CPN</stp>
        <stp>[TREASURY.xlsx]Sheet1!R1167C3</stp>
        <tr r="C1167" s="1"/>
      </tp>
      <tp>
        <v>14.625</v>
        <stp/>
        <stp>##V3_BDPV12</stp>
        <stp>912827MW Govt</stp>
        <stp>CPN</stp>
        <stp>[TREASURY.xlsx]Sheet1!R1047C3</stp>
        <tr r="C1047" s="1"/>
      </tp>
      <tp>
        <v>13</v>
        <stp/>
        <stp>##V3_BDPV12</stp>
        <stp>912827MR Govt</stp>
        <stp>CPN</stp>
        <stp>[TREASURY.xlsx]Sheet1!R1327C3</stp>
        <tr r="C1327" s="1"/>
      </tp>
      <tp>
        <v>13.875</v>
        <stp/>
        <stp>##V3_BDPV12</stp>
        <stp>912827KL Govt</stp>
        <stp>CPN</stp>
        <stp>[TREASURY.xlsx]Sheet1!R1377C3</stp>
        <tr r="C1377" s="1"/>
      </tp>
      <tp>
        <v>4.625</v>
        <stp/>
        <stp>##V3_BDPV12</stp>
        <stp>912827J6 Govt</stp>
        <stp>CPN</stp>
        <stp>[TREASURY.xlsx]Sheet1!R1317C3</stp>
        <tr r="C1317" s="1"/>
      </tp>
      <tp>
        <v>5.75</v>
        <stp/>
        <stp>##V3_BDPV12</stp>
        <stp>912827H4 Govt</stp>
        <stp>CPN</stp>
        <stp>[TREASURY.xlsx]Sheet1!R1157C3</stp>
        <tr r="C1157" s="1"/>
      </tp>
      <tp>
        <v>14.625</v>
        <stp/>
        <stp>##V3_BDPV12</stp>
        <stp>912827LZ Govt</stp>
        <stp>CPN</stp>
        <stp>[TREASURY.xlsx]Sheet1!R1567C3</stp>
        <tr r="C1567" s="1"/>
      </tp>
      <tp>
        <v>5.625</v>
        <stp/>
        <stp>##V3_BDPV12</stp>
        <stp>9128275Q Govt</stp>
        <stp>CPN</stp>
        <stp>[TREASURY.xlsx]Sheet1!R1017C3</stp>
        <tr r="C1017" s="1"/>
      </tp>
      <tp>
        <v>5.75</v>
        <stp/>
        <stp>##V3_BDPV12</stp>
        <stp>9128273H Govt</stp>
        <stp>CPN</stp>
        <stp>[TREASURY.xlsx]Sheet1!R1527C3</stp>
        <tr r="C1527" s="1"/>
      </tp>
      <tp>
        <v>6.25</v>
        <stp/>
        <stp>##V3_BDPV12</stp>
        <stp>9128272G Govt</stp>
        <stp>CPN</stp>
        <stp>[TREASURY.xlsx]Sheet1!R1517C3</stp>
        <tr r="C1517" s="1"/>
      </tp>
      <tp>
        <v>3.5</v>
        <stp/>
        <stp>##V3_BDPV12</stp>
        <stp>9128277F Govt</stp>
        <stp>CPN</stp>
        <stp>[TREASURY.xlsx]Sheet1!R1027C3</stp>
        <tr r="C1027" s="1"/>
      </tp>
      <tp>
        <v>5.125</v>
        <stp/>
        <stp>##V3_BDPV12</stp>
        <stp>9128274Q Govt</stp>
        <stp>CPN</stp>
        <stp>[TREASURY.xlsx]Sheet1!R1367C3</stp>
        <tr r="C1367" s="1"/>
      </tp>
      <tp>
        <v>5.5</v>
        <stp/>
        <stp>##V3_BDPV12</stp>
        <stp>9128274A Govt</stp>
        <stp>CPN</stp>
        <stp>[TREASURY.xlsx]Sheet1!R1457C3</stp>
        <tr r="C1457" s="1"/>
      </tp>
      <tp>
        <v>5.75</v>
        <stp/>
        <stp>##V3_BDPV12</stp>
        <stp>9128273M Govt</stp>
        <stp>CPN</stp>
        <stp>[TREASURY.xlsx]Sheet1!R1357C3</stp>
        <tr r="C1357" s="1"/>
      </tp>
      <tp>
        <v>4.625</v>
        <stp/>
        <stp>##V3_BDPV12</stp>
        <stp>9128276U Govt</stp>
        <stp>CPN</stp>
        <stp>[TREASURY.xlsx]Sheet1!R1467C3</stp>
        <tr r="C1467" s="1"/>
      </tp>
      <tp>
        <v>6.25</v>
        <stp/>
        <stp>##V3_BDPV12</stp>
        <stp>9128276H Govt</stp>
        <stp>CPN</stp>
        <stp>[TREASURY.xlsx]Sheet1!R1537C3</stp>
        <tr r="C1537" s="1"/>
      </tp>
      <tp t="s">
        <v>UNITED STATES</v>
        <stp/>
        <stp>##V3_BDPV12</stp>
        <stp>912828GK Govt</stp>
        <stp>COUNTRY_FULL_NAME</stp>
        <stp>[TREASURY.xlsx]Sheet1!R1119C8</stp>
        <tr r="H1119" s="1"/>
      </tp>
      <tp t="s">
        <v>UNITED STATES</v>
        <stp/>
        <stp>##V3_BDPV12</stp>
        <stp>912827LK Govt</stp>
        <stp>COUNTRY_FULL_NAME</stp>
        <stp>[TREASURY.xlsx]Sheet1!R1042C8</stp>
        <tr r="H1042" s="1"/>
      </tp>
      <tp t="s">
        <v>S/A</v>
        <stp/>
        <stp>##V3_BDPV12</stp>
        <stp>912810CE Govt</stp>
        <stp>COUPON_FREQUENCY_DESCRIPTION</stp>
        <stp>[TREASURY.xlsx]Sheet1!R1441C10</stp>
        <tr r="J1441" s="1"/>
      </tp>
      <tp t="s">
        <v>S/A</v>
        <stp/>
        <stp>##V3_BDPV12</stp>
        <stp>912828CE Govt</stp>
        <stp>COUPON_FREQUENCY_DESCRIPTION</stp>
        <stp>[TREASURY.xlsx]Sheet1!R1426C10</stp>
        <tr r="J1426" s="1"/>
      </tp>
      <tp t="s">
        <v>S/A</v>
        <stp/>
        <stp>##V3_BDPV12</stp>
        <stp>912810CZ Govt</stp>
        <stp>COUPON_FREQUENCY_DESCRIPTION</stp>
        <stp>[TREASURY.xlsx]Sheet1!R1446C10</stp>
        <tr r="J1446" s="1"/>
      </tp>
      <tp t="s">
        <v>UNITED STATES</v>
        <stp/>
        <stp>##V3_BDPV12</stp>
        <stp>912828KP Govt</stp>
        <stp>COUNTRY_FULL_NAME</stp>
        <stp>[TREASURY.xlsx]Sheet1!R1125C8</stp>
        <tr r="H1125" s="1"/>
      </tp>
      <tp t="s">
        <v>UNITED STATES</v>
        <stp/>
        <stp>##V3_BDPV12</stp>
        <stp>912827LQ Govt</stp>
        <stp>COUNTRY_FULL_NAME</stp>
        <stp>[TREASURY.xlsx]Sheet1!R1322C8</stp>
        <tr r="H1322" s="1"/>
      </tp>
      <tp t="s">
        <v>S/A</v>
        <stp/>
        <stp>##V3_BDPV12</stp>
        <stp>912810CU Govt</stp>
        <stp>COUPON_FREQUENCY_DESCRIPTION</stp>
        <stp>[TREASURY.xlsx]Sheet1!R1345C10</stp>
        <tr r="J1345" s="1"/>
      </tp>
      <tp t="s">
        <v>S/A</v>
        <stp/>
        <stp>##V3_BDPV12</stp>
        <stp>912810CQ Govt</stp>
        <stp>COUPON_FREQUENCY_DESCRIPTION</stp>
        <stp>[TREASURY.xlsx]Sheet1!R1623C10</stp>
        <tr r="J1623" s="1"/>
      </tp>
      <tp t="s">
        <v>S/A</v>
        <stp/>
        <stp>##V3_BDPV12</stp>
        <stp>912810CV Govt</stp>
        <stp>COUPON_FREQUENCY_DESCRIPTION</stp>
        <stp>[TREASURY.xlsx]Sheet1!R1310C10</stp>
        <tr r="J1310" s="1"/>
      </tp>
      <tp t="s">
        <v>S/A</v>
        <stp/>
        <stp>##V3_BDPV12</stp>
        <stp>912828CQ Govt</stp>
        <stp>COUPON_FREQUENCY_DESCRIPTION</stp>
        <stp>[TREASURY.xlsx]Sheet1!R1236C10</stp>
        <tr r="J1236" s="1"/>
      </tp>
      <tp t="s">
        <v>UNITED STATES</v>
        <stp/>
        <stp>##V3_BDPV12</stp>
        <stp>912828FX Govt</stp>
        <stp>COUNTRY_FULL_NAME</stp>
        <stp>[TREASURY.xlsx]Sheet1!R1278C8</stp>
        <tr r="H1278" s="1"/>
      </tp>
      <tp t="s">
        <v>S/A</v>
        <stp/>
        <stp>##V3_BDPV12</stp>
        <stp>912810CR Govt</stp>
        <stp>COUPON_FREQUENCY_DESCRIPTION</stp>
        <stp>[TREASURY.xlsx]Sheet1!R1344C10</stp>
        <tr r="J1344" s="1"/>
      </tp>
      <tp t="s">
        <v>S/A</v>
        <stp/>
        <stp>##V3_BDPV12</stp>
        <stp>912810CW Govt</stp>
        <stp>COUPON_FREQUENCY_DESCRIPTION</stp>
        <stp>[TREASURY.xlsx]Sheet1!R1618C10</stp>
        <tr r="J1618" s="1"/>
      </tp>
      <tp t="s">
        <v>UNITED STATES</v>
        <stp/>
        <stp>##V3_BDPV12</stp>
        <stp>912827NY Govt</stp>
        <stp>COUNTRY_FULL_NAME</stp>
        <stp>[TREASURY.xlsx]Sheet1!R1170C8</stp>
        <tr r="H1170" s="1"/>
      </tp>
      <tp t="s">
        <v>USD</v>
        <stp/>
        <stp>##V3_BDPV12</stp>
        <stp>912810QB Govt</stp>
        <stp>CRNCY</stp>
        <stp>[TREASURY.xlsx]Sheet1!R274C7</stp>
        <tr r="G274" s="1"/>
      </tp>
      <tp t="s">
        <v>USD</v>
        <stp/>
        <stp>##V3_BDPV12</stp>
        <stp>912827PN Govt</stp>
        <stp>CRNCY</stp>
        <stp>[TREASURY.xlsx]Sheet1!R903C7</stp>
        <tr r="G903" s="1"/>
      </tp>
      <tp t="s">
        <v>USD</v>
        <stp/>
        <stp>##V3_BDPV12</stp>
        <stp>912810RG Govt</stp>
        <stp>CRNCY</stp>
        <stp>[TREASURY.xlsx]Sheet1!R284C7</stp>
        <tr r="G284" s="1"/>
      </tp>
      <tp t="s">
        <v>USD</v>
        <stp/>
        <stp>##V3_BDPV12</stp>
        <stp>912810RU Govt</stp>
        <stp>CRNCY</stp>
        <stp>[TREASURY.xlsx]Sheet1!R154C7</stp>
        <tr r="G154" s="1"/>
      </tp>
      <tp t="s">
        <v>USD</v>
        <stp/>
        <stp>##V3_BDPV12</stp>
        <stp>912827RS Govt</stp>
        <stp>CRNCY</stp>
        <stp>[TREASURY.xlsx]Sheet1!R913C7</stp>
        <tr r="G913" s="1"/>
      </tp>
      <tp t="s">
        <v>USD</v>
        <stp/>
        <stp>##V3_BDPV12</stp>
        <stp>912827R2 Govt</stp>
        <stp>CRNCY</stp>
        <stp>[TREASURY.xlsx]Sheet1!R743C7</stp>
        <tr r="G743" s="1"/>
      </tp>
      <tp t="s">
        <v>USD</v>
        <stp/>
        <stp>##V3_BDPV12</stp>
        <stp>912827UB Govt</stp>
        <stp>CRNCY</stp>
        <stp>[TREASURY.xlsx]Sheet1!R753C7</stp>
        <tr r="G753" s="1"/>
      </tp>
      <tp t="s">
        <v>USD</v>
        <stp/>
        <stp>##V3_BDPV12</stp>
        <stp>912827T2 Govt</stp>
        <stp>CRNCY</stp>
        <stp>[TREASURY.xlsx]Sheet1!R833C7</stp>
        <tr r="G833" s="1"/>
      </tp>
      <tp t="s">
        <v>USD</v>
        <stp/>
        <stp>##V3_BDPV12</stp>
        <stp>912827WR Govt</stp>
        <stp>CRNCY</stp>
        <stp>[TREASURY.xlsx]Sheet1!R933C7</stp>
        <tr r="G933" s="1"/>
      </tp>
      <tp t="s">
        <v>USD</v>
        <stp/>
        <stp>##V3_BDPV12</stp>
        <stp>912827VQ Govt</stp>
        <stp>CRNCY</stp>
        <stp>[TREASURY.xlsx]Sheet1!R763C7</stp>
        <tr r="G763" s="1"/>
      </tp>
      <tp t="s">
        <v>USD</v>
        <stp/>
        <stp>##V3_BDPV12</stp>
        <stp>912827V9 Govt</stp>
        <stp>CRNCY</stp>
        <stp>[TREASURY.xlsx]Sheet1!R923C7</stp>
        <tr r="G923" s="1"/>
      </tp>
      <tp t="s">
        <v>USD</v>
        <stp/>
        <stp>##V3_BDPV12</stp>
        <stp>912827YE Govt</stp>
        <stp>CRNCY</stp>
        <stp>[TREASURY.xlsx]Sheet1!R943C7</stp>
        <tr r="G943" s="1"/>
      </tp>
      <tp t="s">
        <v>USD</v>
        <stp/>
        <stp>##V3_BDPV12</stp>
        <stp>912827XK Govt</stp>
        <stp>CRNCY</stp>
        <stp>[TREASURY.xlsx]Sheet1!R773C7</stp>
        <tr r="G773" s="1"/>
      </tp>
      <tp t="s">
        <v>USD</v>
        <stp/>
        <stp>##V3_BDPV12</stp>
        <stp>912827ZR Govt</stp>
        <stp>CRNCY</stp>
        <stp>[TREASURY.xlsx]Sheet1!R783C7</stp>
        <tr r="G783" s="1"/>
      </tp>
      <tp t="s">
        <v>USD</v>
        <stp/>
        <stp>##V3_BDPV12</stp>
        <stp>912827ZP Govt</stp>
        <stp>CRNCY</stp>
        <stp>[TREASURY.xlsx]Sheet1!R953C7</stp>
        <tr r="G953" s="1"/>
      </tp>
      <tp t="s">
        <v>USD</v>
        <stp/>
        <stp>##V3_BDPV12</stp>
        <stp>912810CY Govt</stp>
        <stp>CRNCY</stp>
        <stp>[TREASURY.xlsx]Sheet1!R414C7</stp>
        <tr r="G414" s="1"/>
      </tp>
      <tp t="s">
        <v>S/A</v>
        <stp/>
        <stp>##V3_BDPV12</stp>
        <stp>912827C8 Govt</stp>
        <stp>COUPON_FREQUENCY_DESCRIPTION</stp>
        <stp>[TREASURY.xlsx]Sheet1!R1482C10</stp>
        <tr r="J1482" s="1"/>
      </tp>
      <tp t="s">
        <v>S/A</v>
        <stp/>
        <stp>##V3_BDPV12</stp>
        <stp>912827C9 Govt</stp>
        <stp>COUPON_FREQUENCY_DESCRIPTION</stp>
        <stp>[TREASURY.xlsx]Sheet1!R1556C10</stp>
        <tr r="J1556" s="1"/>
      </tp>
      <tp t="s">
        <v>USD</v>
        <stp/>
        <stp>##V3_BDPV12</stp>
        <stp>912810ED Govt</stp>
        <stp>CRNCY</stp>
        <stp>[TREASURY.xlsx]Sheet1!R664C7</stp>
        <tr r="G664" s="1"/>
      </tp>
      <tp t="s">
        <v>USD</v>
        <stp/>
        <stp>##V3_BDPV12</stp>
        <stp>912810EM Govt</stp>
        <stp>CRNCY</stp>
        <stp>[TREASURY.xlsx]Sheet1!R304C7</stp>
        <tr r="G304" s="1"/>
      </tp>
      <tp t="s">
        <v>USD</v>
        <stp/>
        <stp>##V3_BDPV12</stp>
        <stp>912810EX Govt</stp>
        <stp>CRNCY</stp>
        <stp>[TREASURY.xlsx]Sheet1!R324C7</stp>
        <tr r="G324" s="1"/>
      </tp>
      <tp t="s">
        <v>USD</v>
        <stp/>
        <stp>##V3_BDPV12</stp>
        <stp>912810DS Govt</stp>
        <stp>CRNCY</stp>
        <stp>[TREASURY.xlsx]Sheet1!R454C7</stp>
        <tr r="G454" s="1"/>
      </tp>
      <tp t="s">
        <v>UNITED STATES</v>
        <stp/>
        <stp>##V3_BDPV12</stp>
        <stp>912827H3 Govt</stp>
        <stp>COUNTRY_FULL_NAME</stp>
        <stp>[TREASURY.xlsx]Sheet1!R1316C8</stp>
        <tr r="H1316" s="1"/>
      </tp>
      <tp t="s">
        <v>USD</v>
        <stp/>
        <stp>##V3_BDPV12</stp>
        <stp>912827G3 Govt</stp>
        <stp>CRNCY</stp>
        <stp>[TREASURY.xlsx]Sheet1!R703C7</stp>
        <tr r="G703" s="1"/>
      </tp>
      <tp t="s">
        <v>USD</v>
        <stp/>
        <stp>##V3_BDPV12</stp>
        <stp>912810FA Govt</stp>
        <stp>CRNCY</stp>
        <stp>[TREASURY.xlsx]Sheet1!R314C7</stp>
        <tr r="G314" s="1"/>
      </tp>
      <tp t="s">
        <v>USD</v>
        <stp/>
        <stp>##V3_BDPV12</stp>
        <stp>912827F2 Govt</stp>
        <stp>CRNCY</stp>
        <stp>[TREASURY.xlsx]Sheet1!R663C7</stp>
        <tr r="G663" s="1"/>
      </tp>
      <tp t="s">
        <v>T</v>
        <stp/>
        <stp>##V3_BDPV12</stp>
        <stp>91282CBD Govt</stp>
        <stp>TICKER</stp>
        <stp>[TREASURY.xlsx]Sheet1!R50C2</stp>
        <tr r="B50" s="1"/>
      </tp>
      <tp t="s">
        <v>T</v>
        <stp/>
        <stp>##V3_BDPV12</stp>
        <stp>91282CBQ Govt</stp>
        <stp>TICKER</stp>
        <stp>[TREASURY.xlsx]Sheet1!R30C2</stp>
        <tr r="B30" s="1"/>
      </tp>
      <tp t="s">
        <v>S/A</v>
        <stp/>
        <stp>##V3_BDPV12</stp>
        <stp>912827C2 Govt</stp>
        <stp>COUPON_FREQUENCY_DESCRIPTION</stp>
        <stp>[TREASURY.xlsx]Sheet1!R1479C10</stp>
        <tr r="J1479" s="1"/>
      </tp>
      <tp t="s">
        <v>T</v>
        <stp/>
        <stp>##V3_BDPV12</stp>
        <stp>91282CCR Govt</stp>
        <stp>TICKER</stp>
        <stp>[TREASURY.xlsx]Sheet1!R20C2</stp>
        <tr r="B20" s="1"/>
      </tp>
      <tp t="s">
        <v>S/A</v>
        <stp/>
        <stp>##V3_BDPV12</stp>
        <stp>912827C3 Govt</stp>
        <stp>COUPON_FREQUENCY_DESCRIPTION</stp>
        <stp>[TREASURY.xlsx]Sheet1!R1480C10</stp>
        <tr r="J1480" s="1"/>
      </tp>
      <tp t="s">
        <v>USD</v>
        <stp/>
        <stp>##V3_BDPV12</stp>
        <stp>912827KU Govt</stp>
        <stp>CRNCY</stp>
        <stp>[TREASURY.xlsx]Sheet1!R683C7</stp>
        <tr r="G683" s="1"/>
      </tp>
      <tp t="s">
        <v>USD</v>
        <stp/>
        <stp>##V3_BDPV12</stp>
        <stp>912827KZ Govt</stp>
        <stp>CRNCY</stp>
        <stp>[TREASURY.xlsx]Sheet1!R713C7</stp>
        <tr r="G713" s="1"/>
      </tp>
      <tp t="s">
        <v>T</v>
        <stp/>
        <stp>##V3_BDPV12</stp>
        <stp>91282CAK Govt</stp>
        <stp>TICKER</stp>
        <stp>[TREASURY.xlsx]Sheet1!R60C2</stp>
        <tr r="B60" s="1"/>
      </tp>
      <tp t="s">
        <v>USD</v>
        <stp/>
        <stp>##V3_BDPV12</stp>
        <stp>912827MQ Govt</stp>
        <stp>CRNCY</stp>
        <stp>[TREASURY.xlsx]Sheet1!R723C7</stp>
        <tr r="G723" s="1"/>
      </tp>
      <tp t="s">
        <v>S/A</v>
        <stp/>
        <stp>##V3_BDPV12</stp>
        <stp>912827C7 Govt</stp>
        <stp>COUPON_FREQUENCY_DESCRIPTION</stp>
        <stp>[TREASURY.xlsx]Sheet1!R1555C10</stp>
        <tr r="J1555" s="1"/>
      </tp>
      <tp t="s">
        <v>USD</v>
        <stp/>
        <stp>##V3_BDPV12</stp>
        <stp>912827LX Govt</stp>
        <stp>CRNCY</stp>
        <stp>[TREASURY.xlsx]Sheet1!R893C7</stp>
        <tr r="G893" s="1"/>
      </tp>
      <tp t="s">
        <v>S/A</v>
        <stp/>
        <stp>##V3_BDPV12</stp>
        <stp>912827C6 Govt</stp>
        <stp>COUPON_FREQUENCY_DESCRIPTION</stp>
        <stp>[TREASURY.xlsx]Sheet1!R1554C10</stp>
        <tr r="J1554" s="1"/>
      </tp>
      <tp t="s">
        <v>UNITED STATES</v>
        <stp/>
        <stp>##V3_BDPV12</stp>
        <stp>912828F8 Govt</stp>
        <stp>COUNTRY_FULL_NAME</stp>
        <stp>[TREASURY.xlsx]Sheet1!R1118C8</stp>
        <tr r="H1118" s="1"/>
      </tp>
      <tp t="s">
        <v>USD</v>
        <stp/>
        <stp>##V3_BDPV12</stp>
        <stp>912827NP Govt</stp>
        <stp>CRNCY</stp>
        <stp>[TREASURY.xlsx]Sheet1!R733C7</stp>
        <tr r="G733" s="1"/>
      </tp>
      <tp t="s">
        <v>S/A</v>
        <stp/>
        <stp>##V3_BDPV12</stp>
        <stp>912827C5 Govt</stp>
        <stp>COUPON_FREQUENCY_DESCRIPTION</stp>
        <stp>[TREASURY.xlsx]Sheet1!R1481C10</stp>
        <tr r="J1481" s="1"/>
      </tp>
      <tp t="s">
        <v>S/A</v>
        <stp/>
        <stp>##V3_BDPV12</stp>
        <stp>912827C4 Govt</stp>
        <stp>COUPON_FREQUENCY_DESCRIPTION</stp>
        <stp>[TREASURY.xlsx]Sheet1!R1553C10</stp>
        <tr r="J1553" s="1"/>
      </tp>
      <tp t="s">
        <v>UNITED STATES</v>
        <stp/>
        <stp>##V3_BDPV12</stp>
        <stp>912827N9 Govt</stp>
        <stp>COUNTRY_FULL_NAME</stp>
        <stp>[TREASURY.xlsx]Sheet1!R1330C8</stp>
        <tr r="H1330" s="1"/>
      </tp>
      <tp t="s">
        <v>ACT/ACT</v>
        <stp/>
        <stp>##V3_BDPV12</stp>
        <stp>912828U2 Govt</stp>
        <stp>DAY_CNT_DES</stp>
        <stp>[TREASURY.xlsx]Sheet1!R84C17</stp>
        <tr r="Q84" s="1"/>
      </tp>
      <tp t="s">
        <v>ACT/ACT</v>
        <stp/>
        <stp>##V3_BDPV12</stp>
        <stp>912828J2 Govt</stp>
        <stp>DAY_CNT_DES</stp>
        <stp>[TREASURY.xlsx]Sheet1!R94C17</stp>
        <tr r="Q94" s="1"/>
      </tp>
      <tp>
        <v>1.75</v>
        <stp/>
        <stp>##V3_BDPV12</stp>
        <stp>9128286Y Govt</stp>
        <stp>CPN</stp>
        <stp>[TREASURY.xlsx]Sheet1!R241C3</stp>
        <tr r="C241" s="1"/>
      </tp>
      <tp t="s">
        <v>#N/A N/A</v>
        <stp/>
        <stp>##V3_BDPV12</stp>
        <stp>912810DX Govt</stp>
        <stp>YLD_YTM_BID</stp>
        <stp>[TREASURY.xlsx]Sheet1!R461C4</stp>
        <tr r="D461" s="1"/>
      </tp>
      <tp t="s">
        <v>#N/A N/A</v>
        <stp/>
        <stp>##V3_BDPV12</stp>
        <stp>912810CX Govt</stp>
        <stp>YLD_YTM_BID</stp>
        <stp>[TREASURY.xlsx]Sheet1!R661C4</stp>
        <tr r="D661" s="1"/>
      </tp>
      <tp>
        <v>2.625</v>
        <stp/>
        <stp>##V3_BDPV12</stp>
        <stp>912828BP Govt</stp>
        <stp>CPN</stp>
        <stp>[TREASURY.xlsx]Sheet1!R648C3</stp>
        <tr r="C648" s="1"/>
      </tp>
      <tp>
        <v>0.875</v>
        <stp/>
        <stp>##V3_BDPV12</stp>
        <stp>912828JY Govt</stp>
        <stp>CPN</stp>
        <stp>[TREASURY.xlsx]Sheet1!R691C3</stp>
        <tr r="C691" s="1"/>
      </tp>
      <tp>
        <v>1.0263223978125251</v>
        <stp/>
        <stp>##V3_BDPV12</stp>
        <stp>912810EZ Govt</stp>
        <stp>YLD_YTM_BID</stp>
        <stp>[TREASURY.xlsx]Sheet1!R323C4</stp>
        <tr r="D323" s="1"/>
      </tp>
      <tp>
        <v>0.875</v>
        <stp/>
        <stp>##V3_BDPV12</stp>
        <stp>912828WP Govt</stp>
        <stp>CPN</stp>
        <stp>[TREASURY.xlsx]Sheet1!R488C3</stp>
        <tr r="C488" s="1"/>
      </tp>
      <tp>
        <v>1.5</v>
        <stp/>
        <stp>##V3_BDPV12</stp>
        <stp>9128282Q Govt</stp>
        <stp>CPN</stp>
        <stp>[TREASURY.xlsx]Sheet1!R469C3</stp>
        <tr r="C469" s="1"/>
      </tp>
      <tp>
        <v>4.625</v>
        <stp/>
        <stp>##V3_BDPV12</stp>
        <stp>912828EZ Govt</stp>
        <stp>CPN</stp>
        <stp>[TREASURY.xlsx]Sheet1!R572C3</stp>
        <tr r="C572" s="1"/>
      </tp>
      <tp>
        <v>0.30601804090640633</v>
        <stp/>
        <stp>##V3_BDPV12</stp>
        <stp>912810EQ Govt</stp>
        <stp>YLD_YTM_BID</stp>
        <stp>[TREASURY.xlsx]Sheet1!R298C4</stp>
        <tr r="D298" s="1"/>
      </tp>
      <tp>
        <v>2.0409654096541807</v>
        <stp/>
        <stp>##V3_BDPV12</stp>
        <stp>912810QY Govt</stp>
        <stp>YLD_YTM_BID</stp>
        <stp>[TREASURY.xlsx]Sheet1!R270C4</stp>
        <tr r="D270" s="1"/>
      </tp>
      <tp>
        <v>2.0889530025138314</v>
        <stp/>
        <stp>##V3_BDPV12</stp>
        <stp>912810RZ Govt</stp>
        <stp>YLD_YTM_BID</stp>
        <stp>[TREASURY.xlsx]Sheet1!R273C4</stp>
        <tr r="D273" s="1"/>
      </tp>
      <tp>
        <v>0.625</v>
        <stp/>
        <stp>##V3_BDPV12</stp>
        <stp>912828XP Govt</stp>
        <stp>CPN</stp>
        <stp>[TREASURY.xlsx]Sheet1!R588C3</stp>
        <tr r="C588" s="1"/>
      </tp>
      <tp>
        <v>5.5</v>
        <stp/>
        <stp>##V3_BDPV12</stp>
        <stp>9128273X Govt</stp>
        <stp>CPN</stp>
        <stp>[TREASURY.xlsx]Sheet1!R500C3</stp>
        <tr r="C500" s="1"/>
      </tp>
      <tp>
        <v>1.125</v>
        <stp/>
        <stp>##V3_BDPV12</stp>
        <stp>912828SX Govt</stp>
        <stp>CPN</stp>
        <stp>[TREASURY.xlsx]Sheet1!R870C3</stp>
        <tr r="C870" s="1"/>
      </tp>
      <tp>
        <v>0.375</v>
        <stp/>
        <stp>##V3_BDPV12</stp>
        <stp>912828NX Govt</stp>
        <stp>CPN</stp>
        <stp>[TREASURY.xlsx]Sheet1!R980C3</stp>
        <tr r="C980" s="1"/>
      </tp>
      <tp>
        <v>0.25</v>
        <stp/>
        <stp>##V3_BDPV12</stp>
        <stp>912828TP Govt</stp>
        <stp>CPN</stp>
        <stp>[TREASURY.xlsx]Sheet1!R998C3</stp>
        <tr r="C998" s="1"/>
      </tp>
      <tp t="s">
        <v>#N/A N/A</v>
        <stp/>
        <stp>##V3_BDPV12</stp>
        <stp>912827KZ Govt</stp>
        <stp>YLD_YTM_BID</stp>
        <stp>[TREASURY.xlsx]Sheet1!R713C4</stp>
        <tr r="D713" s="1"/>
      </tp>
      <tp t="s">
        <v>#N/A N/A</v>
        <stp/>
        <stp>##V3_BDPV12</stp>
        <stp>912828WX Govt</stp>
        <stp>YLD_YTM_BID</stp>
        <stp>[TREASURY.xlsx]Sheet1!R881C4</stp>
        <tr r="D881" s="1"/>
      </tp>
      <tp t="s">
        <v>#N/A N/A</v>
        <stp/>
        <stp>##V3_BDPV12</stp>
        <stp>912828RP Govt</stp>
        <stp>YLD_YTM_BID</stp>
        <stp>[TREASURY.xlsx]Sheet1!R549C4</stp>
        <tr r="D549" s="1"/>
      </tp>
      <tp>
        <v>3</v>
        <stp/>
        <stp>##V3_BDPV12</stp>
        <stp>912810RP Govt</stp>
        <stp>CPN</stp>
        <stp>[TREASURY.xlsx]Sheet1!R278C3</stp>
        <tr r="C278" s="1"/>
      </tp>
      <tp t="s">
        <v>#N/A N/A</v>
        <stp/>
        <stp>##V3_BDPV12</stp>
        <stp>912828HY Govt</stp>
        <stp>YLD_YTM_BID</stp>
        <stp>[TREASURY.xlsx]Sheet1!R450C4</stp>
        <tr r="D450" s="1"/>
      </tp>
      <tp t="s">
        <v>#N/A N/A</v>
        <stp/>
        <stp>##V3_BDPV12</stp>
        <stp>912828VP Govt</stp>
        <stp>YLD_YTM_BID</stp>
        <stp>[TREASURY.xlsx]Sheet1!R479C4</stp>
        <tr r="D479" s="1"/>
      </tp>
      <tp t="s">
        <v>#N/A N/A</v>
        <stp/>
        <stp>##V3_BDPV12</stp>
        <stp>912827MP Govt</stp>
        <stp>YLD_YTM_BID</stp>
        <stp>[TREASURY.xlsx]Sheet1!R899C4</stp>
        <tr r="D899" s="1"/>
      </tp>
      <tp>
        <v>2.75</v>
        <stp/>
        <stp>##V3_BDPV12</stp>
        <stp>912810RY Govt</stp>
        <stp>CPN</stp>
        <stp>[TREASURY.xlsx]Sheet1!R191C3</stp>
        <tr r="C191" s="1"/>
      </tp>
      <tp>
        <v>11.25</v>
        <stp/>
        <stp>##V3_BDPV12</stp>
        <stp>912810DP Govt</stp>
        <stp>CPN</stp>
        <stp>[TREASURY.xlsx]Sheet1!R698C3</stp>
        <tr r="C698" s="1"/>
      </tp>
      <tp>
        <v>0.29037985226752028</v>
        <stp/>
        <stp>##V3_BDPV12</stp>
        <stp>912828YP Govt</stp>
        <stp>YLD_YTM_BID</stp>
        <stp>[TREASURY.xlsx]Sheet1!R149C4</stp>
        <tr r="D149" s="1"/>
      </tp>
      <tp>
        <v>7.7056470578180575E-2</v>
        <stp/>
        <stp>##V3_BDPV12</stp>
        <stp>912828ZX Govt</stp>
        <stp>YLD_YTM_BID</stp>
        <stp>[TREASURY.xlsx]Sheet1!R111C4</stp>
        <tr r="D111" s="1"/>
      </tp>
      <tp t="s">
        <v>UNITED STATES</v>
        <stp/>
        <stp>##V3_BDPV12</stp>
        <stp>912827LG Govt</stp>
        <stp>COUNTRY_FULL_NAME</stp>
        <stp>[TREASURY.xlsx]Sheet1!R1321C8</stp>
        <tr r="H1321" s="1"/>
      </tp>
      <tp t="s">
        <v>USD</v>
        <stp/>
        <stp>##V3_BDPV12</stp>
        <stp>9128273X Govt</stp>
        <stp>CRNCY</stp>
        <stp>[TREASURY.xlsx]Sheet1!R500C7</stp>
        <tr r="G500" s="1"/>
      </tp>
      <tp>
        <v>0.25</v>
        <stp/>
        <stp>##V3_BDPV12</stp>
        <stp>912828UC Govt</stp>
        <stp>CPN</stp>
        <stp>[TREASURY.xlsx]Sheet1!R1144C3</stp>
        <tr r="C1144" s="1"/>
      </tp>
      <tp>
        <v>0.25</v>
        <stp/>
        <stp>##V3_BDPV12</stp>
        <stp>912828TT Govt</stp>
        <stp>CPN</stp>
        <stp>[TREASURY.xlsx]Sheet1!R1134C3</stp>
        <tr r="C1134" s="1"/>
      </tp>
      <tp>
        <v>0.25</v>
        <stp/>
        <stp>##V3_BDPV12</stp>
        <stp>912828VY Govt</stp>
        <stp>CPN</stp>
        <stp>[TREASURY.xlsx]Sheet1!R1004C3</stp>
        <tr r="C1004" s="1"/>
      </tp>
      <tp>
        <v>0.75</v>
        <stp/>
        <stp>##V3_BDPV12</stp>
        <stp>912828T8 Govt</stp>
        <stp>CPN</stp>
        <stp>[TREASURY.xlsx]Sheet1!R1304C3</stp>
        <tr r="C1304" s="1"/>
      </tp>
      <tp>
        <v>0.875</v>
        <stp/>
        <stp>##V3_BDPV12</stp>
        <stp>912828R4 Govt</stp>
        <stp>CPN</stp>
        <stp>[TREASURY.xlsx]Sheet1!R1264C3</stp>
        <tr r="C1264" s="1"/>
      </tp>
      <tp>
        <v>0.875</v>
        <stp/>
        <stp>##V3_BDPV12</stp>
        <stp>912828R5 Govt</stp>
        <stp>CPN</stp>
        <stp>[TREASURY.xlsx]Sheet1!R1284C3</stp>
        <tr r="C1284" s="1"/>
      </tp>
      <tp>
        <v>4.875</v>
        <stp/>
        <stp>##V3_BDPV12</stp>
        <stp>912828FE Govt</stp>
        <stp>CPN</stp>
        <stp>[TREASURY.xlsx]Sheet1!R1274C3</stp>
        <tr r="C1274" s="1"/>
      </tp>
      <tp>
        <v>4</v>
        <stp/>
        <stp>##V3_BDPV12</stp>
        <stp>912828EH Govt</stp>
        <stp>CPN</stp>
        <stp>[TREASURY.xlsx]Sheet1!R1114C3</stp>
        <tr r="C1114" s="1"/>
      </tp>
      <tp t="s">
        <v>#N/A N/A</v>
        <stp/>
        <stp>##V3_BDPV12</stp>
        <stp>912810EB Govt</stp>
        <stp>YLD_YTM_BID</stp>
        <stp>[TREASURY.xlsx]Sheet1!R1624C4</stp>
        <tr r="D1624" s="1"/>
      </tp>
      <tp>
        <v>4</v>
        <stp/>
        <stp>##V3_BDPV12</stp>
        <stp>912828AP Govt</stp>
        <stp>CPN</stp>
        <stp>[TREASURY.xlsx]Sheet1!R1424C3</stp>
        <tr r="C1424" s="1"/>
      </tp>
      <tp t="s">
        <v>#N/A N/A</v>
        <stp/>
        <stp>##V3_BDPV12</stp>
        <stp>912810DD Govt</stp>
        <stp>YLD_YTM_BID</stp>
        <stp>[TREASURY.xlsx]Sheet1!R1444C4</stp>
        <tr r="D1444" s="1"/>
      </tp>
      <tp t="s">
        <v>#N/A N/A</v>
        <stp/>
        <stp>##V3_BDPV12</stp>
        <stp>912810CR Govt</stp>
        <stp>YLD_YTM_BID</stp>
        <stp>[TREASURY.xlsx]Sheet1!R1344C4</stp>
        <tr r="D1344" s="1"/>
      </tp>
      <tp t="s">
        <v>#N/A N/A</v>
        <stp/>
        <stp>##V3_BDPV12</stp>
        <stp>912810BZ Govt</stp>
        <stp>YLD_YTM_BID</stp>
        <stp>[TREASURY.xlsx]Sheet1!R1514C4</stp>
        <tr r="D1514" s="1"/>
      </tp>
      <tp>
        <v>4.75</v>
        <stp/>
        <stp>##V3_BDPV12</stp>
        <stp>912828GF Govt</stp>
        <stp>CPN</stp>
        <stp>[TREASURY.xlsx]Sheet1!R1434C3</stp>
        <tr r="C1434" s="1"/>
      </tp>
      <tp>
        <v>4.375</v>
        <stp/>
        <stp>##V3_BDPV12</stp>
        <stp>912828AC Govt</stp>
        <stp>CPN</stp>
        <stp>[TREASURY.xlsx]Sheet1!R1234C3</stp>
        <tr r="C1234" s="1"/>
      </tp>
      <tp>
        <v>1.875</v>
        <stp/>
        <stp>##V3_BDPV12</stp>
        <stp>912828NW Govt</stp>
        <stp>CPN</stp>
        <stp>[TREASURY.xlsx]Sheet1!R1294C3</stp>
        <tr r="C1294" s="1"/>
      </tp>
      <tp>
        <v>1.375</v>
        <stp/>
        <stp>##V3_BDPV12</stp>
        <stp>912828MT Govt</stp>
        <stp>CPN</stp>
        <stp>[TREASURY.xlsx]Sheet1!R1254C3</stp>
        <tr r="C1254" s="1"/>
      </tp>
      <tp>
        <v>1.375</v>
        <stp/>
        <stp>##V3_BDPV12</stp>
        <stp>912828KK Govt</stp>
        <stp>CPN</stp>
        <stp>[TREASURY.xlsx]Sheet1!R1124C3</stp>
        <tr r="C1124" s="1"/>
      </tp>
      <tp>
        <v>2.875</v>
        <stp/>
        <stp>##V3_BDPV12</stp>
        <stp>912828HQ Govt</stp>
        <stp>CPN</stp>
        <stp>[TREASURY.xlsx]Sheet1!R1244C3</stp>
        <tr r="C1244" s="1"/>
      </tp>
      <tp t="s">
        <v>UNITED STATES</v>
        <stp/>
        <stp>##V3_BDPV12</stp>
        <stp>912828DE Govt</stp>
        <stp>COUNTRY_FULL_NAME</stp>
        <stp>[TREASURY.xlsx]Sheet1!R1109C8</stp>
        <tr r="H1109" s="1"/>
      </tp>
      <tp t="s">
        <v>UNITED STATES</v>
        <stp/>
        <stp>##V3_BDPV12</stp>
        <stp>912827NB Govt</stp>
        <stp>COUNTRY_FULL_NAME</stp>
        <stp>[TREASURY.xlsx]Sheet1!R1383C8</stp>
        <tr r="H1383" s="1"/>
      </tp>
      <tp t="s">
        <v>USD</v>
        <stp/>
        <stp>##V3_BDPV12</stp>
        <stp>9128274T Govt</stp>
        <stp>CRNCY</stp>
        <stp>[TREASURY.xlsx]Sheet1!R610C7</stp>
        <tr r="G610" s="1"/>
      </tp>
      <tp t="s">
        <v>#N/A N/A</v>
        <stp/>
        <stp>##V3_BDPV12</stp>
        <stp>912827SQ Govt</stp>
        <stp>YLD_YTM_BID</stp>
        <stp>[TREASURY.xlsx]Sheet1!R1187C4</stp>
        <tr r="D1187" s="1"/>
      </tp>
      <tp t="s">
        <v>#N/A N/A</v>
        <stp/>
        <stp>##V3_BDPV12</stp>
        <stp>912827P5 Govt</stp>
        <stp>YLD_YTM_BID</stp>
        <stp>[TREASURY.xlsx]Sheet1!R1337C4</stp>
        <tr r="D1337" s="1"/>
      </tp>
      <tp t="s">
        <v>#N/A N/A</v>
        <stp/>
        <stp>##V3_BDPV12</stp>
        <stp>912827P6 Govt</stp>
        <stp>YLD_YTM_BID</stp>
        <stp>[TREASURY.xlsx]Sheet1!R1387C4</stp>
        <tr r="D1387" s="1"/>
      </tp>
      <tp t="s">
        <v>#N/A N/A</v>
        <stp/>
        <stp>##V3_BDPV12</stp>
        <stp>912827WH Govt</stp>
        <stp>YLD_YTM_BID</stp>
        <stp>[TREASURY.xlsx]Sheet1!R1417C4</stp>
        <tr r="D1417" s="1"/>
      </tp>
      <tp t="s">
        <v>#N/A N/A</v>
        <stp/>
        <stp>##V3_BDPV12</stp>
        <stp>912827ST Govt</stp>
        <stp>YLD_YTM_BID</stp>
        <stp>[TREASURY.xlsx]Sheet1!R1067C4</stp>
        <tr r="D1067" s="1"/>
      </tp>
      <tp t="s">
        <v>#N/A N/A</v>
        <stp/>
        <stp>##V3_BDPV12</stp>
        <stp>912827Q4 Govt</stp>
        <stp>YLD_YTM_BID</stp>
        <stp>[TREASURY.xlsx]Sheet1!R1177C4</stp>
        <tr r="D1177" s="1"/>
      </tp>
      <tp t="s">
        <v>#N/A N/A</v>
        <stp/>
        <stp>##V3_BDPV12</stp>
        <stp>912827TE Govt</stp>
        <stp>YLD_YTM_BID</stp>
        <stp>[TREASURY.xlsx]Sheet1!R1507C4</stp>
        <tr r="D1507" s="1"/>
      </tp>
      <tp t="s">
        <v>#N/A N/A</v>
        <stp/>
        <stp>##V3_BDPV12</stp>
        <stp>912827QH Govt</stp>
        <stp>YLD_YTM_BID</stp>
        <stp>[TREASURY.xlsx]Sheet1!R1057C4</stp>
        <tr r="D1057" s="1"/>
      </tp>
      <tp t="s">
        <v>#N/A N/A</v>
        <stp/>
        <stp>##V3_BDPV12</stp>
        <stp>912827US Govt</stp>
        <stp>YLD_YTM_BID</stp>
        <stp>[TREASURY.xlsx]Sheet1!R1407C4</stp>
        <tr r="D1407" s="1"/>
      </tp>
      <tp t="s">
        <v>#N/A N/A</v>
        <stp/>
        <stp>##V3_BDPV12</stp>
        <stp>912827VL Govt</stp>
        <stp>YLD_YTM_BID</stp>
        <stp>[TREASURY.xlsx]Sheet1!R1087C4</stp>
        <tr r="D1087" s="1"/>
      </tp>
      <tp t="s">
        <v>#N/A N/A</v>
        <stp/>
        <stp>##V3_BDPV12</stp>
        <stp>912827SA Govt</stp>
        <stp>YLD_YTM_BID</stp>
        <stp>[TREASURY.xlsx]Sheet1!R1587C4</stp>
        <tr r="D1587" s="1"/>
      </tp>
      <tp t="s">
        <v>#N/A N/A</v>
        <stp/>
        <stp>##V3_BDPV12</stp>
        <stp>912827R7 Govt</stp>
        <stp>YLD_YTM_BID</stp>
        <stp>[TREASURY.xlsx]Sheet1!R1577C4</stp>
        <tr r="D1577" s="1"/>
      </tp>
      <tp t="s">
        <v>#N/A N/A</v>
        <stp/>
        <stp>##V3_BDPV12</stp>
        <stp>912827T4 Govt</stp>
        <stp>YLD_YTM_BID</stp>
        <stp>[TREASURY.xlsx]Sheet1!R1397C4</stp>
        <tr r="D1397" s="1"/>
      </tp>
      <tp t="s">
        <v>#N/A N/A</v>
        <stp/>
        <stp>##V3_BDPV12</stp>
        <stp>912827U5 Govt</stp>
        <stp>YLD_YTM_BID</stp>
        <stp>[TREASURY.xlsx]Sheet1!R1197C4</stp>
        <tr r="D1197" s="1"/>
      </tp>
      <tp t="s">
        <v>#N/A N/A</v>
        <stp/>
        <stp>##V3_BDPV12</stp>
        <stp>912827UE Govt</stp>
        <stp>YLD_YTM_BID</stp>
        <stp>[TREASURY.xlsx]Sheet1!R1077C4</stp>
        <tr r="D1077" s="1"/>
      </tp>
      <tp t="s">
        <v>#N/A N/A</v>
        <stp/>
        <stp>##V3_BDPV12</stp>
        <stp>912827WJ Govt</stp>
        <stp>YLD_YTM_BID</stp>
        <stp>[TREASURY.xlsx]Sheet1!R1207C4</stp>
        <tr r="D1207" s="1"/>
      </tp>
      <tp t="s">
        <v>#N/A N/A</v>
        <stp/>
        <stp>##V3_BDPV12</stp>
        <stp>912827QU Govt</stp>
        <stp>YLD_YTM_BID</stp>
        <stp>[TREASURY.xlsx]Sheet1!R1497C4</stp>
        <tr r="D1497" s="1"/>
      </tp>
      <tp t="s">
        <v>#N/A N/A</v>
        <stp/>
        <stp>##V3_BDPV12</stp>
        <stp>912827XU Govt</stp>
        <stp>YLD_YTM_BID</stp>
        <stp>[TREASURY.xlsx]Sheet1!R1217C4</stp>
        <tr r="D1217" s="1"/>
      </tp>
      <tp t="s">
        <v>#N/A N/A</v>
        <stp/>
        <stp>##V3_BDPV12</stp>
        <stp>912827ZA Govt</stp>
        <stp>YLD_YTM_BID</stp>
        <stp>[TREASURY.xlsx]Sheet1!R1227C4</stp>
        <tr r="D1227" s="1"/>
      </tp>
      <tp t="s">
        <v>#N/A N/A</v>
        <stp/>
        <stp>##V3_BDPV12</stp>
        <stp>912827XZ Govt</stp>
        <stp>YLD_YTM_BID</stp>
        <stp>[TREASURY.xlsx]Sheet1!R1097C4</stp>
        <tr r="D1097" s="1"/>
      </tp>
      <tp t="s">
        <v>#N/A N/A</v>
        <stp/>
        <stp>##V3_BDPV12</stp>
        <stp>912827YW Govt</stp>
        <stp>YLD_YTM_BID</stp>
        <stp>[TREASURY.xlsx]Sheet1!R1607C4</stp>
        <tr r="D1607" s="1"/>
      </tp>
      <tp t="s">
        <v>#N/A N/A</v>
        <stp/>
        <stp>##V3_BDPV12</stp>
        <stp>912827XG Govt</stp>
        <stp>YLD_YTM_BID</stp>
        <stp>[TREASURY.xlsx]Sheet1!R1597C4</stp>
        <tr r="D1597" s="1"/>
      </tp>
      <tp t="s">
        <v>#N/A N/A</v>
        <stp/>
        <stp>##V3_BDPV12</stp>
        <stp>912827D4 Govt</stp>
        <stp>YLD_YTM_BID</stp>
        <stp>[TREASURY.xlsx]Sheet1!R1557C4</stp>
        <tr r="D1557" s="1"/>
      </tp>
      <tp t="s">
        <v>#N/A N/A</v>
        <stp/>
        <stp>##V3_BDPV12</stp>
        <stp>912827B5 Govt</stp>
        <stp>YLD_YTM_BID</stp>
        <stp>[TREASURY.xlsx]Sheet1!R1477C4</stp>
        <tr r="D1477" s="1"/>
      </tp>
      <tp t="s">
        <v>#N/A N/A</v>
        <stp/>
        <stp>##V3_BDPV12</stp>
        <stp>912827G7 Govt</stp>
        <stp>YLD_YTM_BID</stp>
        <stp>[TREASURY.xlsx]Sheet1!R1037C4</stp>
        <tr r="D1037" s="1"/>
      </tp>
      <tp t="s">
        <v>#N/A N/A</v>
        <stp/>
        <stp>##V3_BDPV12</stp>
        <stp>912827A4 Govt</stp>
        <stp>YLD_YTM_BID</stp>
        <stp>[TREASURY.xlsx]Sheet1!R1547C4</stp>
        <tr r="D1547" s="1"/>
      </tp>
      <tp t="s">
        <v>#N/A N/A</v>
        <stp/>
        <stp>##V3_BDPV12</stp>
        <stp>912827KL Govt</stp>
        <stp>YLD_YTM_BID</stp>
        <stp>[TREASURY.xlsx]Sheet1!R1377C4</stp>
        <tr r="D1377" s="1"/>
      </tp>
      <tp t="s">
        <v>#N/A N/A</v>
        <stp/>
        <stp>##V3_BDPV12</stp>
        <stp>912827J6 Govt</stp>
        <stp>YLD_YTM_BID</stp>
        <stp>[TREASURY.xlsx]Sheet1!R1317C4</stp>
        <tr r="D1317" s="1"/>
      </tp>
      <tp t="s">
        <v>#N/A N/A</v>
        <stp/>
        <stp>##V3_BDPV12</stp>
        <stp>912827H4 Govt</stp>
        <stp>YLD_YTM_BID</stp>
        <stp>[TREASURY.xlsx]Sheet1!R1157C4</stp>
        <tr r="D1157" s="1"/>
      </tp>
      <tp t="s">
        <v>#N/A N/A</v>
        <stp/>
        <stp>##V3_BDPV12</stp>
        <stp>912827LZ Govt</stp>
        <stp>YLD_YTM_BID</stp>
        <stp>[TREASURY.xlsx]Sheet1!R1567C4</stp>
        <tr r="D1567" s="1"/>
      </tp>
      <tp t="s">
        <v>#N/A N/A</v>
        <stp/>
        <stp>##V3_BDPV12</stp>
        <stp>912827MR Govt</stp>
        <stp>YLD_YTM_BID</stp>
        <stp>[TREASURY.xlsx]Sheet1!R1327C4</stp>
        <tr r="D1327" s="1"/>
      </tp>
      <tp t="s">
        <v>#N/A N/A</v>
        <stp/>
        <stp>##V3_BDPV12</stp>
        <stp>912827H8 Govt</stp>
        <stp>YLD_YTM_BID</stp>
        <stp>[TREASURY.xlsx]Sheet1!R1487C4</stp>
        <tr r="D1487" s="1"/>
      </tp>
      <tp t="s">
        <v>#N/A N/A</v>
        <stp/>
        <stp>##V3_BDPV12</stp>
        <stp>912827MD Govt</stp>
        <stp>YLD_YTM_BID</stp>
        <stp>[TREASURY.xlsx]Sheet1!R1167C4</stp>
        <tr r="D1167" s="1"/>
      </tp>
      <tp t="s">
        <v>#N/A N/A</v>
        <stp/>
        <stp>##V3_BDPV12</stp>
        <stp>912827MW Govt</stp>
        <stp>YLD_YTM_BID</stp>
        <stp>[TREASURY.xlsx]Sheet1!R1047C4</stp>
        <tr r="D1047" s="1"/>
      </tp>
      <tp t="s">
        <v>#N/A N/A</v>
        <stp/>
        <stp>##V3_BDPV12</stp>
        <stp>9128276U Govt</stp>
        <stp>YLD_YTM_BID</stp>
        <stp>[TREASURY.xlsx]Sheet1!R1467C4</stp>
        <tr r="D1467" s="1"/>
      </tp>
      <tp t="s">
        <v>#N/A N/A</v>
        <stp/>
        <stp>##V3_BDPV12</stp>
        <stp>9128276H Govt</stp>
        <stp>YLD_YTM_BID</stp>
        <stp>[TREASURY.xlsx]Sheet1!R1537C4</stp>
        <tr r="D1537" s="1"/>
      </tp>
      <tp t="s">
        <v>#N/A N/A</v>
        <stp/>
        <stp>##V3_BDPV12</stp>
        <stp>9128274A Govt</stp>
        <stp>YLD_YTM_BID</stp>
        <stp>[TREASURY.xlsx]Sheet1!R1457C4</stp>
        <tr r="D1457" s="1"/>
      </tp>
      <tp t="s">
        <v>#N/A N/A</v>
        <stp/>
        <stp>##V3_BDPV12</stp>
        <stp>9128273M Govt</stp>
        <stp>YLD_YTM_BID</stp>
        <stp>[TREASURY.xlsx]Sheet1!R1357C4</stp>
        <tr r="D1357" s="1"/>
      </tp>
      <tp t="s">
        <v>#N/A N/A</v>
        <stp/>
        <stp>##V3_BDPV12</stp>
        <stp>9128273H Govt</stp>
        <stp>YLD_YTM_BID</stp>
        <stp>[TREASURY.xlsx]Sheet1!R1527C4</stp>
        <tr r="D1527" s="1"/>
      </tp>
      <tp t="s">
        <v>#N/A N/A</v>
        <stp/>
        <stp>##V3_BDPV12</stp>
        <stp>9128272G Govt</stp>
        <stp>YLD_YTM_BID</stp>
        <stp>[TREASURY.xlsx]Sheet1!R1517C4</stp>
        <tr r="D1517" s="1"/>
      </tp>
      <tp t="s">
        <v>#N/A N/A</v>
        <stp/>
        <stp>##V3_BDPV12</stp>
        <stp>9128277F Govt</stp>
        <stp>YLD_YTM_BID</stp>
        <stp>[TREASURY.xlsx]Sheet1!R1027C4</stp>
        <tr r="D1027" s="1"/>
      </tp>
      <tp t="s">
        <v>#N/A N/A</v>
        <stp/>
        <stp>##V3_BDPV12</stp>
        <stp>9128274Q Govt</stp>
        <stp>YLD_YTM_BID</stp>
        <stp>[TREASURY.xlsx]Sheet1!R1367C4</stp>
        <tr r="D1367" s="1"/>
      </tp>
      <tp t="s">
        <v>#N/A N/A</v>
        <stp/>
        <stp>##V3_BDPV12</stp>
        <stp>9128275Q Govt</stp>
        <stp>YLD_YTM_BID</stp>
        <stp>[TREASURY.xlsx]Sheet1!R1017C4</stp>
        <tr r="D1017" s="1"/>
      </tp>
      <tp t="s">
        <v>8/31/2028</v>
        <stp/>
        <stp>##V3_BDPV12</stp>
        <stp>91282CCV Govt</stp>
        <stp>MATURITY</stp>
        <stp>[TREASURY.xlsx]Sheet1!R9C5</stp>
        <tr r="E9" s="1"/>
      </tp>
      <tp t="s">
        <v>#N/A N/A</v>
        <stp/>
        <stp>##V3_BDPV12</stp>
        <stp>912828PB Govt</stp>
        <stp>YLD_YTM_BID</stp>
        <stp>[TREASURY.xlsx]Sheet1!R1297C4</stp>
        <tr r="D1297" s="1"/>
      </tp>
      <tp t="s">
        <v>#N/A N/A</v>
        <stp/>
        <stp>##V3_BDPV12</stp>
        <stp>912828RY Govt</stp>
        <stp>YLD_YTM_BID</stp>
        <stp>[TREASURY.xlsx]Sheet1!R1267C4</stp>
        <tr r="D1267" s="1"/>
      </tp>
      <tp t="s">
        <v>#N/A N/A</v>
        <stp/>
        <stp>##V3_BDPV12</stp>
        <stp>912828VD Govt</stp>
        <stp>YLD_YTM_BID</stp>
        <stp>[TREASURY.xlsx]Sheet1!R1147C4</stp>
        <tr r="D1147" s="1"/>
      </tp>
      <tp t="s">
        <v>#N/A N/A</v>
        <stp/>
        <stp>##V3_BDPV12</stp>
        <stp>912828WT Govt</stp>
        <stp>YLD_YTM_BID</stp>
        <stp>[TREASURY.xlsx]Sheet1!R1007C4</stp>
        <tr r="D1007" s="1"/>
      </tp>
      <tp t="s">
        <v>#N/A N/A</v>
        <stp/>
        <stp>##V3_BDPV12</stp>
        <stp>912828US Govt</stp>
        <stp>YLD_YTM_BID</stp>
        <stp>[TREASURY.xlsx]Sheet1!R1137C4</stp>
        <tr r="D1137" s="1"/>
      </tp>
      <tp t="s">
        <v>#N/A N/A</v>
        <stp/>
        <stp>##V3_BDPV12</stp>
        <stp>912828XS Govt</stp>
        <stp>YLD_YTM_BID</stp>
        <stp>[TREASURY.xlsx]Sheet1!R1307C4</stp>
        <tr r="D1307" s="1"/>
      </tp>
      <tp>
        <v>10.5</v>
        <stp/>
        <stp>##V3_BDPV12</stp>
        <stp>912810CL Govt</stp>
        <stp>CPN</stp>
        <stp>[TREASURY.xlsx]Sheet1!R1617C3</stp>
        <tr r="C1617" s="1"/>
      </tp>
      <tp t="s">
        <v>#N/A N/A</v>
        <stp/>
        <stp>##V3_BDPV12</stp>
        <stp>912828DM Govt</stp>
        <stp>YLD_YTM_BID</stp>
        <stp>[TREASURY.xlsx]Sheet1!R1427C4</stp>
        <tr r="D1427" s="1"/>
      </tp>
      <tp t="s">
        <v>#N/A N/A</v>
        <stp/>
        <stp>##V3_BDPV12</stp>
        <stp>912828AH Govt</stp>
        <stp>YLD_YTM_BID</stp>
        <stp>[TREASURY.xlsx]Sheet1!R1107C4</stp>
        <tr r="D1107" s="1"/>
      </tp>
      <tp>
        <v>13.75</v>
        <stp/>
        <stp>##V3_BDPV12</stp>
        <stp>912810DK Govt</stp>
        <stp>CPN</stp>
        <stp>[TREASURY.xlsx]Sheet1!R1347C3</stp>
        <tr r="C1347" s="1"/>
      </tp>
      <tp>
        <v>10.75</v>
        <stp/>
        <stp>##V3_BDPV12</stp>
        <stp>912810DR Govt</stp>
        <stp>CPN</stp>
        <stp>[TREASURY.xlsx]Sheet1!R1447C3</stp>
        <tr r="C1447" s="1"/>
      </tp>
      <tp t="s">
        <v>#N/A N/A</v>
        <stp/>
        <stp>##V3_BDPV12</stp>
        <stp>912828DU Govt</stp>
        <stp>YLD_YTM_BID</stp>
        <stp>[TREASURY.xlsx]Sheet1!R1237C4</stp>
        <tr r="D1237" s="1"/>
      </tp>
      <tp t="s">
        <v>#N/A N/A</v>
        <stp/>
        <stp>##V3_BDPV12</stp>
        <stp>912828F4 Govt</stp>
        <stp>YLD_YTM_BID</stp>
        <stp>[TREASURY.xlsx]Sheet1!R1117C4</stp>
        <tr r="D1117" s="1"/>
      </tp>
      <tp t="s">
        <v>#N/A N/A</v>
        <stp/>
        <stp>##V3_BDPV12</stp>
        <stp>912828FR Govt</stp>
        <stp>YLD_YTM_BID</stp>
        <stp>[TREASURY.xlsx]Sheet1!R1277C4</stp>
        <tr r="D1277" s="1"/>
      </tp>
      <tp t="s">
        <v>#N/A N/A</v>
        <stp/>
        <stp>##V3_BDPV12</stp>
        <stp>912828JS Govt</stp>
        <stp>YLD_YTM_BID</stp>
        <stp>[TREASURY.xlsx]Sheet1!R1247C4</stp>
        <tr r="D1247" s="1"/>
      </tp>
      <tp t="s">
        <v>#N/A N/A</v>
        <stp/>
        <stp>##V3_BDPV12</stp>
        <stp>912828K2 Govt</stp>
        <stp>YLD_YTM_BID</stp>
        <stp>[TREASURY.xlsx]Sheet1!R1287C4</stp>
        <tr r="D1287" s="1"/>
      </tp>
      <tp t="s">
        <v>#N/A N/A</v>
        <stp/>
        <stp>##V3_BDPV12</stp>
        <stp>912828HA Govt</stp>
        <stp>YLD_YTM_BID</stp>
        <stp>[TREASURY.xlsx]Sheet1!R1437C4</stp>
        <tr r="D1437" s="1"/>
      </tp>
      <tp t="s">
        <v>#N/A N/A</v>
        <stp/>
        <stp>##V3_BDPV12</stp>
        <stp>912828NR Govt</stp>
        <stp>YLD_YTM_BID</stp>
        <stp>[TREASURY.xlsx]Sheet1!R1257C4</stp>
        <tr r="D1257" s="1"/>
      </tp>
      <tp t="s">
        <v>#N/A N/A</v>
        <stp/>
        <stp>##V3_BDPV12</stp>
        <stp>912828L8 Govt</stp>
        <stp>YLD_YTM_BID</stp>
        <stp>[TREASURY.xlsx]Sheet1!R1127C4</stp>
        <tr r="D1127" s="1"/>
      </tp>
      <tp t="s">
        <v>UNITED STATES</v>
        <stp/>
        <stp>##V3_BDPV12</stp>
        <stp>912828EJ Govt</stp>
        <stp>COUNTRY_FULL_NAME</stp>
        <stp>[TREASURY.xlsx]Sheet1!R1238C8</stp>
        <tr r="H1238" s="1"/>
      </tp>
      <tp>
        <v>10.5</v>
        <stp/>
        <stp>##V3_BDPV12</stp>
        <stp>912827QB Govt</stp>
        <stp>CPN</stp>
        <stp>[TREASURY.xlsx]Sheet1!R1574C3</stp>
        <tr r="C1574" s="1"/>
      </tp>
      <tp>
        <v>6.625</v>
        <stp/>
        <stp>##V3_BDPV12</stp>
        <stp>912827TN Govt</stp>
        <stp>CPN</stp>
        <stp>[TREASURY.xlsx]Sheet1!R1074C3</stp>
        <tr r="C1074" s="1"/>
      </tp>
      <tp>
        <v>7.75</v>
        <stp/>
        <stp>##V3_BDPV12</stp>
        <stp>912827VP Govt</stp>
        <stp>CPN</stp>
        <stp>[TREASURY.xlsx]Sheet1!R1204C3</stp>
        <tr r="C1204" s="1"/>
      </tp>
      <tp>
        <v>6</v>
        <stp/>
        <stp>##V3_BDPV12</stp>
        <stp>912827Q3 Govt</stp>
        <stp>CPN</stp>
        <stp>[TREASURY.xlsx]Sheet1!R1494C3</stp>
        <tr r="C1494" s="1"/>
      </tp>
      <tp>
        <v>7.125</v>
        <stp/>
        <stp>##V3_BDPV12</stp>
        <stp>912827TR Govt</stp>
        <stp>CPN</stp>
        <stp>[TREASURY.xlsx]Sheet1!R1194C3</stp>
        <tr r="C1194" s="1"/>
      </tp>
      <tp>
        <v>7.25</v>
        <stp/>
        <stp>##V3_BDPV12</stp>
        <stp>912827S7 Govt</stp>
        <stp>CPN</stp>
        <stp>[TREASURY.xlsx]Sheet1!R1504C3</stp>
        <tr r="C1504" s="1"/>
      </tp>
      <tp>
        <v>5.75</v>
        <stp/>
        <stp>##V3_BDPV12</stp>
        <stp>912827V6 Govt</stp>
        <stp>CPN</stp>
        <stp>[TREASURY.xlsx]Sheet1!R1084C3</stp>
        <tr r="C1084" s="1"/>
      </tp>
      <tp>
        <v>10.75</v>
        <stp/>
        <stp>##V3_BDPV12</stp>
        <stp>912827RZ Govt</stp>
        <stp>CPN</stp>
        <stp>[TREASURY.xlsx]Sheet1!R1584C3</stp>
        <tr r="C1584" s="1"/>
      </tp>
      <tp>
        <v>9.625</v>
        <stp/>
        <stp>##V3_BDPV12</stp>
        <stp>912827PE Govt</stp>
        <stp>CPN</stp>
        <stp>[TREASURY.xlsx]Sheet1!R1054C3</stp>
        <tr r="C1054" s="1"/>
      </tp>
      <tp>
        <v>7.25</v>
        <stp/>
        <stp>##V3_BDPV12</stp>
        <stp>912827UF Govt</stp>
        <stp>CPN</stp>
        <stp>[TREASURY.xlsx]Sheet1!R1404C3</stp>
        <tr r="C1404" s="1"/>
      </tp>
      <tp>
        <v>10.125</v>
        <stp/>
        <stp>##V3_BDPV12</stp>
        <stp>912827PM Govt</stp>
        <stp>CPN</stp>
        <stp>[TREASURY.xlsx]Sheet1!R1174C3</stp>
        <tr r="C1174" s="1"/>
      </tp>
      <tp>
        <v>11.25</v>
        <stp/>
        <stp>##V3_BDPV12</stp>
        <stp>912827SE Govt</stp>
        <stp>CPN</stp>
        <stp>[TREASURY.xlsx]Sheet1!R1184C3</stp>
        <tr r="C1184" s="1"/>
      </tp>
      <tp>
        <v>10.375</v>
        <stp/>
        <stp>##V3_BDPV12</stp>
        <stp>912827RN Govt</stp>
        <stp>CPN</stp>
        <stp>[TREASURY.xlsx]Sheet1!R1064C3</stp>
        <tr r="C1064" s="1"/>
      </tp>
      <tp>
        <v>13.875</v>
        <stp/>
        <stp>##V3_BDPV12</stp>
        <stp>912827QW Govt</stp>
        <stp>CPN</stp>
        <stp>[TREASURY.xlsx]Sheet1!R1394C3</stp>
        <tr r="C1394" s="1"/>
      </tp>
      <tp>
        <v>5</v>
        <stp/>
        <stp>##V3_BDPV12</stp>
        <stp>912827W5 Govt</stp>
        <stp>CPN</stp>
        <stp>[TREASURY.xlsx]Sheet1!R1414C3</stp>
        <tr r="C1414" s="1"/>
      </tp>
      <tp>
        <v>7.5</v>
        <stp/>
        <stp>##V3_BDPV12</stp>
        <stp>912827ZZ Govt</stp>
        <stp>CPN</stp>
        <stp>[TREASURY.xlsx]Sheet1!R1614C3</stp>
        <tr r="C1614" s="1"/>
      </tp>
      <tp>
        <v>9.125</v>
        <stp/>
        <stp>##V3_BDPV12</stp>
        <stp>912827XA Govt</stp>
        <stp>CPN</stp>
        <stp>[TREASURY.xlsx]Sheet1!R1594C3</stp>
        <tr r="C1594" s="1"/>
      </tp>
      <tp>
        <v>7.75</v>
        <stp/>
        <stp>##V3_BDPV12</stp>
        <stp>912827YF Govt</stp>
        <stp>CPN</stp>
        <stp>[TREASURY.xlsx]Sheet1!R1604C3</stp>
        <tr r="C1604" s="1"/>
      </tp>
      <tp>
        <v>6.125</v>
        <stp/>
        <stp>##V3_BDPV12</stp>
        <stp>912827X3 Govt</stp>
        <stp>CPN</stp>
        <stp>[TREASURY.xlsx]Sheet1!R1094C3</stp>
        <tr r="C1094" s="1"/>
      </tp>
      <tp>
        <v>9.25</v>
        <stp/>
        <stp>##V3_BDPV12</stp>
        <stp>912827XL Govt</stp>
        <stp>CPN</stp>
        <stp>[TREASURY.xlsx]Sheet1!R1214C3</stp>
        <tr r="C1214" s="1"/>
      </tp>
      <tp>
        <v>8.875</v>
        <stp/>
        <stp>##V3_BDPV12</stp>
        <stp>912827YU Govt</stp>
        <stp>CPN</stp>
        <stp>[TREASURY.xlsx]Sheet1!R1224C3</stp>
        <tr r="C1224" s="1"/>
      </tp>
      <tp>
        <v>6.875</v>
        <stp/>
        <stp>##V3_BDPV12</stp>
        <stp>912827ZW Govt</stp>
        <stp>CPN</stp>
        <stp>[TREASURY.xlsx]Sheet1!R1104C3</stp>
        <tr r="C1104" s="1"/>
      </tp>
      <tp>
        <v>4</v>
        <stp/>
        <stp>##V3_BDPV12</stp>
        <stp>912827G8 Govt</stp>
        <stp>CPN</stp>
        <stp>[TREASURY.xlsx]Sheet1!R1374C3</stp>
        <tr r="C1374" s="1"/>
      </tp>
      <tp>
        <v>5.875</v>
        <stp/>
        <stp>##V3_BDPV12</stp>
        <stp>912827F3 Govt</stp>
        <stp>CPN</stp>
        <stp>[TREASURY.xlsx]Sheet1!R1314C3</stp>
        <tr r="C1314" s="1"/>
      </tp>
      <tp>
        <v>7.625</v>
        <stp/>
        <stp>##V3_BDPV12</stp>
        <stp>912827A6 Govt</stp>
        <stp>CPN</stp>
        <stp>[TREASURY.xlsx]Sheet1!R1474C3</stp>
        <tr r="C1474" s="1"/>
      </tp>
      <tp>
        <v>7.125</v>
        <stp/>
        <stp>##V3_BDPV12</stp>
        <stp>912827C6 Govt</stp>
        <stp>CPN</stp>
        <stp>[TREASURY.xlsx]Sheet1!R1554C3</stp>
        <tr r="C1554" s="1"/>
      </tp>
      <tp>
        <v>4.25</v>
        <stp/>
        <stp>##V3_BDPV12</stp>
        <stp>912827G2 Govt</stp>
        <stp>CPN</stp>
        <stp>[TREASURY.xlsx]Sheet1!R1034C3</stp>
        <tr r="C1034" s="1"/>
      </tp>
      <tp>
        <v>6.375</v>
        <stp/>
        <stp>##V3_BDPV12</stp>
        <stp>912827F8 Govt</stp>
        <stp>CPN</stp>
        <stp>[TREASURY.xlsx]Sheet1!R1154C3</stp>
        <tr r="C1154" s="1"/>
      </tp>
      <tp>
        <v>5</v>
        <stp/>
        <stp>##V3_BDPV12</stp>
        <stp>912827D5 Govt</stp>
        <stp>CPN</stp>
        <stp>[TREASURY.xlsx]Sheet1!R1484C3</stp>
        <tr r="C1484" s="1"/>
      </tp>
      <tp>
        <v>4.75</v>
        <stp/>
        <stp>##V3_BDPV12</stp>
        <stp>912827M2 Govt</stp>
        <stp>CPN</stp>
        <stp>[TREASURY.xlsx]Sheet1!R1164C3</stp>
        <tr r="C1164" s="1"/>
      </tp>
      <tp>
        <v>4.375</v>
        <stp/>
        <stp>##V3_BDPV12</stp>
        <stp>912827M7 Govt</stp>
        <stp>CPN</stp>
        <stp>[TREASURY.xlsx]Sheet1!R1044C3</stp>
        <tr r="C1044" s="1"/>
      </tp>
      <tp>
        <v>11.875</v>
        <stp/>
        <stp>##V3_BDPV12</stp>
        <stp>912827NS Govt</stp>
        <stp>CPN</stp>
        <stp>[TREASURY.xlsx]Sheet1!R1334C3</stp>
        <tr r="C1334" s="1"/>
      </tp>
      <tp>
        <v>9.75</v>
        <stp/>
        <stp>##V3_BDPV12</stp>
        <stp>912827NT Govt</stp>
        <stp>CPN</stp>
        <stp>[TREASURY.xlsx]Sheet1!R1384C3</stp>
        <tr r="C1384" s="1"/>
      </tp>
      <tp>
        <v>15.875</v>
        <stp/>
        <stp>##V3_BDPV12</stp>
        <stp>912827MC Govt</stp>
        <stp>CPN</stp>
        <stp>[TREASURY.xlsx]Sheet1!R1324C3</stp>
        <tr r="C1324" s="1"/>
      </tp>
      <tp>
        <v>4.125</v>
        <stp/>
        <stp>##V3_BDPV12</stp>
        <stp>912827L3 Govt</stp>
        <stp>CPN</stp>
        <stp>[TREASURY.xlsx]Sheet1!R1564C3</stp>
        <tr r="C1564" s="1"/>
      </tp>
      <tp>
        <v>5.75</v>
        <stp/>
        <stp>##V3_BDPV12</stp>
        <stp>9128275J Govt</stp>
        <stp>CPN</stp>
        <stp>[TREASURY.xlsx]Sheet1!R1014C3</stp>
        <tr r="C1014" s="1"/>
      </tp>
      <tp>
        <v>5.75</v>
        <stp/>
        <stp>##V3_BDPV12</stp>
        <stp>9128276N Govt</stp>
        <stp>CPN</stp>
        <stp>[TREASURY.xlsx]Sheet1!R1024C3</stp>
        <tr r="C1024" s="1"/>
      </tp>
      <tp>
        <v>6.625</v>
        <stp/>
        <stp>##V3_BDPV12</stp>
        <stp>9128272U Govt</stp>
        <stp>CPN</stp>
        <stp>[TREASURY.xlsx]Sheet1!R1454C3</stp>
        <tr r="C1454" s="1"/>
      </tp>
      <tp>
        <v>5.5</v>
        <stp/>
        <stp>##V3_BDPV12</stp>
        <stp>9128274G Govt</stp>
        <stp>CPN</stp>
        <stp>[TREASURY.xlsx]Sheet1!R1364C3</stp>
        <tr r="C1364" s="1"/>
      </tp>
      <tp>
        <v>6</v>
        <stp/>
        <stp>##V3_BDPV12</stp>
        <stp>9128272X Govt</stp>
        <stp>CPN</stp>
        <stp>[TREASURY.xlsx]Sheet1!R1524C3</stp>
        <tr r="C1524" s="1"/>
      </tp>
      <tp>
        <v>6</v>
        <stp/>
        <stp>##V3_BDPV12</stp>
        <stp>9128273D Govt</stp>
        <stp>CPN</stp>
        <stp>[TREASURY.xlsx]Sheet1!R1354C3</stp>
        <tr r="C1354" s="1"/>
      </tp>
      <tp>
        <v>5.5</v>
        <stp/>
        <stp>##V3_BDPV12</stp>
        <stp>9128275L Govt</stp>
        <stp>CPN</stp>
        <stp>[TREASURY.xlsx]Sheet1!R1464C3</stp>
        <tr r="C1464" s="1"/>
      </tp>
      <tp>
        <v>4.5</v>
        <stp/>
        <stp>##V3_BDPV12</stp>
        <stp>9128274Z Govt</stp>
        <stp>CPN</stp>
        <stp>[TREASURY.xlsx]Sheet1!R1534C3</stp>
        <tr r="C1534" s="1"/>
      </tp>
      <tp>
        <v>3.625</v>
        <stp/>
        <stp>##V3_BDPV12</stp>
        <stp>9128277C Govt</stp>
        <stp>CPN</stp>
        <stp>[TREASURY.xlsx]Sheet1!R1544C3</stp>
        <tr r="C1544" s="1"/>
      </tp>
      <tp t="s">
        <v>UNITED STATES</v>
        <stp/>
        <stp>##V3_BDPV12</stp>
        <stp>912827NH Govt</stp>
        <stp>COUNTRY_FULL_NAME</stp>
        <stp>[TREASURY.xlsx]Sheet1!R1333C8</stp>
        <tr r="H1333" s="1"/>
      </tp>
      <tp t="s">
        <v>UNITED STATES</v>
        <stp/>
        <stp>##V3_BDPV12</stp>
        <stp>912810DH Govt</stp>
        <stp>COUNTRY_FULL_NAME</stp>
        <stp>[TREASURY.xlsx]Sheet1!R1619C8</stp>
        <tr r="H1619" s="1"/>
      </tp>
      <tp t="s">
        <v>UNITED STATES</v>
        <stp/>
        <stp>##V3_BDPV12</stp>
        <stp>912828LV Govt</stp>
        <stp>COUNTRY_FULL_NAME</stp>
        <stp>[TREASURY.xlsx]Sheet1!R1291C8</stp>
        <tr r="H1291" s="1"/>
      </tp>
      <tp t="s">
        <v>UNITED STATES</v>
        <stp/>
        <stp>##V3_BDPV12</stp>
        <stp>912827NW Govt</stp>
        <stp>COUNTRY_FULL_NAME</stp>
        <stp>[TREASURY.xlsx]Sheet1!R1053C8</stp>
        <tr r="H1053" s="1"/>
      </tp>
      <tp t="s">
        <v>UNITED STATES</v>
        <stp/>
        <stp>##V3_BDPV12</stp>
        <stp>912828HS Govt</stp>
        <stp>COUNTRY_FULL_NAME</stp>
        <stp>[TREASURY.xlsx]Sheet1!R1245C8</stp>
        <tr r="H1245" s="1"/>
      </tp>
      <tp t="s">
        <v>UNITED STATES</v>
        <stp/>
        <stp>##V3_BDPV12</stp>
        <stp>912828JS Govt</stp>
        <stp>COUNTRY_FULL_NAME</stp>
        <stp>[TREASURY.xlsx]Sheet1!R1247C8</stp>
        <tr r="H1247" s="1"/>
      </tp>
      <tp t="s">
        <v>UNITED STATES</v>
        <stp/>
        <stp>##V3_BDPV12</stp>
        <stp>912827LP Govt</stp>
        <stp>COUNTRY_FULL_NAME</stp>
        <stp>[TREASURY.xlsx]Sheet1!R1491C8</stp>
        <tr r="H1491" s="1"/>
      </tp>
      <tp t="s">
        <v>UNITED STATES</v>
        <stp/>
        <stp>##V3_BDPV12</stp>
        <stp>912828NQ Govt</stp>
        <stp>COUNTRY_FULL_NAME</stp>
        <stp>[TREASURY.xlsx]Sheet1!R1293C8</stp>
        <tr r="H1293" s="1"/>
      </tp>
      <tp t="s">
        <v>UNITED STATES</v>
        <stp/>
        <stp>##V3_BDPV12</stp>
        <stp>91282CCX Govt</stp>
        <stp>COUNTRY_FULL_NAME</stp>
        <stp>[TREASURY.xlsx]Sheet1!R5C8</stp>
        <tr r="H5" s="1"/>
      </tp>
      <tp t="s">
        <v>UNITED STATES</v>
        <stp/>
        <stp>##V3_BDPV12</stp>
        <stp>91282CCZ Govt</stp>
        <stp>COUNTRY_FULL_NAME</stp>
        <stp>[TREASURY.xlsx]Sheet1!R7C8</stp>
        <tr r="H7" s="1"/>
      </tp>
      <tp t="s">
        <v>UNITED STATES</v>
        <stp/>
        <stp>##V3_BDPV12</stp>
        <stp>912828KX Govt</stp>
        <stp>COUNTRY_FULL_NAME</stp>
        <stp>[TREASURY.xlsx]Sheet1!R1126C8</stp>
        <tr r="H1126" s="1"/>
      </tp>
      <tp t="s">
        <v>UNITED STATES</v>
        <stp/>
        <stp>##V3_BDPV12</stp>
        <stp>912828DX Govt</stp>
        <stp>COUNTRY_FULL_NAME</stp>
        <stp>[TREASURY.xlsx]Sheet1!R1429C8</stp>
        <tr r="H1429" s="1"/>
      </tp>
      <tp t="s">
        <v>USD</v>
        <stp/>
        <stp>##V3_BDPV12</stp>
        <stp>912827QE Govt</stp>
        <stp>CRNCY</stp>
        <stp>[TREASURY.xlsx]Sheet1!R740C7</stp>
        <tr r="G740" s="1"/>
      </tp>
      <tp t="s">
        <v>USD</v>
        <stp/>
        <stp>##V3_BDPV12</stp>
        <stp>912810QT Govt</stp>
        <stp>CRNCY</stp>
        <stp>[TREASURY.xlsx]Sheet1!R237C7</stp>
        <tr r="G237" s="1"/>
      </tp>
      <tp t="s">
        <v>USD</v>
        <stp/>
        <stp>##V3_BDPV12</stp>
        <stp>912810QU Govt</stp>
        <stp>CRNCY</stp>
        <stp>[TREASURY.xlsx]Sheet1!R287C7</stp>
        <tr r="G287" s="1"/>
      </tp>
      <tp t="s">
        <v>USD</v>
        <stp/>
        <stp>##V3_BDPV12</stp>
        <stp>912810SF Govt</stp>
        <stp>CRNCY</stp>
        <stp>[TREASURY.xlsx]Sheet1!R177C7</stp>
        <tr r="G177" s="1"/>
      </tp>
      <tp t="s">
        <v>USD</v>
        <stp/>
        <stp>##V3_BDPV12</stp>
        <stp>912827RD Govt</stp>
        <stp>CRNCY</stp>
        <stp>[TREASURY.xlsx]Sheet1!R910C7</stp>
        <tr r="G910" s="1"/>
      </tp>
      <tp t="s">
        <v>USD</v>
        <stp/>
        <stp>##V3_BDPV12</stp>
        <stp>912827RW Govt</stp>
        <stp>CRNCY</stp>
        <stp>[TREASURY.xlsx]Sheet1!R830C7</stp>
        <tr r="G830" s="1"/>
      </tp>
      <tp t="s">
        <v>USD</v>
        <stp/>
        <stp>##V3_BDPV12</stp>
        <stp>912810RX Govt</stp>
        <stp>CRNCY</stp>
        <stp>[TREASURY.xlsx]Sheet1!R197C7</stp>
        <tr r="G197" s="1"/>
      </tp>
      <tp t="s">
        <v>USD</v>
        <stp/>
        <stp>##V3_BDPV12</stp>
        <stp>912827UW Govt</stp>
        <stp>CRNCY</stp>
        <stp>[TREASURY.xlsx]Sheet1!R460C7</stp>
        <tr r="G460" s="1"/>
      </tp>
      <tp t="s">
        <v>USD</v>
        <stp/>
        <stp>##V3_BDPV12</stp>
        <stp>912827TS Govt</stp>
        <stp>CRNCY</stp>
        <stp>[TREASURY.xlsx]Sheet1!R750C7</stp>
        <tr r="G750" s="1"/>
      </tp>
      <tp t="s">
        <v>USD</v>
        <stp/>
        <stp>##V3_BDPV12</stp>
        <stp>912827TZ Govt</stp>
        <stp>CRNCY</stp>
        <stp>[TREASURY.xlsx]Sheet1!R920C7</stp>
        <tr r="G920" s="1"/>
      </tp>
      <tp t="s">
        <v>USD</v>
        <stp/>
        <stp>##V3_BDPV12</stp>
        <stp>912827W8 Govt</stp>
        <stp>CRNCY</stp>
        <stp>[TREASURY.xlsx]Sheet1!R930C7</stp>
        <tr r="G930" s="1"/>
      </tp>
      <tp t="s">
        <v>USD</v>
        <stp/>
        <stp>##V3_BDPV12</stp>
        <stp>912827VC Govt</stp>
        <stp>CRNCY</stp>
        <stp>[TREASURY.xlsx]Sheet1!R760C7</stp>
        <tr r="G760" s="1"/>
      </tp>
      <tp t="s">
        <v>USD</v>
        <stp/>
        <stp>##V3_BDPV12</stp>
        <stp>912827YZ Govt</stp>
        <stp>CRNCY</stp>
        <stp>[TREASURY.xlsx]Sheet1!R950C7</stp>
        <tr r="G950" s="1"/>
      </tp>
      <tp t="s">
        <v>USD</v>
        <stp/>
        <stp>##V3_BDPV12</stp>
        <stp>912827Y5 Govt</stp>
        <stp>CRNCY</stp>
        <stp>[TREASURY.xlsx]Sheet1!R940C7</stp>
        <tr r="G940" s="1"/>
      </tp>
      <tp t="s">
        <v>USD</v>
        <stp/>
        <stp>##V3_BDPV12</stp>
        <stp>912827XE Govt</stp>
        <stp>CRNCY</stp>
        <stp>[TREASURY.xlsx]Sheet1!R570C7</stp>
        <tr r="G570" s="1"/>
      </tp>
      <tp t="s">
        <v>USD</v>
        <stp/>
        <stp>##V3_BDPV12</stp>
        <stp>912827X9 Govt</stp>
        <stp>CRNCY</stp>
        <stp>[TREASURY.xlsx]Sheet1!R770C7</stp>
        <tr r="G770" s="1"/>
      </tp>
      <tp t="s">
        <v>USD</v>
        <stp/>
        <stp>##V3_BDPV12</stp>
        <stp>912827ZE Govt</stp>
        <stp>CRNCY</stp>
        <stp>[TREASURY.xlsx]Sheet1!R780C7</stp>
        <tr r="G780" s="1"/>
      </tp>
      <tp t="s">
        <v>UNITED STATES</v>
        <stp/>
        <stp>##V3_BDPV12</stp>
        <stp>912827L6 Govt</stp>
        <stp>COUNTRY_FULL_NAME</stp>
        <stp>[TREASURY.xlsx]Sheet1!R1041C8</stp>
        <tr r="H1041" s="1"/>
      </tp>
      <tp t="s">
        <v>UNITED STATES</v>
        <stp/>
        <stp>##V3_BDPV12</stp>
        <stp>912827J6 Govt</stp>
        <stp>COUNTRY_FULL_NAME</stp>
        <stp>[TREASURY.xlsx]Sheet1!R1317C8</stp>
        <tr r="H1317" s="1"/>
      </tp>
      <tp t="s">
        <v>USD</v>
        <stp/>
        <stp>##V3_BDPV12</stp>
        <stp>912810EK Govt</stp>
        <stp>CRNCY</stp>
        <stp>[TREASURY.xlsx]Sheet1!R357C7</stp>
        <tr r="G357" s="1"/>
      </tp>
      <tp t="s">
        <v>USD</v>
        <stp/>
        <stp>##V3_BDPV12</stp>
        <stp>912810EW Govt</stp>
        <stp>CRNCY</stp>
        <stp>[TREASURY.xlsx]Sheet1!R277C7</stp>
        <tr r="G277" s="1"/>
      </tp>
      <tp t="s">
        <v>USD</v>
        <stp/>
        <stp>##V3_BDPV12</stp>
        <stp>912810EP Govt</stp>
        <stp>CRNCY</stp>
        <stp>[TREASURY.xlsx]Sheet1!R317C7</stp>
        <tr r="G317" s="1"/>
      </tp>
      <tp t="s">
        <v>USD</v>
        <stp/>
        <stp>##V3_BDPV12</stp>
        <stp>912827E7 Govt</stp>
        <stp>CRNCY</stp>
        <stp>[TREASURY.xlsx]Sheet1!R590C7</stp>
        <tr r="G590" s="1"/>
      </tp>
      <tp t="s">
        <v>USD</v>
        <stp/>
        <stp>##V3_BDPV12</stp>
        <stp>912810DM Govt</stp>
        <stp>CRNCY</stp>
        <stp>[TREASURY.xlsx]Sheet1!R697C7</stp>
        <tr r="G697" s="1"/>
      </tp>
      <tp t="s">
        <v>USD</v>
        <stp/>
        <stp>##V3_BDPV12</stp>
        <stp>912810DV Govt</stp>
        <stp>CRNCY</stp>
        <stp>[TREASURY.xlsx]Sheet1!R527C7</stp>
        <tr r="G527" s="1"/>
      </tp>
      <tp t="s">
        <v>USD</v>
        <stp/>
        <stp>##V3_BDPV12</stp>
        <stp>912827D6 Govt</stp>
        <stp>CRNCY</stp>
        <stp>[TREASURY.xlsx]Sheet1!R700C7</stp>
        <tr r="G700" s="1"/>
      </tp>
      <tp t="s">
        <v>USD</v>
        <stp/>
        <stp>##V3_BDPV12</stp>
        <stp>912810FJ Govt</stp>
        <stp>CRNCY</stp>
        <stp>[TREASURY.xlsx]Sheet1!R267C7</stp>
        <tr r="G267" s="1"/>
      </tp>
      <tp t="s">
        <v>T</v>
        <stp/>
        <stp>##V3_BDPV12</stp>
        <stp>91282CBU Govt</stp>
        <stp>TICKER</stp>
        <stp>[TREASURY.xlsx]Sheet1!R53C2</stp>
        <tr r="B53" s="1"/>
      </tp>
      <tp t="s">
        <v>T</v>
        <stp/>
        <stp>##V3_BDPV12</stp>
        <stp>91282CCK Govt</stp>
        <stp>TICKER</stp>
        <stp>[TREASURY.xlsx]Sheet1!R33C2</stp>
        <tr r="B33" s="1"/>
      </tp>
      <tp t="s">
        <v>T</v>
        <stp/>
        <stp>##V3_BDPV12</stp>
        <stp>91282CCY Govt</stp>
        <stp>TICKER</stp>
        <stp>[TREASURY.xlsx]Sheet1!R13C2</stp>
        <tr r="B13" s="1"/>
      </tp>
      <tp t="s">
        <v>USD</v>
        <stp/>
        <stp>##V3_BDPV12</stp>
        <stp>912827KQ Govt</stp>
        <stp>CRNCY</stp>
        <stp>[TREASURY.xlsx]Sheet1!R710C7</stp>
        <tr r="G710" s="1"/>
      </tp>
      <tp t="s">
        <v>USD</v>
        <stp/>
        <stp>##V3_BDPV12</stp>
        <stp>912827MA Govt</stp>
        <stp>CRNCY</stp>
        <stp>[TREASURY.xlsx]Sheet1!R720C7</stp>
        <tr r="G720" s="1"/>
      </tp>
      <tp t="s">
        <v>USD</v>
        <stp/>
        <stp>##V3_BDPV12</stp>
        <stp>912827LJ Govt</stp>
        <stp>CRNCY</stp>
        <stp>[TREASURY.xlsx]Sheet1!R890C7</stp>
        <tr r="G890" s="1"/>
      </tp>
      <tp t="s">
        <v>UNITED STATES</v>
        <stp/>
        <stp>##V3_BDPV12</stp>
        <stp>912827E8 Govt</stp>
        <stp>COUNTRY_FULL_NAME</stp>
        <stp>[TREASURY.xlsx]Sheet1!R1558C8</stp>
        <tr r="H1558" s="1"/>
      </tp>
      <tp t="s">
        <v>USD</v>
        <stp/>
        <stp>##V3_BDPV12</stp>
        <stp>912827NC Govt</stp>
        <stp>CRNCY</stp>
        <stp>[TREASURY.xlsx]Sheet1!R730C7</stp>
        <tr r="G730" s="1"/>
      </tp>
      <tp t="s">
        <v>UNITED STATES</v>
        <stp/>
        <stp>##V3_BDPV12</stp>
        <stp>912827H9 Govt</stp>
        <stp>COUNTRY_FULL_NAME</stp>
        <stp>[TREASURY.xlsx]Sheet1!R1375C8</stp>
        <tr r="H1375" s="1"/>
      </tp>
      <tp t="s">
        <v>USD</v>
        <stp/>
        <stp>##V3_BDPV12</stp>
        <stp>912827N7 Govt</stp>
        <stp>CRNCY</stp>
        <stp>[TREASURY.xlsx]Sheet1!R900C7</stp>
        <tr r="G900" s="1"/>
      </tp>
      <tp t="s">
        <v>#N/A N/A</v>
        <stp/>
        <stp>##V3_BDPV12</stp>
        <stp>912810DP Govt</stp>
        <stp>YLD_YTM_BID</stp>
        <stp>[TREASURY.xlsx]Sheet1!R698C4</stp>
        <tr r="D698" s="1"/>
      </tp>
      <tp>
        <v>1.5</v>
        <stp/>
        <stp>##V3_BDPV12</stp>
        <stp>912828YP Govt</stp>
        <stp>CPN</stp>
        <stp>[TREASURY.xlsx]Sheet1!R149C3</stp>
        <tr r="C149" s="1"/>
      </tp>
      <tp>
        <v>0.125</v>
        <stp/>
        <stp>##V3_BDPV12</stp>
        <stp>912828ZX Govt</stp>
        <stp>CPN</stp>
        <stp>[TREASURY.xlsx]Sheet1!R111C3</stp>
        <tr r="C111" s="1"/>
      </tp>
      <tp>
        <v>2.0888463324545823</v>
        <stp/>
        <stp>##V3_BDPV12</stp>
        <stp>912810RY Govt</stp>
        <stp>YLD_YTM_BID</stp>
        <stp>[TREASURY.xlsx]Sheet1!R191C4</stp>
        <tr r="D191" s="1"/>
      </tp>
      <tp>
        <v>12.125</v>
        <stp/>
        <stp>##V3_BDPV12</stp>
        <stp>912827MP Govt</stp>
        <stp>CPN</stp>
        <stp>[TREASURY.xlsx]Sheet1!R899C3</stp>
        <tr r="C899" s="1"/>
      </tp>
      <tp>
        <v>3.125</v>
        <stp/>
        <stp>##V3_BDPV12</stp>
        <stp>912828HY Govt</stp>
        <stp>CPN</stp>
        <stp>[TREASURY.xlsx]Sheet1!R450C3</stp>
        <tr r="C450" s="1"/>
      </tp>
      <tp>
        <v>2</v>
        <stp/>
        <stp>##V3_BDPV12</stp>
        <stp>912828VP Govt</stp>
        <stp>CPN</stp>
        <stp>[TREASURY.xlsx]Sheet1!R479C3</stp>
        <tr r="C479" s="1"/>
      </tp>
      <tp>
        <v>1.75</v>
        <stp/>
        <stp>##V3_BDPV12</stp>
        <stp>912828RP Govt</stp>
        <stp>CPN</stp>
        <stp>[TREASURY.xlsx]Sheet1!R549C3</stp>
        <tr r="C549" s="1"/>
      </tp>
      <tp>
        <v>2.0745998204591509</v>
        <stp/>
        <stp>##V3_BDPV12</stp>
        <stp>912810RP Govt</stp>
        <stp>YLD_YTM_BID</stp>
        <stp>[TREASURY.xlsx]Sheet1!R278C4</stp>
        <tr r="D278" s="1"/>
      </tp>
      <tp>
        <v>11.125</v>
        <stp/>
        <stp>##V3_BDPV12</stp>
        <stp>912827KZ Govt</stp>
        <stp>CPN</stp>
        <stp>[TREASURY.xlsx]Sheet1!R713C3</stp>
        <tr r="C713" s="1"/>
      </tp>
      <tp>
        <v>0.5</v>
        <stp/>
        <stp>##V3_BDPV12</stp>
        <stp>912828WX Govt</stp>
        <stp>CPN</stp>
        <stp>[TREASURY.xlsx]Sheet1!R881C3</stp>
        <tr r="C881" s="1"/>
      </tp>
      <tp t="s">
        <v>#N/A N/A</v>
        <stp/>
        <stp>##V3_BDPV12</stp>
        <stp>912828NX Govt</stp>
        <stp>YLD_YTM_BID</stp>
        <stp>[TREASURY.xlsx]Sheet1!R980C4</stp>
        <tr r="D980" s="1"/>
      </tp>
      <tp t="s">
        <v>#N/A N/A</v>
        <stp/>
        <stp>##V3_BDPV12</stp>
        <stp>912828TP Govt</stp>
        <stp>YLD_YTM_BID</stp>
        <stp>[TREASURY.xlsx]Sheet1!R998C4</stp>
        <tr r="D998" s="1"/>
      </tp>
      <tp t="s">
        <v>#N/A N/A</v>
        <stp/>
        <stp>##V3_BDPV12</stp>
        <stp>912828SX Govt</stp>
        <stp>YLD_YTM_BID</stp>
        <stp>[TREASURY.xlsx]Sheet1!R870C4</stp>
        <tr r="D870" s="1"/>
      </tp>
      <tp t="s">
        <v>#N/A N/A</v>
        <stp/>
        <stp>##V3_BDPV12</stp>
        <stp>9128273X Govt</stp>
        <stp>YLD_YTM_BID</stp>
        <stp>[TREASURY.xlsx]Sheet1!R500C4</stp>
        <tr r="D500" s="1"/>
      </tp>
      <tp t="s">
        <v>#N/A N/A</v>
        <stp/>
        <stp>##V3_BDPV12</stp>
        <stp>912828EZ Govt</stp>
        <stp>YLD_YTM_BID</stp>
        <stp>[TREASURY.xlsx]Sheet1!R572C4</stp>
        <tr r="D572" s="1"/>
      </tp>
      <tp>
        <v>6.25</v>
        <stp/>
        <stp>##V3_BDPV12</stp>
        <stp>912810EQ Govt</stp>
        <stp>CPN</stp>
        <stp>[TREASURY.xlsx]Sheet1!R298C3</stp>
        <tr r="C298" s="1"/>
      </tp>
      <tp>
        <v>2.75</v>
        <stp/>
        <stp>##V3_BDPV12</stp>
        <stp>912810QY Govt</stp>
        <stp>CPN</stp>
        <stp>[TREASURY.xlsx]Sheet1!R270C3</stp>
        <tr r="C270" s="1"/>
      </tp>
      <tp>
        <v>2.75</v>
        <stp/>
        <stp>##V3_BDPV12</stp>
        <stp>912810RZ Govt</stp>
        <stp>CPN</stp>
        <stp>[TREASURY.xlsx]Sheet1!R273C3</stp>
        <tr r="C273" s="1"/>
      </tp>
      <tp t="s">
        <v>#N/A N/A</v>
        <stp/>
        <stp>##V3_BDPV12</stp>
        <stp>912828XP Govt</stp>
        <stp>YLD_YTM_BID</stp>
        <stp>[TREASURY.xlsx]Sheet1!R588C4</stp>
        <tr r="D588" s="1"/>
      </tp>
      <tp>
        <v>6.625</v>
        <stp/>
        <stp>##V3_BDPV12</stp>
        <stp>912810EZ Govt</stp>
        <stp>CPN</stp>
        <stp>[TREASURY.xlsx]Sheet1!R323C3</stp>
        <tr r="C323" s="1"/>
      </tp>
      <tp t="s">
        <v>#N/A N/A</v>
        <stp/>
        <stp>##V3_BDPV12</stp>
        <stp>912828WP Govt</stp>
        <stp>YLD_YTM_BID</stp>
        <stp>[TREASURY.xlsx]Sheet1!R488C4</stp>
        <tr r="D488" s="1"/>
      </tp>
      <tp t="s">
        <v>#N/A N/A</v>
        <stp/>
        <stp>##V3_BDPV12</stp>
        <stp>9128282Q Govt</stp>
        <stp>YLD_YTM_BID</stp>
        <stp>[TREASURY.xlsx]Sheet1!R469C4</stp>
        <tr r="D469" s="1"/>
      </tp>
      <tp t="s">
        <v>#N/A N/A</v>
        <stp/>
        <stp>##V3_BDPV12</stp>
        <stp>912828BP Govt</stp>
        <stp>YLD_YTM_BID</stp>
        <stp>[TREASURY.xlsx]Sheet1!R648C4</stp>
        <tr r="D648" s="1"/>
      </tp>
      <tp t="s">
        <v>#N/A N/A</v>
        <stp/>
        <stp>##V3_BDPV12</stp>
        <stp>912828JY Govt</stp>
        <stp>YLD_YTM_BID</stp>
        <stp>[TREASURY.xlsx]Sheet1!R691C4</stp>
        <tr r="D691" s="1"/>
      </tp>
      <tp>
        <v>15.75</v>
        <stp/>
        <stp>##V3_BDPV12</stp>
        <stp>912810CX Govt</stp>
        <stp>CPN</stp>
        <stp>[TREASURY.xlsx]Sheet1!R661C3</stp>
        <tr r="C661" s="1"/>
      </tp>
      <tp>
        <v>7.5</v>
        <stp/>
        <stp>##V3_BDPV12</stp>
        <stp>912810DX Govt</stp>
        <stp>CPN</stp>
        <stp>[TREASURY.xlsx]Sheet1!R461C3</stp>
        <tr r="C461" s="1"/>
      </tp>
      <tp>
        <v>8.2096510639176806E-2</v>
        <stp/>
        <stp>##V3_BDPV12</stp>
        <stp>9128286Y Govt</stp>
        <stp>YLD_YTM_BID</stp>
        <stp>[TREASURY.xlsx]Sheet1!R241C4</stp>
        <tr r="D241" s="1"/>
      </tp>
      <tp t="s">
        <v>8/15/2020</v>
        <stp/>
        <stp>##V3_BDPV12</stp>
        <stp>912828Z9 Govt</stp>
        <stp>FIRST_CPN_DT</stp>
        <stp>[TREASURY.xlsx]Sheet1!R25C9</stp>
        <tr r="I25" s="1"/>
      </tp>
      <tp t="s">
        <v>UNITED STATES</v>
        <stp/>
        <stp>##V3_BDPV12</stp>
        <stp>912810EG Govt</stp>
        <stp>COUNTRY_FULL_NAME</stp>
        <stp>[TREASURY.xlsx]Sheet1!R1349C8</stp>
        <tr r="H1349" s="1"/>
      </tp>
      <tp>
        <v>0.375</v>
        <stp/>
        <stp>##V3_BDPV12</stp>
        <stp>912828UG Govt</stp>
        <stp>CPN</stp>
        <stp>[TREASURY.xlsx]Sheet1!R1135C3</stp>
        <tr r="C1135" s="1"/>
      </tp>
      <tp>
        <v>0.25</v>
        <stp/>
        <stp>##V3_BDPV12</stp>
        <stp>912828UP Govt</stp>
        <stp>CPN</stp>
        <stp>[TREASURY.xlsx]Sheet1!R1145C3</stp>
        <tr r="C1145" s="1"/>
      </tp>
      <tp>
        <v>2.125</v>
        <stp/>
        <stp>##V3_BDPV12</stp>
        <stp>912828VV Govt</stp>
        <stp>CPN</stp>
        <stp>[TREASURY.xlsx]Sheet1!R1305C3</stp>
        <tr r="C1305" s="1"/>
      </tp>
      <tp>
        <v>0.625</v>
        <stp/>
        <stp>##V3_BDPV12</stp>
        <stp>912828WA Govt</stp>
        <stp>CPN</stp>
        <stp>[TREASURY.xlsx]Sheet1!R1005C3</stp>
        <tr r="C1005" s="1"/>
      </tp>
      <tp>
        <v>0.125</v>
        <stp/>
        <stp>##V3_BDPV12</stp>
        <stp>912828RD Govt</stp>
        <stp>CPN</stp>
        <stp>[TREASURY.xlsx]Sheet1!R1265C3</stp>
        <tr r="C1265" s="1"/>
      </tp>
      <tp>
        <v>4.5</v>
        <stp/>
        <stp>##V3_BDPV12</stp>
        <stp>912828EM Govt</stp>
        <stp>CPN</stp>
        <stp>[TREASURY.xlsx]Sheet1!R1115C3</stp>
        <tr r="C1115" s="1"/>
      </tp>
      <tp>
        <v>4.875</v>
        <stp/>
        <stp>##V3_BDPV12</stp>
        <stp>912828FN Govt</stp>
        <stp>CPN</stp>
        <stp>[TREASURY.xlsx]Sheet1!R1275C3</stp>
        <tr r="C1275" s="1"/>
      </tp>
      <tp>
        <v>1.5</v>
        <stp/>
        <stp>##V3_BDPV12</stp>
        <stp>912828BE Govt</stp>
        <stp>CPN</stp>
        <stp>[TREASURY.xlsx]Sheet1!R1425C3</stp>
        <tr r="C1425" s="1"/>
      </tp>
      <tp t="s">
        <v>#N/A N/A</v>
        <stp/>
        <stp>##V3_BDPV12</stp>
        <stp>912810CU Govt</stp>
        <stp>YLD_YTM_BID</stp>
        <stp>[TREASURY.xlsx]Sheet1!R1345C4</stp>
        <tr r="D1345" s="1"/>
      </tp>
      <tp t="s">
        <v>#N/A N/A</v>
        <stp/>
        <stp>##V3_BDPV12</stp>
        <stp>912810EA Govt</stp>
        <stp>YLD_YTM_BID</stp>
        <stp>[TREASURY.xlsx]Sheet1!R1445C4</stp>
        <tr r="D1445" s="1"/>
      </tp>
      <tp>
        <v>2.375</v>
        <stp/>
        <stp>##V3_BDPV12</stp>
        <stp>912828BF Govt</stp>
        <stp>CPN</stp>
        <stp>[TREASURY.xlsx]Sheet1!R1235C3</stp>
        <tr r="C1235" s="1"/>
      </tp>
      <tp t="s">
        <v>#N/A N/A</v>
        <stp/>
        <stp>##V3_BDPV12</stp>
        <stp>912810CM Govt</stp>
        <stp>YLD_YTM_BID</stp>
        <stp>[TREASURY.xlsx]Sheet1!R1515C4</stp>
        <tr r="D1515" s="1"/>
      </tp>
      <tp>
        <v>4.625</v>
        <stp/>
        <stp>##V3_BDPV12</stp>
        <stp>912828GH Govt</stp>
        <stp>CPN</stp>
        <stp>[TREASURY.xlsx]Sheet1!R1435C3</stp>
        <tr r="C1435" s="1"/>
      </tp>
      <tp>
        <v>1.25</v>
        <stp/>
        <stp>##V3_BDPV12</stp>
        <stp>912828NZ Govt</stp>
        <stp>CPN</stp>
        <stp>[TREASURY.xlsx]Sheet1!R1295C3</stp>
        <tr r="C1295" s="1"/>
      </tp>
      <tp>
        <v>2.5</v>
        <stp/>
        <stp>##V3_BDPV12</stp>
        <stp>912828MZ Govt</stp>
        <stp>CPN</stp>
        <stp>[TREASURY.xlsx]Sheet1!R1255C3</stp>
        <tr r="C1255" s="1"/>
      </tp>
      <tp>
        <v>2.625</v>
        <stp/>
        <stp>##V3_BDPV12</stp>
        <stp>912828JA Govt</stp>
        <stp>CPN</stp>
        <stp>[TREASURY.xlsx]Sheet1!R1285C3</stp>
        <tr r="C1285" s="1"/>
      </tp>
      <tp>
        <v>2</v>
        <stp/>
        <stp>##V3_BDPV12</stp>
        <stp>912828HS Govt</stp>
        <stp>CPN</stp>
        <stp>[TREASURY.xlsx]Sheet1!R1245C3</stp>
        <tr r="C1245" s="1"/>
      </tp>
      <tp>
        <v>1.375</v>
        <stp/>
        <stp>##V3_BDPV12</stp>
        <stp>912828KP Govt</stp>
        <stp>CPN</stp>
        <stp>[TREASURY.xlsx]Sheet1!R1125C3</stp>
        <tr r="C1125" s="1"/>
      </tp>
      <tp>
        <v>1.625</v>
        <stp/>
        <stp>##V3_BDPV12</stp>
        <stp>9128282Z Govt</stp>
        <stp>CPN</stp>
        <stp>[TREASURY.xlsx]Sheet1!R1615C3</stp>
        <tr r="C1615" s="1"/>
      </tp>
      <tp>
        <v>0.875</v>
        <stp/>
        <stp>##V3_BDPV12</stp>
        <stp>9128282G Govt</stp>
        <stp>CPN</stp>
        <stp>[TREASURY.xlsx]Sheet1!R1105C3</stp>
        <tr r="C1105" s="1"/>
      </tp>
      <tp t="s">
        <v>UNITED STATES</v>
        <stp/>
        <stp>##V3_BDPV12</stp>
        <stp>912827NE Govt</stp>
        <stp>COUNTRY_FULL_NAME</stp>
        <stp>[TREASURY.xlsx]Sheet1!R1332C8</stp>
        <tr r="H1332" s="1"/>
      </tp>
      <tp t="s">
        <v>UNITED STATES</v>
        <stp/>
        <stp>##V3_BDPV12</stp>
        <stp>912827LB Govt</stp>
        <stp>COUNTRY_FULL_NAME</stp>
        <stp>[TREASURY.xlsx]Sheet1!R1320C8</stp>
        <tr r="H1320" s="1"/>
      </tp>
      <tp t="s">
        <v>#N/A N/A</v>
        <stp/>
        <stp>##V3_BDPV12</stp>
        <stp>912827SP Govt</stp>
        <stp>YLD_YTM_BID</stp>
        <stp>[TREASURY.xlsx]Sheet1!R1186C4</stp>
        <tr r="D1186" s="1"/>
      </tp>
      <tp t="s">
        <v>#N/A N/A</v>
        <stp/>
        <stp>##V3_BDPV12</stp>
        <stp>912827W7 Govt</stp>
        <stp>YLD_YTM_BID</stp>
        <stp>[TREASURY.xlsx]Sheet1!R1416C4</stp>
        <tr r="D1416" s="1"/>
      </tp>
      <tp t="s">
        <v>#N/A N/A</v>
        <stp/>
        <stp>##V3_BDPV12</stp>
        <stp>912827P3 Govt</stp>
        <stp>YLD_YTM_BID</stp>
        <stp>[TREASURY.xlsx]Sheet1!R1386C4</stp>
        <tr r="D1386" s="1"/>
      </tp>
      <tp t="s">
        <v>#N/A N/A</v>
        <stp/>
        <stp>##V3_BDPV12</stp>
        <stp>912827SN Govt</stp>
        <stp>YLD_YTM_BID</stp>
        <stp>[TREASURY.xlsx]Sheet1!R1066C4</stp>
        <tr r="D1066" s="1"/>
      </tp>
      <tp t="s">
        <v>#N/A N/A</v>
        <stp/>
        <stp>##V3_BDPV12</stp>
        <stp>912827Q2 Govt</stp>
        <stp>YLD_YTM_BID</stp>
        <stp>[TREASURY.xlsx]Sheet1!R1176C4</stp>
        <tr r="D1176" s="1"/>
      </tp>
      <tp t="s">
        <v>#N/A N/A</v>
        <stp/>
        <stp>##V3_BDPV12</stp>
        <stp>912827SR Govt</stp>
        <stp>YLD_YTM_BID</stp>
        <stp>[TREASURY.xlsx]Sheet1!R1396C4</stp>
        <tr r="D1396" s="1"/>
      </tp>
      <tp t="s">
        <v>#N/A N/A</v>
        <stp/>
        <stp>##V3_BDPV12</stp>
        <stp>912827TC Govt</stp>
        <stp>YLD_YTM_BID</stp>
        <stp>[TREASURY.xlsx]Sheet1!R1506C4</stp>
        <tr r="D1506" s="1"/>
      </tp>
      <tp t="s">
        <v>#N/A N/A</v>
        <stp/>
        <stp>##V3_BDPV12</stp>
        <stp>912827QD Govt</stp>
        <stp>YLD_YTM_BID</stp>
        <stp>[TREASURY.xlsx]Sheet1!R1056C4</stp>
        <tr r="D1056" s="1"/>
      </tp>
      <tp t="s">
        <v>#N/A N/A</v>
        <stp/>
        <stp>##V3_BDPV12</stp>
        <stp>912827UN Govt</stp>
        <stp>YLD_YTM_BID</stp>
        <stp>[TREASURY.xlsx]Sheet1!R1406C4</stp>
        <tr r="D1406" s="1"/>
      </tp>
      <tp t="s">
        <v>#N/A N/A</v>
        <stp/>
        <stp>##V3_BDPV12</stp>
        <stp>912827S8 Govt</stp>
        <stp>YLD_YTM_BID</stp>
        <stp>[TREASURY.xlsx]Sheet1!R1586C4</stp>
        <tr r="D1586" s="1"/>
      </tp>
      <tp t="s">
        <v>#N/A N/A</v>
        <stp/>
        <stp>##V3_BDPV12</stp>
        <stp>912827VF Govt</stp>
        <stp>YLD_YTM_BID</stp>
        <stp>[TREASURY.xlsx]Sheet1!R1086C4</stp>
        <tr r="D1086" s="1"/>
      </tp>
      <tp t="s">
        <v>#N/A N/A</v>
        <stp/>
        <stp>##V3_BDPV12</stp>
        <stp>912827TY Govt</stp>
        <stp>YLD_YTM_BID</stp>
        <stp>[TREASURY.xlsx]Sheet1!R1076C4</stp>
        <tr r="D1076" s="1"/>
      </tp>
      <tp t="s">
        <v>#N/A N/A</v>
        <stp/>
        <stp>##V3_BDPV12</stp>
        <stp>912827QZ Govt</stp>
        <stp>YLD_YTM_BID</stp>
        <stp>[TREASURY.xlsx]Sheet1!R1576C4</stp>
        <tr r="D1576" s="1"/>
      </tp>
      <tp t="s">
        <v>#N/A N/A</v>
        <stp/>
        <stp>##V3_BDPV12</stp>
        <stp>912827QK Govt</stp>
        <stp>YLD_YTM_BID</stp>
        <stp>[TREASURY.xlsx]Sheet1!R1496C4</stp>
        <tr r="D1496" s="1"/>
      </tp>
      <tp t="s">
        <v>#N/A N/A</v>
        <stp/>
        <stp>##V3_BDPV12</stp>
        <stp>912827WA Govt</stp>
        <stp>YLD_YTM_BID</stp>
        <stp>[TREASURY.xlsx]Sheet1!R1206C4</stp>
        <tr r="D1206" s="1"/>
      </tp>
      <tp t="s">
        <v>#N/A N/A</v>
        <stp/>
        <stp>##V3_BDPV12</stp>
        <stp>912827TX Govt</stp>
        <stp>YLD_YTM_BID</stp>
        <stp>[TREASURY.xlsx]Sheet1!R1196C4</stp>
        <tr r="D1196" s="1"/>
      </tp>
      <tp t="s">
        <v>#N/A N/A</v>
        <stp/>
        <stp>##V3_BDPV12</stp>
        <stp>912827XR Govt</stp>
        <stp>YLD_YTM_BID</stp>
        <stp>[TREASURY.xlsx]Sheet1!R1216C4</stp>
        <tr r="D1216" s="1"/>
      </tp>
      <tp t="s">
        <v>#N/A N/A</v>
        <stp/>
        <stp>##V3_BDPV12</stp>
        <stp>912827Z6 Govt</stp>
        <stp>YLD_YTM_BID</stp>
        <stp>[TREASURY.xlsx]Sheet1!R1226C4</stp>
        <tr r="D1226" s="1"/>
      </tp>
      <tp t="s">
        <v>#N/A N/A</v>
        <stp/>
        <stp>##V3_BDPV12</stp>
        <stp>912827XQ Govt</stp>
        <stp>YLD_YTM_BID</stp>
        <stp>[TREASURY.xlsx]Sheet1!R1096C4</stp>
        <tr r="D1096" s="1"/>
      </tp>
      <tp t="s">
        <v>#N/A N/A</v>
        <stp/>
        <stp>##V3_BDPV12</stp>
        <stp>912827YP Govt</stp>
        <stp>YLD_YTM_BID</stp>
        <stp>[TREASURY.xlsx]Sheet1!R1606C4</stp>
        <tr r="D1606" s="1"/>
      </tp>
      <tp t="s">
        <v>#N/A N/A</v>
        <stp/>
        <stp>##V3_BDPV12</stp>
        <stp>912827XF Govt</stp>
        <stp>YLD_YTM_BID</stp>
        <stp>[TREASURY.xlsx]Sheet1!R1596C4</stp>
        <tr r="D1596" s="1"/>
      </tp>
      <tp t="s">
        <v>#N/A N/A</v>
        <stp/>
        <stp>##V3_BDPV12</stp>
        <stp>912827G9 Govt</stp>
        <stp>YLD_YTM_BID</stp>
        <stp>[TREASURY.xlsx]Sheet1!R1486C4</stp>
        <tr r="D1486" s="1"/>
      </tp>
      <tp t="s">
        <v>#N/A N/A</v>
        <stp/>
        <stp>##V3_BDPV12</stp>
        <stp>912827B4 Govt</stp>
        <stp>YLD_YTM_BID</stp>
        <stp>[TREASURY.xlsx]Sheet1!R1476C4</stp>
        <tr r="D1476" s="1"/>
      </tp>
      <tp t="s">
        <v>#N/A N/A</v>
        <stp/>
        <stp>##V3_BDPV12</stp>
        <stp>912827G5 Govt</stp>
        <stp>YLD_YTM_BID</stp>
        <stp>[TREASURY.xlsx]Sheet1!R1156C4</stp>
        <tr r="D1156" s="1"/>
      </tp>
      <tp t="s">
        <v>#N/A N/A</v>
        <stp/>
        <stp>##V3_BDPV12</stp>
        <stp>912827C9 Govt</stp>
        <stp>YLD_YTM_BID</stp>
        <stp>[TREASURY.xlsx]Sheet1!R1556C4</stp>
        <tr r="D1556" s="1"/>
      </tp>
      <tp t="s">
        <v>#N/A N/A</v>
        <stp/>
        <stp>##V3_BDPV12</stp>
        <stp>912827G6 Govt</stp>
        <stp>YLD_YTM_BID</stp>
        <stp>[TREASURY.xlsx]Sheet1!R1036C4</stp>
        <tr r="D1036" s="1"/>
      </tp>
      <tp t="s">
        <v>#N/A N/A</v>
        <stp/>
        <stp>##V3_BDPV12</stp>
        <stp>912827H3 Govt</stp>
        <stp>YLD_YTM_BID</stp>
        <stp>[TREASURY.xlsx]Sheet1!R1316C4</stp>
        <tr r="D1316" s="1"/>
      </tp>
      <tp t="s">
        <v>#N/A N/A</v>
        <stp/>
        <stp>##V3_BDPV12</stp>
        <stp>912827J9 Govt</stp>
        <stp>YLD_YTM_BID</stp>
        <stp>[TREASURY.xlsx]Sheet1!R1376C4</stp>
        <tr r="D1376" s="1"/>
      </tp>
      <tp t="s">
        <v>#N/A N/A</v>
        <stp/>
        <stp>##V3_BDPV12</stp>
        <stp>912827LH Govt</stp>
        <stp>YLD_YTM_BID</stp>
        <stp>[TREASURY.xlsx]Sheet1!R1566C4</stp>
        <tr r="D1566" s="1"/>
      </tp>
      <tp t="s">
        <v>#N/A N/A</v>
        <stp/>
        <stp>##V3_BDPV12</stp>
        <stp>912827MN Govt</stp>
        <stp>YLD_YTM_BID</stp>
        <stp>[TREASURY.xlsx]Sheet1!R1326C4</stp>
        <tr r="D1326" s="1"/>
      </tp>
      <tp t="s">
        <v>#N/A N/A</v>
        <stp/>
        <stp>##V3_BDPV12</stp>
        <stp>912827M9 Govt</stp>
        <stp>YLD_YTM_BID</stp>
        <stp>[TREASURY.xlsx]Sheet1!R1166C4</stp>
        <tr r="D1166" s="1"/>
      </tp>
      <tp t="s">
        <v>#N/A N/A</v>
        <stp/>
        <stp>##V3_BDPV12</stp>
        <stp>912827MS Govt</stp>
        <stp>YLD_YTM_BID</stp>
        <stp>[TREASURY.xlsx]Sheet1!R1046C4</stp>
        <tr r="D1046" s="1"/>
      </tp>
      <tp t="s">
        <v>#N/A N/A</v>
        <stp/>
        <stp>##V3_BDPV12</stp>
        <stp>912827NZ Govt</stp>
        <stp>YLD_YTM_BID</stp>
        <stp>[TREASURY.xlsx]Sheet1!R1336C4</stp>
        <tr r="D1336" s="1"/>
      </tp>
      <tp t="s">
        <v>#N/A N/A</v>
        <stp/>
        <stp>##V3_BDPV12</stp>
        <stp>9128276F Govt</stp>
        <stp>YLD_YTM_BID</stp>
        <stp>[TREASURY.xlsx]Sheet1!R1466C4</stp>
        <tr r="D1466" s="1"/>
      </tp>
      <tp t="s">
        <v>#N/A N/A</v>
        <stp/>
        <stp>##V3_BDPV12</stp>
        <stp>9128277L Govt</stp>
        <stp>YLD_YTM_BID</stp>
        <stp>[TREASURY.xlsx]Sheet1!R1546C4</stp>
        <tr r="D1546" s="1"/>
      </tp>
      <tp t="s">
        <v>#N/A N/A</v>
        <stp/>
        <stp>##V3_BDPV12</stp>
        <stp>9128276E Govt</stp>
        <stp>YLD_YTM_BID</stp>
        <stp>[TREASURY.xlsx]Sheet1!R1536C4</stp>
        <tr r="D1536" s="1"/>
      </tp>
      <tp t="s">
        <v>#N/A N/A</v>
        <stp/>
        <stp>##V3_BDPV12</stp>
        <stp>9128273K Govt</stp>
        <stp>YLD_YTM_BID</stp>
        <stp>[TREASURY.xlsx]Sheet1!R1356C4</stp>
        <tr r="D1356" s="1"/>
      </tp>
      <tp t="s">
        <v>#N/A N/A</v>
        <stp/>
        <stp>##V3_BDPV12</stp>
        <stp>9128273E Govt</stp>
        <stp>YLD_YTM_BID</stp>
        <stp>[TREASURY.xlsx]Sheet1!R1526C4</stp>
        <tr r="D1526" s="1"/>
      </tp>
      <tp t="s">
        <v>#N/A N/A</v>
        <stp/>
        <stp>##V3_BDPV12</stp>
        <stp>9128276Z Govt</stp>
        <stp>YLD_YTM_BID</stp>
        <stp>[TREASURY.xlsx]Sheet1!R1026C4</stp>
        <tr r="D1026" s="1"/>
      </tp>
      <tp t="s">
        <v>#N/A N/A</v>
        <stp/>
        <stp>##V3_BDPV12</stp>
        <stp>9128274K Govt</stp>
        <stp>YLD_YTM_BID</stp>
        <stp>[TREASURY.xlsx]Sheet1!R1366C4</stp>
        <tr r="D1366" s="1"/>
      </tp>
      <tp t="s">
        <v>#N/A N/A</v>
        <stp/>
        <stp>##V3_BDPV12</stp>
        <stp>9128273W Govt</stp>
        <stp>YLD_YTM_BID</stp>
        <stp>[TREASURY.xlsx]Sheet1!R1456C4</stp>
        <tr r="D1456" s="1"/>
      </tp>
      <tp t="s">
        <v>#N/A N/A</v>
        <stp/>
        <stp>##V3_BDPV12</stp>
        <stp>9128275P Govt</stp>
        <stp>YLD_YTM_BID</stp>
        <stp>[TREASURY.xlsx]Sheet1!R1016C4</stp>
        <tr r="D1016" s="1"/>
      </tp>
      <tp t="s">
        <v>S/A</v>
        <stp/>
        <stp>##V3_BDPV12</stp>
        <stp>912828AM Govt</stp>
        <stp>COUPON_FREQUENCY_DESCRIPTION</stp>
        <stp>[TREASURY.xlsx]Sheet1!R1616C10</stp>
        <tr r="J1616" s="1"/>
      </tp>
      <tp t="s">
        <v>USD</v>
        <stp/>
        <stp>##V3_BDPV12</stp>
        <stp>9128276P Govt</stp>
        <stp>CRNCY</stp>
        <stp>[TREASURY.xlsx]Sheet1!R441C7</stp>
        <tr r="G441" s="1"/>
      </tp>
      <tp t="s">
        <v>S/A</v>
        <stp/>
        <stp>##V3_BDPV12</stp>
        <stp>912828AH Govt</stp>
        <stp>COUPON_FREQUENCY_DESCRIPTION</stp>
        <stp>[TREASURY.xlsx]Sheet1!R1107C10</stp>
        <tr r="J1107" s="1"/>
      </tp>
      <tp t="s">
        <v>UNITED STATES</v>
        <stp/>
        <stp>##V3_BDPV12</stp>
        <stp>912828NA Govt</stp>
        <stp>COUNTRY_FULL_NAME</stp>
        <stp>[TREASURY.xlsx]Sheet1!R1292C8</stp>
        <tr r="H1292" s="1"/>
      </tp>
      <tp t="s">
        <v>UNITED STATES</v>
        <stp/>
        <stp>##V3_BDPV12</stp>
        <stp>912810DN Govt</stp>
        <stp>COUNTRY_FULL_NAME</stp>
        <stp>[TREASURY.xlsx]Sheet1!R1348C8</stp>
        <tr r="H1348" s="1"/>
      </tp>
      <tp t="s">
        <v>#N/A N/A</v>
        <stp/>
        <stp>##V3_BDPV12</stp>
        <stp>912828PA Govt</stp>
        <stp>YLD_YTM_BID</stp>
        <stp>[TREASURY.xlsx]Sheet1!R1296C4</stp>
        <tr r="D1296" s="1"/>
      </tp>
      <tp t="s">
        <v>#N/A N/A</v>
        <stp/>
        <stp>##V3_BDPV12</stp>
        <stp>912828RK Govt</stp>
        <stp>YLD_YTM_BID</stp>
        <stp>[TREASURY.xlsx]Sheet1!R1266C4</stp>
        <tr r="D1266" s="1"/>
      </tp>
      <tp t="s">
        <v>#N/A N/A</v>
        <stp/>
        <stp>##V3_BDPV12</stp>
        <stp>912828WQ Govt</stp>
        <stp>YLD_YTM_BID</stp>
        <stp>[TREASURY.xlsx]Sheet1!R1006C4</stp>
        <tr r="D1006" s="1"/>
      </tp>
      <tp t="s">
        <v>#N/A N/A</v>
        <stp/>
        <stp>##V3_BDPV12</stp>
        <stp>912828UK Govt</stp>
        <stp>YLD_YTM_BID</stp>
        <stp>[TREASURY.xlsx]Sheet1!R1136C4</stp>
        <tr r="D1136" s="1"/>
      </tp>
      <tp t="s">
        <v>#N/A N/A</v>
        <stp/>
        <stp>##V3_BDPV12</stp>
        <stp>912828WH Govt</stp>
        <stp>YLD_YTM_BID</stp>
        <stp>[TREASURY.xlsx]Sheet1!R1306C4</stp>
        <tr r="D1306" s="1"/>
      </tp>
      <tp t="s">
        <v>#N/A N/A</v>
        <stp/>
        <stp>##V3_BDPV12</stp>
        <stp>912828UR Govt</stp>
        <stp>YLD_YTM_BID</stp>
        <stp>[TREASURY.xlsx]Sheet1!R1146C4</stp>
        <tr r="D1146" s="1"/>
      </tp>
      <tp t="s">
        <v>#N/A N/A</v>
        <stp/>
        <stp>##V3_BDPV12</stp>
        <stp>912828GW Govt</stp>
        <stp>YLD_YTM_BID</stp>
        <stp>[TREASURY.xlsx]Sheet1!R1436C4</stp>
        <tr r="D1436" s="1"/>
      </tp>
      <tp>
        <v>10.375</v>
        <stp/>
        <stp>##V3_BDPV12</stp>
        <stp>912810DB Govt</stp>
        <stp>CPN</stp>
        <stp>[TREASURY.xlsx]Sheet1!R1346C3</stp>
        <tr r="C1346" s="1"/>
      </tp>
      <tp t="s">
        <v>#N/A N/A</v>
        <stp/>
        <stp>##V3_BDPV12</stp>
        <stp>912828CQ Govt</stp>
        <stp>YLD_YTM_BID</stp>
        <stp>[TREASURY.xlsx]Sheet1!R1236C4</stp>
        <tr r="D1236" s="1"/>
      </tp>
      <tp>
        <v>14.25</v>
        <stp/>
        <stp>##V3_BDPV12</stp>
        <stp>912810CZ Govt</stp>
        <stp>CPN</stp>
        <stp>[TREASURY.xlsx]Sheet1!R1446C3</stp>
        <tr r="C1446" s="1"/>
      </tp>
      <tp>
        <v>11.875</v>
        <stp/>
        <stp>##V3_BDPV12</stp>
        <stp>912810DG Govt</stp>
        <stp>CPN</stp>
        <stp>[TREASURY.xlsx]Sheet1!R1516C3</stp>
        <tr r="C1516" s="1"/>
      </tp>
      <tp t="s">
        <v>#N/A N/A</v>
        <stp/>
        <stp>##V3_BDPV12</stp>
        <stp>912828CE Govt</stp>
        <stp>YLD_YTM_BID</stp>
        <stp>[TREASURY.xlsx]Sheet1!R1426C4</stp>
        <tr r="D1426" s="1"/>
      </tp>
      <tp t="s">
        <v>#N/A N/A</v>
        <stp/>
        <stp>##V3_BDPV12</stp>
        <stp>912828AM Govt</stp>
        <stp>YLD_YTM_BID</stp>
        <stp>[TREASURY.xlsx]Sheet1!R1616C4</stp>
        <tr r="D1616" s="1"/>
      </tp>
      <tp t="s">
        <v>#N/A N/A</v>
        <stp/>
        <stp>##V3_BDPV12</stp>
        <stp>912828FP Govt</stp>
        <stp>YLD_YTM_BID</stp>
        <stp>[TREASURY.xlsx]Sheet1!R1276C4</stp>
        <tr r="D1276" s="1"/>
      </tp>
      <tp t="s">
        <v>#N/A N/A</v>
        <stp/>
        <stp>##V3_BDPV12</stp>
        <stp>912828ES Govt</stp>
        <stp>YLD_YTM_BID</stp>
        <stp>[TREASURY.xlsx]Sheet1!R1116C4</stp>
        <tr r="D1116" s="1"/>
      </tp>
      <tp t="s">
        <v>#N/A N/A</v>
        <stp/>
        <stp>##V3_BDPV12</stp>
        <stp>912828KX Govt</stp>
        <stp>YLD_YTM_BID</stp>
        <stp>[TREASURY.xlsx]Sheet1!R1126C4</stp>
        <tr r="D1126" s="1"/>
      </tp>
      <tp t="s">
        <v>#N/A N/A</v>
        <stp/>
        <stp>##V3_BDPV12</stp>
        <stp>912828J3 Govt</stp>
        <stp>YLD_YTM_BID</stp>
        <stp>[TREASURY.xlsx]Sheet1!R1246C4</stp>
        <tr r="D1246" s="1"/>
      </tp>
      <tp t="s">
        <v>#N/A N/A</v>
        <stp/>
        <stp>##V3_BDPV12</stp>
        <stp>912828JP Govt</stp>
        <stp>YLD_YTM_BID</stp>
        <stp>[TREASURY.xlsx]Sheet1!R1286C4</stp>
        <tr r="D1286" s="1"/>
      </tp>
      <tp t="s">
        <v>#N/A N/A</v>
        <stp/>
        <stp>##V3_BDPV12</stp>
        <stp>912828NF Govt</stp>
        <stp>YLD_YTM_BID</stp>
        <stp>[TREASURY.xlsx]Sheet1!R1256C4</stp>
        <tr r="D1256" s="1"/>
      </tp>
      <tp t="s">
        <v>#N/A N/A</v>
        <stp/>
        <stp>##V3_BDPV12</stp>
        <stp>9128284B Govt</stp>
        <stp>YLD_YTM_BID</stp>
        <stp>[TREASURY.xlsx]Sheet1!R1106C4</stp>
        <tr r="D1106" s="1"/>
      </tp>
      <tp t="s">
        <v>UNITED STATES</v>
        <stp/>
        <stp>##V3_BDPV12</stp>
        <stp>912827KL Govt</stp>
        <stp>COUNTRY_FULL_NAME</stp>
        <stp>[TREASURY.xlsx]Sheet1!R1377C8</stp>
        <tr r="H1377" s="1"/>
      </tp>
      <tp t="s">
        <v>UNITED STATES</v>
        <stp/>
        <stp>##V3_BDPV12</stp>
        <stp>912828LL Govt</stp>
        <stp>COUNTRY_FULL_NAME</stp>
        <stp>[TREASURY.xlsx]Sheet1!R1290C8</stp>
        <tr r="H1290" s="1"/>
      </tp>
      <tp>
        <v>7.375</v>
        <stp/>
        <stp>##V3_BDPV12</stp>
        <stp>912827TQ Govt</stp>
        <stp>CPN</stp>
        <stp>[TREASURY.xlsx]Sheet1!R1075C3</stp>
        <tr r="C1075" s="1"/>
      </tp>
      <tp>
        <v>8.25</v>
        <stp/>
        <stp>##V3_BDPV12</stp>
        <stp>912827VS Govt</stp>
        <stp>CPN</stp>
        <stp>[TREASURY.xlsx]Sheet1!R1205C3</stp>
        <tr r="C1205" s="1"/>
      </tp>
      <tp>
        <v>13</v>
        <stp/>
        <stp>##V3_BDPV12</stp>
        <stp>912827QX Govt</stp>
        <stp>CPN</stp>
        <stp>[TREASURY.xlsx]Sheet1!R1575C3</stp>
        <tr r="C1575" s="1"/>
      </tp>
      <tp>
        <v>11.375</v>
        <stp/>
        <stp>##V3_BDPV12</stp>
        <stp>912827QF Govt</stp>
        <stp>CPN</stp>
        <stp>[TREASURY.xlsx]Sheet1!R1495C3</stp>
        <tr r="C1495" s="1"/>
      </tp>
      <tp>
        <v>7</v>
        <stp/>
        <stp>##V3_BDPV12</stp>
        <stp>912827TT Govt</stp>
        <stp>CPN</stp>
        <stp>[TREASURY.xlsx]Sheet1!R1195C3</stp>
        <tr r="C1195" s="1"/>
      </tp>
      <tp>
        <v>7.5</v>
        <stp/>
        <stp>##V3_BDPV12</stp>
        <stp>912827S3 Govt</stp>
        <stp>CPN</stp>
        <stp>[TREASURY.xlsx]Sheet1!R1585C3</stp>
        <tr r="C1585" s="1"/>
      </tp>
      <tp>
        <v>7.875</v>
        <stp/>
        <stp>##V3_BDPV12</stp>
        <stp>912827VD Govt</stp>
        <stp>CPN</stp>
        <stp>[TREASURY.xlsx]Sheet1!R1085C3</stp>
        <tr r="C1085" s="1"/>
      </tp>
      <tp>
        <v>6.125</v>
        <stp/>
        <stp>##V3_BDPV12</stp>
        <stp>912827T9 Govt</stp>
        <stp>CPN</stp>
        <stp>[TREASURY.xlsx]Sheet1!R1505C3</stp>
        <tr r="C1505" s="1"/>
      </tp>
      <tp>
        <v>11</v>
        <stp/>
        <stp>##V3_BDPV12</stp>
        <stp>912827QC Govt</stp>
        <stp>CPN</stp>
        <stp>[TREASURY.xlsx]Sheet1!R1055C3</stp>
        <tr r="C1055" s="1"/>
      </tp>
      <tp>
        <v>6.125</v>
        <stp/>
        <stp>##V3_BDPV12</stp>
        <stp>912827UM Govt</stp>
        <stp>CPN</stp>
        <stp>[TREASURY.xlsx]Sheet1!R1405C3</stp>
        <tr r="C1405" s="1"/>
      </tp>
      <tp>
        <v>11.375</v>
        <stp/>
        <stp>##V3_BDPV12</stp>
        <stp>912827PU Govt</stp>
        <stp>CPN</stp>
        <stp>[TREASURY.xlsx]Sheet1!R1175C3</stp>
        <tr r="C1175" s="1"/>
      </tp>
      <tp>
        <v>8.5</v>
        <stp/>
        <stp>##V3_BDPV12</stp>
        <stp>912827SJ Govt</stp>
        <stp>CPN</stp>
        <stp>[TREASURY.xlsx]Sheet1!R1185C3</stp>
        <tr r="C1185" s="1"/>
      </tp>
      <tp>
        <v>13.625</v>
        <stp/>
        <stp>##V3_BDPV12</stp>
        <stp>912827QY Govt</stp>
        <stp>CPN</stp>
        <stp>[TREASURY.xlsx]Sheet1!R1395C3</stp>
        <tr r="C1395" s="1"/>
      </tp>
      <tp>
        <v>5.25</v>
        <stp/>
        <stp>##V3_BDPV12</stp>
        <stp>912827W6 Govt</stp>
        <stp>CPN</stp>
        <stp>[TREASURY.xlsx]Sheet1!R1415C3</stp>
        <tr r="C1415" s="1"/>
      </tp>
      <tp>
        <v>9.125</v>
        <stp/>
        <stp>##V3_BDPV12</stp>
        <stp>912827SF Govt</stp>
        <stp>CPN</stp>
        <stp>[TREASURY.xlsx]Sheet1!R1065C3</stp>
        <tr r="C1065" s="1"/>
      </tp>
      <tp>
        <v>9.25</v>
        <stp/>
        <stp>##V3_BDPV12</stp>
        <stp>912827XB Govt</stp>
        <stp>CPN</stp>
        <stp>[TREASURY.xlsx]Sheet1!R1595C3</stp>
        <tr r="C1595" s="1"/>
      </tp>
      <tp>
        <v>8.125</v>
        <stp/>
        <stp>##V3_BDPV12</stp>
        <stp>912827YL Govt</stp>
        <stp>CPN</stp>
        <stp>[TREASURY.xlsx]Sheet1!R1605C3</stp>
        <tr r="C1605" s="1"/>
      </tp>
      <tp>
        <v>6</v>
        <stp/>
        <stp>##V3_BDPV12</stp>
        <stp>912827Z4 Govt</stp>
        <stp>CPN</stp>
        <stp>[TREASURY.xlsx]Sheet1!R1225C3</stp>
        <tr r="C1225" s="1"/>
      </tp>
      <tp>
        <v>6.375</v>
        <stp/>
        <stp>##V3_BDPV12</stp>
        <stp>912827X7 Govt</stp>
        <stp>CPN</stp>
        <stp>[TREASURY.xlsx]Sheet1!R1095C3</stp>
        <tr r="C1095" s="1"/>
      </tp>
      <tp>
        <v>9</v>
        <stp/>
        <stp>##V3_BDPV12</stp>
        <stp>912827XM Govt</stp>
        <stp>CPN</stp>
        <stp>[TREASURY.xlsx]Sheet1!R1215C3</stp>
        <tr r="C1215" s="1"/>
      </tp>
      <tp>
        <v>5</v>
        <stp/>
        <stp>##V3_BDPV12</stp>
        <stp>912827F7 Govt</stp>
        <stp>CPN</stp>
        <stp>[TREASURY.xlsx]Sheet1!R1315C3</stp>
        <tr r="C1315" s="1"/>
      </tp>
      <tp>
        <v>7.625</v>
        <stp/>
        <stp>##V3_BDPV12</stp>
        <stp>912827B2 Govt</stp>
        <stp>CPN</stp>
        <stp>[TREASURY.xlsx]Sheet1!R1475C3</stp>
        <tr r="C1475" s="1"/>
      </tp>
      <tp>
        <v>6</v>
        <stp/>
        <stp>##V3_BDPV12</stp>
        <stp>912827C7 Govt</stp>
        <stp>CPN</stp>
        <stp>[TREASURY.xlsx]Sheet1!R1555C3</stp>
        <tr r="C1555" s="1"/>
      </tp>
      <tp>
        <v>4.625</v>
        <stp/>
        <stp>##V3_BDPV12</stp>
        <stp>912827G4 Govt</stp>
        <stp>CPN</stp>
        <stp>[TREASURY.xlsx]Sheet1!R1035C3</stp>
        <tr r="C1035" s="1"/>
      </tp>
      <tp>
        <v>6.375</v>
        <stp/>
        <stp>##V3_BDPV12</stp>
        <stp>912827F9 Govt</stp>
        <stp>CPN</stp>
        <stp>[TREASURY.xlsx]Sheet1!R1155C3</stp>
        <tr r="C1155" s="1"/>
      </tp>
      <tp>
        <v>4.875</v>
        <stp/>
        <stp>##V3_BDPV12</stp>
        <stp>912827D8 Govt</stp>
        <stp>CPN</stp>
        <stp>[TREASURY.xlsx]Sheet1!R1485C3</stp>
        <tr r="C1485" s="1"/>
      </tp>
      <tp>
        <v>4.75</v>
        <stp/>
        <stp>##V3_BDPV12</stp>
        <stp>912827M4 Govt</stp>
        <stp>CPN</stp>
        <stp>[TREASURY.xlsx]Sheet1!R1165C3</stp>
        <tr r="C1165" s="1"/>
      </tp>
      <tp>
        <v>14.375</v>
        <stp/>
        <stp>##V3_BDPV12</stp>
        <stp>912827MM Govt</stp>
        <stp>CPN</stp>
        <stp>[TREASURY.xlsx]Sheet1!R1045C3</stp>
        <tr r="C1045" s="1"/>
      </tp>
      <tp>
        <v>9.75</v>
        <stp/>
        <stp>##V3_BDPV12</stp>
        <stp>912827NU Govt</stp>
        <stp>CPN</stp>
        <stp>[TREASURY.xlsx]Sheet1!R1335C3</stp>
        <tr r="C1335" s="1"/>
      </tp>
      <tp>
        <v>10.125</v>
        <stp/>
        <stp>##V3_BDPV12</stp>
        <stp>912827NX Govt</stp>
        <stp>CPN</stp>
        <stp>[TREASURY.xlsx]Sheet1!R1385C3</stp>
        <tr r="C1385" s="1"/>
      </tp>
      <tp>
        <v>15.5</v>
        <stp/>
        <stp>##V3_BDPV12</stp>
        <stp>912827ML Govt</stp>
        <stp>CPN</stp>
        <stp>[TREASURY.xlsx]Sheet1!R1325C3</stp>
        <tr r="C1325" s="1"/>
      </tp>
      <tp>
        <v>4.375</v>
        <stp/>
        <stp>##V3_BDPV12</stp>
        <stp>912827L7 Govt</stp>
        <stp>CPN</stp>
        <stp>[TREASURY.xlsx]Sheet1!R1565C3</stp>
        <tr r="C1565" s="1"/>
      </tp>
      <tp>
        <v>4.625</v>
        <stp/>
        <stp>##V3_BDPV12</stp>
        <stp>912827H9 Govt</stp>
        <stp>CPN</stp>
        <stp>[TREASURY.xlsx]Sheet1!R1375C3</stp>
        <tr r="C1375" s="1"/>
      </tp>
      <tp>
        <v>6</v>
        <stp/>
        <stp>##V3_BDPV12</stp>
        <stp>9128275M Govt</stp>
        <stp>CPN</stp>
        <stp>[TREASURY.xlsx]Sheet1!R1015C3</stp>
        <tr r="C1015" s="1"/>
      </tp>
      <tp>
        <v>5</v>
        <stp/>
        <stp>##V3_BDPV12</stp>
        <stp>9128276T Govt</stp>
        <stp>CPN</stp>
        <stp>[TREASURY.xlsx]Sheet1!R1025C3</stp>
        <tr r="C1025" s="1"/>
      </tp>
      <tp>
        <v>5.375</v>
        <stp/>
        <stp>##V3_BDPV12</stp>
        <stp>9128274J Govt</stp>
        <stp>CPN</stp>
        <stp>[TREASURY.xlsx]Sheet1!R1365C3</stp>
        <tr r="C1365" s="1"/>
      </tp>
      <tp>
        <v>5.375</v>
        <stp/>
        <stp>##V3_BDPV12</stp>
        <stp>9128273U Govt</stp>
        <stp>CPN</stp>
        <stp>[TREASURY.xlsx]Sheet1!R1455C3</stp>
        <tr r="C1455" s="1"/>
      </tp>
      <tp>
        <v>6.25</v>
        <stp/>
        <stp>##V3_BDPV12</stp>
        <stp>9128272Y Govt</stp>
        <stp>CPN</stp>
        <stp>[TREASURY.xlsx]Sheet1!R1525C3</stp>
        <tr r="C1525" s="1"/>
      </tp>
      <tp>
        <v>5.875</v>
        <stp/>
        <stp>##V3_BDPV12</stp>
        <stp>9128273F Govt</stp>
        <stp>CPN</stp>
        <stp>[TREASURY.xlsx]Sheet1!R1355C3</stp>
        <tr r="C1355" s="1"/>
      </tp>
      <tp>
        <v>5</v>
        <stp/>
        <stp>##V3_BDPV12</stp>
        <stp>9128275C Govt</stp>
        <stp>CPN</stp>
        <stp>[TREASURY.xlsx]Sheet1!R1535C3</stp>
        <tr r="C1535" s="1"/>
      </tp>
      <tp>
        <v>6.75</v>
        <stp/>
        <stp>##V3_BDPV12</stp>
        <stp>9128276D Govt</stp>
        <stp>CPN</stp>
        <stp>[TREASURY.xlsx]Sheet1!R1465C3</stp>
        <tr r="C1465" s="1"/>
      </tp>
      <tp>
        <v>2.75</v>
        <stp/>
        <stp>##V3_BDPV12</stp>
        <stp>9128277E Govt</stp>
        <stp>CPN</stp>
        <stp>[TREASURY.xlsx]Sheet1!R1545C3</stp>
        <tr r="C1545" s="1"/>
      </tp>
      <tp t="s">
        <v>S/A</v>
        <stp/>
        <stp>##V3_BDPV12</stp>
        <stp>912828AC Govt</stp>
        <stp>COUPON_FREQUENCY_DESCRIPTION</stp>
        <stp>[TREASURY.xlsx]Sheet1!R1234C10</stp>
        <tr r="J1234" s="1"/>
      </tp>
      <tp t="s">
        <v>UNITED STATES</v>
        <stp/>
        <stp>##V3_BDPV12</stp>
        <stp>912827MV Govt</stp>
        <stp>COUNTRY_FULL_NAME</stp>
        <stp>[TREASURY.xlsx]Sheet1!R1381C8</stp>
        <tr r="H1381" s="1"/>
      </tp>
      <tp t="s">
        <v>UNITED STATES</v>
        <stp/>
        <stp>##V3_BDPV12</stp>
        <stp>912827LW Govt</stp>
        <stp>COUNTRY_FULL_NAME</stp>
        <stp>[TREASURY.xlsx]Sheet1!R1380C8</stp>
        <tr r="H1380" s="1"/>
      </tp>
      <tp t="s">
        <v>UNITED STATES</v>
        <stp/>
        <stp>##V3_BDPV12</stp>
        <stp>912827NR Govt</stp>
        <stp>COUNTRY_FULL_NAME</stp>
        <stp>[TREASURY.xlsx]Sheet1!R1052C8</stp>
        <tr r="H1052" s="1"/>
      </tp>
      <tp t="s">
        <v>UNITED STATES</v>
        <stp/>
        <stp>##V3_BDPV12</stp>
        <stp>912828DS Govt</stp>
        <stp>COUNTRY_FULL_NAME</stp>
        <stp>[TREASURY.xlsx]Sheet1!R1428C8</stp>
        <tr r="H1428" s="1"/>
      </tp>
      <tp t="s">
        <v>UNITED STATES</v>
        <stp/>
        <stp>##V3_BDPV12</stp>
        <stp>912828JP Govt</stp>
        <stp>COUNTRY_FULL_NAME</stp>
        <stp>[TREASURY.xlsx]Sheet1!R1286C8</stp>
        <tr r="H1286" s="1"/>
      </tp>
      <tp t="s">
        <v>UNITED STATES</v>
        <stp/>
        <stp>##V3_BDPV12</stp>
        <stp>912828HQ Govt</stp>
        <stp>COUNTRY_FULL_NAME</stp>
        <stp>[TREASURY.xlsx]Sheet1!R1244C8</stp>
        <tr r="H1244" s="1"/>
      </tp>
      <tp t="s">
        <v>S/A</v>
        <stp/>
        <stp>##V3_BDPV12</stp>
        <stp>912828AP Govt</stp>
        <stp>COUPON_FREQUENCY_DESCRIPTION</stp>
        <stp>[TREASURY.xlsx]Sheet1!R1424C10</stp>
        <tr r="J1424" s="1"/>
      </tp>
      <tp t="s">
        <v>UNITED STATES</v>
        <stp/>
        <stp>##V3_BDPV12</stp>
        <stp>912828EY Govt</stp>
        <stp>COUNTRY_FULL_NAME</stp>
        <stp>[TREASURY.xlsx]Sheet1!R1239C8</stp>
        <tr r="H1239" s="1"/>
      </tp>
      <tp t="s">
        <v>UNITED STATES</v>
        <stp/>
        <stp>##V3_BDPV12</stp>
        <stp>912810DY Govt</stp>
        <stp>COUNTRY_FULL_NAME</stp>
        <stp>[TREASURY.xlsx]Sheet1!R1448C8</stp>
        <tr r="H1448" s="1"/>
      </tp>
      <tp t="s">
        <v>USD</v>
        <stp/>
        <stp>##V3_BDPV12</stp>
        <stp>912827QL Govt</stp>
        <stp>CRNCY</stp>
        <stp>[TREASURY.xlsx]Sheet1!R741C7</stp>
        <tr r="G741" s="1"/>
      </tp>
      <tp t="s">
        <v>USD</v>
        <stp/>
        <stp>##V3_BDPV12</stp>
        <stp>912810QH Govt</stp>
        <stp>CRNCY</stp>
        <stp>[TREASURY.xlsx]Sheet1!R316C7</stp>
        <tr r="G316" s="1"/>
      </tp>
      <tp t="s">
        <v>USD</v>
        <stp/>
        <stp>##V3_BDPV12</stp>
        <stp>912810QW Govt</stp>
        <stp>CRNCY</stp>
        <stp>[TREASURY.xlsx]Sheet1!R286C7</stp>
        <tr r="G286" s="1"/>
      </tp>
      <tp t="s">
        <v>USD</v>
        <stp/>
        <stp>##V3_BDPV12</stp>
        <stp>912810PT Govt</stp>
        <stp>CRNCY</stp>
        <stp>[TREASURY.xlsx]Sheet1!R226C7</stp>
        <tr r="G226" s="1"/>
      </tp>
      <tp t="s">
        <v>USD</v>
        <stp/>
        <stp>##V3_BDPV12</stp>
        <stp>912810SA Govt</stp>
        <stp>CRNCY</stp>
        <stp>[TREASURY.xlsx]Sheet1!R146C7</stp>
        <tr r="G146" s="1"/>
      </tp>
      <tp t="s">
        <v>USD</v>
        <stp/>
        <stp>##V3_BDPV12</stp>
        <stp>912810SH Govt</stp>
        <stp>CRNCY</stp>
        <stp>[TREASURY.xlsx]Sheet1!R156C7</stp>
        <tr r="G156" s="1"/>
      </tp>
      <tp t="s">
        <v>USD</v>
        <stp/>
        <stp>##V3_BDPV12</stp>
        <stp>912827S5 Govt</stp>
        <stp>CRNCY</stp>
        <stp>[TREASURY.xlsx]Sheet1!R831C7</stp>
        <tr r="G831" s="1"/>
      </tp>
      <tp t="s">
        <v>USD</v>
        <stp/>
        <stp>##V3_BDPV12</stp>
        <stp>912827RK Govt</stp>
        <stp>CRNCY</stp>
        <stp>[TREASURY.xlsx]Sheet1!R911C7</stp>
        <tr r="G911" s="1"/>
      </tp>
      <tp t="s">
        <v>USD</v>
        <stp/>
        <stp>##V3_BDPV12</stp>
        <stp>912810RM Govt</stp>
        <stp>CRNCY</stp>
        <stp>[TREASURY.xlsx]Sheet1!R176C7</stp>
        <tr r="G176" s="1"/>
      </tp>
      <tp t="s">
        <v>USD</v>
        <stp/>
        <stp>##V3_BDPV12</stp>
        <stp>912827U6 Govt</stp>
        <stp>CRNCY</stp>
        <stp>[TREASURY.xlsx]Sheet1!R751C7</stp>
        <tr r="G751" s="1"/>
      </tp>
      <tp t="s">
        <v>USD</v>
        <stp/>
        <stp>##V3_BDPV12</stp>
        <stp>912827U3 Govt</stp>
        <stp>CRNCY</stp>
        <stp>[TREASURY.xlsx]Sheet1!R921C7</stp>
        <tr r="G921" s="1"/>
      </tp>
      <tp t="s">
        <v>USD</v>
        <stp/>
        <stp>##V3_BDPV12</stp>
        <stp>912827WE Govt</stp>
        <stp>CRNCY</stp>
        <stp>[TREASURY.xlsx]Sheet1!R601C7</stp>
        <tr r="G601" s="1"/>
      </tp>
      <tp t="s">
        <v>USD</v>
        <stp/>
        <stp>##V3_BDPV12</stp>
        <stp>912827WB Govt</stp>
        <stp>CRNCY</stp>
        <stp>[TREASURY.xlsx]Sheet1!R931C7</stp>
        <tr r="G931" s="1"/>
      </tp>
      <tp t="s">
        <v>USD</v>
        <stp/>
        <stp>##V3_BDPV12</stp>
        <stp>912827VG Govt</stp>
        <stp>CRNCY</stp>
        <stp>[TREASURY.xlsx]Sheet1!R761C7</stp>
        <tr r="G761" s="1"/>
      </tp>
      <tp t="s">
        <v>USD</v>
        <stp/>
        <stp>##V3_BDPV12</stp>
        <stp>912827Y8 Govt</stp>
        <stp>CRNCY</stp>
        <stp>[TREASURY.xlsx]Sheet1!R941C7</stp>
        <tr r="G941" s="1"/>
      </tp>
      <tp t="s">
        <v>USD</v>
        <stp/>
        <stp>##V3_BDPV12</stp>
        <stp>912827XC Govt</stp>
        <stp>CRNCY</stp>
        <stp>[TREASURY.xlsx]Sheet1!R771C7</stp>
        <tr r="G771" s="1"/>
      </tp>
      <tp t="s">
        <v>USD</v>
        <stp/>
        <stp>##V3_BDPV12</stp>
        <stp>912827ZJ Govt</stp>
        <stp>CRNCY</stp>
        <stp>[TREASURY.xlsx]Sheet1!R781C7</stp>
        <tr r="G781" s="1"/>
      </tp>
      <tp t="s">
        <v>USD</v>
        <stp/>
        <stp>##V3_BDPV12</stp>
        <stp>912827Z2 Govt</stp>
        <stp>CRNCY</stp>
        <stp>[TREASURY.xlsx]Sheet1!R951C7</stp>
        <tr r="G951" s="1"/>
      </tp>
      <tp t="s">
        <v>UNITED STATES</v>
        <stp/>
        <stp>##V3_BDPV12</stp>
        <stp>912828M6 Govt</stp>
        <stp>COUNTRY_FULL_NAME</stp>
        <stp>[TREASURY.xlsx]Sheet1!R1251C8</stp>
        <tr r="H1251" s="1"/>
      </tp>
      <tp t="s">
        <v>USD</v>
        <stp/>
        <stp>##V3_BDPV12</stp>
        <stp>912810CC Govt</stp>
        <stp>CRNCY</stp>
        <stp>[TREASURY.xlsx]Sheet1!R526C7</stp>
        <tr r="G526" s="1"/>
      </tp>
      <tp t="s">
        <v>S/A</v>
        <stp/>
        <stp>##V3_BDPV12</stp>
        <stp>912827A9 Govt</stp>
        <stp>COUPON_FREQUENCY_DESCRIPTION</stp>
        <stp>[TREASURY.xlsx]Sheet1!R1548C10</stp>
        <tr r="J1548" s="1"/>
      </tp>
      <tp t="s">
        <v>UNITED STATES</v>
        <stp/>
        <stp>##V3_BDPV12</stp>
        <stp>912827L4 Govt</stp>
        <stp>COUNTRY_FULL_NAME</stp>
        <stp>[TREASURY.xlsx]Sheet1!R1040C8</stp>
        <tr r="H1040" s="1"/>
      </tp>
      <tp t="s">
        <v>USD</v>
        <stp/>
        <stp>##V3_BDPV12</stp>
        <stp>912810EF Govt</stp>
        <stp>CRNCY</stp>
        <stp>[TREASURY.xlsx]Sheet1!R606C7</stp>
        <tr r="G606" s="1"/>
      </tp>
      <tp t="s">
        <v>USD</v>
        <stp/>
        <stp>##V3_BDPV12</stp>
        <stp>912810EV Govt</stp>
        <stp>CRNCY</stp>
        <stp>[TREASURY.xlsx]Sheet1!R326C7</stp>
        <tr r="G326" s="1"/>
      </tp>
      <tp t="s">
        <v>UNITED STATES</v>
        <stp/>
        <stp>##V3_BDPV12</stp>
        <stp>912828K2 Govt</stp>
        <stp>COUNTRY_FULL_NAME</stp>
        <stp>[TREASURY.xlsx]Sheet1!R1287C8</stp>
        <tr r="H1287" s="1"/>
      </tp>
      <tp t="s">
        <v>UNITED STATES</v>
        <stp/>
        <stp>##V3_BDPV12</stp>
        <stp>912828J3 Govt</stp>
        <stp>COUNTRY_FULL_NAME</stp>
        <stp>[TREASURY.xlsx]Sheet1!R1246C8</stp>
        <tr r="H1246" s="1"/>
      </tp>
      <tp t="s">
        <v>USD</v>
        <stp/>
        <stp>##V3_BDPV12</stp>
        <stp>912827D7 Govt</stp>
        <stp>CRNCY</stp>
        <stp>[TREASURY.xlsx]Sheet1!R701C7</stp>
        <tr r="G701" s="1"/>
      </tp>
      <tp t="s">
        <v>S/A</v>
        <stp/>
        <stp>##V3_BDPV12</stp>
        <stp>912827A8 Govt</stp>
        <stp>COUPON_FREQUENCY_DESCRIPTION</stp>
        <stp>[TREASURY.xlsx]Sheet1!R1032C10</stp>
        <tr r="J1032" s="1"/>
      </tp>
      <tp t="s">
        <v>T</v>
        <stp/>
        <stp>##V3_BDPV12</stp>
        <stp>91282CBN Govt</stp>
        <stp>TICKER</stp>
        <stp>[TREASURY.xlsx]Sheet1!R82C2</stp>
        <tr r="B82" s="1"/>
      </tp>
      <tp t="s">
        <v>T</v>
        <stp/>
        <stp>##V3_BDPV12</stp>
        <stp>91282CBX Govt</stp>
        <stp>TICKER</stp>
        <stp>[TREASURY.xlsx]Sheet1!R72C2</stp>
        <tr r="B72" s="1"/>
      </tp>
      <tp t="s">
        <v>T</v>
        <stp/>
        <stp>##V3_BDPV12</stp>
        <stp>91282CBT Govt</stp>
        <stp>TICKER</stp>
        <stp>[TREASURY.xlsx]Sheet1!R52C2</stp>
        <tr r="B52" s="1"/>
      </tp>
      <tp t="s">
        <v>T</v>
        <stp/>
        <stp>##V3_BDPV12</stp>
        <stp>91282CCL Govt</stp>
        <stp>TICKER</stp>
        <stp>[TREASURY.xlsx]Sheet1!R32C2</stp>
        <tr r="B32" s="1"/>
      </tp>
      <tp t="s">
        <v>T</v>
        <stp/>
        <stp>##V3_BDPV12</stp>
        <stp>91282CCJ Govt</stp>
        <stp>TICKER</stp>
        <stp>[TREASURY.xlsx]Sheet1!R22C2</stp>
        <tr r="B22" s="1"/>
      </tp>
      <tp t="s">
        <v>T</v>
        <stp/>
        <stp>##V3_BDPV12</stp>
        <stp>91282CCB Govt</stp>
        <stp>TICKER</stp>
        <stp>[TREASURY.xlsx]Sheet1!R12C2</stp>
        <tr r="B12" s="1"/>
      </tp>
      <tp t="s">
        <v>S/A</v>
        <stp/>
        <stp>##V3_BDPV12</stp>
        <stp>912827A7 Govt</stp>
        <stp>COUPON_FREQUENCY_DESCRIPTION</stp>
        <stp>[TREASURY.xlsx]Sheet1!R1031C10</stp>
        <tr r="J1031" s="1"/>
      </tp>
      <tp t="s">
        <v>S/A</v>
        <stp/>
        <stp>##V3_BDPV12</stp>
        <stp>912828A5 Govt</stp>
        <stp>COUPON_FREQUENCY_DESCRIPTION</stp>
        <stp>[TREASURY.xlsx]Sheet1!R1233C10</stp>
        <tr r="J1233" s="1"/>
      </tp>
      <tp t="s">
        <v>USD</v>
        <stp/>
        <stp>##V3_BDPV12</stp>
        <stp>912827KV Govt</stp>
        <stp>CRNCY</stp>
        <stp>[TREASURY.xlsx]Sheet1!R711C7</stp>
        <tr r="G711" s="1"/>
      </tp>
      <tp t="s">
        <v>T</v>
        <stp/>
        <stp>##V3_BDPV12</stp>
        <stp>91282CAM Govt</stp>
        <stp>TICKER</stp>
        <stp>[TREASURY.xlsx]Sheet1!R42C2</stp>
        <tr r="B42" s="1"/>
      </tp>
      <tp t="s">
        <v>USD</v>
        <stp/>
        <stp>##V3_BDPV12</stp>
        <stp>912827MB Govt</stp>
        <stp>CRNCY</stp>
        <stp>[TREASURY.xlsx]Sheet1!R721C7</stp>
        <tr r="G721" s="1"/>
      </tp>
      <tp t="s">
        <v>S/A</v>
        <stp/>
        <stp>##V3_BDPV12</stp>
        <stp>912827A6 Govt</stp>
        <stp>COUPON_FREQUENCY_DESCRIPTION</stp>
        <stp>[TREASURY.xlsx]Sheet1!R1474C10</stp>
        <tr r="J1474" s="1"/>
      </tp>
      <tp t="s">
        <v>S/A</v>
        <stp/>
        <stp>##V3_BDPV12</stp>
        <stp>912827A2 Govt</stp>
        <stp>COUPON_FREQUENCY_DESCRIPTION</stp>
        <stp>[TREASURY.xlsx]Sheet1!R1029C10</stp>
        <tr r="J1029" s="1"/>
      </tp>
      <tp t="s">
        <v>USD</v>
        <stp/>
        <stp>##V3_BDPV12</stp>
        <stp>912827LL Govt</stp>
        <stp>CRNCY</stp>
        <stp>[TREASURY.xlsx]Sheet1!R891C7</stp>
        <tr r="G891" s="1"/>
      </tp>
      <tp t="s">
        <v>S/A</v>
        <stp/>
        <stp>##V3_BDPV12</stp>
        <stp>912827A3 Govt</stp>
        <stp>COUPON_FREQUENCY_DESCRIPTION</stp>
        <stp>[TREASURY.xlsx]Sheet1!R1030C10</stp>
        <tr r="J1030" s="1"/>
      </tp>
      <tp t="s">
        <v>S/A</v>
        <stp/>
        <stp>##V3_BDPV12</stp>
        <stp>912828A2 Govt</stp>
        <stp>COUPON_FREQUENCY_DESCRIPTION</stp>
        <stp>[TREASURY.xlsx]Sheet1!R1232C10</stp>
        <tr r="J1232" s="1"/>
      </tp>
      <tp t="s">
        <v>USD</v>
        <stp/>
        <stp>##V3_BDPV12</stp>
        <stp>912827NK Govt</stp>
        <stp>CRNCY</stp>
        <stp>[TREASURY.xlsx]Sheet1!R901C7</stp>
        <tr r="G901" s="1"/>
      </tp>
      <tp t="s">
        <v>USD</v>
        <stp/>
        <stp>##V3_BDPV12</stp>
        <stp>912827ND Govt</stp>
        <stp>CRNCY</stp>
        <stp>[TREASURY.xlsx]Sheet1!R731C7</stp>
        <tr r="G731" s="1"/>
      </tp>
      <tp t="s">
        <v>S/A</v>
        <stp/>
        <stp>##V3_BDPV12</stp>
        <stp>912827A5 Govt</stp>
        <stp>COUPON_FREQUENCY_DESCRIPTION</stp>
        <stp>[TREASURY.xlsx]Sheet1!R1473C10</stp>
        <tr r="J1473" s="1"/>
      </tp>
      <tp t="s">
        <v>S/A</v>
        <stp/>
        <stp>##V3_BDPV12</stp>
        <stp>912827A4 Govt</stp>
        <stp>COUPON_FREQUENCY_DESCRIPTION</stp>
        <stp>[TREASURY.xlsx]Sheet1!R1547C10</stp>
        <tr r="J1547" s="1"/>
      </tp>
      <tp t="s">
        <v>UNITED STATES</v>
        <stp/>
        <stp>##V3_BDPV12</stp>
        <stp>912827J9 Govt</stp>
        <stp>COUNTRY_FULL_NAME</stp>
        <stp>[TREASURY.xlsx]Sheet1!R1376C8</stp>
        <tr r="H1376" s="1"/>
      </tp>
      <tp t="s">
        <v>S/A</v>
        <stp/>
        <stp>##V3_BDPV12</stp>
        <stp>91282CCS Govt</stp>
        <stp>COUPON_FREQUENCY_DESCRIPTION</stp>
        <stp>[TREASURY.xlsx]Sheet1!R2C10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76E5-AEFF-4B8D-9354-EE35D168CCAD}">
  <dimension ref="A1:T1624"/>
  <sheetViews>
    <sheetView tabSelected="1" workbookViewId="0">
      <selection activeCell="B7" sqref="B7"/>
    </sheetView>
  </sheetViews>
  <sheetFormatPr defaultRowHeight="15" x14ac:dyDescent="0.25"/>
  <cols>
    <col min="1" max="1" width="31.85546875" bestFit="1" customWidth="1"/>
    <col min="2" max="2" width="6.28515625" bestFit="1" customWidth="1"/>
    <col min="3" max="3" width="7" bestFit="1" customWidth="1"/>
    <col min="4" max="4" width="10.7109375" style="2" bestFit="1" customWidth="1"/>
    <col min="5" max="5" width="13.5703125" bestFit="1" customWidth="1"/>
    <col min="6" max="6" width="8.85546875" bestFit="1" customWidth="1"/>
    <col min="7" max="7" width="19.140625" bestFit="1" customWidth="1"/>
    <col min="8" max="8" width="16.85546875" style="2" bestFit="1" customWidth="1"/>
    <col min="9" max="10" width="12.5703125" bestFit="1" customWidth="1"/>
    <col min="11" max="11" width="15.140625" bestFit="1" customWidth="1"/>
    <col min="12" max="13" width="12" bestFit="1" customWidth="1"/>
    <col min="14" max="14" width="10.7109375" style="2" bestFit="1" customWidth="1"/>
    <col min="15" max="15" width="16" bestFit="1" customWidth="1"/>
    <col min="16" max="16" width="9.28515625" bestFit="1" customWidth="1"/>
    <col min="17" max="17" width="10" bestFit="1" customWidth="1"/>
    <col min="18" max="18" width="11.7109375" bestFit="1" customWidth="1"/>
    <col min="19" max="19" width="16.5703125" bestFit="1" customWidth="1"/>
    <col min="20" max="20" width="20.7109375" bestFit="1" customWidth="1"/>
  </cols>
  <sheetData>
    <row r="1" spans="1:20" x14ac:dyDescent="0.25">
      <c r="A1" s="1" t="s">
        <v>8</v>
      </c>
      <c r="B1" s="1" t="s">
        <v>0</v>
      </c>
      <c r="C1" s="1" t="s">
        <v>9</v>
      </c>
      <c r="D1" s="1" t="s">
        <v>15</v>
      </c>
      <c r="E1" s="1" t="s">
        <v>1</v>
      </c>
      <c r="F1" s="1" t="s">
        <v>16</v>
      </c>
      <c r="G1" s="1" t="s">
        <v>2</v>
      </c>
      <c r="H1" s="1" t="s">
        <v>17</v>
      </c>
      <c r="I1" s="1" t="s">
        <v>18</v>
      </c>
      <c r="J1" s="1" t="s">
        <v>10</v>
      </c>
      <c r="K1" s="1" t="s">
        <v>3</v>
      </c>
      <c r="L1" s="1" t="s">
        <v>4</v>
      </c>
      <c r="M1" s="1" t="s">
        <v>13</v>
      </c>
      <c r="N1" s="1" t="s">
        <v>11</v>
      </c>
      <c r="O1" s="1" t="s">
        <v>5</v>
      </c>
      <c r="P1" s="1" t="s">
        <v>12</v>
      </c>
      <c r="Q1" s="1" t="s">
        <v>6</v>
      </c>
      <c r="R1" s="1" t="s">
        <v>19</v>
      </c>
      <c r="S1" s="1" t="s">
        <v>7</v>
      </c>
      <c r="T1" s="1" t="s">
        <v>20</v>
      </c>
    </row>
    <row r="2" spans="1:20" x14ac:dyDescent="0.25">
      <c r="A2" t="s">
        <v>14</v>
      </c>
      <c r="B2" t="str">
        <f>_xll.BDP("91282CCS Govt","TICKER")</f>
        <v>T</v>
      </c>
      <c r="C2">
        <f>_xll.BDP("91282CCS Govt","CPN")</f>
        <v>1.25</v>
      </c>
      <c r="D2">
        <f>_xll.BDP("91282CCS Govt","YLD_YTM_BID")</f>
        <v>1.5274949817659815</v>
      </c>
      <c r="E2" t="str">
        <f>_xll.BDP("91282CCS Govt","MATURITY")</f>
        <v>8/15/2031</v>
      </c>
      <c r="F2" t="str">
        <f>_xll.BDP("91282CCS Govt","MTY_TYP")</f>
        <v>NORMAL</v>
      </c>
      <c r="G2" t="str">
        <f>_xll.BDP("91282CCS Govt","CRNCY")</f>
        <v>USD</v>
      </c>
      <c r="H2" t="str">
        <f>_xll.BDP("91282CCS Govt","COUNTRY_FULL_NAME")</f>
        <v>UNITED STATES</v>
      </c>
      <c r="I2" t="str">
        <f>_xll.BDP("91282CCS Govt","FIRST_CPN_DT")</f>
        <v>2/15/2022</v>
      </c>
      <c r="J2" t="str">
        <f>_xll.BDP("91282CCS Govt","COUPON_FREQUENCY_DESCRIPTION")</f>
        <v>S/A</v>
      </c>
      <c r="K2" t="str">
        <f>_xll.BDP("91282CCS Govt","CPN_TYP")</f>
        <v>FIXED</v>
      </c>
      <c r="L2" t="str">
        <f>_xll.BDP("91282CCS Govt","ID_ISIN")</f>
        <v>US91282CCS89</v>
      </c>
      <c r="M2">
        <v>101338000000</v>
      </c>
      <c r="N2">
        <v>101338000000</v>
      </c>
      <c r="O2" t="str">
        <f>_xll.BDP("91282CCS Govt","ISSUE_DT")</f>
        <v>8/16/2021</v>
      </c>
      <c r="P2" t="str">
        <f>_xll.BDP("91282CCS Govt","SECURITY_NAME")</f>
        <v>T 1 1/4 08/15/31</v>
      </c>
      <c r="Q2" t="str">
        <f>_xll.BDP("91282CCS Govt","DAY_CNT_DES")</f>
        <v>ACT/ACT</v>
      </c>
      <c r="R2">
        <v>100</v>
      </c>
      <c r="S2" t="str">
        <f>_xll.BDP("91282CCS Govt","ID_CUSIP")</f>
        <v>91282CCS8</v>
      </c>
      <c r="T2" t="str">
        <f>_xll.BDP("91282CCS Govt","IDX_RATIO")</f>
        <v>#N/A Field Not Applicable</v>
      </c>
    </row>
    <row r="3" spans="1:20" x14ac:dyDescent="0.25">
      <c r="A3" t="s">
        <v>14</v>
      </c>
      <c r="B3" t="str">
        <f>_xll.BDP("912810SZ Govt","TICKER")</f>
        <v>T</v>
      </c>
      <c r="C3">
        <f>_xll.BDP("912810SZ Govt","CPN")</f>
        <v>2</v>
      </c>
      <c r="D3">
        <f>_xll.BDP("912810SZ Govt","YLD_YTM_BID")</f>
        <v>2.0946282555223936</v>
      </c>
      <c r="E3" t="str">
        <f>_xll.BDP("912810SZ Govt","MATURITY")</f>
        <v>8/15/2051</v>
      </c>
      <c r="F3" t="str">
        <f>_xll.BDP("912810SZ Govt","MTY_TYP")</f>
        <v>NORMAL</v>
      </c>
      <c r="G3" t="str">
        <f>_xll.BDP("912810SZ Govt","CRNCY")</f>
        <v>USD</v>
      </c>
      <c r="H3" t="str">
        <f>_xll.BDP("912810SZ Govt","COUNTRY_FULL_NAME")</f>
        <v>UNITED STATES</v>
      </c>
      <c r="I3" t="str">
        <f>_xll.BDP("912810SZ Govt","FIRST_CPN_DT")</f>
        <v>2/15/2022</v>
      </c>
      <c r="J3" t="str">
        <f>_xll.BDP("912810SZ Govt","COUPON_FREQUENCY_DESCRIPTION")</f>
        <v>S/A</v>
      </c>
      <c r="K3" t="str">
        <f>_xll.BDP("912810SZ Govt","CPN_TYP")</f>
        <v>FIXED</v>
      </c>
      <c r="L3" t="str">
        <f>_xll.BDP("912810SZ Govt","ID_ISIN")</f>
        <v>US912810SZ21</v>
      </c>
      <c r="M3">
        <v>65601000000</v>
      </c>
      <c r="N3">
        <v>65601000000</v>
      </c>
      <c r="O3" t="str">
        <f>_xll.BDP("912810SZ Govt","ISSUE_DT")</f>
        <v>8/16/2021</v>
      </c>
      <c r="P3" t="str">
        <f>_xll.BDP("912810SZ Govt","SECURITY_NAME")</f>
        <v>T 2 08/15/51</v>
      </c>
      <c r="Q3" t="str">
        <f>_xll.BDP("912810SZ Govt","DAY_CNT_DES")</f>
        <v>ACT/ACT</v>
      </c>
      <c r="R3">
        <v>100</v>
      </c>
      <c r="S3" t="str">
        <f>_xll.BDP("912810SZ Govt","ID_CUSIP")</f>
        <v>912810SZ2</v>
      </c>
      <c r="T3" t="str">
        <f>_xll.BDP("912810SZ Govt","IDX_RATIO")</f>
        <v>#N/A Field Not Applicable</v>
      </c>
    </row>
    <row r="4" spans="1:20" x14ac:dyDescent="0.25">
      <c r="A4" t="s">
        <v>14</v>
      </c>
      <c r="B4" t="str">
        <f>_xll.BDP("91282CCW Govt","TICKER")</f>
        <v>T</v>
      </c>
      <c r="C4">
        <f>_xll.BDP("91282CCW Govt","CPN")</f>
        <v>0.75</v>
      </c>
      <c r="D4">
        <f>_xll.BDP("91282CCW Govt","YLD_YTM_BID")</f>
        <v>0.96757845998582537</v>
      </c>
      <c r="E4" t="str">
        <f>_xll.BDP("91282CCW Govt","MATURITY")</f>
        <v>8/31/2026</v>
      </c>
      <c r="F4" t="str">
        <f>_xll.BDP("91282CCW Govt","MTY_TYP")</f>
        <v>NORMAL</v>
      </c>
      <c r="G4" t="str">
        <f>_xll.BDP("91282CCW Govt","CRNCY")</f>
        <v>USD</v>
      </c>
      <c r="H4" t="str">
        <f>_xll.BDP("91282CCW Govt","COUNTRY_FULL_NAME")</f>
        <v>UNITED STATES</v>
      </c>
      <c r="I4" t="str">
        <f>_xll.BDP("91282CCW Govt","FIRST_CPN_DT")</f>
        <v>2/28/2022</v>
      </c>
      <c r="J4" t="str">
        <f>_xll.BDP("91282CCW Govt","COUPON_FREQUENCY_DESCRIPTION")</f>
        <v>S/A</v>
      </c>
      <c r="K4" t="str">
        <f>_xll.BDP("91282CCW Govt","CPN_TYP")</f>
        <v>FIXED</v>
      </c>
      <c r="L4" t="str">
        <f>_xll.BDP("91282CCW Govt","ID_ISIN")</f>
        <v>US91282CCW91</v>
      </c>
      <c r="M4">
        <v>68664000000</v>
      </c>
      <c r="N4">
        <v>68664000000</v>
      </c>
      <c r="O4" t="str">
        <f>_xll.BDP("91282CCW Govt","ISSUE_DT")</f>
        <v>8/31/2021</v>
      </c>
      <c r="P4" t="str">
        <f>_xll.BDP("91282CCW Govt","SECURITY_NAME")</f>
        <v>T 0 3/4 08/31/26</v>
      </c>
      <c r="Q4" t="str">
        <f>_xll.BDP("91282CCW Govt","DAY_CNT_DES")</f>
        <v>ACT/ACT</v>
      </c>
      <c r="R4">
        <v>100</v>
      </c>
      <c r="S4" t="str">
        <f>_xll.BDP("91282CCW Govt","ID_CUSIP")</f>
        <v>91282CCW9</v>
      </c>
      <c r="T4" t="str">
        <f>_xll.BDP("91282CCW Govt","IDX_RATIO")</f>
        <v>#N/A Field Not Applicable</v>
      </c>
    </row>
    <row r="5" spans="1:20" x14ac:dyDescent="0.25">
      <c r="A5" t="s">
        <v>14</v>
      </c>
      <c r="B5" t="str">
        <f>_xll.BDP("91282CCX Govt","TICKER")</f>
        <v>T</v>
      </c>
      <c r="C5">
        <f>_xll.BDP("91282CCX Govt","CPN")</f>
        <v>0.375</v>
      </c>
      <c r="D5">
        <f>_xll.BDP("91282CCX Govt","YLD_YTM_BID")</f>
        <v>0.52236058310416622</v>
      </c>
      <c r="E5" t="str">
        <f>_xll.BDP("91282CCX Govt","MATURITY")</f>
        <v>9/15/2024</v>
      </c>
      <c r="F5" t="str">
        <f>_xll.BDP("91282CCX Govt","MTY_TYP")</f>
        <v>NORMAL</v>
      </c>
      <c r="G5" t="str">
        <f>_xll.BDP("91282CCX Govt","CRNCY")</f>
        <v>USD</v>
      </c>
      <c r="H5" t="str">
        <f>_xll.BDP("91282CCX Govt","COUNTRY_FULL_NAME")</f>
        <v>UNITED STATES</v>
      </c>
      <c r="I5" t="str">
        <f>_xll.BDP("91282CCX Govt","FIRST_CPN_DT")</f>
        <v>3/15/2022</v>
      </c>
      <c r="J5" t="str">
        <f>_xll.BDP("91282CCX Govt","COUPON_FREQUENCY_DESCRIPTION")</f>
        <v>S/A</v>
      </c>
      <c r="K5" t="str">
        <f>_xll.BDP("91282CCX Govt","CPN_TYP")</f>
        <v>FIXED</v>
      </c>
      <c r="L5" t="str">
        <f>_xll.BDP("91282CCX Govt","ID_ISIN")</f>
        <v>US91282CCX74</v>
      </c>
      <c r="M5">
        <v>64176000000</v>
      </c>
      <c r="N5">
        <v>64176000000</v>
      </c>
      <c r="O5" t="str">
        <f>_xll.BDP("91282CCX Govt","ISSUE_DT")</f>
        <v>9/15/2021</v>
      </c>
      <c r="P5" t="str">
        <f>_xll.BDP("91282CCX Govt","SECURITY_NAME")</f>
        <v>T 0 3/8 09/15/24</v>
      </c>
      <c r="Q5" t="str">
        <f>_xll.BDP("91282CCX Govt","DAY_CNT_DES")</f>
        <v>ACT/ACT</v>
      </c>
      <c r="R5">
        <v>100</v>
      </c>
      <c r="S5" t="str">
        <f>_xll.BDP("91282CCX Govt","ID_CUSIP")</f>
        <v>91282CCX7</v>
      </c>
      <c r="T5" t="str">
        <f>_xll.BDP("91282CCX Govt","IDX_RATIO")</f>
        <v>#N/A Field Not Applicable</v>
      </c>
    </row>
    <row r="6" spans="1:20" x14ac:dyDescent="0.25">
      <c r="A6" t="s">
        <v>14</v>
      </c>
      <c r="B6" t="str">
        <f>_xll.BDP("91282CCU Govt","TICKER")</f>
        <v>T</v>
      </c>
      <c r="C6">
        <f>_xll.BDP("91282CCU Govt","CPN")</f>
        <v>0.125</v>
      </c>
      <c r="D6">
        <f>_xll.BDP("91282CCU Govt","YLD_YTM_BID")</f>
        <v>0.26933449902429268</v>
      </c>
      <c r="E6" t="str">
        <f>_xll.BDP("91282CCU Govt","MATURITY")</f>
        <v>8/31/2023</v>
      </c>
      <c r="F6" t="str">
        <f>_xll.BDP("91282CCU Govt","MTY_TYP")</f>
        <v>NORMAL</v>
      </c>
      <c r="G6" t="str">
        <f>_xll.BDP("91282CCU Govt","CRNCY")</f>
        <v>USD</v>
      </c>
      <c r="H6" t="str">
        <f>_xll.BDP("91282CCU Govt","COUNTRY_FULL_NAME")</f>
        <v>UNITED STATES</v>
      </c>
      <c r="I6" t="str">
        <f>_xll.BDP("91282CCU Govt","FIRST_CPN_DT")</f>
        <v>2/28/2022</v>
      </c>
      <c r="J6" t="str">
        <f>_xll.BDP("91282CCU Govt","COUPON_FREQUENCY_DESCRIPTION")</f>
        <v>S/A</v>
      </c>
      <c r="K6" t="str">
        <f>_xll.BDP("91282CCU Govt","CPN_TYP")</f>
        <v>FIXED</v>
      </c>
      <c r="L6" t="str">
        <f>_xll.BDP("91282CCU Govt","ID_ISIN")</f>
        <v>US91282CCU36</v>
      </c>
      <c r="M6">
        <v>67539000000</v>
      </c>
      <c r="N6">
        <v>67539000000</v>
      </c>
      <c r="O6" t="str">
        <f>_xll.BDP("91282CCU Govt","ISSUE_DT")</f>
        <v>8/31/2021</v>
      </c>
      <c r="P6" t="str">
        <f>_xll.BDP("91282CCU Govt","SECURITY_NAME")</f>
        <v>T 0 1/8 08/31/23</v>
      </c>
      <c r="Q6" t="str">
        <f>_xll.BDP("91282CCU Govt","DAY_CNT_DES")</f>
        <v>ACT/ACT</v>
      </c>
      <c r="R6">
        <v>100</v>
      </c>
      <c r="S6" t="str">
        <f>_xll.BDP("91282CCU Govt","ID_CUSIP")</f>
        <v>91282CCU3</v>
      </c>
      <c r="T6" t="str">
        <f>_xll.BDP("91282CCU Govt","IDX_RATIO")</f>
        <v>#N/A Field Not Applicable</v>
      </c>
    </row>
    <row r="7" spans="1:20" x14ac:dyDescent="0.25">
      <c r="A7" t="s">
        <v>14</v>
      </c>
      <c r="B7" t="str">
        <f>_xll.BDP("91282CCZ Govt","TICKER")</f>
        <v>T</v>
      </c>
      <c r="C7">
        <f>_xll.BDP("91282CCZ Govt","CPN")</f>
        <v>0.875</v>
      </c>
      <c r="D7">
        <f>_xll.BDP("91282CCZ Govt","YLD_YTM_BID")</f>
        <v>0.97803377059075425</v>
      </c>
      <c r="E7" t="str">
        <f>_xll.BDP("91282CCZ Govt","MATURITY")</f>
        <v>9/30/2026</v>
      </c>
      <c r="F7" t="str">
        <f>_xll.BDP("91282CCZ Govt","MTY_TYP")</f>
        <v>NORMAL</v>
      </c>
      <c r="G7" t="str">
        <f>_xll.BDP("91282CCZ Govt","CRNCY")</f>
        <v>USD</v>
      </c>
      <c r="H7" t="str">
        <f>_xll.BDP("91282CCZ Govt","COUNTRY_FULL_NAME")</f>
        <v>UNITED STATES</v>
      </c>
      <c r="I7" t="str">
        <f>_xll.BDP("91282CCZ Govt","FIRST_CPN_DT")</f>
        <v>3/31/2022</v>
      </c>
      <c r="J7" t="str">
        <f>_xll.BDP("91282CCZ Govt","COUPON_FREQUENCY_DESCRIPTION")</f>
        <v>S/A</v>
      </c>
      <c r="K7" t="str">
        <f>_xll.BDP("91282CCZ Govt","CPN_TYP")</f>
        <v>FIXED</v>
      </c>
      <c r="L7" t="str">
        <f>_xll.BDP("91282CCZ Govt","ID_ISIN")</f>
        <v>US91282CCZ23</v>
      </c>
      <c r="M7">
        <v>61000000000</v>
      </c>
      <c r="N7">
        <v>61000000000</v>
      </c>
      <c r="O7" t="str">
        <f>_xll.BDP("91282CCZ Govt","ISSUE_DT")</f>
        <v>9/30/2021</v>
      </c>
      <c r="P7" t="str">
        <f>_xll.BDP("91282CCZ Govt","SECURITY_NAME")</f>
        <v>T 0 7/8 09/30/26</v>
      </c>
      <c r="Q7" t="str">
        <f>_xll.BDP("91282CCZ Govt","DAY_CNT_DES")</f>
        <v>ACT/ACT</v>
      </c>
      <c r="R7">
        <v>100</v>
      </c>
      <c r="S7" t="str">
        <f>_xll.BDP("91282CCZ Govt","ID_CUSIP")</f>
        <v>91282CCZ2</v>
      </c>
      <c r="T7" t="str">
        <f>_xll.BDP("91282CCZ Govt","IDX_RATIO")</f>
        <v>#N/A Field Not Applicable</v>
      </c>
    </row>
    <row r="8" spans="1:20" x14ac:dyDescent="0.25">
      <c r="A8" t="s">
        <v>14</v>
      </c>
      <c r="B8" t="str">
        <f>_xll.BDP("912810SX Govt","TICKER")</f>
        <v>T</v>
      </c>
      <c r="C8">
        <f>_xll.BDP("912810SX Govt","CPN")</f>
        <v>2.375</v>
      </c>
      <c r="D8">
        <f>_xll.BDP("912810SX Govt","YLD_YTM_BID")</f>
        <v>2.0852926397312017</v>
      </c>
      <c r="E8" t="str">
        <f>_xll.BDP("912810SX Govt","MATURITY")</f>
        <v>5/15/2051</v>
      </c>
      <c r="F8" t="str">
        <f>_xll.BDP("912810SX Govt","MTY_TYP")</f>
        <v>NORMAL</v>
      </c>
      <c r="G8" t="str">
        <f>_xll.BDP("912810SX Govt","CRNCY")</f>
        <v>USD</v>
      </c>
      <c r="H8" t="str">
        <f>_xll.BDP("912810SX Govt","COUNTRY_FULL_NAME")</f>
        <v>UNITED STATES</v>
      </c>
      <c r="I8" t="str">
        <f>_xll.BDP("912810SX Govt","FIRST_CPN_DT")</f>
        <v>11/15/2021</v>
      </c>
      <c r="J8" t="str">
        <f>_xll.BDP("912810SX Govt","COUPON_FREQUENCY_DESCRIPTION")</f>
        <v>S/A</v>
      </c>
      <c r="K8" t="str">
        <f>_xll.BDP("912810SX Govt","CPN_TYP")</f>
        <v>FIXED</v>
      </c>
      <c r="L8" t="str">
        <f>_xll.BDP("912810SX Govt","ID_ISIN")</f>
        <v>US912810SX72</v>
      </c>
      <c r="M8">
        <v>95481000000</v>
      </c>
      <c r="N8">
        <v>95481000000</v>
      </c>
      <c r="O8" t="str">
        <f>_xll.BDP("912810SX Govt","ISSUE_DT")</f>
        <v>5/17/2021</v>
      </c>
      <c r="P8" t="str">
        <f>_xll.BDP("912810SX Govt","SECURITY_NAME")</f>
        <v>T 2 3/8 05/15/51</v>
      </c>
      <c r="Q8" t="str">
        <f>_xll.BDP("912810SX Govt","DAY_CNT_DES")</f>
        <v>ACT/ACT</v>
      </c>
      <c r="R8">
        <v>100</v>
      </c>
      <c r="S8" t="str">
        <f>_xll.BDP("912810SX Govt","ID_CUSIP")</f>
        <v>912810SX7</v>
      </c>
      <c r="T8" t="str">
        <f>_xll.BDP("912810SX Govt","IDX_RATIO")</f>
        <v>#N/A Field Not Applicable</v>
      </c>
    </row>
    <row r="9" spans="1:20" x14ac:dyDescent="0.25">
      <c r="A9" t="s">
        <v>14</v>
      </c>
      <c r="B9" t="str">
        <f>_xll.BDP("91282CCV Govt","TICKER")</f>
        <v>T</v>
      </c>
      <c r="C9">
        <f>_xll.BDP("91282CCV Govt","CPN")</f>
        <v>1.125</v>
      </c>
      <c r="D9">
        <f>_xll.BDP("91282CCV Govt","YLD_YTM_BID")</f>
        <v>1.3054716299001514</v>
      </c>
      <c r="E9" t="str">
        <f>_xll.BDP("91282CCV Govt","MATURITY")</f>
        <v>8/31/2028</v>
      </c>
      <c r="F9" t="str">
        <f>_xll.BDP("91282CCV Govt","MTY_TYP")</f>
        <v>NORMAL</v>
      </c>
      <c r="G9" t="str">
        <f>_xll.BDP("91282CCV Govt","CRNCY")</f>
        <v>USD</v>
      </c>
      <c r="H9" t="str">
        <f>_xll.BDP("91282CCV Govt","COUNTRY_FULL_NAME")</f>
        <v>UNITED STATES</v>
      </c>
      <c r="I9" t="str">
        <f>_xll.BDP("91282CCV Govt","FIRST_CPN_DT")</f>
        <v>2/28/2022</v>
      </c>
      <c r="J9" t="str">
        <f>_xll.BDP("91282CCV Govt","COUPON_FREQUENCY_DESCRIPTION")</f>
        <v>S/A</v>
      </c>
      <c r="K9" t="str">
        <f>_xll.BDP("91282CCV Govt","CPN_TYP")</f>
        <v>FIXED</v>
      </c>
      <c r="L9" t="str">
        <f>_xll.BDP("91282CCV Govt","ID_ISIN")</f>
        <v>US91282CCV19</v>
      </c>
      <c r="M9">
        <v>69790000000</v>
      </c>
      <c r="N9">
        <v>69790000000</v>
      </c>
      <c r="O9" t="str">
        <f>_xll.BDP("91282CCV Govt","ISSUE_DT")</f>
        <v>8/31/2021</v>
      </c>
      <c r="P9" t="str">
        <f>_xll.BDP("91282CCV Govt","SECURITY_NAME")</f>
        <v>T 1 1/8 08/31/28</v>
      </c>
      <c r="Q9" t="str">
        <f>_xll.BDP("91282CCV Govt","DAY_CNT_DES")</f>
        <v>ACT/ACT</v>
      </c>
      <c r="R9">
        <v>100</v>
      </c>
      <c r="S9" t="str">
        <f>_xll.BDP("91282CCV Govt","ID_CUSIP")</f>
        <v>91282CCV1</v>
      </c>
      <c r="T9" t="str">
        <f>_xll.BDP("91282CCV Govt","IDX_RATIO")</f>
        <v>#N/A Field Not Applicable</v>
      </c>
    </row>
    <row r="10" spans="1:20" x14ac:dyDescent="0.25">
      <c r="A10" t="s">
        <v>14</v>
      </c>
      <c r="B10" t="str">
        <f>_xll.BDP("912810TA Govt","TICKER")</f>
        <v>T</v>
      </c>
      <c r="C10">
        <f>_xll.BDP("912810TA Govt","CPN")</f>
        <v>1.75</v>
      </c>
      <c r="D10">
        <f>_xll.BDP("912810TA Govt","YLD_YTM_BID")</f>
        <v>2.0371675075614197</v>
      </c>
      <c r="E10" t="str">
        <f>_xll.BDP("912810TA Govt","MATURITY")</f>
        <v>8/15/2041</v>
      </c>
      <c r="F10" t="str">
        <f>_xll.BDP("912810TA Govt","MTY_TYP")</f>
        <v>NORMAL</v>
      </c>
      <c r="G10" t="str">
        <f>_xll.BDP("912810TA Govt","CRNCY")</f>
        <v>USD</v>
      </c>
      <c r="H10" t="str">
        <f>_xll.BDP("912810TA Govt","COUNTRY_FULL_NAME")</f>
        <v>UNITED STATES</v>
      </c>
      <c r="I10" t="str">
        <f>_xll.BDP("912810TA Govt","FIRST_CPN_DT")</f>
        <v>2/15/2022</v>
      </c>
      <c r="J10" t="str">
        <f>_xll.BDP("912810TA Govt","COUPON_FREQUENCY_DESCRIPTION")</f>
        <v>S/A</v>
      </c>
      <c r="K10" t="str">
        <f>_xll.BDP("912810TA Govt","CPN_TYP")</f>
        <v>FIXED</v>
      </c>
      <c r="L10" t="str">
        <f>_xll.BDP("912810TA Govt","ID_ISIN")</f>
        <v>US912810TA60</v>
      </c>
      <c r="M10">
        <v>54392000000</v>
      </c>
      <c r="N10">
        <v>54392000000</v>
      </c>
      <c r="O10" t="str">
        <f>_xll.BDP("912810TA Govt","ISSUE_DT")</f>
        <v>8/31/2021</v>
      </c>
      <c r="P10" t="str">
        <f>_xll.BDP("912810TA Govt","SECURITY_NAME")</f>
        <v>T 1 3/4 08/15/41</v>
      </c>
      <c r="Q10" t="str">
        <f>_xll.BDP("912810TA Govt","DAY_CNT_DES")</f>
        <v>ACT/ACT</v>
      </c>
      <c r="R10">
        <v>100</v>
      </c>
      <c r="S10" t="str">
        <f>_xll.BDP("912810TA Govt","ID_CUSIP")</f>
        <v>912810TA6</v>
      </c>
      <c r="T10" t="str">
        <f>_xll.BDP("912810TA Govt","IDX_RATIO")</f>
        <v>#N/A Field Not Applicable</v>
      </c>
    </row>
    <row r="11" spans="1:20" x14ac:dyDescent="0.25">
      <c r="A11" t="s">
        <v>14</v>
      </c>
      <c r="B11" t="str">
        <f>_xll.BDP("91282CDA Govt","TICKER")</f>
        <v>T</v>
      </c>
      <c r="C11">
        <f>_xll.BDP("91282CDA Govt","CPN")</f>
        <v>0.25</v>
      </c>
      <c r="D11">
        <f>_xll.BDP("91282CDA Govt","YLD_YTM_BID")</f>
        <v>0.28755001672343328</v>
      </c>
      <c r="E11" t="str">
        <f>_xll.BDP("91282CDA Govt","MATURITY")</f>
        <v>9/30/2023</v>
      </c>
      <c r="F11" t="str">
        <f>_xll.BDP("91282CDA Govt","MTY_TYP")</f>
        <v>NORMAL</v>
      </c>
      <c r="G11" t="str">
        <f>_xll.BDP("91282CDA Govt","CRNCY")</f>
        <v>USD</v>
      </c>
      <c r="H11" t="str">
        <f>_xll.BDP("91282CDA Govt","COUNTRY_FULL_NAME")</f>
        <v>UNITED STATES</v>
      </c>
      <c r="I11" t="str">
        <f>_xll.BDP("91282CDA Govt","FIRST_CPN_DT")</f>
        <v>3/31/2022</v>
      </c>
      <c r="J11" t="str">
        <f>_xll.BDP("91282CDA Govt","COUPON_FREQUENCY_DESCRIPTION")</f>
        <v>S/A</v>
      </c>
      <c r="K11" t="str">
        <f>_xll.BDP("91282CDA Govt","CPN_TYP")</f>
        <v>FIXED</v>
      </c>
      <c r="L11" t="str">
        <f>_xll.BDP("91282CDA Govt","ID_ISIN")</f>
        <v>US91282CDA62</v>
      </c>
      <c r="M11">
        <v>60000000000</v>
      </c>
      <c r="N11">
        <v>60000000000</v>
      </c>
      <c r="O11" t="str">
        <f>_xll.BDP("91282CDA Govt","ISSUE_DT")</f>
        <v>9/30/2021</v>
      </c>
      <c r="P11" t="str">
        <f>_xll.BDP("91282CDA Govt","SECURITY_NAME")</f>
        <v>T 0 1/4 09/30/23</v>
      </c>
      <c r="Q11" t="str">
        <f>_xll.BDP("91282CDA Govt","DAY_CNT_DES")</f>
        <v>ACT/ACT</v>
      </c>
      <c r="R11">
        <v>100</v>
      </c>
      <c r="S11" t="str">
        <f>_xll.BDP("91282CDA Govt","ID_CUSIP")</f>
        <v>91282CDA6</v>
      </c>
      <c r="T11" t="str">
        <f>_xll.BDP("91282CDA Govt","IDX_RATIO")</f>
        <v>#N/A Field Not Applicable</v>
      </c>
    </row>
    <row r="12" spans="1:20" x14ac:dyDescent="0.25">
      <c r="A12" t="s">
        <v>14</v>
      </c>
      <c r="B12" t="str">
        <f>_xll.BDP("91282CCB Govt","TICKER")</f>
        <v>T</v>
      </c>
      <c r="C12">
        <f>_xll.BDP("91282CCB Govt","CPN")</f>
        <v>1.625</v>
      </c>
      <c r="D12">
        <f>_xll.BDP("91282CCB Govt","YLD_YTM_BID")</f>
        <v>1.5040153988732312</v>
      </c>
      <c r="E12" t="str">
        <f>_xll.BDP("91282CCB Govt","MATURITY")</f>
        <v>5/15/2031</v>
      </c>
      <c r="F12" t="str">
        <f>_xll.BDP("91282CCB Govt","MTY_TYP")</f>
        <v>NORMAL</v>
      </c>
      <c r="G12" t="str">
        <f>_xll.BDP("91282CCB Govt","CRNCY")</f>
        <v>USD</v>
      </c>
      <c r="H12" t="str">
        <f>_xll.BDP("91282CCB Govt","COUNTRY_FULL_NAME")</f>
        <v>UNITED STATES</v>
      </c>
      <c r="I12" t="str">
        <f>_xll.BDP("91282CCB Govt","FIRST_CPN_DT")</f>
        <v>11/15/2021</v>
      </c>
      <c r="J12" t="str">
        <f>_xll.BDP("91282CCB Govt","COUPON_FREQUENCY_DESCRIPTION")</f>
        <v>S/A</v>
      </c>
      <c r="K12" t="str">
        <f>_xll.BDP("91282CCB Govt","CPN_TYP")</f>
        <v>FIXED</v>
      </c>
      <c r="L12" t="str">
        <f>_xll.BDP("91282CCB Govt","ID_ISIN")</f>
        <v>US91282CCB54</v>
      </c>
      <c r="M12">
        <v>148501000000</v>
      </c>
      <c r="N12">
        <v>148501000000</v>
      </c>
      <c r="O12" t="str">
        <f>_xll.BDP("91282CCB Govt","ISSUE_DT")</f>
        <v>5/17/2021</v>
      </c>
      <c r="P12" t="str">
        <f>_xll.BDP("91282CCB Govt","SECURITY_NAME")</f>
        <v>T 1 5/8 05/15/31</v>
      </c>
      <c r="Q12" t="str">
        <f>_xll.BDP("91282CCB Govt","DAY_CNT_DES")</f>
        <v>ACT/ACT</v>
      </c>
      <c r="R12">
        <v>100</v>
      </c>
      <c r="S12" t="str">
        <f>_xll.BDP("91282CCB Govt","ID_CUSIP")</f>
        <v>91282CCB5</v>
      </c>
      <c r="T12" t="str">
        <f>_xll.BDP("91282CCB Govt","IDX_RATIO")</f>
        <v>#N/A Field Not Applicable</v>
      </c>
    </row>
    <row r="13" spans="1:20" x14ac:dyDescent="0.25">
      <c r="A13" t="s">
        <v>14</v>
      </c>
      <c r="B13" t="str">
        <f>_xll.BDP("91282CCY Govt","TICKER")</f>
        <v>T</v>
      </c>
      <c r="C13">
        <f>_xll.BDP("91282CCY Govt","CPN")</f>
        <v>1.25</v>
      </c>
      <c r="D13">
        <f>_xll.BDP("91282CCY Govt","YLD_YTM_BID")</f>
        <v>1.3134111435074789</v>
      </c>
      <c r="E13" t="str">
        <f>_xll.BDP("91282CCY Govt","MATURITY")</f>
        <v>9/30/2028</v>
      </c>
      <c r="F13" t="str">
        <f>_xll.BDP("91282CCY Govt","MTY_TYP")</f>
        <v>NORMAL</v>
      </c>
      <c r="G13" t="str">
        <f>_xll.BDP("91282CCY Govt","CRNCY")</f>
        <v>USD</v>
      </c>
      <c r="H13" t="str">
        <f>_xll.BDP("91282CCY Govt","COUNTRY_FULL_NAME")</f>
        <v>UNITED STATES</v>
      </c>
      <c r="I13" t="str">
        <f>_xll.BDP("91282CCY Govt","FIRST_CPN_DT")</f>
        <v>3/31/2022</v>
      </c>
      <c r="J13" t="str">
        <f>_xll.BDP("91282CCY Govt","COUPON_FREQUENCY_DESCRIPTION")</f>
        <v>S/A</v>
      </c>
      <c r="K13" t="str">
        <f>_xll.BDP("91282CCY Govt","CPN_TYP")</f>
        <v>FIXED</v>
      </c>
      <c r="L13" t="str">
        <f>_xll.BDP("91282CCY Govt","ID_ISIN")</f>
        <v>US91282CCY57</v>
      </c>
      <c r="M13">
        <v>62000000000</v>
      </c>
      <c r="N13">
        <v>62000000000</v>
      </c>
      <c r="O13" t="str">
        <f>_xll.BDP("91282CCY Govt","ISSUE_DT")</f>
        <v>9/30/2021</v>
      </c>
      <c r="P13" t="str">
        <f>_xll.BDP("91282CCY Govt","SECURITY_NAME")</f>
        <v>T 1 1/4 09/30/28</v>
      </c>
      <c r="Q13" t="str">
        <f>_xll.BDP("91282CCY Govt","DAY_CNT_DES")</f>
        <v>ACT/ACT</v>
      </c>
      <c r="R13">
        <v>100</v>
      </c>
      <c r="S13" t="str">
        <f>_xll.BDP("91282CCY Govt","ID_CUSIP")</f>
        <v>91282CCY5</v>
      </c>
      <c r="T13" t="str">
        <f>_xll.BDP("91282CCY Govt","IDX_RATIO")</f>
        <v>#N/A Field Not Applicable</v>
      </c>
    </row>
    <row r="14" spans="1:20" x14ac:dyDescent="0.25">
      <c r="A14" t="s">
        <v>14</v>
      </c>
      <c r="B14" t="str">
        <f>_xll.BDP("91282CBL Govt","TICKER")</f>
        <v>T</v>
      </c>
      <c r="C14">
        <f>_xll.BDP("91282CBL Govt","CPN")</f>
        <v>1.125</v>
      </c>
      <c r="D14">
        <f>_xll.BDP("91282CBL Govt","YLD_YTM_BID")</f>
        <v>1.4929542308430255</v>
      </c>
      <c r="E14" t="str">
        <f>_xll.BDP("91282CBL Govt","MATURITY")</f>
        <v>2/15/2031</v>
      </c>
      <c r="F14" t="str">
        <f>_xll.BDP("91282CBL Govt","MTY_TYP")</f>
        <v>NORMAL</v>
      </c>
      <c r="G14" t="str">
        <f>_xll.BDP("91282CBL Govt","CRNCY")</f>
        <v>USD</v>
      </c>
      <c r="H14" t="str">
        <f>_xll.BDP("91282CBL Govt","COUNTRY_FULL_NAME")</f>
        <v>UNITED STATES</v>
      </c>
      <c r="I14" t="str">
        <f>_xll.BDP("91282CBL Govt","FIRST_CPN_DT")</f>
        <v>8/15/2021</v>
      </c>
      <c r="J14" t="str">
        <f>_xll.BDP("91282CBL Govt","COUPON_FREQUENCY_DESCRIPTION")</f>
        <v>S/A</v>
      </c>
      <c r="K14" t="str">
        <f>_xll.BDP("91282CBL Govt","CPN_TYP")</f>
        <v>FIXED</v>
      </c>
      <c r="L14" t="str">
        <f>_xll.BDP("91282CBL Govt","ID_ISIN")</f>
        <v>US91282CBL46</v>
      </c>
      <c r="M14">
        <v>140063000000</v>
      </c>
      <c r="N14">
        <v>140063000000</v>
      </c>
      <c r="O14" t="str">
        <f>_xll.BDP("91282CBL Govt","ISSUE_DT")</f>
        <v>2/16/2021</v>
      </c>
      <c r="P14" t="str">
        <f>_xll.BDP("91282CBL Govt","SECURITY_NAME")</f>
        <v>T 1 1/8 02/15/31</v>
      </c>
      <c r="Q14" t="str">
        <f>_xll.BDP("91282CBL Govt","DAY_CNT_DES")</f>
        <v>ACT/ACT</v>
      </c>
      <c r="R14">
        <v>100</v>
      </c>
      <c r="S14" t="str">
        <f>_xll.BDP("91282CBL Govt","ID_CUSIP")</f>
        <v>91282CBL4</v>
      </c>
      <c r="T14" t="str">
        <f>_xll.BDP("91282CBL Govt","IDX_RATIO")</f>
        <v>#N/A Field Not Applicable</v>
      </c>
    </row>
    <row r="15" spans="1:20" x14ac:dyDescent="0.25">
      <c r="A15" t="s">
        <v>14</v>
      </c>
      <c r="B15" t="str">
        <f>_xll.BDP("912810SU Govt","TICKER")</f>
        <v>T</v>
      </c>
      <c r="C15">
        <f>_xll.BDP("912810SU Govt","CPN")</f>
        <v>1.875</v>
      </c>
      <c r="D15">
        <f>_xll.BDP("912810SU Govt","YLD_YTM_BID")</f>
        <v>2.1011595367814491</v>
      </c>
      <c r="E15" t="str">
        <f>_xll.BDP("912810SU Govt","MATURITY")</f>
        <v>2/15/2051</v>
      </c>
      <c r="F15" t="str">
        <f>_xll.BDP("912810SU Govt","MTY_TYP")</f>
        <v>NORMAL</v>
      </c>
      <c r="G15" t="str">
        <f>_xll.BDP("912810SU Govt","CRNCY")</f>
        <v>USD</v>
      </c>
      <c r="H15" t="str">
        <f>_xll.BDP("912810SU Govt","COUNTRY_FULL_NAME")</f>
        <v>UNITED STATES</v>
      </c>
      <c r="I15" t="str">
        <f>_xll.BDP("912810SU Govt","FIRST_CPN_DT")</f>
        <v>8/15/2021</v>
      </c>
      <c r="J15" t="str">
        <f>_xll.BDP("912810SU Govt","COUPON_FREQUENCY_DESCRIPTION")</f>
        <v>S/A</v>
      </c>
      <c r="K15" t="str">
        <f>_xll.BDP("912810SU Govt","CPN_TYP")</f>
        <v>FIXED</v>
      </c>
      <c r="L15" t="str">
        <f>_xll.BDP("912810SU Govt","ID_ISIN")</f>
        <v>US912810SU34</v>
      </c>
      <c r="M15">
        <v>89966000000</v>
      </c>
      <c r="N15">
        <v>89966000000</v>
      </c>
      <c r="O15" t="str">
        <f>_xll.BDP("912810SU Govt","ISSUE_DT")</f>
        <v>2/16/2021</v>
      </c>
      <c r="P15" t="str">
        <f>_xll.BDP("912810SU Govt","SECURITY_NAME")</f>
        <v>T 1 7/8 02/15/51</v>
      </c>
      <c r="Q15" t="str">
        <f>_xll.BDP("912810SU Govt","DAY_CNT_DES")</f>
        <v>ACT/ACT</v>
      </c>
      <c r="R15">
        <v>100</v>
      </c>
      <c r="S15" t="str">
        <f>_xll.BDP("912810SU Govt","ID_CUSIP")</f>
        <v>912810SU3</v>
      </c>
      <c r="T15" t="str">
        <f>_xll.BDP("912810SU Govt","IDX_RATIO")</f>
        <v>#N/A Field Not Applicable</v>
      </c>
    </row>
    <row r="16" spans="1:20" x14ac:dyDescent="0.25">
      <c r="A16" t="s">
        <v>14</v>
      </c>
      <c r="B16" t="str">
        <f>_xll.BDP("91282CCT Govt","TICKER")</f>
        <v>T</v>
      </c>
      <c r="C16">
        <f>_xll.BDP("91282CCT Govt","CPN")</f>
        <v>0.375</v>
      </c>
      <c r="D16">
        <f>_xll.BDP("91282CCT Govt","YLD_YTM_BID")</f>
        <v>0.49899591050127451</v>
      </c>
      <c r="E16" t="str">
        <f>_xll.BDP("91282CCT Govt","MATURITY")</f>
        <v>8/15/2024</v>
      </c>
      <c r="F16" t="str">
        <f>_xll.BDP("91282CCT Govt","MTY_TYP")</f>
        <v>NORMAL</v>
      </c>
      <c r="G16" t="str">
        <f>_xll.BDP("91282CCT Govt","CRNCY")</f>
        <v>USD</v>
      </c>
      <c r="H16" t="str">
        <f>_xll.BDP("91282CCT Govt","COUNTRY_FULL_NAME")</f>
        <v>UNITED STATES</v>
      </c>
      <c r="I16" t="str">
        <f>_xll.BDP("91282CCT Govt","FIRST_CPN_DT")</f>
        <v>2/15/2022</v>
      </c>
      <c r="J16" t="str">
        <f>_xll.BDP("91282CCT Govt","COUPON_FREQUENCY_DESCRIPTION")</f>
        <v>S/A</v>
      </c>
      <c r="K16" t="str">
        <f>_xll.BDP("91282CCT Govt","CPN_TYP")</f>
        <v>FIXED</v>
      </c>
      <c r="L16" t="str">
        <f>_xll.BDP("91282CCT Govt","ID_ISIN")</f>
        <v>US91282CCT62</v>
      </c>
      <c r="M16">
        <v>83876000000</v>
      </c>
      <c r="N16">
        <v>83876000000</v>
      </c>
      <c r="O16" t="str">
        <f>_xll.BDP("91282CCT Govt","ISSUE_DT")</f>
        <v>8/16/2021</v>
      </c>
      <c r="P16" t="str">
        <f>_xll.BDP("91282CCT Govt","SECURITY_NAME")</f>
        <v>T 0 3/8 08/15/24</v>
      </c>
      <c r="Q16" t="str">
        <f>_xll.BDP("91282CCT Govt","DAY_CNT_DES")</f>
        <v>ACT/ACT</v>
      </c>
      <c r="R16">
        <v>100</v>
      </c>
      <c r="S16" t="str">
        <f>_xll.BDP("91282CCT Govt","ID_CUSIP")</f>
        <v>91282CCT6</v>
      </c>
      <c r="T16" t="str">
        <f>_xll.BDP("91282CCT Govt","IDX_RATIO")</f>
        <v>#N/A Field Not Applicable</v>
      </c>
    </row>
    <row r="17" spans="1:20" x14ac:dyDescent="0.25">
      <c r="A17" t="s">
        <v>14</v>
      </c>
      <c r="B17" t="str">
        <f>_xll.BDP("91282CAV Govt","TICKER")</f>
        <v>T</v>
      </c>
      <c r="C17">
        <f>_xll.BDP("91282CAV Govt","CPN")</f>
        <v>0.875</v>
      </c>
      <c r="D17">
        <f>_xll.BDP("91282CAV Govt","YLD_YTM_BID")</f>
        <v>1.4822123346292513</v>
      </c>
      <c r="E17" t="str">
        <f>_xll.BDP("91282CAV Govt","MATURITY")</f>
        <v>11/15/2030</v>
      </c>
      <c r="F17" t="str">
        <f>_xll.BDP("91282CAV Govt","MTY_TYP")</f>
        <v>NORMAL</v>
      </c>
      <c r="G17" t="str">
        <f>_xll.BDP("91282CAV Govt","CRNCY")</f>
        <v>USD</v>
      </c>
      <c r="H17" t="str">
        <f>_xll.BDP("91282CAV Govt","COUNTRY_FULL_NAME")</f>
        <v>UNITED STATES</v>
      </c>
      <c r="I17" t="str">
        <f>_xll.BDP("91282CAV Govt","FIRST_CPN_DT")</f>
        <v>5/15/2021</v>
      </c>
      <c r="J17" t="str">
        <f>_xll.BDP("91282CAV Govt","COUPON_FREQUENCY_DESCRIPTION")</f>
        <v>S/A</v>
      </c>
      <c r="K17" t="str">
        <f>_xll.BDP("91282CAV Govt","CPN_TYP")</f>
        <v>FIXED</v>
      </c>
      <c r="L17" t="str">
        <f>_xll.BDP("91282CAV Govt","ID_ISIN")</f>
        <v>US91282CAV37</v>
      </c>
      <c r="M17">
        <v>133681000000</v>
      </c>
      <c r="N17">
        <v>133681000000</v>
      </c>
      <c r="O17" t="str">
        <f>_xll.BDP("91282CAV Govt","ISSUE_DT")</f>
        <v>11/16/2020</v>
      </c>
      <c r="P17" t="str">
        <f>_xll.BDP("91282CAV Govt","SECURITY_NAME")</f>
        <v>T 0 7/8 11/15/30</v>
      </c>
      <c r="Q17" t="str">
        <f>_xll.BDP("91282CAV Govt","DAY_CNT_DES")</f>
        <v>ACT/ACT</v>
      </c>
      <c r="R17">
        <v>100</v>
      </c>
      <c r="S17" t="str">
        <f>_xll.BDP("91282CAV Govt","ID_CUSIP")</f>
        <v>91282CAV3</v>
      </c>
      <c r="T17" t="str">
        <f>_xll.BDP("91282CAV Govt","IDX_RATIO")</f>
        <v>#N/A Field Not Applicable</v>
      </c>
    </row>
    <row r="18" spans="1:20" x14ac:dyDescent="0.25">
      <c r="A18" t="s">
        <v>14</v>
      </c>
      <c r="B18" t="str">
        <f>_xll.BDP("91282CAE Govt","TICKER")</f>
        <v>T</v>
      </c>
      <c r="C18">
        <f>_xll.BDP("91282CAE Govt","CPN")</f>
        <v>0.625</v>
      </c>
      <c r="D18">
        <f>_xll.BDP("91282CAE Govt","YLD_YTM_BID")</f>
        <v>1.4706434327976878</v>
      </c>
      <c r="E18" t="str">
        <f>_xll.BDP("91282CAE Govt","MATURITY")</f>
        <v>8/15/2030</v>
      </c>
      <c r="F18" t="str">
        <f>_xll.BDP("91282CAE Govt","MTY_TYP")</f>
        <v>NORMAL</v>
      </c>
      <c r="G18" t="str">
        <f>_xll.BDP("91282CAE Govt","CRNCY")</f>
        <v>USD</v>
      </c>
      <c r="H18" t="str">
        <f>_xll.BDP("91282CAE Govt","COUNTRY_FULL_NAME")</f>
        <v>UNITED STATES</v>
      </c>
      <c r="I18" t="str">
        <f>_xll.BDP("91282CAE Govt","FIRST_CPN_DT")</f>
        <v>2/15/2021</v>
      </c>
      <c r="J18" t="str">
        <f>_xll.BDP("91282CAE Govt","COUPON_FREQUENCY_DESCRIPTION")</f>
        <v>S/A</v>
      </c>
      <c r="K18" t="str">
        <f>_xll.BDP("91282CAE Govt","CPN_TYP")</f>
        <v>FIXED</v>
      </c>
      <c r="L18" t="str">
        <f>_xll.BDP("91282CAE Govt","ID_ISIN")</f>
        <v>US91282CAE12</v>
      </c>
      <c r="M18">
        <v>133019000000</v>
      </c>
      <c r="N18">
        <v>133019000000</v>
      </c>
      <c r="O18" t="str">
        <f>_xll.BDP("91282CAE Govt","ISSUE_DT")</f>
        <v>8/17/2020</v>
      </c>
      <c r="P18" t="str">
        <f>_xll.BDP("91282CAE Govt","SECURITY_NAME")</f>
        <v>T 0 5/8 08/15/30</v>
      </c>
      <c r="Q18" t="str">
        <f>_xll.BDP("91282CAE Govt","DAY_CNT_DES")</f>
        <v>ACT/ACT</v>
      </c>
      <c r="R18">
        <v>100</v>
      </c>
      <c r="S18" t="str">
        <f>_xll.BDP("91282CAE Govt","ID_CUSIP")</f>
        <v>91282CAE1</v>
      </c>
      <c r="T18" t="str">
        <f>_xll.BDP("91282CAE Govt","IDX_RATIO")</f>
        <v>#N/A Field Not Applicable</v>
      </c>
    </row>
    <row r="19" spans="1:20" x14ac:dyDescent="0.25">
      <c r="A19" t="s">
        <v>14</v>
      </c>
      <c r="B19" t="str">
        <f>_xll.BDP("91282CCP Govt","TICKER")</f>
        <v>T</v>
      </c>
      <c r="C19">
        <f>_xll.BDP("91282CCP Govt","CPN")</f>
        <v>0.625</v>
      </c>
      <c r="D19">
        <f>_xll.BDP("91282CCP Govt","YLD_YTM_BID")</f>
        <v>0.95758660006002472</v>
      </c>
      <c r="E19" t="str">
        <f>_xll.BDP("91282CCP Govt","MATURITY")</f>
        <v>7/31/2026</v>
      </c>
      <c r="F19" t="str">
        <f>_xll.BDP("91282CCP Govt","MTY_TYP")</f>
        <v>NORMAL</v>
      </c>
      <c r="G19" t="str">
        <f>_xll.BDP("91282CCP Govt","CRNCY")</f>
        <v>USD</v>
      </c>
      <c r="H19" t="str">
        <f>_xll.BDP("91282CCP Govt","COUNTRY_FULL_NAME")</f>
        <v>UNITED STATES</v>
      </c>
      <c r="I19" t="str">
        <f>_xll.BDP("91282CCP Govt","FIRST_CPN_DT")</f>
        <v>1/31/2022</v>
      </c>
      <c r="J19" t="str">
        <f>_xll.BDP("91282CCP Govt","COUPON_FREQUENCY_DESCRIPTION")</f>
        <v>S/A</v>
      </c>
      <c r="K19" t="str">
        <f>_xll.BDP("91282CCP Govt","CPN_TYP")</f>
        <v>FIXED</v>
      </c>
      <c r="L19" t="str">
        <f>_xll.BDP("91282CCP Govt","ID_ISIN")</f>
        <v>US91282CCP41</v>
      </c>
      <c r="M19">
        <v>66842000000</v>
      </c>
      <c r="N19">
        <v>66842000000</v>
      </c>
      <c r="O19" t="str">
        <f>_xll.BDP("91282CCP Govt","ISSUE_DT")</f>
        <v>8/2/2021</v>
      </c>
      <c r="P19" t="str">
        <f>_xll.BDP("91282CCP Govt","SECURITY_NAME")</f>
        <v>T 0 5/8 07/31/26</v>
      </c>
      <c r="Q19" t="str">
        <f>_xll.BDP("91282CCP Govt","DAY_CNT_DES")</f>
        <v>ACT/ACT</v>
      </c>
      <c r="R19">
        <v>100</v>
      </c>
      <c r="S19" t="str">
        <f>_xll.BDP("91282CCP Govt","ID_CUSIP")</f>
        <v>91282CCP4</v>
      </c>
      <c r="T19" t="str">
        <f>_xll.BDP("91282CCP Govt","IDX_RATIO")</f>
        <v>#N/A Field Not Applicable</v>
      </c>
    </row>
    <row r="20" spans="1:20" x14ac:dyDescent="0.25">
      <c r="A20" t="s">
        <v>14</v>
      </c>
      <c r="B20" t="str">
        <f>_xll.BDP("91282CCR Govt","TICKER")</f>
        <v>T</v>
      </c>
      <c r="C20">
        <f>_xll.BDP("91282CCR Govt","CPN")</f>
        <v>1</v>
      </c>
      <c r="D20">
        <f>_xll.BDP("91282CCR Govt","YLD_YTM_BID")</f>
        <v>1.2977976383078227</v>
      </c>
      <c r="E20" t="str">
        <f>_xll.BDP("91282CCR Govt","MATURITY")</f>
        <v>7/31/2028</v>
      </c>
      <c r="F20" t="str">
        <f>_xll.BDP("91282CCR Govt","MTY_TYP")</f>
        <v>NORMAL</v>
      </c>
      <c r="G20" t="str">
        <f>_xll.BDP("91282CCR Govt","CRNCY")</f>
        <v>USD</v>
      </c>
      <c r="H20" t="str">
        <f>_xll.BDP("91282CCR Govt","COUNTRY_FULL_NAME")</f>
        <v>UNITED STATES</v>
      </c>
      <c r="I20" t="str">
        <f>_xll.BDP("91282CCR Govt","FIRST_CPN_DT")</f>
        <v>1/31/2022</v>
      </c>
      <c r="J20" t="str">
        <f>_xll.BDP("91282CCR Govt","COUPON_FREQUENCY_DESCRIPTION")</f>
        <v>S/A</v>
      </c>
      <c r="K20" t="str">
        <f>_xll.BDP("91282CCR Govt","CPN_TYP")</f>
        <v>FIXED</v>
      </c>
      <c r="L20" t="str">
        <f>_xll.BDP("91282CCR Govt","ID_ISIN")</f>
        <v>US91282CCR07</v>
      </c>
      <c r="M20">
        <v>67938000000</v>
      </c>
      <c r="N20">
        <v>67938000000</v>
      </c>
      <c r="O20" t="str">
        <f>_xll.BDP("91282CCR Govt","ISSUE_DT")</f>
        <v>8/2/2021</v>
      </c>
      <c r="P20" t="str">
        <f>_xll.BDP("91282CCR Govt","SECURITY_NAME")</f>
        <v>T 1 07/31/28</v>
      </c>
      <c r="Q20" t="str">
        <f>_xll.BDP("91282CCR Govt","DAY_CNT_DES")</f>
        <v>ACT/ACT</v>
      </c>
      <c r="R20">
        <v>100</v>
      </c>
      <c r="S20" t="str">
        <f>_xll.BDP("91282CCR Govt","ID_CUSIP")</f>
        <v>91282CCR0</v>
      </c>
      <c r="T20" t="str">
        <f>_xll.BDP("91282CCR Govt","IDX_RATIO")</f>
        <v>#N/A Field Not Applicable</v>
      </c>
    </row>
    <row r="21" spans="1:20" x14ac:dyDescent="0.25">
      <c r="A21" t="s">
        <v>14</v>
      </c>
      <c r="B21" t="str">
        <f>_xll.BDP("912810SY Govt","TICKER")</f>
        <v>T</v>
      </c>
      <c r="C21">
        <f>_xll.BDP("912810SY Govt","CPN")</f>
        <v>2.25</v>
      </c>
      <c r="D21">
        <f>_xll.BDP("912810SY Govt","YLD_YTM_BID")</f>
        <v>2.0221768444720309</v>
      </c>
      <c r="E21" t="str">
        <f>_xll.BDP("912810SY Govt","MATURITY")</f>
        <v>5/15/2041</v>
      </c>
      <c r="F21" t="str">
        <f>_xll.BDP("912810SY Govt","MTY_TYP")</f>
        <v>NORMAL</v>
      </c>
      <c r="G21" t="str">
        <f>_xll.BDP("912810SY Govt","CRNCY")</f>
        <v>USD</v>
      </c>
      <c r="H21" t="str">
        <f>_xll.BDP("912810SY Govt","COUNTRY_FULL_NAME")</f>
        <v>UNITED STATES</v>
      </c>
      <c r="I21" t="str">
        <f>_xll.BDP("912810SY Govt","FIRST_CPN_DT")</f>
        <v>11/15/2021</v>
      </c>
      <c r="J21" t="str">
        <f>_xll.BDP("912810SY Govt","COUPON_FREQUENCY_DESCRIPTION")</f>
        <v>S/A</v>
      </c>
      <c r="K21" t="str">
        <f>_xll.BDP("912810SY Govt","CPN_TYP")</f>
        <v>FIXED</v>
      </c>
      <c r="L21" t="str">
        <f>_xll.BDP("912810SY Govt","ID_ISIN")</f>
        <v>US912810SY55</v>
      </c>
      <c r="M21">
        <v>86182000000</v>
      </c>
      <c r="N21">
        <v>86182000000</v>
      </c>
      <c r="O21" t="str">
        <f>_xll.BDP("912810SY Govt","ISSUE_DT")</f>
        <v>6/1/2021</v>
      </c>
      <c r="P21" t="str">
        <f>_xll.BDP("912810SY Govt","SECURITY_NAME")</f>
        <v>T 2 1/4 05/15/41</v>
      </c>
      <c r="Q21" t="str">
        <f>_xll.BDP("912810SY Govt","DAY_CNT_DES")</f>
        <v>ACT/ACT</v>
      </c>
      <c r="R21">
        <v>100</v>
      </c>
      <c r="S21" t="str">
        <f>_xll.BDP("912810SY Govt","ID_CUSIP")</f>
        <v>912810SY5</v>
      </c>
      <c r="T21" t="str">
        <f>_xll.BDP("912810SY Govt","IDX_RATIO")</f>
        <v>#N/A Field Not Applicable</v>
      </c>
    </row>
    <row r="22" spans="1:20" x14ac:dyDescent="0.25">
      <c r="A22" t="s">
        <v>14</v>
      </c>
      <c r="B22" t="str">
        <f>_xll.BDP("91282CCJ Govt","TICKER")</f>
        <v>T</v>
      </c>
      <c r="C22">
        <f>_xll.BDP("91282CCJ Govt","CPN")</f>
        <v>0.875</v>
      </c>
      <c r="D22">
        <f>_xll.BDP("91282CCJ Govt","YLD_YTM_BID")</f>
        <v>0.94598860976288879</v>
      </c>
      <c r="E22" t="str">
        <f>_xll.BDP("91282CCJ Govt","MATURITY")</f>
        <v>6/30/2026</v>
      </c>
      <c r="F22" t="str">
        <f>_xll.BDP("91282CCJ Govt","MTY_TYP")</f>
        <v>NORMAL</v>
      </c>
      <c r="G22" t="str">
        <f>_xll.BDP("91282CCJ Govt","CRNCY")</f>
        <v>USD</v>
      </c>
      <c r="H22" t="str">
        <f>_xll.BDP("91282CCJ Govt","COUNTRY_FULL_NAME")</f>
        <v>UNITED STATES</v>
      </c>
      <c r="I22" t="str">
        <f>_xll.BDP("91282CCJ Govt","FIRST_CPN_DT")</f>
        <v>12/31/2021</v>
      </c>
      <c r="J22" t="str">
        <f>_xll.BDP("91282CCJ Govt","COUPON_FREQUENCY_DESCRIPTION")</f>
        <v>S/A</v>
      </c>
      <c r="K22" t="str">
        <f>_xll.BDP("91282CCJ Govt","CPN_TYP")</f>
        <v>FIXED</v>
      </c>
      <c r="L22" t="str">
        <f>_xll.BDP("91282CCJ Govt","ID_ISIN")</f>
        <v>US91282CCJ80</v>
      </c>
      <c r="M22">
        <v>70259000000</v>
      </c>
      <c r="N22">
        <v>70259000000</v>
      </c>
      <c r="O22" t="str">
        <f>_xll.BDP("91282CCJ Govt","ISSUE_DT")</f>
        <v>6/30/2021</v>
      </c>
      <c r="P22" t="str">
        <f>_xll.BDP("91282CCJ Govt","SECURITY_NAME")</f>
        <v>T 0 7/8 06/30/26</v>
      </c>
      <c r="Q22" t="str">
        <f>_xll.BDP("91282CCJ Govt","DAY_CNT_DES")</f>
        <v>ACT/ACT</v>
      </c>
      <c r="R22">
        <v>100</v>
      </c>
      <c r="S22" t="str">
        <f>_xll.BDP("91282CCJ Govt","ID_CUSIP")</f>
        <v>91282CCJ8</v>
      </c>
      <c r="T22" t="str">
        <f>_xll.BDP("91282CCJ Govt","IDX_RATIO")</f>
        <v>#N/A Field Not Applicable</v>
      </c>
    </row>
    <row r="23" spans="1:20" x14ac:dyDescent="0.25">
      <c r="A23" t="s">
        <v>14</v>
      </c>
      <c r="B23" t="str">
        <f>_xll.BDP("9128284V Govt","TICKER")</f>
        <v>T</v>
      </c>
      <c r="C23">
        <f>_xll.BDP("9128284V Govt","CPN")</f>
        <v>2.875</v>
      </c>
      <c r="D23">
        <f>_xll.BDP("9128284V Govt","YLD_YTM_BID")</f>
        <v>1.2758921679980426</v>
      </c>
      <c r="E23" t="str">
        <f>_xll.BDP("9128284V Govt","MATURITY")</f>
        <v>8/15/2028</v>
      </c>
      <c r="F23" t="str">
        <f>_xll.BDP("9128284V Govt","MTY_TYP")</f>
        <v>NORMAL</v>
      </c>
      <c r="G23" t="str">
        <f>_xll.BDP("9128284V Govt","CRNCY")</f>
        <v>USD</v>
      </c>
      <c r="H23" t="str">
        <f>_xll.BDP("9128284V Govt","COUNTRY_FULL_NAME")</f>
        <v>UNITED STATES</v>
      </c>
      <c r="I23" t="str">
        <f>_xll.BDP("9128284V Govt","FIRST_CPN_DT")</f>
        <v>2/15/2019</v>
      </c>
      <c r="J23" t="str">
        <f>_xll.BDP("9128284V Govt","COUPON_FREQUENCY_DESCRIPTION")</f>
        <v>S/A</v>
      </c>
      <c r="K23" t="str">
        <f>_xll.BDP("9128284V Govt","CPN_TYP")</f>
        <v>FIXED</v>
      </c>
      <c r="L23" t="str">
        <f>_xll.BDP("9128284V Govt","ID_ISIN")</f>
        <v>US9128284V99</v>
      </c>
      <c r="M23">
        <v>75496000000</v>
      </c>
      <c r="N23">
        <v>75496000000</v>
      </c>
      <c r="O23" t="str">
        <f>_xll.BDP("9128284V Govt","ISSUE_DT")</f>
        <v>8/15/2018</v>
      </c>
      <c r="P23" t="str">
        <f>_xll.BDP("9128284V Govt","SECURITY_NAME")</f>
        <v>T 2 7/8 08/15/28</v>
      </c>
      <c r="Q23" t="str">
        <f>_xll.BDP("9128284V Govt","DAY_CNT_DES")</f>
        <v>ACT/ACT</v>
      </c>
      <c r="R23">
        <v>100</v>
      </c>
      <c r="S23" t="str">
        <f>_xll.BDP("9128284V Govt","ID_CUSIP")</f>
        <v>9128284V9</v>
      </c>
      <c r="T23" t="str">
        <f>_xll.BDP("9128284V Govt","IDX_RATIO")</f>
        <v>#N/A Field Not Applicable</v>
      </c>
    </row>
    <row r="24" spans="1:20" x14ac:dyDescent="0.25">
      <c r="A24" t="s">
        <v>14</v>
      </c>
      <c r="B24" t="str">
        <f>_xll.BDP("91282CCN Govt","TICKER")</f>
        <v>T</v>
      </c>
      <c r="C24">
        <f>_xll.BDP("91282CCN Govt","CPN")</f>
        <v>0.125</v>
      </c>
      <c r="D24">
        <f>_xll.BDP("91282CCN Govt","YLD_YTM_BID")</f>
        <v>0.24566673419949778</v>
      </c>
      <c r="E24" t="str">
        <f>_xll.BDP("91282CCN Govt","MATURITY")</f>
        <v>7/31/2023</v>
      </c>
      <c r="F24" t="str">
        <f>_xll.BDP("91282CCN Govt","MTY_TYP")</f>
        <v>NORMAL</v>
      </c>
      <c r="G24" t="str">
        <f>_xll.BDP("91282CCN Govt","CRNCY")</f>
        <v>USD</v>
      </c>
      <c r="H24" t="str">
        <f>_xll.BDP("91282CCN Govt","COUNTRY_FULL_NAME")</f>
        <v>UNITED STATES</v>
      </c>
      <c r="I24" t="str">
        <f>_xll.BDP("91282CCN Govt","FIRST_CPN_DT")</f>
        <v>1/31/2022</v>
      </c>
      <c r="J24" t="str">
        <f>_xll.BDP("91282CCN Govt","COUPON_FREQUENCY_DESCRIPTION")</f>
        <v>S/A</v>
      </c>
      <c r="K24" t="str">
        <f>_xll.BDP("91282CCN Govt","CPN_TYP")</f>
        <v>FIXED</v>
      </c>
      <c r="L24" t="str">
        <f>_xll.BDP("91282CCN Govt","ID_ISIN")</f>
        <v>US91282CCN92</v>
      </c>
      <c r="M24">
        <v>65745000000</v>
      </c>
      <c r="N24">
        <v>65745000000</v>
      </c>
      <c r="O24" t="str">
        <f>_xll.BDP("91282CCN Govt","ISSUE_DT")</f>
        <v>8/2/2021</v>
      </c>
      <c r="P24" t="str">
        <f>_xll.BDP("91282CCN Govt","SECURITY_NAME")</f>
        <v>T 0 1/8 07/31/23</v>
      </c>
      <c r="Q24" t="str">
        <f>_xll.BDP("91282CCN Govt","DAY_CNT_DES")</f>
        <v>ACT/ACT</v>
      </c>
      <c r="R24">
        <v>100</v>
      </c>
      <c r="S24" t="str">
        <f>_xll.BDP("91282CCN Govt","ID_CUSIP")</f>
        <v>91282CCN9</v>
      </c>
      <c r="T24" t="str">
        <f>_xll.BDP("91282CCN Govt","IDX_RATIO")</f>
        <v>#N/A Field Not Applicable</v>
      </c>
    </row>
    <row r="25" spans="1:20" x14ac:dyDescent="0.25">
      <c r="A25" t="s">
        <v>14</v>
      </c>
      <c r="B25" t="str">
        <f>_xll.BDP("912828Z9 Govt","TICKER")</f>
        <v>T</v>
      </c>
      <c r="C25">
        <f>_xll.BDP("912828Z9 Govt","CPN")</f>
        <v>1.5</v>
      </c>
      <c r="D25">
        <f>_xll.BDP("912828Z9 Govt","YLD_YTM_BID")</f>
        <v>1.4223501209726575</v>
      </c>
      <c r="E25" t="str">
        <f>_xll.BDP("912828Z9 Govt","MATURITY")</f>
        <v>2/15/2030</v>
      </c>
      <c r="F25" t="str">
        <f>_xll.BDP("912828Z9 Govt","MTY_TYP")</f>
        <v>NORMAL</v>
      </c>
      <c r="G25" t="str">
        <f>_xll.BDP("912828Z9 Govt","CRNCY")</f>
        <v>USD</v>
      </c>
      <c r="H25" t="str">
        <f>_xll.BDP("912828Z9 Govt","COUNTRY_FULL_NAME")</f>
        <v>UNITED STATES</v>
      </c>
      <c r="I25" t="str">
        <f>_xll.BDP("912828Z9 Govt","FIRST_CPN_DT")</f>
        <v>8/15/2020</v>
      </c>
      <c r="J25" t="str">
        <f>_xll.BDP("912828Z9 Govt","COUPON_FREQUENCY_DESCRIPTION")</f>
        <v>S/A</v>
      </c>
      <c r="K25" t="str">
        <f>_xll.BDP("912828Z9 Govt","CPN_TYP")</f>
        <v>FIXED</v>
      </c>
      <c r="L25" t="str">
        <f>_xll.BDP("912828Z9 Govt","ID_ISIN")</f>
        <v>US912828Z948</v>
      </c>
      <c r="M25">
        <v>88113000000</v>
      </c>
      <c r="N25">
        <v>88113000000</v>
      </c>
      <c r="O25" t="str">
        <f>_xll.BDP("912828Z9 Govt","ISSUE_DT")</f>
        <v>2/18/2020</v>
      </c>
      <c r="P25" t="str">
        <f>_xll.BDP("912828Z9 Govt","SECURITY_NAME")</f>
        <v>T 1 1/2 02/15/30</v>
      </c>
      <c r="Q25" t="str">
        <f>_xll.BDP("912828Z9 Govt","DAY_CNT_DES")</f>
        <v>ACT/ACT</v>
      </c>
      <c r="R25">
        <v>100</v>
      </c>
      <c r="S25" t="str">
        <f>_xll.BDP("912828Z9 Govt","ID_CUSIP")</f>
        <v>912828Z94</v>
      </c>
      <c r="T25" t="str">
        <f>_xll.BDP("912828Z9 Govt","IDX_RATIO")</f>
        <v>#N/A Field Not Applicable</v>
      </c>
    </row>
    <row r="26" spans="1:20" x14ac:dyDescent="0.25">
      <c r="A26" t="s">
        <v>14</v>
      </c>
      <c r="B26" t="str">
        <f>_xll.BDP("912828YB Govt","TICKER")</f>
        <v>T</v>
      </c>
      <c r="C26">
        <f>_xll.BDP("912828YB Govt","CPN")</f>
        <v>1.625</v>
      </c>
      <c r="D26">
        <f>_xll.BDP("912828YB Govt","YLD_YTM_BID")</f>
        <v>1.3786698380348552</v>
      </c>
      <c r="E26" t="str">
        <f>_xll.BDP("912828YB Govt","MATURITY")</f>
        <v>8/15/2029</v>
      </c>
      <c r="F26" t="str">
        <f>_xll.BDP("912828YB Govt","MTY_TYP")</f>
        <v>NORMAL</v>
      </c>
      <c r="G26" t="str">
        <f>_xll.BDP("912828YB Govt","CRNCY")</f>
        <v>USD</v>
      </c>
      <c r="H26" t="str">
        <f>_xll.BDP("912828YB Govt","COUNTRY_FULL_NAME")</f>
        <v>UNITED STATES</v>
      </c>
      <c r="I26" t="str">
        <f>_xll.BDP("912828YB Govt","FIRST_CPN_DT")</f>
        <v>2/15/2020</v>
      </c>
      <c r="J26" t="str">
        <f>_xll.BDP("912828YB Govt","COUPON_FREQUENCY_DESCRIPTION")</f>
        <v>S/A</v>
      </c>
      <c r="K26" t="str">
        <f>_xll.BDP("912828YB Govt","CPN_TYP")</f>
        <v>FIXED</v>
      </c>
      <c r="L26" t="str">
        <f>_xll.BDP("912828YB Govt","ID_ISIN")</f>
        <v>US912828YB05</v>
      </c>
      <c r="M26">
        <v>92619000000</v>
      </c>
      <c r="N26">
        <v>92619000000</v>
      </c>
      <c r="O26" t="str">
        <f>_xll.BDP("912828YB Govt","ISSUE_DT")</f>
        <v>8/15/2019</v>
      </c>
      <c r="P26" t="str">
        <f>_xll.BDP("912828YB Govt","SECURITY_NAME")</f>
        <v>T 1 5/8 08/15/29</v>
      </c>
      <c r="Q26" t="str">
        <f>_xll.BDP("912828YB Govt","DAY_CNT_DES")</f>
        <v>ACT/ACT</v>
      </c>
      <c r="R26">
        <v>100</v>
      </c>
      <c r="S26" t="str">
        <f>_xll.BDP("912828YB Govt","ID_CUSIP")</f>
        <v>912828YB0</v>
      </c>
      <c r="T26" t="str">
        <f>_xll.BDP("912828YB Govt","IDX_RATIO")</f>
        <v>#N/A Field Not Applicable</v>
      </c>
    </row>
    <row r="27" spans="1:20" x14ac:dyDescent="0.25">
      <c r="A27" t="s">
        <v>14</v>
      </c>
      <c r="B27" t="str">
        <f>_xll.BDP("912810SN Govt","TICKER")</f>
        <v>T</v>
      </c>
      <c r="C27">
        <f>_xll.BDP("912810SN Govt","CPN")</f>
        <v>1.25</v>
      </c>
      <c r="D27">
        <f>_xll.BDP("912810SN Govt","YLD_YTM_BID")</f>
        <v>2.112744028922839</v>
      </c>
      <c r="E27" t="str">
        <f>_xll.BDP("912810SN Govt","MATURITY")</f>
        <v>5/15/2050</v>
      </c>
      <c r="F27" t="str">
        <f>_xll.BDP("912810SN Govt","MTY_TYP")</f>
        <v>NORMAL</v>
      </c>
      <c r="G27" t="str">
        <f>_xll.BDP("912810SN Govt","CRNCY")</f>
        <v>USD</v>
      </c>
      <c r="H27" t="str">
        <f>_xll.BDP("912810SN Govt","COUNTRY_FULL_NAME")</f>
        <v>UNITED STATES</v>
      </c>
      <c r="I27" t="str">
        <f>_xll.BDP("912810SN Govt","FIRST_CPN_DT")</f>
        <v>11/15/2020</v>
      </c>
      <c r="J27" t="str">
        <f>_xll.BDP("912810SN Govt","COUPON_FREQUENCY_DESCRIPTION")</f>
        <v>S/A</v>
      </c>
      <c r="K27" t="str">
        <f>_xll.BDP("912810SN Govt","CPN_TYP")</f>
        <v>FIXED</v>
      </c>
      <c r="L27" t="str">
        <f>_xll.BDP("912810SN Govt","ID_ISIN")</f>
        <v>US912810SN90</v>
      </c>
      <c r="M27">
        <v>73572000000</v>
      </c>
      <c r="N27">
        <v>73572000000</v>
      </c>
      <c r="O27" t="str">
        <f>_xll.BDP("912810SN Govt","ISSUE_DT")</f>
        <v>5/15/2020</v>
      </c>
      <c r="P27" t="str">
        <f>_xll.BDP("912810SN Govt","SECURITY_NAME")</f>
        <v>T 1 1/4 05/15/50</v>
      </c>
      <c r="Q27" t="str">
        <f>_xll.BDP("912810SN Govt","DAY_CNT_DES")</f>
        <v>ACT/ACT</v>
      </c>
      <c r="R27">
        <v>100</v>
      </c>
      <c r="S27" t="str">
        <f>_xll.BDP("912810SN Govt","ID_CUSIP")</f>
        <v>912810SN9</v>
      </c>
      <c r="T27" t="str">
        <f>_xll.BDP("912810SN Govt","IDX_RATIO")</f>
        <v>#N/A Field Not Applicable</v>
      </c>
    </row>
    <row r="28" spans="1:20" x14ac:dyDescent="0.25">
      <c r="A28" t="s">
        <v>14</v>
      </c>
      <c r="B28" t="str">
        <f>_xll.BDP("912810RV Govt","TICKER")</f>
        <v>T</v>
      </c>
      <c r="C28">
        <f>_xll.BDP("912810RV Govt","CPN")</f>
        <v>3</v>
      </c>
      <c r="D28">
        <f>_xll.BDP("912810RV Govt","YLD_YTM_BID")</f>
        <v>2.0776086738637063</v>
      </c>
      <c r="E28" t="str">
        <f>_xll.BDP("912810RV Govt","MATURITY")</f>
        <v>2/15/2047</v>
      </c>
      <c r="F28" t="str">
        <f>_xll.BDP("912810RV Govt","MTY_TYP")</f>
        <v>NORMAL</v>
      </c>
      <c r="G28" t="str">
        <f>_xll.BDP("912810RV Govt","CRNCY")</f>
        <v>USD</v>
      </c>
      <c r="H28" t="str">
        <f>_xll.BDP("912810RV Govt","COUNTRY_FULL_NAME")</f>
        <v>UNITED STATES</v>
      </c>
      <c r="I28" t="str">
        <f>_xll.BDP("912810RV Govt","FIRST_CPN_DT")</f>
        <v>8/15/2017</v>
      </c>
      <c r="J28" t="str">
        <f>_xll.BDP("912810RV Govt","COUPON_FREQUENCY_DESCRIPTION")</f>
        <v>S/A</v>
      </c>
      <c r="K28" t="str">
        <f>_xll.BDP("912810RV Govt","CPN_TYP")</f>
        <v>FIXED</v>
      </c>
      <c r="L28" t="str">
        <f>_xll.BDP("912810RV Govt","ID_ISIN")</f>
        <v>US912810RV26</v>
      </c>
      <c r="M28">
        <v>40831000000</v>
      </c>
      <c r="N28">
        <v>40831000000</v>
      </c>
      <c r="O28" t="str">
        <f>_xll.BDP("912810RV Govt","ISSUE_DT")</f>
        <v>2/15/2017</v>
      </c>
      <c r="P28" t="str">
        <f>_xll.BDP("912810RV Govt","SECURITY_NAME")</f>
        <v>T 3 02/15/47</v>
      </c>
      <c r="Q28" t="str">
        <f>_xll.BDP("912810RV Govt","DAY_CNT_DES")</f>
        <v>ACT/ACT</v>
      </c>
      <c r="R28">
        <v>100</v>
      </c>
      <c r="S28" t="str">
        <f>_xll.BDP("912810RV Govt","ID_CUSIP")</f>
        <v>912810RV2</v>
      </c>
      <c r="T28" t="str">
        <f>_xll.BDP("912810RV Govt","IDX_RATIO")</f>
        <v>#N/A Field Not Applicable</v>
      </c>
    </row>
    <row r="29" spans="1:20" x14ac:dyDescent="0.25">
      <c r="A29" t="s">
        <v>14</v>
      </c>
      <c r="B29" t="str">
        <f>_xll.BDP("91282CBW Govt","TICKER")</f>
        <v>T</v>
      </c>
      <c r="C29">
        <f>_xll.BDP("91282CBW Govt","CPN")</f>
        <v>0.75</v>
      </c>
      <c r="D29">
        <f>_xll.BDP("91282CBW Govt","YLD_YTM_BID")</f>
        <v>0.9109789565257318</v>
      </c>
      <c r="E29" t="str">
        <f>_xll.BDP("91282CBW Govt","MATURITY")</f>
        <v>4/30/2026</v>
      </c>
      <c r="F29" t="str">
        <f>_xll.BDP("91282CBW Govt","MTY_TYP")</f>
        <v>NORMAL</v>
      </c>
      <c r="G29" t="str">
        <f>_xll.BDP("91282CBW Govt","CRNCY")</f>
        <v>USD</v>
      </c>
      <c r="H29" t="str">
        <f>_xll.BDP("91282CBW Govt","COUNTRY_FULL_NAME")</f>
        <v>UNITED STATES</v>
      </c>
      <c r="I29" t="str">
        <f>_xll.BDP("91282CBW Govt","FIRST_CPN_DT")</f>
        <v>10/31/2021</v>
      </c>
      <c r="J29" t="str">
        <f>_xll.BDP("91282CBW Govt","COUPON_FREQUENCY_DESCRIPTION")</f>
        <v>S/A</v>
      </c>
      <c r="K29" t="str">
        <f>_xll.BDP("91282CBW Govt","CPN_TYP")</f>
        <v>FIXED</v>
      </c>
      <c r="L29" t="str">
        <f>_xll.BDP("91282CBW Govt","ID_ISIN")</f>
        <v>US91282CBW01</v>
      </c>
      <c r="M29">
        <v>72649000000</v>
      </c>
      <c r="N29">
        <v>72649000000</v>
      </c>
      <c r="O29" t="str">
        <f>_xll.BDP("91282CBW Govt","ISSUE_DT")</f>
        <v>4/30/2021</v>
      </c>
      <c r="P29" t="str">
        <f>_xll.BDP("91282CBW Govt","SECURITY_NAME")</f>
        <v>T 0 3/4 04/30/26</v>
      </c>
      <c r="Q29" t="str">
        <f>_xll.BDP("91282CBW Govt","DAY_CNT_DES")</f>
        <v>ACT/ACT</v>
      </c>
      <c r="R29">
        <v>100</v>
      </c>
      <c r="S29" t="str">
        <f>_xll.BDP("91282CBW Govt","ID_CUSIP")</f>
        <v>91282CBW0</v>
      </c>
      <c r="T29" t="str">
        <f>_xll.BDP("91282CBW Govt","IDX_RATIO")</f>
        <v>#N/A Field Not Applicable</v>
      </c>
    </row>
    <row r="30" spans="1:20" x14ac:dyDescent="0.25">
      <c r="A30" t="s">
        <v>14</v>
      </c>
      <c r="B30" t="str">
        <f>_xll.BDP("91282CBQ Govt","TICKER")</f>
        <v>T</v>
      </c>
      <c r="C30">
        <f>_xll.BDP("91282CBQ Govt","CPN")</f>
        <v>0.5</v>
      </c>
      <c r="D30">
        <f>_xll.BDP("91282CBQ Govt","YLD_YTM_BID")</f>
        <v>0.88272614750630685</v>
      </c>
      <c r="E30" t="str">
        <f>_xll.BDP("91282CBQ Govt","MATURITY")</f>
        <v>2/28/2026</v>
      </c>
      <c r="F30" t="str">
        <f>_xll.BDP("91282CBQ Govt","MTY_TYP")</f>
        <v>NORMAL</v>
      </c>
      <c r="G30" t="str">
        <f>_xll.BDP("91282CBQ Govt","CRNCY")</f>
        <v>USD</v>
      </c>
      <c r="H30" t="str">
        <f>_xll.BDP("91282CBQ Govt","COUNTRY_FULL_NAME")</f>
        <v>UNITED STATES</v>
      </c>
      <c r="I30" t="str">
        <f>_xll.BDP("91282CBQ Govt","FIRST_CPN_DT")</f>
        <v>8/31/2021</v>
      </c>
      <c r="J30" t="str">
        <f>_xll.BDP("91282CBQ Govt","COUPON_FREQUENCY_DESCRIPTION")</f>
        <v>S/A</v>
      </c>
      <c r="K30" t="str">
        <f>_xll.BDP("91282CBQ Govt","CPN_TYP")</f>
        <v>FIXED</v>
      </c>
      <c r="L30" t="str">
        <f>_xll.BDP("91282CBQ Govt","ID_ISIN")</f>
        <v>US91282CBQ33</v>
      </c>
      <c r="M30">
        <v>74214000000</v>
      </c>
      <c r="N30">
        <v>74214000000</v>
      </c>
      <c r="O30" t="str">
        <f>_xll.BDP("91282CBQ Govt","ISSUE_DT")</f>
        <v>3/1/2021</v>
      </c>
      <c r="P30" t="str">
        <f>_xll.BDP("91282CBQ Govt","SECURITY_NAME")</f>
        <v>T 0 1/2 02/28/26</v>
      </c>
      <c r="Q30" t="str">
        <f>_xll.BDP("91282CBQ Govt","DAY_CNT_DES")</f>
        <v>ACT/ACT</v>
      </c>
      <c r="R30">
        <v>100</v>
      </c>
      <c r="S30" t="str">
        <f>_xll.BDP("91282CBQ Govt","ID_CUSIP")</f>
        <v>91282CBQ3</v>
      </c>
      <c r="T30" t="str">
        <f>_xll.BDP("91282CBQ Govt","IDX_RATIO")</f>
        <v>#N/A Field Not Applicable</v>
      </c>
    </row>
    <row r="31" spans="1:20" x14ac:dyDescent="0.25">
      <c r="A31" t="s">
        <v>14</v>
      </c>
      <c r="B31" t="str">
        <f>_xll.BDP("912828ZQ Govt","TICKER")</f>
        <v>T</v>
      </c>
      <c r="C31">
        <f>_xll.BDP("912828ZQ Govt","CPN")</f>
        <v>0.625</v>
      </c>
      <c r="D31">
        <f>_xll.BDP("912828ZQ Govt","YLD_YTM_BID")</f>
        <v>1.4562771776093719</v>
      </c>
      <c r="E31" t="str">
        <f>_xll.BDP("912828ZQ Govt","MATURITY")</f>
        <v>5/15/2030</v>
      </c>
      <c r="F31" t="str">
        <f>_xll.BDP("912828ZQ Govt","MTY_TYP")</f>
        <v>NORMAL</v>
      </c>
      <c r="G31" t="str">
        <f>_xll.BDP("912828ZQ Govt","CRNCY")</f>
        <v>USD</v>
      </c>
      <c r="H31" t="str">
        <f>_xll.BDP("912828ZQ Govt","COUNTRY_FULL_NAME")</f>
        <v>UNITED STATES</v>
      </c>
      <c r="I31" t="str">
        <f>_xll.BDP("912828ZQ Govt","FIRST_CPN_DT")</f>
        <v>11/15/2020</v>
      </c>
      <c r="J31" t="str">
        <f>_xll.BDP("912828ZQ Govt","COUPON_FREQUENCY_DESCRIPTION")</f>
        <v>S/A</v>
      </c>
      <c r="K31" t="str">
        <f>_xll.BDP("912828ZQ Govt","CPN_TYP")</f>
        <v>FIXED</v>
      </c>
      <c r="L31" t="str">
        <f>_xll.BDP("912828ZQ Govt","ID_ISIN")</f>
        <v>US912828ZQ64</v>
      </c>
      <c r="M31">
        <v>109880000000</v>
      </c>
      <c r="N31">
        <v>109880000000</v>
      </c>
      <c r="O31" t="str">
        <f>_xll.BDP("912828ZQ Govt","ISSUE_DT")</f>
        <v>5/15/2020</v>
      </c>
      <c r="P31" t="str">
        <f>_xll.BDP("912828ZQ Govt","SECURITY_NAME")</f>
        <v>T 0 5/8 05/15/30</v>
      </c>
      <c r="Q31" t="str">
        <f>_xll.BDP("912828ZQ Govt","DAY_CNT_DES")</f>
        <v>ACT/ACT</v>
      </c>
      <c r="R31">
        <v>100</v>
      </c>
      <c r="S31" t="str">
        <f>_xll.BDP("912828ZQ Govt","ID_CUSIP")</f>
        <v>912828ZQ6</v>
      </c>
      <c r="T31" t="str">
        <f>_xll.BDP("912828ZQ Govt","IDX_RATIO")</f>
        <v>#N/A Field Not Applicable</v>
      </c>
    </row>
    <row r="32" spans="1:20" x14ac:dyDescent="0.25">
      <c r="A32" t="s">
        <v>14</v>
      </c>
      <c r="B32" t="str">
        <f>_xll.BDP("91282CCL Govt","TICKER")</f>
        <v>T</v>
      </c>
      <c r="C32">
        <f>_xll.BDP("91282CCL Govt","CPN")</f>
        <v>0.375</v>
      </c>
      <c r="D32">
        <f>_xll.BDP("91282CCL Govt","YLD_YTM_BID")</f>
        <v>0.47998709917162996</v>
      </c>
      <c r="E32" t="str">
        <f>_xll.BDP("91282CCL Govt","MATURITY")</f>
        <v>7/15/2024</v>
      </c>
      <c r="F32" t="str">
        <f>_xll.BDP("91282CCL Govt","MTY_TYP")</f>
        <v>NORMAL</v>
      </c>
      <c r="G32" t="str">
        <f>_xll.BDP("91282CCL Govt","CRNCY")</f>
        <v>USD</v>
      </c>
      <c r="H32" t="str">
        <f>_xll.BDP("91282CCL Govt","COUNTRY_FULL_NAME")</f>
        <v>UNITED STATES</v>
      </c>
      <c r="I32" t="str">
        <f>_xll.BDP("91282CCL Govt","FIRST_CPN_DT")</f>
        <v>1/15/2022</v>
      </c>
      <c r="J32" t="str">
        <f>_xll.BDP("91282CCL Govt","COUPON_FREQUENCY_DESCRIPTION")</f>
        <v>S/A</v>
      </c>
      <c r="K32" t="str">
        <f>_xll.BDP("91282CCL Govt","CPN_TYP")</f>
        <v>FIXED</v>
      </c>
      <c r="L32" t="str">
        <f>_xll.BDP("91282CCL Govt","ID_ISIN")</f>
        <v>US91282CCL37</v>
      </c>
      <c r="M32">
        <v>67548000000</v>
      </c>
      <c r="N32">
        <v>67548000000</v>
      </c>
      <c r="O32" t="str">
        <f>_xll.BDP("91282CCL Govt","ISSUE_DT")</f>
        <v>7/15/2021</v>
      </c>
      <c r="P32" t="str">
        <f>_xll.BDP("91282CCL Govt","SECURITY_NAME")</f>
        <v>T 0 3/8 07/15/24</v>
      </c>
      <c r="Q32" t="str">
        <f>_xll.BDP("91282CCL Govt","DAY_CNT_DES")</f>
        <v>ACT/ACT</v>
      </c>
      <c r="R32">
        <v>100</v>
      </c>
      <c r="S32" t="str">
        <f>_xll.BDP("91282CCL Govt","ID_CUSIP")</f>
        <v>91282CCL3</v>
      </c>
      <c r="T32" t="str">
        <f>_xll.BDP("91282CCL Govt","IDX_RATIO")</f>
        <v>#N/A Field Not Applicable</v>
      </c>
    </row>
    <row r="33" spans="1:20" x14ac:dyDescent="0.25">
      <c r="A33" t="s">
        <v>14</v>
      </c>
      <c r="B33" t="str">
        <f>_xll.BDP("91282CCK Govt","TICKER")</f>
        <v>T</v>
      </c>
      <c r="C33">
        <f>_xll.BDP("91282CCK Govt","CPN")</f>
        <v>0.125</v>
      </c>
      <c r="D33">
        <f>_xll.BDP("91282CCK Govt","YLD_YTM_BID")</f>
        <v>0.22664273705316351</v>
      </c>
      <c r="E33" t="str">
        <f>_xll.BDP("91282CCK Govt","MATURITY")</f>
        <v>6/30/2023</v>
      </c>
      <c r="F33" t="str">
        <f>_xll.BDP("91282CCK Govt","MTY_TYP")</f>
        <v>NORMAL</v>
      </c>
      <c r="G33" t="str">
        <f>_xll.BDP("91282CCK Govt","CRNCY")</f>
        <v>USD</v>
      </c>
      <c r="H33" t="str">
        <f>_xll.BDP("91282CCK Govt","COUNTRY_FULL_NAME")</f>
        <v>UNITED STATES</v>
      </c>
      <c r="I33" t="str">
        <f>_xll.BDP("91282CCK Govt","FIRST_CPN_DT")</f>
        <v>12/31/2021</v>
      </c>
      <c r="J33" t="str">
        <f>_xll.BDP("91282CCK Govt","COUPON_FREQUENCY_DESCRIPTION")</f>
        <v>S/A</v>
      </c>
      <c r="K33" t="str">
        <f>_xll.BDP("91282CCK Govt","CPN_TYP")</f>
        <v>FIXED</v>
      </c>
      <c r="L33" t="str">
        <f>_xll.BDP("91282CCK Govt","ID_ISIN")</f>
        <v>US91282CCK53</v>
      </c>
      <c r="M33">
        <v>69107000000</v>
      </c>
      <c r="N33">
        <v>69107000000</v>
      </c>
      <c r="O33" t="str">
        <f>_xll.BDP("91282CCK Govt","ISSUE_DT")</f>
        <v>6/30/2021</v>
      </c>
      <c r="P33" t="str">
        <f>_xll.BDP("91282CCK Govt","SECURITY_NAME")</f>
        <v>T 0 1/8 06/30/23</v>
      </c>
      <c r="Q33" t="str">
        <f>_xll.BDP("91282CCK Govt","DAY_CNT_DES")</f>
        <v>ACT/ACT</v>
      </c>
      <c r="R33">
        <v>100</v>
      </c>
      <c r="S33" t="str">
        <f>_xll.BDP("91282CCK Govt","ID_CUSIP")</f>
        <v>91282CCK5</v>
      </c>
      <c r="T33" t="str">
        <f>_xll.BDP("91282CCK Govt","IDX_RATIO")</f>
        <v>#N/A Field Not Applicable</v>
      </c>
    </row>
    <row r="34" spans="1:20" x14ac:dyDescent="0.25">
      <c r="A34" t="s">
        <v>14</v>
      </c>
      <c r="B34" t="str">
        <f>_xll.BDP("91282CCF Govt","TICKER")</f>
        <v>T</v>
      </c>
      <c r="C34">
        <f>_xll.BDP("91282CCF Govt","CPN")</f>
        <v>0.75</v>
      </c>
      <c r="D34">
        <f>_xll.BDP("91282CCF Govt","YLD_YTM_BID")</f>
        <v>0.92888681618745872</v>
      </c>
      <c r="E34" t="str">
        <f>_xll.BDP("91282CCF Govt","MATURITY")</f>
        <v>5/31/2026</v>
      </c>
      <c r="F34" t="str">
        <f>_xll.BDP("91282CCF Govt","MTY_TYP")</f>
        <v>NORMAL</v>
      </c>
      <c r="G34" t="str">
        <f>_xll.BDP("91282CCF Govt","CRNCY")</f>
        <v>USD</v>
      </c>
      <c r="H34" t="str">
        <f>_xll.BDP("91282CCF Govt","COUNTRY_FULL_NAME")</f>
        <v>UNITED STATES</v>
      </c>
      <c r="I34" t="str">
        <f>_xll.BDP("91282CCF Govt","FIRST_CPN_DT")</f>
        <v>11/30/2021</v>
      </c>
      <c r="J34" t="str">
        <f>_xll.BDP("91282CCF Govt","COUPON_FREQUENCY_DESCRIPTION")</f>
        <v>S/A</v>
      </c>
      <c r="K34" t="str">
        <f>_xll.BDP("91282CCF Govt","CPN_TYP")</f>
        <v>FIXED</v>
      </c>
      <c r="L34" t="str">
        <f>_xll.BDP("91282CCF Govt","ID_ISIN")</f>
        <v>US91282CCF68</v>
      </c>
      <c r="M34">
        <v>72840000000</v>
      </c>
      <c r="N34">
        <v>72840000000</v>
      </c>
      <c r="O34" t="str">
        <f>_xll.BDP("91282CCF Govt","ISSUE_DT")</f>
        <v>6/1/2021</v>
      </c>
      <c r="P34" t="str">
        <f>_xll.BDP("91282CCF Govt","SECURITY_NAME")</f>
        <v>T 0 3/4 05/31/26</v>
      </c>
      <c r="Q34" t="str">
        <f>_xll.BDP("91282CCF Govt","DAY_CNT_DES")</f>
        <v>ACT/ACT</v>
      </c>
      <c r="R34">
        <v>100</v>
      </c>
      <c r="S34" t="str">
        <f>_xll.BDP("91282CCF Govt","ID_CUSIP")</f>
        <v>91282CCF6</v>
      </c>
      <c r="T34" t="str">
        <f>_xll.BDP("91282CCF Govt","IDX_RATIO")</f>
        <v>#N/A Field Not Applicable</v>
      </c>
    </row>
    <row r="35" spans="1:20" x14ac:dyDescent="0.25">
      <c r="A35" t="s">
        <v>14</v>
      </c>
      <c r="B35" t="str">
        <f>_xll.BDP("912810SP Govt","TICKER")</f>
        <v>T</v>
      </c>
      <c r="C35">
        <f>_xll.BDP("912810SP Govt","CPN")</f>
        <v>1.375</v>
      </c>
      <c r="D35">
        <f>_xll.BDP("912810SP Govt","YLD_YTM_BID")</f>
        <v>2.1132869426489322</v>
      </c>
      <c r="E35" t="str">
        <f>_xll.BDP("912810SP Govt","MATURITY")</f>
        <v>8/15/2050</v>
      </c>
      <c r="F35" t="str">
        <f>_xll.BDP("912810SP Govt","MTY_TYP")</f>
        <v>NORMAL</v>
      </c>
      <c r="G35" t="str">
        <f>_xll.BDP("912810SP Govt","CRNCY")</f>
        <v>USD</v>
      </c>
      <c r="H35" t="str">
        <f>_xll.BDP("912810SP Govt","COUNTRY_FULL_NAME")</f>
        <v>UNITED STATES</v>
      </c>
      <c r="I35" t="str">
        <f>_xll.BDP("912810SP Govt","FIRST_CPN_DT")</f>
        <v>2/15/2021</v>
      </c>
      <c r="J35" t="str">
        <f>_xll.BDP("912810SP Govt","COUPON_FREQUENCY_DESCRIPTION")</f>
        <v>S/A</v>
      </c>
      <c r="K35" t="str">
        <f>_xll.BDP("912810SP Govt","CPN_TYP")</f>
        <v>FIXED</v>
      </c>
      <c r="L35" t="str">
        <f>_xll.BDP("912810SP Govt","ID_ISIN")</f>
        <v>US912810SP49</v>
      </c>
      <c r="M35">
        <v>89053000000</v>
      </c>
      <c r="N35">
        <v>89053000000</v>
      </c>
      <c r="O35" t="str">
        <f>_xll.BDP("912810SP Govt","ISSUE_DT")</f>
        <v>8/17/2020</v>
      </c>
      <c r="P35" t="str">
        <f>_xll.BDP("912810SP Govt","SECURITY_NAME")</f>
        <v>T 1 3/8 08/15/50</v>
      </c>
      <c r="Q35" t="str">
        <f>_xll.BDP("912810SP Govt","DAY_CNT_DES")</f>
        <v>ACT/ACT</v>
      </c>
      <c r="R35">
        <v>100</v>
      </c>
      <c r="S35" t="str">
        <f>_xll.BDP("912810SP Govt","ID_CUSIP")</f>
        <v>912810SP4</v>
      </c>
      <c r="T35" t="str">
        <f>_xll.BDP("912810SP Govt","IDX_RATIO")</f>
        <v>#N/A Field Not Applicable</v>
      </c>
    </row>
    <row r="36" spans="1:20" x14ac:dyDescent="0.25">
      <c r="A36" t="s">
        <v>14</v>
      </c>
      <c r="B36" t="str">
        <f>_xll.BDP("91282CCH Govt","TICKER")</f>
        <v>T</v>
      </c>
      <c r="C36">
        <f>_xll.BDP("91282CCH Govt","CPN")</f>
        <v>1.25</v>
      </c>
      <c r="D36">
        <f>_xll.BDP("91282CCH Govt","YLD_YTM_BID")</f>
        <v>1.281504922058277</v>
      </c>
      <c r="E36" t="str">
        <f>_xll.BDP("91282CCH Govt","MATURITY")</f>
        <v>6/30/2028</v>
      </c>
      <c r="F36" t="str">
        <f>_xll.BDP("91282CCH Govt","MTY_TYP")</f>
        <v>NORMAL</v>
      </c>
      <c r="G36" t="str">
        <f>_xll.BDP("91282CCH Govt","CRNCY")</f>
        <v>USD</v>
      </c>
      <c r="H36" t="str">
        <f>_xll.BDP("91282CCH Govt","COUNTRY_FULL_NAME")</f>
        <v>UNITED STATES</v>
      </c>
      <c r="I36" t="str">
        <f>_xll.BDP("91282CCH Govt","FIRST_CPN_DT")</f>
        <v>12/31/2021</v>
      </c>
      <c r="J36" t="str">
        <f>_xll.BDP("91282CCH Govt","COUPON_FREQUENCY_DESCRIPTION")</f>
        <v>S/A</v>
      </c>
      <c r="K36" t="str">
        <f>_xll.BDP("91282CCH Govt","CPN_TYP")</f>
        <v>FIXED</v>
      </c>
      <c r="L36" t="str">
        <f>_xll.BDP("91282CCH Govt","ID_ISIN")</f>
        <v>US91282CCH25</v>
      </c>
      <c r="M36">
        <v>71410000000</v>
      </c>
      <c r="N36">
        <v>71410000000</v>
      </c>
      <c r="O36" t="str">
        <f>_xll.BDP("91282CCH Govt","ISSUE_DT")</f>
        <v>6/30/2021</v>
      </c>
      <c r="P36" t="str">
        <f>_xll.BDP("91282CCH Govt","SECURITY_NAME")</f>
        <v>T 1 1/4 06/30/28</v>
      </c>
      <c r="Q36" t="str">
        <f>_xll.BDP("91282CCH Govt","DAY_CNT_DES")</f>
        <v>ACT/ACT</v>
      </c>
      <c r="R36">
        <v>100</v>
      </c>
      <c r="S36" t="str">
        <f>_xll.BDP("91282CCH Govt","ID_CUSIP")</f>
        <v>91282CCH2</v>
      </c>
      <c r="T36" t="str">
        <f>_xll.BDP("91282CCH Govt","IDX_RATIO")</f>
        <v>#N/A Field Not Applicable</v>
      </c>
    </row>
    <row r="37" spans="1:20" x14ac:dyDescent="0.25">
      <c r="A37" t="s">
        <v>14</v>
      </c>
      <c r="B37" t="str">
        <f>_xll.BDP("912810SS Govt","TICKER")</f>
        <v>T</v>
      </c>
      <c r="C37">
        <f>_xll.BDP("912810SS Govt","CPN")</f>
        <v>1.625</v>
      </c>
      <c r="D37">
        <f>_xll.BDP("912810SS Govt","YLD_YTM_BID")</f>
        <v>2.1079986990350177</v>
      </c>
      <c r="E37" t="str">
        <f>_xll.BDP("912810SS Govt","MATURITY")</f>
        <v>11/15/2050</v>
      </c>
      <c r="F37" t="str">
        <f>_xll.BDP("912810SS Govt","MTY_TYP")</f>
        <v>NORMAL</v>
      </c>
      <c r="G37" t="str">
        <f>_xll.BDP("912810SS Govt","CRNCY")</f>
        <v>USD</v>
      </c>
      <c r="H37" t="str">
        <f>_xll.BDP("912810SS Govt","COUNTRY_FULL_NAME")</f>
        <v>UNITED STATES</v>
      </c>
      <c r="I37" t="str">
        <f>_xll.BDP("912810SS Govt","FIRST_CPN_DT")</f>
        <v>5/15/2021</v>
      </c>
      <c r="J37" t="str">
        <f>_xll.BDP("912810SS Govt","COUPON_FREQUENCY_DESCRIPTION")</f>
        <v>S/A</v>
      </c>
      <c r="K37" t="str">
        <f>_xll.BDP("912810SS Govt","CPN_TYP")</f>
        <v>FIXED</v>
      </c>
      <c r="L37" t="str">
        <f>_xll.BDP("912810SS Govt","ID_ISIN")</f>
        <v>US912810SS87</v>
      </c>
      <c r="M37">
        <v>85838000000</v>
      </c>
      <c r="N37">
        <v>85838000000</v>
      </c>
      <c r="O37" t="str">
        <f>_xll.BDP("912810SS Govt","ISSUE_DT")</f>
        <v>11/16/2020</v>
      </c>
      <c r="P37" t="str">
        <f>_xll.BDP("912810SS Govt","SECURITY_NAME")</f>
        <v>T 1 5/8 11/15/50</v>
      </c>
      <c r="Q37" t="str">
        <f>_xll.BDP("912810SS Govt","DAY_CNT_DES")</f>
        <v>ACT/ACT</v>
      </c>
      <c r="R37">
        <v>100</v>
      </c>
      <c r="S37" t="str">
        <f>_xll.BDP("912810SS Govt","ID_CUSIP")</f>
        <v>912810SS8</v>
      </c>
      <c r="T37" t="str">
        <f>_xll.BDP("912810SS Govt","IDX_RATIO")</f>
        <v>#N/A Field Not Applicable</v>
      </c>
    </row>
    <row r="38" spans="1:20" x14ac:dyDescent="0.25">
      <c r="A38" t="s">
        <v>14</v>
      </c>
      <c r="B38" t="str">
        <f>_xll.BDP("912828YS Govt","TICKER")</f>
        <v>T</v>
      </c>
      <c r="C38">
        <f>_xll.BDP("912828YS Govt","CPN")</f>
        <v>1.75</v>
      </c>
      <c r="D38">
        <f>_xll.BDP("912828YS Govt","YLD_YTM_BID")</f>
        <v>1.3921548193823872</v>
      </c>
      <c r="E38" t="str">
        <f>_xll.BDP("912828YS Govt","MATURITY")</f>
        <v>11/15/2029</v>
      </c>
      <c r="F38" t="str">
        <f>_xll.BDP("912828YS Govt","MTY_TYP")</f>
        <v>NORMAL</v>
      </c>
      <c r="G38" t="str">
        <f>_xll.BDP("912828YS Govt","CRNCY")</f>
        <v>USD</v>
      </c>
      <c r="H38" t="str">
        <f>_xll.BDP("912828YS Govt","COUNTRY_FULL_NAME")</f>
        <v>UNITED STATES</v>
      </c>
      <c r="I38" t="str">
        <f>_xll.BDP("912828YS Govt","FIRST_CPN_DT")</f>
        <v>5/15/2020</v>
      </c>
      <c r="J38" t="str">
        <f>_xll.BDP("912828YS Govt","COUPON_FREQUENCY_DESCRIPTION")</f>
        <v>S/A</v>
      </c>
      <c r="K38" t="str">
        <f>_xll.BDP("912828YS Govt","CPN_TYP")</f>
        <v>FIXED</v>
      </c>
      <c r="L38" t="str">
        <f>_xll.BDP("912828YS Govt","ID_ISIN")</f>
        <v>US912828YS30</v>
      </c>
      <c r="M38">
        <v>88553000000</v>
      </c>
      <c r="N38">
        <v>88553000000</v>
      </c>
      <c r="O38" t="str">
        <f>_xll.BDP("912828YS Govt","ISSUE_DT")</f>
        <v>11/15/2019</v>
      </c>
      <c r="P38" t="str">
        <f>_xll.BDP("912828YS Govt","SECURITY_NAME")</f>
        <v>T 1 3/4 11/15/29</v>
      </c>
      <c r="Q38" t="str">
        <f>_xll.BDP("912828YS Govt","DAY_CNT_DES")</f>
        <v>ACT/ACT</v>
      </c>
      <c r="R38">
        <v>100</v>
      </c>
      <c r="S38" t="str">
        <f>_xll.BDP("912828YS Govt","ID_CUSIP")</f>
        <v>912828YS3</v>
      </c>
      <c r="T38" t="str">
        <f>_xll.BDP("912828YS Govt","IDX_RATIO")</f>
        <v>#N/A Field Not Applicable</v>
      </c>
    </row>
    <row r="39" spans="1:20" x14ac:dyDescent="0.25">
      <c r="A39" t="s">
        <v>14</v>
      </c>
      <c r="B39" t="str">
        <f>_xll.BDP("91282CAT Govt","TICKER")</f>
        <v>T</v>
      </c>
      <c r="C39">
        <f>_xll.BDP("91282CAT Govt","CPN")</f>
        <v>0.25</v>
      </c>
      <c r="D39">
        <f>_xll.BDP("91282CAT Govt","YLD_YTM_BID")</f>
        <v>0.81144262316830573</v>
      </c>
      <c r="E39" t="str">
        <f>_xll.BDP("91282CAT Govt","MATURITY")</f>
        <v>10/31/2025</v>
      </c>
      <c r="F39" t="str">
        <f>_xll.BDP("91282CAT Govt","MTY_TYP")</f>
        <v>NORMAL</v>
      </c>
      <c r="G39" t="str">
        <f>_xll.BDP("91282CAT Govt","CRNCY")</f>
        <v>USD</v>
      </c>
      <c r="H39" t="str">
        <f>_xll.BDP("91282CAT Govt","COUNTRY_FULL_NAME")</f>
        <v>UNITED STATES</v>
      </c>
      <c r="I39" t="str">
        <f>_xll.BDP("91282CAT Govt","FIRST_CPN_DT")</f>
        <v>4/30/2021</v>
      </c>
      <c r="J39" t="str">
        <f>_xll.BDP("91282CAT Govt","COUPON_FREQUENCY_DESCRIPTION")</f>
        <v>S/A</v>
      </c>
      <c r="K39" t="str">
        <f>_xll.BDP("91282CAT Govt","CPN_TYP")</f>
        <v>FIXED</v>
      </c>
      <c r="L39" t="str">
        <f>_xll.BDP("91282CAT Govt","ID_ISIN")</f>
        <v>US91282CAT80</v>
      </c>
      <c r="M39">
        <v>60835000000</v>
      </c>
      <c r="N39">
        <v>60835000000</v>
      </c>
      <c r="O39" t="str">
        <f>_xll.BDP("91282CAT Govt","ISSUE_DT")</f>
        <v>11/2/2020</v>
      </c>
      <c r="P39" t="str">
        <f>_xll.BDP("91282CAT Govt","SECURITY_NAME")</f>
        <v>T 0 1/4 10/31/25</v>
      </c>
      <c r="Q39" t="str">
        <f>_xll.BDP("91282CAT Govt","DAY_CNT_DES")</f>
        <v>ACT/ACT</v>
      </c>
      <c r="R39">
        <v>100</v>
      </c>
      <c r="S39" t="str">
        <f>_xll.BDP("91282CAT Govt","ID_CUSIP")</f>
        <v>91282CAT8</v>
      </c>
      <c r="T39" t="str">
        <f>_xll.BDP("91282CAT Govt","IDX_RATIO")</f>
        <v>#N/A Field Not Applicable</v>
      </c>
    </row>
    <row r="40" spans="1:20" x14ac:dyDescent="0.25">
      <c r="A40" t="s">
        <v>14</v>
      </c>
      <c r="B40" t="str">
        <f>_xll.BDP("912810SL Govt","TICKER")</f>
        <v>T</v>
      </c>
      <c r="C40">
        <f>_xll.BDP("912810SL Govt","CPN")</f>
        <v>2</v>
      </c>
      <c r="D40">
        <f>_xll.BDP("912810SL Govt","YLD_YTM_BID")</f>
        <v>2.0975458082712626</v>
      </c>
      <c r="E40" t="str">
        <f>_xll.BDP("912810SL Govt","MATURITY")</f>
        <v>2/15/2050</v>
      </c>
      <c r="F40" t="str">
        <f>_xll.BDP("912810SL Govt","MTY_TYP")</f>
        <v>NORMAL</v>
      </c>
      <c r="G40" t="str">
        <f>_xll.BDP("912810SL Govt","CRNCY")</f>
        <v>USD</v>
      </c>
      <c r="H40" t="str">
        <f>_xll.BDP("912810SL Govt","COUNTRY_FULL_NAME")</f>
        <v>UNITED STATES</v>
      </c>
      <c r="I40" t="str">
        <f>_xll.BDP("912810SL Govt","FIRST_CPN_DT")</f>
        <v>8/15/2020</v>
      </c>
      <c r="J40" t="str">
        <f>_xll.BDP("912810SL Govt","COUPON_FREQUENCY_DESCRIPTION")</f>
        <v>S/A</v>
      </c>
      <c r="K40" t="str">
        <f>_xll.BDP("912810SL Govt","CPN_TYP")</f>
        <v>FIXED</v>
      </c>
      <c r="L40" t="str">
        <f>_xll.BDP("912810SL Govt","ID_ISIN")</f>
        <v>US912810SL35</v>
      </c>
      <c r="M40">
        <v>60521000000</v>
      </c>
      <c r="N40">
        <v>60521000000</v>
      </c>
      <c r="O40" t="str">
        <f>_xll.BDP("912810SL Govt","ISSUE_DT")</f>
        <v>2/18/2020</v>
      </c>
      <c r="P40" t="str">
        <f>_xll.BDP("912810SL Govt","SECURITY_NAME")</f>
        <v>T 2 02/15/50</v>
      </c>
      <c r="Q40" t="str">
        <f>_xll.BDP("912810SL Govt","DAY_CNT_DES")</f>
        <v>ACT/ACT</v>
      </c>
      <c r="R40">
        <v>100</v>
      </c>
      <c r="S40" t="str">
        <f>_xll.BDP("912810SL Govt","ID_CUSIP")</f>
        <v>912810SL3</v>
      </c>
      <c r="T40" t="str">
        <f>_xll.BDP("912810SL Govt","IDX_RATIO")</f>
        <v>#N/A Field Not Applicable</v>
      </c>
    </row>
    <row r="41" spans="1:20" x14ac:dyDescent="0.25">
      <c r="A41" t="s">
        <v>14</v>
      </c>
      <c r="B41" t="str">
        <f>_xll.BDP("91282CBC Govt","TICKER")</f>
        <v>T</v>
      </c>
      <c r="C41">
        <f>_xll.BDP("91282CBC Govt","CPN")</f>
        <v>0.375</v>
      </c>
      <c r="D41">
        <f>_xll.BDP("91282CBC Govt","YLD_YTM_BID")</f>
        <v>0.84939340581749123</v>
      </c>
      <c r="E41" t="str">
        <f>_xll.BDP("91282CBC Govt","MATURITY")</f>
        <v>12/31/2025</v>
      </c>
      <c r="F41" t="str">
        <f>_xll.BDP("91282CBC Govt","MTY_TYP")</f>
        <v>NORMAL</v>
      </c>
      <c r="G41" t="str">
        <f>_xll.BDP("91282CBC Govt","CRNCY")</f>
        <v>USD</v>
      </c>
      <c r="H41" t="str">
        <f>_xll.BDP("91282CBC Govt","COUNTRY_FULL_NAME")</f>
        <v>UNITED STATES</v>
      </c>
      <c r="I41" t="str">
        <f>_xll.BDP("91282CBC Govt","FIRST_CPN_DT")</f>
        <v>6/30/2021</v>
      </c>
      <c r="J41" t="str">
        <f>_xll.BDP("91282CBC Govt","COUPON_FREQUENCY_DESCRIPTION")</f>
        <v>S/A</v>
      </c>
      <c r="K41" t="str">
        <f>_xll.BDP("91282CBC Govt","CPN_TYP")</f>
        <v>FIXED</v>
      </c>
      <c r="L41" t="str">
        <f>_xll.BDP("91282CBC Govt","ID_ISIN")</f>
        <v>US91282CBC47</v>
      </c>
      <c r="M41">
        <v>67977000000</v>
      </c>
      <c r="N41">
        <v>67977000000</v>
      </c>
      <c r="O41" t="str">
        <f>_xll.BDP("91282CBC Govt","ISSUE_DT")</f>
        <v>12/31/2020</v>
      </c>
      <c r="P41" t="str">
        <f>_xll.BDP("91282CBC Govt","SECURITY_NAME")</f>
        <v>T 0 3/8 12/31/25</v>
      </c>
      <c r="Q41" t="str">
        <f>_xll.BDP("91282CBC Govt","DAY_CNT_DES")</f>
        <v>ACT/ACT</v>
      </c>
      <c r="R41">
        <v>100</v>
      </c>
      <c r="S41" t="str">
        <f>_xll.BDP("91282CBC Govt","ID_CUSIP")</f>
        <v>91282CBC4</v>
      </c>
      <c r="T41" t="str">
        <f>_xll.BDP("91282CBC Govt","IDX_RATIO")</f>
        <v>#N/A Field Not Applicable</v>
      </c>
    </row>
    <row r="42" spans="1:20" x14ac:dyDescent="0.25">
      <c r="A42" t="s">
        <v>14</v>
      </c>
      <c r="B42" t="str">
        <f>_xll.BDP("91282CAM Govt","TICKER")</f>
        <v>T</v>
      </c>
      <c r="C42">
        <f>_xll.BDP("91282CAM Govt","CPN")</f>
        <v>0.25</v>
      </c>
      <c r="D42">
        <f>_xll.BDP("91282CAM Govt","YLD_YTM_BID")</f>
        <v>0.78489170581238332</v>
      </c>
      <c r="E42" t="str">
        <f>_xll.BDP("91282CAM Govt","MATURITY")</f>
        <v>9/30/2025</v>
      </c>
      <c r="F42" t="str">
        <f>_xll.BDP("91282CAM Govt","MTY_TYP")</f>
        <v>NORMAL</v>
      </c>
      <c r="G42" t="str">
        <f>_xll.BDP("91282CAM Govt","CRNCY")</f>
        <v>USD</v>
      </c>
      <c r="H42" t="str">
        <f>_xll.BDP("91282CAM Govt","COUNTRY_FULL_NAME")</f>
        <v>UNITED STATES</v>
      </c>
      <c r="I42" t="str">
        <f>_xll.BDP("91282CAM Govt","FIRST_CPN_DT")</f>
        <v>3/31/2021</v>
      </c>
      <c r="J42" t="str">
        <f>_xll.BDP("91282CAM Govt","COUPON_FREQUENCY_DESCRIPTION")</f>
        <v>S/A</v>
      </c>
      <c r="K42" t="str">
        <f>_xll.BDP("91282CAM Govt","CPN_TYP")</f>
        <v>FIXED</v>
      </c>
      <c r="L42" t="str">
        <f>_xll.BDP("91282CAM Govt","ID_ISIN")</f>
        <v>US91282CAM38</v>
      </c>
      <c r="M42">
        <v>60256000000</v>
      </c>
      <c r="N42">
        <v>60256000000</v>
      </c>
      <c r="O42" t="str">
        <f>_xll.BDP("91282CAM Govt","ISSUE_DT")</f>
        <v>9/30/2020</v>
      </c>
      <c r="P42" t="str">
        <f>_xll.BDP("91282CAM Govt","SECURITY_NAME")</f>
        <v>T 0 1/4 09/30/25</v>
      </c>
      <c r="Q42" t="str">
        <f>_xll.BDP("91282CAM Govt","DAY_CNT_DES")</f>
        <v>ACT/ACT</v>
      </c>
      <c r="R42">
        <v>100</v>
      </c>
      <c r="S42" t="str">
        <f>_xll.BDP("91282CAM Govt","ID_CUSIP")</f>
        <v>91282CAM3</v>
      </c>
      <c r="T42" t="str">
        <f>_xll.BDP("91282CAM Govt","IDX_RATIO")</f>
        <v>#N/A Field Not Applicable</v>
      </c>
    </row>
    <row r="43" spans="1:20" x14ac:dyDescent="0.25">
      <c r="A43" t="s">
        <v>14</v>
      </c>
      <c r="B43" t="str">
        <f>_xll.BDP("9128286B Govt","TICKER")</f>
        <v>T</v>
      </c>
      <c r="C43">
        <f>_xll.BDP("9128286B Govt","CPN")</f>
        <v>2.625</v>
      </c>
      <c r="D43">
        <f>_xll.BDP("9128286B Govt","YLD_YTM_BID")</f>
        <v>1.3323567323681558</v>
      </c>
      <c r="E43" t="str">
        <f>_xll.BDP("9128286B Govt","MATURITY")</f>
        <v>2/15/2029</v>
      </c>
      <c r="F43" t="str">
        <f>_xll.BDP("9128286B Govt","MTY_TYP")</f>
        <v>NORMAL</v>
      </c>
      <c r="G43" t="str">
        <f>_xll.BDP("9128286B Govt","CRNCY")</f>
        <v>USD</v>
      </c>
      <c r="H43" t="str">
        <f>_xll.BDP("9128286B Govt","COUNTRY_FULL_NAME")</f>
        <v>UNITED STATES</v>
      </c>
      <c r="I43" t="str">
        <f>_xll.BDP("9128286B Govt","FIRST_CPN_DT")</f>
        <v>8/15/2019</v>
      </c>
      <c r="J43" t="str">
        <f>_xll.BDP("9128286B Govt","COUPON_FREQUENCY_DESCRIPTION")</f>
        <v>S/A</v>
      </c>
      <c r="K43" t="str">
        <f>_xll.BDP("9128286B Govt","CPN_TYP")</f>
        <v>FIXED</v>
      </c>
      <c r="L43" t="str">
        <f>_xll.BDP("9128286B Govt","ID_ISIN")</f>
        <v>US9128286B18</v>
      </c>
      <c r="M43">
        <v>81505000000</v>
      </c>
      <c r="N43">
        <v>81505000000</v>
      </c>
      <c r="O43" t="str">
        <f>_xll.BDP("9128286B Govt","ISSUE_DT")</f>
        <v>2/15/2019</v>
      </c>
      <c r="P43" t="str">
        <f>_xll.BDP("9128286B Govt","SECURITY_NAME")</f>
        <v>T 2 5/8 02/15/29</v>
      </c>
      <c r="Q43" t="str">
        <f>_xll.BDP("9128286B Govt","DAY_CNT_DES")</f>
        <v>ACT/ACT</v>
      </c>
      <c r="R43">
        <v>100</v>
      </c>
      <c r="S43" t="str">
        <f>_xll.BDP("9128286B Govt","ID_CUSIP")</f>
        <v>9128286B1</v>
      </c>
      <c r="T43" t="str">
        <f>_xll.BDP("9128286B Govt","IDX_RATIO")</f>
        <v>#N/A Field Not Applicable</v>
      </c>
    </row>
    <row r="44" spans="1:20" x14ac:dyDescent="0.25">
      <c r="A44" t="s">
        <v>14</v>
      </c>
      <c r="B44" t="str">
        <f>_xll.BDP("912810SW Govt","TICKER")</f>
        <v>T</v>
      </c>
      <c r="C44">
        <f>_xll.BDP("912810SW Govt","CPN")</f>
        <v>1.875</v>
      </c>
      <c r="D44">
        <f>_xll.BDP("912810SW Govt","YLD_YTM_BID")</f>
        <v>2.0288021728858219</v>
      </c>
      <c r="E44" t="str">
        <f>_xll.BDP("912810SW Govt","MATURITY")</f>
        <v>2/15/2041</v>
      </c>
      <c r="F44" t="str">
        <f>_xll.BDP("912810SW Govt","MTY_TYP")</f>
        <v>NORMAL</v>
      </c>
      <c r="G44" t="str">
        <f>_xll.BDP("912810SW Govt","CRNCY")</f>
        <v>USD</v>
      </c>
      <c r="H44" t="str">
        <f>_xll.BDP("912810SW Govt","COUNTRY_FULL_NAME")</f>
        <v>UNITED STATES</v>
      </c>
      <c r="I44" t="str">
        <f>_xll.BDP("912810SW Govt","FIRST_CPN_DT")</f>
        <v>8/15/2021</v>
      </c>
      <c r="J44" t="str">
        <f>_xll.BDP("912810SW Govt","COUPON_FREQUENCY_DESCRIPTION")</f>
        <v>S/A</v>
      </c>
      <c r="K44" t="str">
        <f>_xll.BDP("912810SW Govt","CPN_TYP")</f>
        <v>FIXED</v>
      </c>
      <c r="L44" t="str">
        <f>_xll.BDP("912810SW Govt","ID_ISIN")</f>
        <v>US912810SW99</v>
      </c>
      <c r="M44">
        <v>89742000000</v>
      </c>
      <c r="N44">
        <v>89742000000</v>
      </c>
      <c r="O44" t="str">
        <f>_xll.BDP("912810SW Govt","ISSUE_DT")</f>
        <v>3/1/2021</v>
      </c>
      <c r="P44" t="str">
        <f>_xll.BDP("912810SW Govt","SECURITY_NAME")</f>
        <v>T 1 7/8 02/15/41</v>
      </c>
      <c r="Q44" t="str">
        <f>_xll.BDP("912810SW Govt","DAY_CNT_DES")</f>
        <v>ACT/ACT</v>
      </c>
      <c r="R44">
        <v>100</v>
      </c>
      <c r="S44" t="str">
        <f>_xll.BDP("912810SW Govt","ID_CUSIP")</f>
        <v>912810SW9</v>
      </c>
      <c r="T44" t="str">
        <f>_xll.BDP("912810SW Govt","IDX_RATIO")</f>
        <v>#N/A Field Not Applicable</v>
      </c>
    </row>
    <row r="45" spans="1:20" x14ac:dyDescent="0.25">
      <c r="A45" t="s">
        <v>14</v>
      </c>
      <c r="B45" t="str">
        <f>_xll.BDP("91282CAZ Govt","TICKER")</f>
        <v>T</v>
      </c>
      <c r="C45">
        <f>_xll.BDP("91282CAZ Govt","CPN")</f>
        <v>0.375</v>
      </c>
      <c r="D45">
        <f>_xll.BDP("91282CAZ Govt","YLD_YTM_BID")</f>
        <v>0.83363950326518044</v>
      </c>
      <c r="E45" t="str">
        <f>_xll.BDP("91282CAZ Govt","MATURITY")</f>
        <v>11/30/2025</v>
      </c>
      <c r="F45" t="str">
        <f>_xll.BDP("91282CAZ Govt","MTY_TYP")</f>
        <v>NORMAL</v>
      </c>
      <c r="G45" t="str">
        <f>_xll.BDP("91282CAZ Govt","CRNCY")</f>
        <v>USD</v>
      </c>
      <c r="H45" t="str">
        <f>_xll.BDP("91282CAZ Govt","COUNTRY_FULL_NAME")</f>
        <v>UNITED STATES</v>
      </c>
      <c r="I45" t="str">
        <f>_xll.BDP("91282CAZ Govt","FIRST_CPN_DT")</f>
        <v>5/31/2021</v>
      </c>
      <c r="J45" t="str">
        <f>_xll.BDP("91282CAZ Govt","COUPON_FREQUENCY_DESCRIPTION")</f>
        <v>S/A</v>
      </c>
      <c r="K45" t="str">
        <f>_xll.BDP("91282CAZ Govt","CPN_TYP")</f>
        <v>FIXED</v>
      </c>
      <c r="L45" t="str">
        <f>_xll.BDP("91282CAZ Govt","ID_ISIN")</f>
        <v>US91282CAZ41</v>
      </c>
      <c r="M45">
        <v>64908000000</v>
      </c>
      <c r="N45">
        <v>64908000000</v>
      </c>
      <c r="O45" t="str">
        <f>_xll.BDP("91282CAZ Govt","ISSUE_DT")</f>
        <v>11/30/2020</v>
      </c>
      <c r="P45" t="str">
        <f>_xll.BDP("91282CAZ Govt","SECURITY_NAME")</f>
        <v>T 0 3/8 11/30/25</v>
      </c>
      <c r="Q45" t="str">
        <f>_xll.BDP("91282CAZ Govt","DAY_CNT_DES")</f>
        <v>ACT/ACT</v>
      </c>
      <c r="R45">
        <v>100</v>
      </c>
      <c r="S45" t="str">
        <f>_xll.BDP("91282CAZ Govt","ID_CUSIP")</f>
        <v>91282CAZ4</v>
      </c>
      <c r="T45" t="str">
        <f>_xll.BDP("91282CAZ Govt","IDX_RATIO")</f>
        <v>#N/A Field Not Applicable</v>
      </c>
    </row>
    <row r="46" spans="1:20" x14ac:dyDescent="0.25">
      <c r="A46" t="s">
        <v>14</v>
      </c>
      <c r="B46" t="str">
        <f>_xll.BDP("91282CAN Govt","TICKER")</f>
        <v>T</v>
      </c>
      <c r="C46">
        <f>_xll.BDP("91282CAN Govt","CPN")</f>
        <v>0.125</v>
      </c>
      <c r="D46">
        <f>_xll.BDP("91282CAN Govt","YLD_YTM_BID")</f>
        <v>0.10115129892388135</v>
      </c>
      <c r="E46" t="str">
        <f>_xll.BDP("91282CAN Govt","MATURITY")</f>
        <v>9/30/2022</v>
      </c>
      <c r="F46" t="str">
        <f>_xll.BDP("91282CAN Govt","MTY_TYP")</f>
        <v>NORMAL</v>
      </c>
      <c r="G46" t="str">
        <f>_xll.BDP("91282CAN Govt","CRNCY")</f>
        <v>USD</v>
      </c>
      <c r="H46" t="str">
        <f>_xll.BDP("91282CAN Govt","COUNTRY_FULL_NAME")</f>
        <v>UNITED STATES</v>
      </c>
      <c r="I46" t="str">
        <f>_xll.BDP("91282CAN Govt","FIRST_CPN_DT")</f>
        <v>3/31/2021</v>
      </c>
      <c r="J46" t="str">
        <f>_xll.BDP("91282CAN Govt","COUPON_FREQUENCY_DESCRIPTION")</f>
        <v>S/A</v>
      </c>
      <c r="K46" t="str">
        <f>_xll.BDP("91282CAN Govt","CPN_TYP")</f>
        <v>FIXED</v>
      </c>
      <c r="L46" t="str">
        <f>_xll.BDP("91282CAN Govt","ID_ISIN")</f>
        <v>US91282CAN11</v>
      </c>
      <c r="M46">
        <v>59119000000</v>
      </c>
      <c r="N46">
        <v>59119000000</v>
      </c>
      <c r="O46" t="str">
        <f>_xll.BDP("91282CAN Govt","ISSUE_DT")</f>
        <v>9/30/2020</v>
      </c>
      <c r="P46" t="str">
        <f>_xll.BDP("91282CAN Govt","SECURITY_NAME")</f>
        <v>T 0 1/8 09/30/22</v>
      </c>
      <c r="Q46" t="str">
        <f>_xll.BDP("91282CAN Govt","DAY_CNT_DES")</f>
        <v>ACT/ACT</v>
      </c>
      <c r="R46">
        <v>100</v>
      </c>
      <c r="S46" t="str">
        <f>_xll.BDP("91282CAN Govt","ID_CUSIP")</f>
        <v>91282CAN1</v>
      </c>
      <c r="T46" t="str">
        <f>_xll.BDP("91282CAN Govt","IDX_RATIO")</f>
        <v>#N/A Field Not Applicable</v>
      </c>
    </row>
    <row r="47" spans="1:20" x14ac:dyDescent="0.25">
      <c r="A47" t="s">
        <v>14</v>
      </c>
      <c r="B47" t="str">
        <f>_xll.BDP("91282CCG Govt","TICKER")</f>
        <v>T</v>
      </c>
      <c r="C47">
        <f>_xll.BDP("91282CCG Govt","CPN")</f>
        <v>0.25</v>
      </c>
      <c r="D47">
        <f>_xll.BDP("91282CCG Govt","YLD_YTM_BID")</f>
        <v>0.46053592116781089</v>
      </c>
      <c r="E47" t="str">
        <f>_xll.BDP("91282CCG Govt","MATURITY")</f>
        <v>6/15/2024</v>
      </c>
      <c r="F47" t="str">
        <f>_xll.BDP("91282CCG Govt","MTY_TYP")</f>
        <v>NORMAL</v>
      </c>
      <c r="G47" t="str">
        <f>_xll.BDP("91282CCG Govt","CRNCY")</f>
        <v>USD</v>
      </c>
      <c r="H47" t="str">
        <f>_xll.BDP("91282CCG Govt","COUNTRY_FULL_NAME")</f>
        <v>UNITED STATES</v>
      </c>
      <c r="I47" t="str">
        <f>_xll.BDP("91282CCG Govt","FIRST_CPN_DT")</f>
        <v>12/15/2021</v>
      </c>
      <c r="J47" t="str">
        <f>_xll.BDP("91282CCG Govt","COUPON_FREQUENCY_DESCRIPTION")</f>
        <v>S/A</v>
      </c>
      <c r="K47" t="str">
        <f>_xll.BDP("91282CCG Govt","CPN_TYP")</f>
        <v>FIXED</v>
      </c>
      <c r="L47" t="str">
        <f>_xll.BDP("91282CCG Govt","ID_ISIN")</f>
        <v>US91282CCG42</v>
      </c>
      <c r="M47">
        <v>63332000000</v>
      </c>
      <c r="N47">
        <v>63332000000</v>
      </c>
      <c r="O47" t="str">
        <f>_xll.BDP("91282CCG Govt","ISSUE_DT")</f>
        <v>6/15/2021</v>
      </c>
      <c r="P47" t="str">
        <f>_xll.BDP("91282CCG Govt","SECURITY_NAME")</f>
        <v>T 0 1/4 06/15/24</v>
      </c>
      <c r="Q47" t="str">
        <f>_xll.BDP("91282CCG Govt","DAY_CNT_DES")</f>
        <v>ACT/ACT</v>
      </c>
      <c r="R47">
        <v>100</v>
      </c>
      <c r="S47" t="str">
        <f>_xll.BDP("91282CCG Govt","ID_CUSIP")</f>
        <v>91282CCG4</v>
      </c>
      <c r="T47" t="str">
        <f>_xll.BDP("91282CCG Govt","IDX_RATIO")</f>
        <v>#N/A Field Not Applicable</v>
      </c>
    </row>
    <row r="48" spans="1:20" x14ac:dyDescent="0.25">
      <c r="A48" t="s">
        <v>14</v>
      </c>
      <c r="B48" t="str">
        <f>_xll.BDP("9128286T Govt","TICKER")</f>
        <v>T</v>
      </c>
      <c r="C48">
        <f>_xll.BDP("9128286T Govt","CPN")</f>
        <v>2.375</v>
      </c>
      <c r="D48">
        <f>_xll.BDP("9128286T Govt","YLD_YTM_BID")</f>
        <v>1.3579059428295457</v>
      </c>
      <c r="E48" t="str">
        <f>_xll.BDP("9128286T Govt","MATURITY")</f>
        <v>5/15/2029</v>
      </c>
      <c r="F48" t="str">
        <f>_xll.BDP("9128286T Govt","MTY_TYP")</f>
        <v>NORMAL</v>
      </c>
      <c r="G48" t="str">
        <f>_xll.BDP("9128286T Govt","CRNCY")</f>
        <v>USD</v>
      </c>
      <c r="H48" t="str">
        <f>_xll.BDP("9128286T Govt","COUNTRY_FULL_NAME")</f>
        <v>UNITED STATES</v>
      </c>
      <c r="I48" t="str">
        <f>_xll.BDP("9128286T Govt","FIRST_CPN_DT")</f>
        <v>11/15/2019</v>
      </c>
      <c r="J48" t="str">
        <f>_xll.BDP("9128286T Govt","COUPON_FREQUENCY_DESCRIPTION")</f>
        <v>S/A</v>
      </c>
      <c r="K48" t="str">
        <f>_xll.BDP("9128286T Govt","CPN_TYP")</f>
        <v>FIXED</v>
      </c>
      <c r="L48" t="str">
        <f>_xll.BDP("9128286T Govt","ID_ISIN")</f>
        <v>US9128286T26</v>
      </c>
      <c r="M48">
        <v>84427000000</v>
      </c>
      <c r="N48">
        <v>84427000000</v>
      </c>
      <c r="O48" t="str">
        <f>_xll.BDP("9128286T Govt","ISSUE_DT")</f>
        <v>5/15/2019</v>
      </c>
      <c r="P48" t="str">
        <f>_xll.BDP("9128286T Govt","SECURITY_NAME")</f>
        <v>T 2 3/8 05/15/29</v>
      </c>
      <c r="Q48" t="str">
        <f>_xll.BDP("9128286T Govt","DAY_CNT_DES")</f>
        <v>ACT/ACT</v>
      </c>
      <c r="R48">
        <v>100</v>
      </c>
      <c r="S48" t="str">
        <f>_xll.BDP("9128286T Govt","ID_CUSIP")</f>
        <v>9128286T2</v>
      </c>
      <c r="T48" t="str">
        <f>_xll.BDP("9128286T Govt","IDX_RATIO")</f>
        <v>#N/A Field Not Applicable</v>
      </c>
    </row>
    <row r="49" spans="1:20" x14ac:dyDescent="0.25">
      <c r="A49" t="s">
        <v>14</v>
      </c>
      <c r="B49" t="str">
        <f>_xll.BDP("91282CAJ Govt","TICKER")</f>
        <v>T</v>
      </c>
      <c r="C49">
        <f>_xll.BDP("91282CAJ Govt","CPN")</f>
        <v>0.25</v>
      </c>
      <c r="D49">
        <f>_xll.BDP("91282CAJ Govt","YLD_YTM_BID")</f>
        <v>0.77147959721170756</v>
      </c>
      <c r="E49" t="str">
        <f>_xll.BDP("91282CAJ Govt","MATURITY")</f>
        <v>8/31/2025</v>
      </c>
      <c r="F49" t="str">
        <f>_xll.BDP("91282CAJ Govt","MTY_TYP")</f>
        <v>NORMAL</v>
      </c>
      <c r="G49" t="str">
        <f>_xll.BDP("91282CAJ Govt","CRNCY")</f>
        <v>USD</v>
      </c>
      <c r="H49" t="str">
        <f>_xll.BDP("91282CAJ Govt","COUNTRY_FULL_NAME")</f>
        <v>UNITED STATES</v>
      </c>
      <c r="I49" t="str">
        <f>_xll.BDP("91282CAJ Govt","FIRST_CPN_DT")</f>
        <v>2/28/2021</v>
      </c>
      <c r="J49" t="str">
        <f>_xll.BDP("91282CAJ Govt","COUPON_FREQUENCY_DESCRIPTION")</f>
        <v>S/A</v>
      </c>
      <c r="K49" t="str">
        <f>_xll.BDP("91282CAJ Govt","CPN_TYP")</f>
        <v>FIXED</v>
      </c>
      <c r="L49" t="str">
        <f>_xll.BDP("91282CAJ Govt","ID_ISIN")</f>
        <v>US91282CAJ09</v>
      </c>
      <c r="M49">
        <v>55431000000</v>
      </c>
      <c r="N49">
        <v>55431000000</v>
      </c>
      <c r="O49" t="str">
        <f>_xll.BDP("91282CAJ Govt","ISSUE_DT")</f>
        <v>8/31/2020</v>
      </c>
      <c r="P49" t="str">
        <f>_xll.BDP("91282CAJ Govt","SECURITY_NAME")</f>
        <v>T 0 1/4 08/31/25</v>
      </c>
      <c r="Q49" t="str">
        <f>_xll.BDP("91282CAJ Govt","DAY_CNT_DES")</f>
        <v>ACT/ACT</v>
      </c>
      <c r="R49">
        <v>100</v>
      </c>
      <c r="S49" t="str">
        <f>_xll.BDP("91282CAJ Govt","ID_CUSIP")</f>
        <v>91282CAJ0</v>
      </c>
      <c r="T49" t="str">
        <f>_xll.BDP("91282CAJ Govt","IDX_RATIO")</f>
        <v>#N/A Field Not Applicable</v>
      </c>
    </row>
    <row r="50" spans="1:20" x14ac:dyDescent="0.25">
      <c r="A50" t="s">
        <v>14</v>
      </c>
      <c r="B50" t="str">
        <f>_xll.BDP("91282CBD Govt","TICKER")</f>
        <v>T</v>
      </c>
      <c r="C50">
        <f>_xll.BDP("91282CBD Govt","CPN")</f>
        <v>0.125</v>
      </c>
      <c r="D50">
        <f>_xll.BDP("91282CBD Govt","YLD_YTM_BID")</f>
        <v>0.15352978337790713</v>
      </c>
      <c r="E50" t="str">
        <f>_xll.BDP("91282CBD Govt","MATURITY")</f>
        <v>12/31/2022</v>
      </c>
      <c r="F50" t="str">
        <f>_xll.BDP("91282CBD Govt","MTY_TYP")</f>
        <v>NORMAL</v>
      </c>
      <c r="G50" t="str">
        <f>_xll.BDP("91282CBD Govt","CRNCY")</f>
        <v>USD</v>
      </c>
      <c r="H50" t="str">
        <f>_xll.BDP("91282CBD Govt","COUNTRY_FULL_NAME")</f>
        <v>UNITED STATES</v>
      </c>
      <c r="I50" t="str">
        <f>_xll.BDP("91282CBD Govt","FIRST_CPN_DT")</f>
        <v>6/30/2021</v>
      </c>
      <c r="J50" t="str">
        <f>_xll.BDP("91282CBD Govt","COUPON_FREQUENCY_DESCRIPTION")</f>
        <v>S/A</v>
      </c>
      <c r="K50" t="str">
        <f>_xll.BDP("91282CBD Govt","CPN_TYP")</f>
        <v>FIXED</v>
      </c>
      <c r="L50" t="str">
        <f>_xll.BDP("91282CBD Govt","ID_ISIN")</f>
        <v>US91282CBD20</v>
      </c>
      <c r="M50">
        <v>66824000000</v>
      </c>
      <c r="N50">
        <v>66824000000</v>
      </c>
      <c r="O50" t="str">
        <f>_xll.BDP("91282CBD Govt","ISSUE_DT")</f>
        <v>12/31/2020</v>
      </c>
      <c r="P50" t="str">
        <f>_xll.BDP("91282CBD Govt","SECURITY_NAME")</f>
        <v>T 0 1/8 12/31/22</v>
      </c>
      <c r="Q50" t="str">
        <f>_xll.BDP("91282CBD Govt","DAY_CNT_DES")</f>
        <v>ACT/ACT</v>
      </c>
      <c r="R50">
        <v>100</v>
      </c>
      <c r="S50" t="str">
        <f>_xll.BDP("91282CBD Govt","ID_CUSIP")</f>
        <v>91282CBD2</v>
      </c>
      <c r="T50" t="str">
        <f>_xll.BDP("91282CBD Govt","IDX_RATIO")</f>
        <v>#N/A Field Not Applicable</v>
      </c>
    </row>
    <row r="51" spans="1:20" x14ac:dyDescent="0.25">
      <c r="A51" t="s">
        <v>14</v>
      </c>
      <c r="B51" t="str">
        <f>_xll.BDP("9128285M Govt","TICKER")</f>
        <v>T</v>
      </c>
      <c r="C51">
        <f>_xll.BDP("9128285M Govt","CPN")</f>
        <v>3.125</v>
      </c>
      <c r="D51">
        <f>_xll.BDP("9128285M Govt","YLD_YTM_BID")</f>
        <v>1.3034158763924046</v>
      </c>
      <c r="E51" t="str">
        <f>_xll.BDP("9128285M Govt","MATURITY")</f>
        <v>11/15/2028</v>
      </c>
      <c r="F51" t="str">
        <f>_xll.BDP("9128285M Govt","MTY_TYP")</f>
        <v>NORMAL</v>
      </c>
      <c r="G51" t="str">
        <f>_xll.BDP("9128285M Govt","CRNCY")</f>
        <v>USD</v>
      </c>
      <c r="H51" t="str">
        <f>_xll.BDP("9128285M Govt","COUNTRY_FULL_NAME")</f>
        <v>UNITED STATES</v>
      </c>
      <c r="I51" t="str">
        <f>_xll.BDP("9128285M Govt","FIRST_CPN_DT")</f>
        <v>5/15/2019</v>
      </c>
      <c r="J51" t="str">
        <f>_xll.BDP("9128285M Govt","COUPON_FREQUENCY_DESCRIPTION")</f>
        <v>S/A</v>
      </c>
      <c r="K51" t="str">
        <f>_xll.BDP("9128285M Govt","CPN_TYP")</f>
        <v>FIXED</v>
      </c>
      <c r="L51" t="str">
        <f>_xll.BDP("9128285M Govt","ID_ISIN")</f>
        <v>US9128285M81</v>
      </c>
      <c r="M51">
        <v>80506000000</v>
      </c>
      <c r="N51">
        <v>80506000000</v>
      </c>
      <c r="O51" t="str">
        <f>_xll.BDP("9128285M Govt","ISSUE_DT")</f>
        <v>11/15/2018</v>
      </c>
      <c r="P51" t="str">
        <f>_xll.BDP("9128285M Govt","SECURITY_NAME")</f>
        <v>T 3 1/8 11/15/28</v>
      </c>
      <c r="Q51" t="str">
        <f>_xll.BDP("9128285M Govt","DAY_CNT_DES")</f>
        <v>ACT/ACT</v>
      </c>
      <c r="R51">
        <v>100</v>
      </c>
      <c r="S51" t="str">
        <f>_xll.BDP("9128285M Govt","ID_CUSIP")</f>
        <v>9128285M8</v>
      </c>
      <c r="T51" t="str">
        <f>_xll.BDP("9128285M Govt","IDX_RATIO")</f>
        <v>#N/A Field Not Applicable</v>
      </c>
    </row>
    <row r="52" spans="1:20" x14ac:dyDescent="0.25">
      <c r="A52" t="s">
        <v>14</v>
      </c>
      <c r="B52" t="str">
        <f>_xll.BDP("91282CBT Govt","TICKER")</f>
        <v>T</v>
      </c>
      <c r="C52">
        <f>_xll.BDP("91282CBT Govt","CPN")</f>
        <v>0.75</v>
      </c>
      <c r="D52">
        <f>_xll.BDP("91282CBT Govt","YLD_YTM_BID")</f>
        <v>0.89966415672267197</v>
      </c>
      <c r="E52" t="str">
        <f>_xll.BDP("91282CBT Govt","MATURITY")</f>
        <v>3/31/2026</v>
      </c>
      <c r="F52" t="str">
        <f>_xll.BDP("91282CBT Govt","MTY_TYP")</f>
        <v>NORMAL</v>
      </c>
      <c r="G52" t="str">
        <f>_xll.BDP("91282CBT Govt","CRNCY")</f>
        <v>USD</v>
      </c>
      <c r="H52" t="str">
        <f>_xll.BDP("91282CBT Govt","COUNTRY_FULL_NAME")</f>
        <v>UNITED STATES</v>
      </c>
      <c r="I52" t="str">
        <f>_xll.BDP("91282CBT Govt","FIRST_CPN_DT")</f>
        <v>9/30/2021</v>
      </c>
      <c r="J52" t="str">
        <f>_xll.BDP("91282CBT Govt","COUPON_FREQUENCY_DESCRIPTION")</f>
        <v>S/A</v>
      </c>
      <c r="K52" t="str">
        <f>_xll.BDP("91282CBT Govt","CPN_TYP")</f>
        <v>FIXED</v>
      </c>
      <c r="L52" t="str">
        <f>_xll.BDP("91282CBT Govt","ID_ISIN")</f>
        <v>US91282CBT71</v>
      </c>
      <c r="M52">
        <v>71954000000</v>
      </c>
      <c r="N52">
        <v>71954000000</v>
      </c>
      <c r="O52" t="str">
        <f>_xll.BDP("91282CBT Govt","ISSUE_DT")</f>
        <v>3/31/2021</v>
      </c>
      <c r="P52" t="str">
        <f>_xll.BDP("91282CBT Govt","SECURITY_NAME")</f>
        <v>T 0 3/4 03/31/26</v>
      </c>
      <c r="Q52" t="str">
        <f>_xll.BDP("91282CBT Govt","DAY_CNT_DES")</f>
        <v>ACT/ACT</v>
      </c>
      <c r="R52">
        <v>100</v>
      </c>
      <c r="S52" t="str">
        <f>_xll.BDP("91282CBT Govt","ID_CUSIP")</f>
        <v>91282CBT7</v>
      </c>
      <c r="T52" t="str">
        <f>_xll.BDP("91282CBT Govt","IDX_RATIO")</f>
        <v>#N/A Field Not Applicable</v>
      </c>
    </row>
    <row r="53" spans="1:20" x14ac:dyDescent="0.25">
      <c r="A53" t="s">
        <v>14</v>
      </c>
      <c r="B53" t="str">
        <f>_xll.BDP("91282CBU Govt","TICKER")</f>
        <v>T</v>
      </c>
      <c r="C53">
        <f>_xll.BDP("91282CBU Govt","CPN")</f>
        <v>0.125</v>
      </c>
      <c r="D53">
        <f>_xll.BDP("91282CBU Govt","YLD_YTM_BID")</f>
        <v>0.19887164396877713</v>
      </c>
      <c r="E53" t="str">
        <f>_xll.BDP("91282CBU Govt","MATURITY")</f>
        <v>3/31/2023</v>
      </c>
      <c r="F53" t="str">
        <f>_xll.BDP("91282CBU Govt","MTY_TYP")</f>
        <v>NORMAL</v>
      </c>
      <c r="G53" t="str">
        <f>_xll.BDP("91282CBU Govt","CRNCY")</f>
        <v>USD</v>
      </c>
      <c r="H53" t="str">
        <f>_xll.BDP("91282CBU Govt","COUNTRY_FULL_NAME")</f>
        <v>UNITED STATES</v>
      </c>
      <c r="I53" t="str">
        <f>_xll.BDP("91282CBU Govt","FIRST_CPN_DT")</f>
        <v>9/30/2021</v>
      </c>
      <c r="J53" t="str">
        <f>_xll.BDP("91282CBU Govt","COUPON_FREQUENCY_DESCRIPTION")</f>
        <v>S/A</v>
      </c>
      <c r="K53" t="str">
        <f>_xll.BDP("91282CBU Govt","CPN_TYP")</f>
        <v>FIXED</v>
      </c>
      <c r="L53" t="str">
        <f>_xll.BDP("91282CBU Govt","ID_ISIN")</f>
        <v>US91282CBU45</v>
      </c>
      <c r="M53">
        <v>70769000000</v>
      </c>
      <c r="N53">
        <v>70769000000</v>
      </c>
      <c r="O53" t="str">
        <f>_xll.BDP("91282CBU Govt","ISSUE_DT")</f>
        <v>3/31/2021</v>
      </c>
      <c r="P53" t="str">
        <f>_xll.BDP("91282CBU Govt","SECURITY_NAME")</f>
        <v>T 0 1/8 03/31/23</v>
      </c>
      <c r="Q53" t="str">
        <f>_xll.BDP("91282CBU Govt","DAY_CNT_DES")</f>
        <v>ACT/ACT</v>
      </c>
      <c r="R53">
        <v>100</v>
      </c>
      <c r="S53" t="str">
        <f>_xll.BDP("91282CBU Govt","ID_CUSIP")</f>
        <v>91282CBU4</v>
      </c>
      <c r="T53" t="str">
        <f>_xll.BDP("91282CBU Govt","IDX_RATIO")</f>
        <v>#N/A Field Not Applicable</v>
      </c>
    </row>
    <row r="54" spans="1:20" x14ac:dyDescent="0.25">
      <c r="A54" t="s">
        <v>14</v>
      </c>
      <c r="B54" t="str">
        <f>_xll.BDP("9128285D Govt","TICKER")</f>
        <v>T</v>
      </c>
      <c r="C54">
        <f>_xll.BDP("9128285D Govt","CPN")</f>
        <v>2.875</v>
      </c>
      <c r="D54">
        <f>_xll.BDP("9128285D Govt","YLD_YTM_BID")</f>
        <v>0.29553497684477492</v>
      </c>
      <c r="E54" t="str">
        <f>_xll.BDP("9128285D Govt","MATURITY")</f>
        <v>9/30/2023</v>
      </c>
      <c r="F54" t="str">
        <f>_xll.BDP("9128285D Govt","MTY_TYP")</f>
        <v>NORMAL</v>
      </c>
      <c r="G54" t="str">
        <f>_xll.BDP("9128285D Govt","CRNCY")</f>
        <v>USD</v>
      </c>
      <c r="H54" t="str">
        <f>_xll.BDP("9128285D Govt","COUNTRY_FULL_NAME")</f>
        <v>UNITED STATES</v>
      </c>
      <c r="I54" t="str">
        <f>_xll.BDP("9128285D Govt","FIRST_CPN_DT")</f>
        <v>3/31/2019</v>
      </c>
      <c r="J54" t="str">
        <f>_xll.BDP("9128285D Govt","COUPON_FREQUENCY_DESCRIPTION")</f>
        <v>S/A</v>
      </c>
      <c r="K54" t="str">
        <f>_xll.BDP("9128285D Govt","CPN_TYP")</f>
        <v>FIXED</v>
      </c>
      <c r="L54" t="str">
        <f>_xll.BDP("9128285D Govt","ID_ISIN")</f>
        <v>US9128285D82</v>
      </c>
      <c r="M54">
        <v>38000000000</v>
      </c>
      <c r="N54">
        <v>38000000000</v>
      </c>
      <c r="O54" t="str">
        <f>_xll.BDP("9128285D Govt","ISSUE_DT")</f>
        <v>10/1/2018</v>
      </c>
      <c r="P54" t="str">
        <f>_xll.BDP("9128285D Govt","SECURITY_NAME")</f>
        <v>T 2 7/8 09/30/23</v>
      </c>
      <c r="Q54" t="str">
        <f>_xll.BDP("9128285D Govt","DAY_CNT_DES")</f>
        <v>ACT/ACT</v>
      </c>
      <c r="R54">
        <v>100</v>
      </c>
      <c r="S54" t="str">
        <f>_xll.BDP("9128285D Govt","ID_CUSIP")</f>
        <v>9128285D8</v>
      </c>
      <c r="T54" t="str">
        <f>_xll.BDP("9128285D Govt","IDX_RATIO")</f>
        <v>#N/A Field Not Applicable</v>
      </c>
    </row>
    <row r="55" spans="1:20" x14ac:dyDescent="0.25">
      <c r="A55" t="s">
        <v>14</v>
      </c>
      <c r="B55" t="str">
        <f>_xll.BDP("91282CBR Govt","TICKER")</f>
        <v>T</v>
      </c>
      <c r="C55">
        <f>_xll.BDP("91282CBR Govt","CPN")</f>
        <v>0.25</v>
      </c>
      <c r="D55">
        <f>_xll.BDP("91282CBR Govt","YLD_YTM_BID")</f>
        <v>0.39157308382473183</v>
      </c>
      <c r="E55" t="str">
        <f>_xll.BDP("91282CBR Govt","MATURITY")</f>
        <v>3/15/2024</v>
      </c>
      <c r="F55" t="str">
        <f>_xll.BDP("91282CBR Govt","MTY_TYP")</f>
        <v>NORMAL</v>
      </c>
      <c r="G55" t="str">
        <f>_xll.BDP("91282CBR Govt","CRNCY")</f>
        <v>USD</v>
      </c>
      <c r="H55" t="str">
        <f>_xll.BDP("91282CBR Govt","COUNTRY_FULL_NAME")</f>
        <v>UNITED STATES</v>
      </c>
      <c r="I55" t="str">
        <f>_xll.BDP("91282CBR Govt","FIRST_CPN_DT")</f>
        <v>9/15/2021</v>
      </c>
      <c r="J55" t="str">
        <f>_xll.BDP("91282CBR Govt","COUPON_FREQUENCY_DESCRIPTION")</f>
        <v>S/A</v>
      </c>
      <c r="K55" t="str">
        <f>_xll.BDP("91282CBR Govt","CPN_TYP")</f>
        <v>FIXED</v>
      </c>
      <c r="L55" t="str">
        <f>_xll.BDP("91282CBR Govt","ID_ISIN")</f>
        <v>US91282CBR16</v>
      </c>
      <c r="M55">
        <v>61595000000</v>
      </c>
      <c r="N55">
        <v>61595000000</v>
      </c>
      <c r="O55" t="str">
        <f>_xll.BDP("91282CBR Govt","ISSUE_DT")</f>
        <v>3/15/2021</v>
      </c>
      <c r="P55" t="str">
        <f>_xll.BDP("91282CBR Govt","SECURITY_NAME")</f>
        <v>T 0 1/4 03/15/24</v>
      </c>
      <c r="Q55" t="str">
        <f>_xll.BDP("91282CBR Govt","DAY_CNT_DES")</f>
        <v>ACT/ACT</v>
      </c>
      <c r="R55">
        <v>100</v>
      </c>
      <c r="S55" t="str">
        <f>_xll.BDP("91282CBR Govt","ID_CUSIP")</f>
        <v>91282CBR1</v>
      </c>
      <c r="T55" t="str">
        <f>_xll.BDP("91282CBR Govt","IDX_RATIO")</f>
        <v>#N/A Field Not Applicable</v>
      </c>
    </row>
    <row r="56" spans="1:20" x14ac:dyDescent="0.25">
      <c r="A56" t="s">
        <v>14</v>
      </c>
      <c r="B56" t="str">
        <f>_xll.BDP("9128282A Govt","TICKER")</f>
        <v>T</v>
      </c>
      <c r="C56">
        <f>_xll.BDP("9128282A Govt","CPN")</f>
        <v>1.5</v>
      </c>
      <c r="D56">
        <f>_xll.BDP("9128282A Govt","YLD_YTM_BID")</f>
        <v>0.96212680294064445</v>
      </c>
      <c r="E56" t="str">
        <f>_xll.BDP("9128282A Govt","MATURITY")</f>
        <v>8/15/2026</v>
      </c>
      <c r="F56" t="str">
        <f>_xll.BDP("9128282A Govt","MTY_TYP")</f>
        <v>NORMAL</v>
      </c>
      <c r="G56" t="str">
        <f>_xll.BDP("9128282A Govt","CRNCY")</f>
        <v>USD</v>
      </c>
      <c r="H56" t="str">
        <f>_xll.BDP("9128282A Govt","COUNTRY_FULL_NAME")</f>
        <v>UNITED STATES</v>
      </c>
      <c r="I56" t="str">
        <f>_xll.BDP("9128282A Govt","FIRST_CPN_DT")</f>
        <v>2/15/2017</v>
      </c>
      <c r="J56" t="str">
        <f>_xll.BDP("9128282A Govt","COUPON_FREQUENCY_DESCRIPTION")</f>
        <v>S/A</v>
      </c>
      <c r="K56" t="str">
        <f>_xll.BDP("9128282A Govt","CPN_TYP")</f>
        <v>FIXED</v>
      </c>
      <c r="L56" t="str">
        <f>_xll.BDP("9128282A Govt","ID_ISIN")</f>
        <v>US9128282A70</v>
      </c>
      <c r="M56">
        <v>65356000000</v>
      </c>
      <c r="N56">
        <v>65349000000</v>
      </c>
      <c r="O56" t="str">
        <f>_xll.BDP("9128282A Govt","ISSUE_DT")</f>
        <v>8/15/2016</v>
      </c>
      <c r="P56" t="str">
        <f>_xll.BDP("9128282A Govt","SECURITY_NAME")</f>
        <v>T 1 1/2 08/15/26</v>
      </c>
      <c r="Q56" t="str">
        <f>_xll.BDP("9128282A Govt","DAY_CNT_DES")</f>
        <v>ACT/ACT</v>
      </c>
      <c r="R56">
        <v>100</v>
      </c>
      <c r="S56" t="str">
        <f>_xll.BDP("9128282A Govt","ID_CUSIP")</f>
        <v>9128282A7</v>
      </c>
      <c r="T56" t="str">
        <f>_xll.BDP("9128282A Govt","IDX_RATIO")</f>
        <v>#N/A Field Not Applicable</v>
      </c>
    </row>
    <row r="57" spans="1:20" x14ac:dyDescent="0.25">
      <c r="A57" t="s">
        <v>14</v>
      </c>
      <c r="B57" t="str">
        <f>_xll.BDP("91282CBG Govt","TICKER")</f>
        <v>T</v>
      </c>
      <c r="C57">
        <f>_xll.BDP("91282CBG Govt","CPN")</f>
        <v>0.125</v>
      </c>
      <c r="D57">
        <f>_xll.BDP("91282CBG Govt","YLD_YTM_BID")</f>
        <v>0.16952262694993989</v>
      </c>
      <c r="E57" t="str">
        <f>_xll.BDP("91282CBG Govt","MATURITY")</f>
        <v>1/31/2023</v>
      </c>
      <c r="F57" t="str">
        <f>_xll.BDP("91282CBG Govt","MTY_TYP")</f>
        <v>NORMAL</v>
      </c>
      <c r="G57" t="str">
        <f>_xll.BDP("91282CBG Govt","CRNCY")</f>
        <v>USD</v>
      </c>
      <c r="H57" t="str">
        <f>_xll.BDP("91282CBG Govt","COUNTRY_FULL_NAME")</f>
        <v>UNITED STATES</v>
      </c>
      <c r="I57" t="str">
        <f>_xll.BDP("91282CBG Govt","FIRST_CPN_DT")</f>
        <v>7/31/2021</v>
      </c>
      <c r="J57" t="str">
        <f>_xll.BDP("91282CBG Govt","COUPON_FREQUENCY_DESCRIPTION")</f>
        <v>S/A</v>
      </c>
      <c r="K57" t="str">
        <f>_xll.BDP("91282CBG Govt","CPN_TYP")</f>
        <v>FIXED</v>
      </c>
      <c r="L57" t="str">
        <f>_xll.BDP("91282CBG Govt","ID_ISIN")</f>
        <v>US91282CBG50</v>
      </c>
      <c r="M57">
        <v>68109000000</v>
      </c>
      <c r="N57">
        <v>68109000000</v>
      </c>
      <c r="O57" t="str">
        <f>_xll.BDP("91282CBG Govt","ISSUE_DT")</f>
        <v>2/1/2021</v>
      </c>
      <c r="P57" t="str">
        <f>_xll.BDP("91282CBG Govt","SECURITY_NAME")</f>
        <v>T 0 1/8 01/31/23</v>
      </c>
      <c r="Q57" t="str">
        <f>_xll.BDP("91282CBG Govt","DAY_CNT_DES")</f>
        <v>ACT/ACT</v>
      </c>
      <c r="R57">
        <v>100</v>
      </c>
      <c r="S57" t="str">
        <f>_xll.BDP("91282CBG Govt","ID_CUSIP")</f>
        <v>91282CBG5</v>
      </c>
      <c r="T57" t="str">
        <f>_xll.BDP("91282CBG Govt","IDX_RATIO")</f>
        <v>#N/A Field Not Applicable</v>
      </c>
    </row>
    <row r="58" spans="1:20" x14ac:dyDescent="0.25">
      <c r="A58" t="s">
        <v>14</v>
      </c>
      <c r="B58" t="str">
        <f>_xll.BDP("91282CCD Govt","TICKER")</f>
        <v>T</v>
      </c>
      <c r="C58">
        <f>_xll.BDP("91282CCD Govt","CPN")</f>
        <v>0.125</v>
      </c>
      <c r="D58">
        <f>_xll.BDP("91282CCD Govt","YLD_YTM_BID")</f>
        <v>0.22465109782289808</v>
      </c>
      <c r="E58" t="str">
        <f>_xll.BDP("91282CCD Govt","MATURITY")</f>
        <v>5/31/2023</v>
      </c>
      <c r="F58" t="str">
        <f>_xll.BDP("91282CCD Govt","MTY_TYP")</f>
        <v>NORMAL</v>
      </c>
      <c r="G58" t="str">
        <f>_xll.BDP("91282CCD Govt","CRNCY")</f>
        <v>USD</v>
      </c>
      <c r="H58" t="str">
        <f>_xll.BDP("91282CCD Govt","COUNTRY_FULL_NAME")</f>
        <v>UNITED STATES</v>
      </c>
      <c r="I58" t="str">
        <f>_xll.BDP("91282CCD Govt","FIRST_CPN_DT")</f>
        <v>11/30/2021</v>
      </c>
      <c r="J58" t="str">
        <f>_xll.BDP("91282CCD Govt","COUPON_FREQUENCY_DESCRIPTION")</f>
        <v>S/A</v>
      </c>
      <c r="K58" t="str">
        <f>_xll.BDP("91282CCD Govt","CPN_TYP")</f>
        <v>FIXED</v>
      </c>
      <c r="L58" t="str">
        <f>_xll.BDP("91282CCD Govt","ID_ISIN")</f>
        <v>US91282CCD11</v>
      </c>
      <c r="M58">
        <v>71646000000</v>
      </c>
      <c r="N58">
        <v>71646000000</v>
      </c>
      <c r="O58" t="str">
        <f>_xll.BDP("91282CCD Govt","ISSUE_DT")</f>
        <v>6/1/2021</v>
      </c>
      <c r="P58" t="str">
        <f>_xll.BDP("91282CCD Govt","SECURITY_NAME")</f>
        <v>T 0 1/8 05/31/23</v>
      </c>
      <c r="Q58" t="str">
        <f>_xll.BDP("91282CCD Govt","DAY_CNT_DES")</f>
        <v>ACT/ACT</v>
      </c>
      <c r="R58">
        <v>100</v>
      </c>
      <c r="S58" t="str">
        <f>_xll.BDP("91282CCD Govt","ID_CUSIP")</f>
        <v>91282CCD1</v>
      </c>
      <c r="T58" t="str">
        <f>_xll.BDP("91282CCD Govt","IDX_RATIO")</f>
        <v>#N/A Field Not Applicable</v>
      </c>
    </row>
    <row r="59" spans="1:20" x14ac:dyDescent="0.25">
      <c r="A59" t="s">
        <v>14</v>
      </c>
      <c r="B59" t="str">
        <f>_xll.BDP("91282CBH Govt","TICKER")</f>
        <v>T</v>
      </c>
      <c r="C59">
        <f>_xll.BDP("91282CBH Govt","CPN")</f>
        <v>0.375</v>
      </c>
      <c r="D59">
        <f>_xll.BDP("91282CBH Govt","YLD_YTM_BID")</f>
        <v>0.8700935856052131</v>
      </c>
      <c r="E59" t="str">
        <f>_xll.BDP("91282CBH Govt","MATURITY")</f>
        <v>1/31/2026</v>
      </c>
      <c r="F59" t="str">
        <f>_xll.BDP("91282CBH Govt","MTY_TYP")</f>
        <v>NORMAL</v>
      </c>
      <c r="G59" t="str">
        <f>_xll.BDP("91282CBH Govt","CRNCY")</f>
        <v>USD</v>
      </c>
      <c r="H59" t="str">
        <f>_xll.BDP("91282CBH Govt","COUNTRY_FULL_NAME")</f>
        <v>UNITED STATES</v>
      </c>
      <c r="I59" t="str">
        <f>_xll.BDP("91282CBH Govt","FIRST_CPN_DT")</f>
        <v>7/31/2021</v>
      </c>
      <c r="J59" t="str">
        <f>_xll.BDP("91282CBH Govt","COUPON_FREQUENCY_DESCRIPTION")</f>
        <v>S/A</v>
      </c>
      <c r="K59" t="str">
        <f>_xll.BDP("91282CBH Govt","CPN_TYP")</f>
        <v>FIXED</v>
      </c>
      <c r="L59" t="str">
        <f>_xll.BDP("91282CBH Govt","ID_ISIN")</f>
        <v>US91282CBH34</v>
      </c>
      <c r="M59">
        <v>69245000000</v>
      </c>
      <c r="N59">
        <v>69245000000</v>
      </c>
      <c r="O59" t="str">
        <f>_xll.BDP("91282CBH Govt","ISSUE_DT")</f>
        <v>2/1/2021</v>
      </c>
      <c r="P59" t="str">
        <f>_xll.BDP("91282CBH Govt","SECURITY_NAME")</f>
        <v>T 0 3/8 01/31/26</v>
      </c>
      <c r="Q59" t="str">
        <f>_xll.BDP("91282CBH Govt","DAY_CNT_DES")</f>
        <v>ACT/ACT</v>
      </c>
      <c r="R59">
        <v>100</v>
      </c>
      <c r="S59" t="str">
        <f>_xll.BDP("91282CBH Govt","ID_CUSIP")</f>
        <v>91282CBH3</v>
      </c>
      <c r="T59" t="str">
        <f>_xll.BDP("91282CBH Govt","IDX_RATIO")</f>
        <v>#N/A Field Not Applicable</v>
      </c>
    </row>
    <row r="60" spans="1:20" x14ac:dyDescent="0.25">
      <c r="A60" t="s">
        <v>14</v>
      </c>
      <c r="B60" t="str">
        <f>_xll.BDP("91282CAK Govt","TICKER")</f>
        <v>T</v>
      </c>
      <c r="C60">
        <f>_xll.BDP("91282CAK Govt","CPN")</f>
        <v>0.125</v>
      </c>
      <c r="D60">
        <f>_xll.BDP("91282CAK Govt","YLD_YTM_BID")</f>
        <v>0.28041141757714949</v>
      </c>
      <c r="E60" t="str">
        <f>_xll.BDP("91282CAK Govt","MATURITY")</f>
        <v>9/15/2023</v>
      </c>
      <c r="F60" t="str">
        <f>_xll.BDP("91282CAK Govt","MTY_TYP")</f>
        <v>NORMAL</v>
      </c>
      <c r="G60" t="str">
        <f>_xll.BDP("91282CAK Govt","CRNCY")</f>
        <v>USD</v>
      </c>
      <c r="H60" t="str">
        <f>_xll.BDP("91282CAK Govt","COUNTRY_FULL_NAME")</f>
        <v>UNITED STATES</v>
      </c>
      <c r="I60" t="str">
        <f>_xll.BDP("91282CAK Govt","FIRST_CPN_DT")</f>
        <v>3/15/2021</v>
      </c>
      <c r="J60" t="str">
        <f>_xll.BDP("91282CAK Govt","COUPON_FREQUENCY_DESCRIPTION")</f>
        <v>S/A</v>
      </c>
      <c r="K60" t="str">
        <f>_xll.BDP("91282CAK Govt","CPN_TYP")</f>
        <v>FIXED</v>
      </c>
      <c r="L60" t="str">
        <f>_xll.BDP("91282CAK Govt","ID_ISIN")</f>
        <v>US91282CAK71</v>
      </c>
      <c r="M60">
        <v>52056000000</v>
      </c>
      <c r="N60">
        <v>52056000000</v>
      </c>
      <c r="O60" t="str">
        <f>_xll.BDP("91282CAK Govt","ISSUE_DT")</f>
        <v>9/15/2020</v>
      </c>
      <c r="P60" t="str">
        <f>_xll.BDP("91282CAK Govt","SECURITY_NAME")</f>
        <v>T 0 1/8 09/15/23</v>
      </c>
      <c r="Q60" t="str">
        <f>_xll.BDP("91282CAK Govt","DAY_CNT_DES")</f>
        <v>ACT/ACT</v>
      </c>
      <c r="R60">
        <v>100</v>
      </c>
      <c r="S60" t="str">
        <f>_xll.BDP("91282CAK Govt","ID_CUSIP")</f>
        <v>91282CAK7</v>
      </c>
      <c r="T60" t="str">
        <f>_xll.BDP("91282CAK Govt","IDX_RATIO")</f>
        <v>#N/A Field Not Applicable</v>
      </c>
    </row>
    <row r="61" spans="1:20" x14ac:dyDescent="0.25">
      <c r="A61" t="s">
        <v>14</v>
      </c>
      <c r="B61" t="str">
        <f>_xll.BDP("912828ZF Govt","TICKER")</f>
        <v>T</v>
      </c>
      <c r="C61">
        <f>_xll.BDP("912828ZF Govt","CPN")</f>
        <v>0.5</v>
      </c>
      <c r="D61">
        <f>_xll.BDP("912828ZF Govt","YLD_YTM_BID")</f>
        <v>0.65905304317084812</v>
      </c>
      <c r="E61" t="str">
        <f>_xll.BDP("912828ZF Govt","MATURITY")</f>
        <v>3/31/2025</v>
      </c>
      <c r="F61" t="str">
        <f>_xll.BDP("912828ZF Govt","MTY_TYP")</f>
        <v>NORMAL</v>
      </c>
      <c r="G61" t="str">
        <f>_xll.BDP("912828ZF Govt","CRNCY")</f>
        <v>USD</v>
      </c>
      <c r="H61" t="str">
        <f>_xll.BDP("912828ZF Govt","COUNTRY_FULL_NAME")</f>
        <v>UNITED STATES</v>
      </c>
      <c r="I61" t="str">
        <f>_xll.BDP("912828ZF Govt","FIRST_CPN_DT")</f>
        <v>9/30/2020</v>
      </c>
      <c r="J61" t="str">
        <f>_xll.BDP("912828ZF Govt","COUPON_FREQUENCY_DESCRIPTION")</f>
        <v>S/A</v>
      </c>
      <c r="K61" t="str">
        <f>_xll.BDP("912828ZF Govt","CPN_TYP")</f>
        <v>FIXED</v>
      </c>
      <c r="L61" t="str">
        <f>_xll.BDP("912828ZF Govt","ID_ISIN")</f>
        <v>US912828ZF00</v>
      </c>
      <c r="M61">
        <v>46512000000</v>
      </c>
      <c r="N61">
        <v>46512000000</v>
      </c>
      <c r="O61" t="str">
        <f>_xll.BDP("912828ZF Govt","ISSUE_DT")</f>
        <v>3/31/2020</v>
      </c>
      <c r="P61" t="str">
        <f>_xll.BDP("912828ZF Govt","SECURITY_NAME")</f>
        <v>T 0 1/2 03/31/25</v>
      </c>
      <c r="Q61" t="str">
        <f>_xll.BDP("912828ZF Govt","DAY_CNT_DES")</f>
        <v>ACT/ACT</v>
      </c>
      <c r="R61">
        <v>100</v>
      </c>
      <c r="S61" t="str">
        <f>_xll.BDP("912828ZF Govt","ID_CUSIP")</f>
        <v>912828ZF0</v>
      </c>
      <c r="T61" t="str">
        <f>_xll.BDP("912828ZF Govt","IDX_RATIO")</f>
        <v>#N/A Field Not Applicable</v>
      </c>
    </row>
    <row r="62" spans="1:20" x14ac:dyDescent="0.25">
      <c r="A62" t="s">
        <v>14</v>
      </c>
      <c r="B62" t="str">
        <f>_xll.BDP("912828ZG Govt","TICKER")</f>
        <v>T</v>
      </c>
      <c r="C62">
        <f>_xll.BDP("912828ZG Govt","CPN")</f>
        <v>0.375</v>
      </c>
      <c r="D62">
        <f>_xll.BDP("912828ZG Govt","YLD_YTM_BID")</f>
        <v>6.78992763047125E-2</v>
      </c>
      <c r="E62" t="str">
        <f>_xll.BDP("912828ZG Govt","MATURITY")</f>
        <v>3/31/2022</v>
      </c>
      <c r="F62" t="str">
        <f>_xll.BDP("912828ZG Govt","MTY_TYP")</f>
        <v>NORMAL</v>
      </c>
      <c r="G62" t="str">
        <f>_xll.BDP("912828ZG Govt","CRNCY")</f>
        <v>USD</v>
      </c>
      <c r="H62" t="str">
        <f>_xll.BDP("912828ZG Govt","COUNTRY_FULL_NAME")</f>
        <v>UNITED STATES</v>
      </c>
      <c r="I62" t="str">
        <f>_xll.BDP("912828ZG Govt","FIRST_CPN_DT")</f>
        <v>9/30/2020</v>
      </c>
      <c r="J62" t="str">
        <f>_xll.BDP("912828ZG Govt","COUPON_FREQUENCY_DESCRIPTION")</f>
        <v>S/A</v>
      </c>
      <c r="K62" t="str">
        <f>_xll.BDP("912828ZG Govt","CPN_TYP")</f>
        <v>FIXED</v>
      </c>
      <c r="L62" t="str">
        <f>_xll.BDP("912828ZG Govt","ID_ISIN")</f>
        <v>US912828ZG82</v>
      </c>
      <c r="M62">
        <v>45376000000</v>
      </c>
      <c r="N62">
        <v>45376000000</v>
      </c>
      <c r="O62" t="str">
        <f>_xll.BDP("912828ZG Govt","ISSUE_DT")</f>
        <v>3/31/2020</v>
      </c>
      <c r="P62" t="str">
        <f>_xll.BDP("912828ZG Govt","SECURITY_NAME")</f>
        <v>T 0 3/8 03/31/22</v>
      </c>
      <c r="Q62" t="str">
        <f>_xll.BDP("912828ZG Govt","DAY_CNT_DES")</f>
        <v>ACT/ACT</v>
      </c>
      <c r="R62">
        <v>100</v>
      </c>
      <c r="S62" t="str">
        <f>_xll.BDP("912828ZG Govt","ID_CUSIP")</f>
        <v>912828ZG8</v>
      </c>
      <c r="T62" t="str">
        <f>_xll.BDP("912828ZG Govt","IDX_RATIO")</f>
        <v>#N/A Field Not Applicable</v>
      </c>
    </row>
    <row r="63" spans="1:20" x14ac:dyDescent="0.25">
      <c r="A63" t="s">
        <v>14</v>
      </c>
      <c r="B63" t="str">
        <f>_xll.BDP("912810PU Govt","TICKER")</f>
        <v>T</v>
      </c>
      <c r="C63">
        <f>_xll.BDP("912810PU Govt","CPN")</f>
        <v>5</v>
      </c>
      <c r="D63">
        <f>_xll.BDP("912810PU Govt","YLD_YTM_BID")</f>
        <v>1.7298705151566964</v>
      </c>
      <c r="E63" t="str">
        <f>_xll.BDP("912810PU Govt","MATURITY")</f>
        <v>5/15/2037</v>
      </c>
      <c r="F63" t="str">
        <f>_xll.BDP("912810PU Govt","MTY_TYP")</f>
        <v>NORMAL</v>
      </c>
      <c r="G63" t="str">
        <f>_xll.BDP("912810PU Govt","CRNCY")</f>
        <v>USD</v>
      </c>
      <c r="H63" t="str">
        <f>_xll.BDP("912810PU Govt","COUNTRY_FULL_NAME")</f>
        <v>UNITED STATES</v>
      </c>
      <c r="I63" t="str">
        <f>_xll.BDP("912810PU Govt","FIRST_CPN_DT")</f>
        <v>11/15/2007</v>
      </c>
      <c r="J63" t="str">
        <f>_xll.BDP("912810PU Govt","COUPON_FREQUENCY_DESCRIPTION")</f>
        <v>S/A</v>
      </c>
      <c r="K63" t="str">
        <f>_xll.BDP("912810PU Govt","CPN_TYP")</f>
        <v>FIXED</v>
      </c>
      <c r="L63" t="str">
        <f>_xll.BDP("912810PU Govt","ID_ISIN")</f>
        <v>US912810PU60</v>
      </c>
      <c r="M63">
        <v>21413000000</v>
      </c>
      <c r="N63">
        <v>21413000000</v>
      </c>
      <c r="O63" t="str">
        <f>_xll.BDP("912810PU Govt","ISSUE_DT")</f>
        <v>8/15/2007</v>
      </c>
      <c r="P63" t="str">
        <f>_xll.BDP("912810PU Govt","SECURITY_NAME")</f>
        <v>T 5 05/15/37</v>
      </c>
      <c r="Q63" t="str">
        <f>_xll.BDP("912810PU Govt","DAY_CNT_DES")</f>
        <v>ACT/ACT</v>
      </c>
      <c r="R63">
        <v>100</v>
      </c>
      <c r="S63" t="str">
        <f>_xll.BDP("912810PU Govt","ID_CUSIP")</f>
        <v>912810PU6</v>
      </c>
      <c r="T63" t="str">
        <f>_xll.BDP("912810PU Govt","IDX_RATIO")</f>
        <v>#N/A Field Not Applicable</v>
      </c>
    </row>
    <row r="64" spans="1:20" x14ac:dyDescent="0.25">
      <c r="A64" t="s">
        <v>14</v>
      </c>
      <c r="B64" t="str">
        <f>_xll.BDP("91282CAR Govt","TICKER")</f>
        <v>T</v>
      </c>
      <c r="C64">
        <f>_xll.BDP("91282CAR Govt","CPN")</f>
        <v>0.125</v>
      </c>
      <c r="D64">
        <f>_xll.BDP("91282CAR Govt","YLD_YTM_BID")</f>
        <v>0.11035440055351152</v>
      </c>
      <c r="E64" t="str">
        <f>_xll.BDP("91282CAR Govt","MATURITY")</f>
        <v>10/31/2022</v>
      </c>
      <c r="F64" t="str">
        <f>_xll.BDP("91282CAR Govt","MTY_TYP")</f>
        <v>NORMAL</v>
      </c>
      <c r="G64" t="str">
        <f>_xll.BDP("91282CAR Govt","CRNCY")</f>
        <v>USD</v>
      </c>
      <c r="H64" t="str">
        <f>_xll.BDP("91282CAR Govt","COUNTRY_FULL_NAME")</f>
        <v>UNITED STATES</v>
      </c>
      <c r="I64" t="str">
        <f>_xll.BDP("91282CAR Govt","FIRST_CPN_DT")</f>
        <v>4/30/2021</v>
      </c>
      <c r="J64" t="str">
        <f>_xll.BDP("91282CAR Govt","COUPON_FREQUENCY_DESCRIPTION")</f>
        <v>S/A</v>
      </c>
      <c r="K64" t="str">
        <f>_xll.BDP("91282CAR Govt","CPN_TYP")</f>
        <v>FIXED</v>
      </c>
      <c r="L64" t="str">
        <f>_xll.BDP("91282CAR Govt","ID_ISIN")</f>
        <v>US91282CAR25</v>
      </c>
      <c r="M64">
        <v>59728000000</v>
      </c>
      <c r="N64">
        <v>59728000000</v>
      </c>
      <c r="O64" t="str">
        <f>_xll.BDP("91282CAR Govt","ISSUE_DT")</f>
        <v>11/2/2020</v>
      </c>
      <c r="P64" t="str">
        <f>_xll.BDP("91282CAR Govt","SECURITY_NAME")</f>
        <v>T 0 1/8 10/31/22</v>
      </c>
      <c r="Q64" t="str">
        <f>_xll.BDP("91282CAR Govt","DAY_CNT_DES")</f>
        <v>ACT/ACT</v>
      </c>
      <c r="R64">
        <v>100</v>
      </c>
      <c r="S64" t="str">
        <f>_xll.BDP("91282CAR Govt","ID_CUSIP")</f>
        <v>91282CAR2</v>
      </c>
      <c r="T64" t="str">
        <f>_xll.BDP("91282CAR Govt","IDX_RATIO")</f>
        <v>#N/A Field Not Applicable</v>
      </c>
    </row>
    <row r="65" spans="1:20" x14ac:dyDescent="0.25">
      <c r="A65" t="s">
        <v>14</v>
      </c>
      <c r="B65" t="str">
        <f>_xll.BDP("9128283F Govt","TICKER")</f>
        <v>T</v>
      </c>
      <c r="C65">
        <f>_xll.BDP("9128283F Govt","CPN")</f>
        <v>2.25</v>
      </c>
      <c r="D65">
        <f>_xll.BDP("9128283F Govt","YLD_YTM_BID")</f>
        <v>1.1733793868530975</v>
      </c>
      <c r="E65" t="str">
        <f>_xll.BDP("9128283F Govt","MATURITY")</f>
        <v>11/15/2027</v>
      </c>
      <c r="F65" t="str">
        <f>_xll.BDP("9128283F Govt","MTY_TYP")</f>
        <v>NORMAL</v>
      </c>
      <c r="G65" t="str">
        <f>_xll.BDP("9128283F Govt","CRNCY")</f>
        <v>USD</v>
      </c>
      <c r="H65" t="str">
        <f>_xll.BDP("9128283F Govt","COUNTRY_FULL_NAME")</f>
        <v>UNITED STATES</v>
      </c>
      <c r="I65" t="str">
        <f>_xll.BDP("9128283F Govt","FIRST_CPN_DT")</f>
        <v>5/15/2018</v>
      </c>
      <c r="J65" t="str">
        <f>_xll.BDP("9128283F Govt","COUPON_FREQUENCY_DESCRIPTION")</f>
        <v>S/A</v>
      </c>
      <c r="K65" t="str">
        <f>_xll.BDP("9128283F Govt","CPN_TYP")</f>
        <v>FIXED</v>
      </c>
      <c r="L65" t="str">
        <f>_xll.BDP("9128283F Govt","ID_ISIN")</f>
        <v>US9128283F58</v>
      </c>
      <c r="M65">
        <v>66474000000</v>
      </c>
      <c r="N65">
        <v>66474000000</v>
      </c>
      <c r="O65" t="str">
        <f>_xll.BDP("9128283F Govt","ISSUE_DT")</f>
        <v>11/15/2017</v>
      </c>
      <c r="P65" t="str">
        <f>_xll.BDP("9128283F Govt","SECURITY_NAME")</f>
        <v>T 2 1/4 11/15/27</v>
      </c>
      <c r="Q65" t="str">
        <f>_xll.BDP("9128283F Govt","DAY_CNT_DES")</f>
        <v>ACT/ACT</v>
      </c>
      <c r="R65">
        <v>100</v>
      </c>
      <c r="S65" t="str">
        <f>_xll.BDP("9128283F Govt","ID_CUSIP")</f>
        <v>9128283F5</v>
      </c>
      <c r="T65" t="str">
        <f>_xll.BDP("9128283F Govt","IDX_RATIO")</f>
        <v>#N/A Field Not Applicable</v>
      </c>
    </row>
    <row r="66" spans="1:20" x14ac:dyDescent="0.25">
      <c r="A66" t="s">
        <v>14</v>
      </c>
      <c r="B66" t="str">
        <f>_xll.BDP("912828ZL Govt","TICKER")</f>
        <v>T</v>
      </c>
      <c r="C66">
        <f>_xll.BDP("912828ZL Govt","CPN")</f>
        <v>0.375</v>
      </c>
      <c r="D66">
        <f>_xll.BDP("912828ZL Govt","YLD_YTM_BID")</f>
        <v>0.68359619499325042</v>
      </c>
      <c r="E66" t="str">
        <f>_xll.BDP("912828ZL Govt","MATURITY")</f>
        <v>4/30/2025</v>
      </c>
      <c r="F66" t="str">
        <f>_xll.BDP("912828ZL Govt","MTY_TYP")</f>
        <v>NORMAL</v>
      </c>
      <c r="G66" t="str">
        <f>_xll.BDP("912828ZL Govt","CRNCY")</f>
        <v>USD</v>
      </c>
      <c r="H66" t="str">
        <f>_xll.BDP("912828ZL Govt","COUNTRY_FULL_NAME")</f>
        <v>UNITED STATES</v>
      </c>
      <c r="I66" t="str">
        <f>_xll.BDP("912828ZL Govt","FIRST_CPN_DT")</f>
        <v>10/31/2020</v>
      </c>
      <c r="J66" t="str">
        <f>_xll.BDP("912828ZL Govt","COUPON_FREQUENCY_DESCRIPTION")</f>
        <v>S/A</v>
      </c>
      <c r="K66" t="str">
        <f>_xll.BDP("912828ZL Govt","CPN_TYP")</f>
        <v>FIXED</v>
      </c>
      <c r="L66" t="str">
        <f>_xll.BDP("912828ZL Govt","ID_ISIN")</f>
        <v>US912828ZL77</v>
      </c>
      <c r="M66">
        <v>46734000000</v>
      </c>
      <c r="N66">
        <v>46734000000</v>
      </c>
      <c r="O66" t="str">
        <f>_xll.BDP("912828ZL Govt","ISSUE_DT")</f>
        <v>4/30/2020</v>
      </c>
      <c r="P66" t="str">
        <f>_xll.BDP("912828ZL Govt","SECURITY_NAME")</f>
        <v>T 0 3/8 04/30/25</v>
      </c>
      <c r="Q66" t="str">
        <f>_xll.BDP("912828ZL Govt","DAY_CNT_DES")</f>
        <v>ACT/ACT</v>
      </c>
      <c r="R66">
        <v>100</v>
      </c>
      <c r="S66" t="str">
        <f>_xll.BDP("912828ZL Govt","ID_CUSIP")</f>
        <v>912828ZL7</v>
      </c>
      <c r="T66" t="str">
        <f>_xll.BDP("912828ZL Govt","IDX_RATIO")</f>
        <v>#N/A Field Not Applicable</v>
      </c>
    </row>
    <row r="67" spans="1:20" x14ac:dyDescent="0.25">
      <c r="A67" t="s">
        <v>14</v>
      </c>
      <c r="B67" t="str">
        <f>_xll.BDP("91282CAX Govt","TICKER")</f>
        <v>T</v>
      </c>
      <c r="C67">
        <f>_xll.BDP("91282CAX Govt","CPN")</f>
        <v>0.125</v>
      </c>
      <c r="D67">
        <f>_xll.BDP("91282CAX Govt","YLD_YTM_BID")</f>
        <v>0.13859530491709271</v>
      </c>
      <c r="E67" t="str">
        <f>_xll.BDP("91282CAX Govt","MATURITY")</f>
        <v>11/30/2022</v>
      </c>
      <c r="F67" t="str">
        <f>_xll.BDP("91282CAX Govt","MTY_TYP")</f>
        <v>NORMAL</v>
      </c>
      <c r="G67" t="str">
        <f>_xll.BDP("91282CAX Govt","CRNCY")</f>
        <v>USD</v>
      </c>
      <c r="H67" t="str">
        <f>_xll.BDP("91282CAX Govt","COUNTRY_FULL_NAME")</f>
        <v>UNITED STATES</v>
      </c>
      <c r="I67" t="str">
        <f>_xll.BDP("91282CAX Govt","FIRST_CPN_DT")</f>
        <v>5/31/2021</v>
      </c>
      <c r="J67" t="str">
        <f>_xll.BDP("91282CAX Govt","COUPON_FREQUENCY_DESCRIPTION")</f>
        <v>S/A</v>
      </c>
      <c r="K67" t="str">
        <f>_xll.BDP("91282CAX Govt","CPN_TYP")</f>
        <v>FIXED</v>
      </c>
      <c r="L67" t="str">
        <f>_xll.BDP("91282CAX Govt","ID_ISIN")</f>
        <v>US91282CAX92</v>
      </c>
      <c r="M67">
        <v>63769000000</v>
      </c>
      <c r="N67">
        <v>63769000000</v>
      </c>
      <c r="O67" t="str">
        <f>_xll.BDP("91282CAX Govt","ISSUE_DT")</f>
        <v>11/30/2020</v>
      </c>
      <c r="P67" t="str">
        <f>_xll.BDP("91282CAX Govt","SECURITY_NAME")</f>
        <v>T 0 1/8 11/30/22</v>
      </c>
      <c r="Q67" t="str">
        <f>_xll.BDP("91282CAX Govt","DAY_CNT_DES")</f>
        <v>ACT/ACT</v>
      </c>
      <c r="R67">
        <v>100</v>
      </c>
      <c r="S67" t="str">
        <f>_xll.BDP("91282CAX Govt","ID_CUSIP")</f>
        <v>91282CAX9</v>
      </c>
      <c r="T67" t="str">
        <f>_xll.BDP("91282CAX Govt","IDX_RATIO")</f>
        <v>#N/A Field Not Applicable</v>
      </c>
    </row>
    <row r="68" spans="1:20" x14ac:dyDescent="0.25">
      <c r="A68" t="s">
        <v>14</v>
      </c>
      <c r="B68" t="str">
        <f>_xll.BDP("9128283W Govt","TICKER")</f>
        <v>T</v>
      </c>
      <c r="C68">
        <f>_xll.BDP("9128283W Govt","CPN")</f>
        <v>2.75</v>
      </c>
      <c r="D68">
        <f>_xll.BDP("9128283W Govt","YLD_YTM_BID")</f>
        <v>1.2049081724982755</v>
      </c>
      <c r="E68" t="str">
        <f>_xll.BDP("9128283W Govt","MATURITY")</f>
        <v>2/15/2028</v>
      </c>
      <c r="F68" t="str">
        <f>_xll.BDP("9128283W Govt","MTY_TYP")</f>
        <v>NORMAL</v>
      </c>
      <c r="G68" t="str">
        <f>_xll.BDP("9128283W Govt","CRNCY")</f>
        <v>USD</v>
      </c>
      <c r="H68" t="str">
        <f>_xll.BDP("9128283W Govt","COUNTRY_FULL_NAME")</f>
        <v>UNITED STATES</v>
      </c>
      <c r="I68" t="str">
        <f>_xll.BDP("9128283W Govt","FIRST_CPN_DT")</f>
        <v>8/15/2018</v>
      </c>
      <c r="J68" t="str">
        <f>_xll.BDP("9128283W Govt","COUPON_FREQUENCY_DESCRIPTION")</f>
        <v>S/A</v>
      </c>
      <c r="K68" t="str">
        <f>_xll.BDP("9128283W Govt","CPN_TYP")</f>
        <v>FIXED</v>
      </c>
      <c r="L68" t="str">
        <f>_xll.BDP("9128283W Govt","ID_ISIN")</f>
        <v>US9128283W81</v>
      </c>
      <c r="M68">
        <v>70572000000</v>
      </c>
      <c r="N68">
        <v>70572000000</v>
      </c>
      <c r="O68" t="str">
        <f>_xll.BDP("9128283W Govt","ISSUE_DT")</f>
        <v>2/15/2018</v>
      </c>
      <c r="P68" t="str">
        <f>_xll.BDP("9128283W Govt","SECURITY_NAME")</f>
        <v>T 2 3/4 02/15/28</v>
      </c>
      <c r="Q68" t="str">
        <f>_xll.BDP("9128283W Govt","DAY_CNT_DES")</f>
        <v>ACT/ACT</v>
      </c>
      <c r="R68">
        <v>100</v>
      </c>
      <c r="S68" t="str">
        <f>_xll.BDP("9128283W Govt","ID_CUSIP")</f>
        <v>9128283W8</v>
      </c>
      <c r="T68" t="str">
        <f>_xll.BDP("9128283W Govt","IDX_RATIO")</f>
        <v>#N/A Field Not Applicable</v>
      </c>
    </row>
    <row r="69" spans="1:20" x14ac:dyDescent="0.25">
      <c r="A69" t="s">
        <v>14</v>
      </c>
      <c r="B69" t="str">
        <f>_xll.BDP("912828YG Govt","TICKER")</f>
        <v>T</v>
      </c>
      <c r="C69">
        <f>_xll.BDP("912828YG Govt","CPN")</f>
        <v>1.625</v>
      </c>
      <c r="D69">
        <f>_xll.BDP("912828YG Govt","YLD_YTM_BID")</f>
        <v>0.97618462376716864</v>
      </c>
      <c r="E69" t="str">
        <f>_xll.BDP("912828YG Govt","MATURITY")</f>
        <v>9/30/2026</v>
      </c>
      <c r="F69" t="str">
        <f>_xll.BDP("912828YG Govt","MTY_TYP")</f>
        <v>NORMAL</v>
      </c>
      <c r="G69" t="str">
        <f>_xll.BDP("912828YG Govt","CRNCY")</f>
        <v>USD</v>
      </c>
      <c r="H69" t="str">
        <f>_xll.BDP("912828YG Govt","COUNTRY_FULL_NAME")</f>
        <v>UNITED STATES</v>
      </c>
      <c r="I69" t="str">
        <f>_xll.BDP("912828YG Govt","FIRST_CPN_DT")</f>
        <v>3/31/2020</v>
      </c>
      <c r="J69" t="str">
        <f>_xll.BDP("912828YG Govt","COUPON_FREQUENCY_DESCRIPTION")</f>
        <v>S/A</v>
      </c>
      <c r="K69" t="str">
        <f>_xll.BDP("912828YG Govt","CPN_TYP")</f>
        <v>FIXED</v>
      </c>
      <c r="L69" t="str">
        <f>_xll.BDP("912828YG Govt","ID_ISIN")</f>
        <v>US912828YG91</v>
      </c>
      <c r="M69">
        <v>35324000000</v>
      </c>
      <c r="N69">
        <v>35324000000</v>
      </c>
      <c r="O69" t="str">
        <f>_xll.BDP("912828YG Govt","ISSUE_DT")</f>
        <v>9/30/2019</v>
      </c>
      <c r="P69" t="str">
        <f>_xll.BDP("912828YG Govt","SECURITY_NAME")</f>
        <v>T 1 5/8 09/30/26</v>
      </c>
      <c r="Q69" t="str">
        <f>_xll.BDP("912828YG Govt","DAY_CNT_DES")</f>
        <v>ACT/ACT</v>
      </c>
      <c r="R69">
        <v>100</v>
      </c>
      <c r="S69" t="str">
        <f>_xll.BDP("912828YG Govt","ID_CUSIP")</f>
        <v>912828YG9</v>
      </c>
      <c r="T69" t="str">
        <f>_xll.BDP("912828YG Govt","IDX_RATIO")</f>
        <v>#N/A Field Not Applicable</v>
      </c>
    </row>
    <row r="70" spans="1:20" x14ac:dyDescent="0.25">
      <c r="A70" t="s">
        <v>14</v>
      </c>
      <c r="B70" t="str">
        <f>_xll.BDP("912828D5 Govt","TICKER")</f>
        <v>T</v>
      </c>
      <c r="C70">
        <f>_xll.BDP("912828D5 Govt","CPN")</f>
        <v>2.375</v>
      </c>
      <c r="D70">
        <f>_xll.BDP("912828D5 Govt","YLD_YTM_BID")</f>
        <v>0.49018210260934747</v>
      </c>
      <c r="E70" t="str">
        <f>_xll.BDP("912828D5 Govt","MATURITY")</f>
        <v>8/15/2024</v>
      </c>
      <c r="F70" t="str">
        <f>_xll.BDP("912828D5 Govt","MTY_TYP")</f>
        <v>NORMAL</v>
      </c>
      <c r="G70" t="str">
        <f>_xll.BDP("912828D5 Govt","CRNCY")</f>
        <v>USD</v>
      </c>
      <c r="H70" t="str">
        <f>_xll.BDP("912828D5 Govt","COUNTRY_FULL_NAME")</f>
        <v>UNITED STATES</v>
      </c>
      <c r="I70" t="str">
        <f>_xll.BDP("912828D5 Govt","FIRST_CPN_DT")</f>
        <v>2/15/2015</v>
      </c>
      <c r="J70" t="str">
        <f>_xll.BDP("912828D5 Govt","COUPON_FREQUENCY_DESCRIPTION")</f>
        <v>S/A</v>
      </c>
      <c r="K70" t="str">
        <f>_xll.BDP("912828D5 Govt","CPN_TYP")</f>
        <v>FIXED</v>
      </c>
      <c r="L70" t="str">
        <f>_xll.BDP("912828D5 Govt","ID_ISIN")</f>
        <v>US912828D564</v>
      </c>
      <c r="M70">
        <v>65999000000</v>
      </c>
      <c r="N70">
        <v>65999000000</v>
      </c>
      <c r="O70" t="str">
        <f>_xll.BDP("912828D5 Govt","ISSUE_DT")</f>
        <v>8/15/2014</v>
      </c>
      <c r="P70" t="str">
        <f>_xll.BDP("912828D5 Govt","SECURITY_NAME")</f>
        <v>T 2 3/8 08/15/24</v>
      </c>
      <c r="Q70" t="str">
        <f>_xll.BDP("912828D5 Govt","DAY_CNT_DES")</f>
        <v>ACT/ACT</v>
      </c>
      <c r="R70">
        <v>100</v>
      </c>
      <c r="S70" t="str">
        <f>_xll.BDP("912828D5 Govt","ID_CUSIP")</f>
        <v>912828D56</v>
      </c>
      <c r="T70" t="str">
        <f>_xll.BDP("912828D5 Govt","IDX_RATIO")</f>
        <v>#N/A Field Not Applicable</v>
      </c>
    </row>
    <row r="71" spans="1:20" x14ac:dyDescent="0.25">
      <c r="A71" t="s">
        <v>14</v>
      </c>
      <c r="B71" t="str">
        <f>_xll.BDP("9128284N Govt","TICKER")</f>
        <v>T</v>
      </c>
      <c r="C71">
        <f>_xll.BDP("9128284N Govt","CPN")</f>
        <v>2.875</v>
      </c>
      <c r="D71">
        <f>_xll.BDP("9128284N Govt","YLD_YTM_BID")</f>
        <v>1.2422006625305184</v>
      </c>
      <c r="E71" t="str">
        <f>_xll.BDP("9128284N Govt","MATURITY")</f>
        <v>5/15/2028</v>
      </c>
      <c r="F71" t="str">
        <f>_xll.BDP("9128284N Govt","MTY_TYP")</f>
        <v>NORMAL</v>
      </c>
      <c r="G71" t="str">
        <f>_xll.BDP("9128284N Govt","CRNCY")</f>
        <v>USD</v>
      </c>
      <c r="H71" t="str">
        <f>_xll.BDP("9128284N Govt","COUNTRY_FULL_NAME")</f>
        <v>UNITED STATES</v>
      </c>
      <c r="I71" t="str">
        <f>_xll.BDP("9128284N Govt","FIRST_CPN_DT")</f>
        <v>11/15/2018</v>
      </c>
      <c r="J71" t="str">
        <f>_xll.BDP("9128284N Govt","COUPON_FREQUENCY_DESCRIPTION")</f>
        <v>S/A</v>
      </c>
      <c r="K71" t="str">
        <f>_xll.BDP("9128284N Govt","CPN_TYP")</f>
        <v>FIXED</v>
      </c>
      <c r="L71" t="str">
        <f>_xll.BDP("9128284N Govt","ID_ISIN")</f>
        <v>US9128284N73</v>
      </c>
      <c r="M71">
        <v>75112000000</v>
      </c>
      <c r="N71">
        <v>75112000000</v>
      </c>
      <c r="O71" t="str">
        <f>_xll.BDP("9128284N Govt","ISSUE_DT")</f>
        <v>5/15/2018</v>
      </c>
      <c r="P71" t="str">
        <f>_xll.BDP("9128284N Govt","SECURITY_NAME")</f>
        <v>T 2 7/8 05/15/28</v>
      </c>
      <c r="Q71" t="str">
        <f>_xll.BDP("9128284N Govt","DAY_CNT_DES")</f>
        <v>ACT/ACT</v>
      </c>
      <c r="R71">
        <v>100</v>
      </c>
      <c r="S71" t="str">
        <f>_xll.BDP("9128284N Govt","ID_CUSIP")</f>
        <v>9128284N7</v>
      </c>
      <c r="T71" t="str">
        <f>_xll.BDP("9128284N Govt","IDX_RATIO")</f>
        <v>#N/A Field Not Applicable</v>
      </c>
    </row>
    <row r="72" spans="1:20" x14ac:dyDescent="0.25">
      <c r="A72" t="s">
        <v>14</v>
      </c>
      <c r="B72" t="str">
        <f>_xll.BDP("91282CBX Govt","TICKER")</f>
        <v>T</v>
      </c>
      <c r="C72">
        <f>_xll.BDP("91282CBX Govt","CPN")</f>
        <v>0.125</v>
      </c>
      <c r="D72">
        <f>_xll.BDP("91282CBX Govt","YLD_YTM_BID")</f>
        <v>0.21488487144171367</v>
      </c>
      <c r="E72" t="str">
        <f>_xll.BDP("91282CBX Govt","MATURITY")</f>
        <v>4/30/2023</v>
      </c>
      <c r="F72" t="str">
        <f>_xll.BDP("91282CBX Govt","MTY_TYP")</f>
        <v>NORMAL</v>
      </c>
      <c r="G72" t="str">
        <f>_xll.BDP("91282CBX Govt","CRNCY")</f>
        <v>USD</v>
      </c>
      <c r="H72" t="str">
        <f>_xll.BDP("91282CBX Govt","COUNTRY_FULL_NAME")</f>
        <v>UNITED STATES</v>
      </c>
      <c r="I72" t="str">
        <f>_xll.BDP("91282CBX Govt","FIRST_CPN_DT")</f>
        <v>10/31/2021</v>
      </c>
      <c r="J72" t="str">
        <f>_xll.BDP("91282CBX Govt","COUPON_FREQUENCY_DESCRIPTION")</f>
        <v>S/A</v>
      </c>
      <c r="K72" t="str">
        <f>_xll.BDP("91282CBX Govt","CPN_TYP")</f>
        <v>FIXED</v>
      </c>
      <c r="L72" t="str">
        <f>_xll.BDP("91282CBX Govt","ID_ISIN")</f>
        <v>US91282CBX83</v>
      </c>
      <c r="M72">
        <v>71458000000</v>
      </c>
      <c r="N72">
        <v>71458000000</v>
      </c>
      <c r="O72" t="str">
        <f>_xll.BDP("91282CBX Govt","ISSUE_DT")</f>
        <v>4/30/2021</v>
      </c>
      <c r="P72" t="str">
        <f>_xll.BDP("91282CBX Govt","SECURITY_NAME")</f>
        <v>T 0 1/8 04/30/23</v>
      </c>
      <c r="Q72" t="str">
        <f>_xll.BDP("91282CBX Govt","DAY_CNT_DES")</f>
        <v>ACT/ACT</v>
      </c>
      <c r="R72">
        <v>100</v>
      </c>
      <c r="S72" t="str">
        <f>_xll.BDP("91282CBX Govt","ID_CUSIP")</f>
        <v>91282CBX8</v>
      </c>
      <c r="T72" t="str">
        <f>_xll.BDP("91282CBX Govt","IDX_RATIO")</f>
        <v>#N/A Field Not Applicable</v>
      </c>
    </row>
    <row r="73" spans="1:20" x14ac:dyDescent="0.25">
      <c r="A73" t="s">
        <v>14</v>
      </c>
      <c r="B73" t="str">
        <f>_xll.BDP("912810SJ Govt","TICKER")</f>
        <v>T</v>
      </c>
      <c r="C73">
        <f>_xll.BDP("912810SJ Govt","CPN")</f>
        <v>2.25</v>
      </c>
      <c r="D73">
        <f>_xll.BDP("912810SJ Govt","YLD_YTM_BID")</f>
        <v>2.0931607423889935</v>
      </c>
      <c r="E73" t="str">
        <f>_xll.BDP("912810SJ Govt","MATURITY")</f>
        <v>8/15/2049</v>
      </c>
      <c r="F73" t="str">
        <f>_xll.BDP("912810SJ Govt","MTY_TYP")</f>
        <v>NORMAL</v>
      </c>
      <c r="G73" t="str">
        <f>_xll.BDP("912810SJ Govt","CRNCY")</f>
        <v>USD</v>
      </c>
      <c r="H73" t="str">
        <f>_xll.BDP("912810SJ Govt","COUNTRY_FULL_NAME")</f>
        <v>UNITED STATES</v>
      </c>
      <c r="I73" t="str">
        <f>_xll.BDP("912810SJ Govt","FIRST_CPN_DT")</f>
        <v>2/15/2020</v>
      </c>
      <c r="J73" t="str">
        <f>_xll.BDP("912810SJ Govt","COUPON_FREQUENCY_DESCRIPTION")</f>
        <v>S/A</v>
      </c>
      <c r="K73" t="str">
        <f>_xll.BDP("912810SJ Govt","CPN_TYP")</f>
        <v>FIXED</v>
      </c>
      <c r="L73" t="str">
        <f>_xll.BDP("912810SJ Govt","ID_ISIN")</f>
        <v>US912810SJ88</v>
      </c>
      <c r="M73">
        <v>63396000000</v>
      </c>
      <c r="N73">
        <v>63396000000</v>
      </c>
      <c r="O73" t="str">
        <f>_xll.BDP("912810SJ Govt","ISSUE_DT")</f>
        <v>8/15/2019</v>
      </c>
      <c r="P73" t="str">
        <f>_xll.BDP("912810SJ Govt","SECURITY_NAME")</f>
        <v>T 2 1/4 08/15/49</v>
      </c>
      <c r="Q73" t="str">
        <f>_xll.BDP("912810SJ Govt","DAY_CNT_DES")</f>
        <v>ACT/ACT</v>
      </c>
      <c r="R73">
        <v>100</v>
      </c>
      <c r="S73" t="str">
        <f>_xll.BDP("912810SJ Govt","ID_CUSIP")</f>
        <v>912810SJ8</v>
      </c>
      <c r="T73" t="str">
        <f>_xll.BDP("912810SJ Govt","IDX_RATIO")</f>
        <v>#N/A Field Not Applicable</v>
      </c>
    </row>
    <row r="74" spans="1:20" x14ac:dyDescent="0.25">
      <c r="A74" t="s">
        <v>14</v>
      </c>
      <c r="B74" t="str">
        <f>_xll.BDP("912828ZC Govt","TICKER")</f>
        <v>T</v>
      </c>
      <c r="C74">
        <f>_xll.BDP("912828ZC Govt","CPN")</f>
        <v>1.125</v>
      </c>
      <c r="D74">
        <f>_xll.BDP("912828ZC Govt","YLD_YTM_BID")</f>
        <v>0.63188422074273842</v>
      </c>
      <c r="E74" t="str">
        <f>_xll.BDP("912828ZC Govt","MATURITY")</f>
        <v>2/28/2025</v>
      </c>
      <c r="F74" t="str">
        <f>_xll.BDP("912828ZC Govt","MTY_TYP")</f>
        <v>NORMAL</v>
      </c>
      <c r="G74" t="str">
        <f>_xll.BDP("912828ZC Govt","CRNCY")</f>
        <v>USD</v>
      </c>
      <c r="H74" t="str">
        <f>_xll.BDP("912828ZC Govt","COUNTRY_FULL_NAME")</f>
        <v>UNITED STATES</v>
      </c>
      <c r="I74" t="str">
        <f>_xll.BDP("912828ZC Govt","FIRST_CPN_DT")</f>
        <v>8/31/2020</v>
      </c>
      <c r="J74" t="str">
        <f>_xll.BDP("912828ZC Govt","COUPON_FREQUENCY_DESCRIPTION")</f>
        <v>S/A</v>
      </c>
      <c r="K74" t="str">
        <f>_xll.BDP("912828ZC Govt","CPN_TYP")</f>
        <v>FIXED</v>
      </c>
      <c r="L74" t="str">
        <f>_xll.BDP("912828ZC Govt","ID_ISIN")</f>
        <v>US912828ZC78</v>
      </c>
      <c r="M74">
        <v>47197000000</v>
      </c>
      <c r="N74">
        <v>47197000000</v>
      </c>
      <c r="O74" t="str">
        <f>_xll.BDP("912828ZC Govt","ISSUE_DT")</f>
        <v>3/2/2020</v>
      </c>
      <c r="P74" t="str">
        <f>_xll.BDP("912828ZC Govt","SECURITY_NAME")</f>
        <v>T 1 1/8 02/28/25</v>
      </c>
      <c r="Q74" t="str">
        <f>_xll.BDP("912828ZC Govt","DAY_CNT_DES")</f>
        <v>ACT/ACT</v>
      </c>
      <c r="R74">
        <v>100</v>
      </c>
      <c r="S74" t="str">
        <f>_xll.BDP("912828ZC Govt","ID_CUSIP")</f>
        <v>912828ZC7</v>
      </c>
      <c r="T74" t="str">
        <f>_xll.BDP("912828ZC Govt","IDX_RATIO")</f>
        <v>#N/A Field Not Applicable</v>
      </c>
    </row>
    <row r="75" spans="1:20" x14ac:dyDescent="0.25">
      <c r="A75" t="s">
        <v>14</v>
      </c>
      <c r="B75" t="str">
        <f>_xll.BDP("91282CBS Govt","TICKER")</f>
        <v>T</v>
      </c>
      <c r="C75">
        <f>_xll.BDP("91282CBS Govt","CPN")</f>
        <v>1.25</v>
      </c>
      <c r="D75">
        <f>_xll.BDP("91282CBS Govt","YLD_YTM_BID")</f>
        <v>1.2474737995944045</v>
      </c>
      <c r="E75" t="str">
        <f>_xll.BDP("91282CBS Govt","MATURITY")</f>
        <v>3/31/2028</v>
      </c>
      <c r="F75" t="str">
        <f>_xll.BDP("91282CBS Govt","MTY_TYP")</f>
        <v>NORMAL</v>
      </c>
      <c r="G75" t="str">
        <f>_xll.BDP("91282CBS Govt","CRNCY")</f>
        <v>USD</v>
      </c>
      <c r="H75" t="str">
        <f>_xll.BDP("91282CBS Govt","COUNTRY_FULL_NAME")</f>
        <v>UNITED STATES</v>
      </c>
      <c r="I75" t="str">
        <f>_xll.BDP("91282CBS Govt","FIRST_CPN_DT")</f>
        <v>9/30/2021</v>
      </c>
      <c r="J75" t="str">
        <f>_xll.BDP("91282CBS Govt","COUPON_FREQUENCY_DESCRIPTION")</f>
        <v>S/A</v>
      </c>
      <c r="K75" t="str">
        <f>_xll.BDP("91282CBS Govt","CPN_TYP")</f>
        <v>FIXED</v>
      </c>
      <c r="L75" t="str">
        <f>_xll.BDP("91282CBS Govt","ID_ISIN")</f>
        <v>US91282CBS98</v>
      </c>
      <c r="M75">
        <v>73133000000</v>
      </c>
      <c r="N75">
        <v>73133000000</v>
      </c>
      <c r="O75" t="str">
        <f>_xll.BDP("91282CBS Govt","ISSUE_DT")</f>
        <v>3/31/2021</v>
      </c>
      <c r="P75" t="str">
        <f>_xll.BDP("91282CBS Govt","SECURITY_NAME")</f>
        <v>T 1 1/4 03/31/28</v>
      </c>
      <c r="Q75" t="str">
        <f>_xll.BDP("91282CBS Govt","DAY_CNT_DES")</f>
        <v>ACT/ACT</v>
      </c>
      <c r="R75">
        <v>100</v>
      </c>
      <c r="S75" t="str">
        <f>_xll.BDP("91282CBS Govt","ID_CUSIP")</f>
        <v>91282CBS9</v>
      </c>
      <c r="T75" t="str">
        <f>_xll.BDP("91282CBS Govt","IDX_RATIO")</f>
        <v>#N/A Field Not Applicable</v>
      </c>
    </row>
    <row r="76" spans="1:20" x14ac:dyDescent="0.25">
      <c r="A76" t="s">
        <v>14</v>
      </c>
      <c r="B76" t="str">
        <f>_xll.BDP("912828YF Govt","TICKER")</f>
        <v>T</v>
      </c>
      <c r="C76">
        <f>_xll.BDP("912828YF Govt","CPN")</f>
        <v>1.5</v>
      </c>
      <c r="D76">
        <f>_xll.BDP("912828YF Govt","YLD_YTM_BID")</f>
        <v>9.7373952354603194E-2</v>
      </c>
      <c r="E76" t="str">
        <f>_xll.BDP("912828YF Govt","MATURITY")</f>
        <v>9/15/2022</v>
      </c>
      <c r="F76" t="str">
        <f>_xll.BDP("912828YF Govt","MTY_TYP")</f>
        <v>NORMAL</v>
      </c>
      <c r="G76" t="str">
        <f>_xll.BDP("912828YF Govt","CRNCY")</f>
        <v>USD</v>
      </c>
      <c r="H76" t="str">
        <f>_xll.BDP("912828YF Govt","COUNTRY_FULL_NAME")</f>
        <v>UNITED STATES</v>
      </c>
      <c r="I76" t="str">
        <f>_xll.BDP("912828YF Govt","FIRST_CPN_DT")</f>
        <v>3/15/2020</v>
      </c>
      <c r="J76" t="str">
        <f>_xll.BDP("912828YF Govt","COUPON_FREQUENCY_DESCRIPTION")</f>
        <v>S/A</v>
      </c>
      <c r="K76" t="str">
        <f>_xll.BDP("912828YF Govt","CPN_TYP")</f>
        <v>FIXED</v>
      </c>
      <c r="L76" t="str">
        <f>_xll.BDP("912828YF Govt","ID_ISIN")</f>
        <v>US912828YF19</v>
      </c>
      <c r="M76">
        <v>38000000000</v>
      </c>
      <c r="N76">
        <v>38000000000</v>
      </c>
      <c r="O76" t="str">
        <f>_xll.BDP("912828YF Govt","ISSUE_DT")</f>
        <v>9/16/2019</v>
      </c>
      <c r="P76" t="str">
        <f>_xll.BDP("912828YF Govt","SECURITY_NAME")</f>
        <v>T 1 1/2 09/15/22</v>
      </c>
      <c r="Q76" t="str">
        <f>_xll.BDP("912828YF Govt","DAY_CNT_DES")</f>
        <v>ACT/ACT</v>
      </c>
      <c r="R76">
        <v>100</v>
      </c>
      <c r="S76" t="str">
        <f>_xll.BDP("912828YF Govt","ID_CUSIP")</f>
        <v>912828YF1</v>
      </c>
      <c r="T76" t="str">
        <f>_xll.BDP("912828YF Govt","IDX_RATIO")</f>
        <v>#N/A Field Not Applicable</v>
      </c>
    </row>
    <row r="77" spans="1:20" x14ac:dyDescent="0.25">
      <c r="A77" t="s">
        <v>14</v>
      </c>
      <c r="B77" t="str">
        <f>_xll.BDP("91282CCE Govt","TICKER")</f>
        <v>T</v>
      </c>
      <c r="C77">
        <f>_xll.BDP("91282CCE Govt","CPN")</f>
        <v>1.25</v>
      </c>
      <c r="D77">
        <f>_xll.BDP("91282CCE Govt","YLD_YTM_BID")</f>
        <v>1.2695950322187917</v>
      </c>
      <c r="E77" t="str">
        <f>_xll.BDP("91282CCE Govt","MATURITY")</f>
        <v>5/31/2028</v>
      </c>
      <c r="F77" t="str">
        <f>_xll.BDP("91282CCE Govt","MTY_TYP")</f>
        <v>NORMAL</v>
      </c>
      <c r="G77" t="str">
        <f>_xll.BDP("91282CCE Govt","CRNCY")</f>
        <v>USD</v>
      </c>
      <c r="H77" t="str">
        <f>_xll.BDP("91282CCE Govt","COUNTRY_FULL_NAME")</f>
        <v>UNITED STATES</v>
      </c>
      <c r="I77" t="str">
        <f>_xll.BDP("91282CCE Govt","FIRST_CPN_DT")</f>
        <v>11/30/2021</v>
      </c>
      <c r="J77" t="str">
        <f>_xll.BDP("91282CCE Govt","COUPON_FREQUENCY_DESCRIPTION")</f>
        <v>S/A</v>
      </c>
      <c r="K77" t="str">
        <f>_xll.BDP("91282CCE Govt","CPN_TYP")</f>
        <v>FIXED</v>
      </c>
      <c r="L77" t="str">
        <f>_xll.BDP("91282CCE Govt","ID_ISIN")</f>
        <v>US91282CCE93</v>
      </c>
      <c r="M77">
        <v>74034000000</v>
      </c>
      <c r="N77">
        <v>74034000000</v>
      </c>
      <c r="O77" t="str">
        <f>_xll.BDP("91282CCE Govt","ISSUE_DT")</f>
        <v>6/1/2021</v>
      </c>
      <c r="P77" t="str">
        <f>_xll.BDP("91282CCE Govt","SECURITY_NAME")</f>
        <v>T 1 1/4 05/31/28</v>
      </c>
      <c r="Q77" t="str">
        <f>_xll.BDP("91282CCE Govt","DAY_CNT_DES")</f>
        <v>ACT/ACT</v>
      </c>
      <c r="R77">
        <v>100</v>
      </c>
      <c r="S77" t="str">
        <f>_xll.BDP("91282CCE Govt","ID_CUSIP")</f>
        <v>91282CCE9</v>
      </c>
      <c r="T77" t="str">
        <f>_xll.BDP("91282CCE Govt","IDX_RATIO")</f>
        <v>#N/A Field Not Applicable</v>
      </c>
    </row>
    <row r="78" spans="1:20" x14ac:dyDescent="0.25">
      <c r="A78" t="s">
        <v>14</v>
      </c>
      <c r="B78" t="str">
        <f>_xll.BDP("91282CBA Govt","TICKER")</f>
        <v>T</v>
      </c>
      <c r="C78">
        <f>_xll.BDP("91282CBA Govt","CPN")</f>
        <v>0.125</v>
      </c>
      <c r="D78">
        <f>_xll.BDP("91282CBA Govt","YLD_YTM_BID")</f>
        <v>0.33630016115282729</v>
      </c>
      <c r="E78" t="str">
        <f>_xll.BDP("91282CBA Govt","MATURITY")</f>
        <v>12/15/2023</v>
      </c>
      <c r="F78" t="str">
        <f>_xll.BDP("91282CBA Govt","MTY_TYP")</f>
        <v>NORMAL</v>
      </c>
      <c r="G78" t="str">
        <f>_xll.BDP("91282CBA Govt","CRNCY")</f>
        <v>USD</v>
      </c>
      <c r="H78" t="str">
        <f>_xll.BDP("91282CBA Govt","COUNTRY_FULL_NAME")</f>
        <v>UNITED STATES</v>
      </c>
      <c r="I78" t="str">
        <f>_xll.BDP("91282CBA Govt","FIRST_CPN_DT")</f>
        <v>6/15/2021</v>
      </c>
      <c r="J78" t="str">
        <f>_xll.BDP("91282CBA Govt","COUPON_FREQUENCY_DESCRIPTION")</f>
        <v>S/A</v>
      </c>
      <c r="K78" t="str">
        <f>_xll.BDP("91282CBA Govt","CPN_TYP")</f>
        <v>FIXED</v>
      </c>
      <c r="L78" t="str">
        <f>_xll.BDP("91282CBA Govt","ID_ISIN")</f>
        <v>US91282CBA80</v>
      </c>
      <c r="M78">
        <v>58385000000</v>
      </c>
      <c r="N78">
        <v>58385000000</v>
      </c>
      <c r="O78" t="str">
        <f>_xll.BDP("91282CBA Govt","ISSUE_DT")</f>
        <v>12/15/2020</v>
      </c>
      <c r="P78" t="str">
        <f>_xll.BDP("91282CBA Govt","SECURITY_NAME")</f>
        <v>T 0 1/8 12/15/23</v>
      </c>
      <c r="Q78" t="str">
        <f>_xll.BDP("91282CBA Govt","DAY_CNT_DES")</f>
        <v>ACT/ACT</v>
      </c>
      <c r="R78">
        <v>100</v>
      </c>
      <c r="S78" t="str">
        <f>_xll.BDP("91282CBA Govt","ID_CUSIP")</f>
        <v>91282CBA8</v>
      </c>
      <c r="T78" t="str">
        <f>_xll.BDP("91282CBA Govt","IDX_RATIO")</f>
        <v>#N/A Field Not Applicable</v>
      </c>
    </row>
    <row r="79" spans="1:20" x14ac:dyDescent="0.25">
      <c r="A79" t="s">
        <v>14</v>
      </c>
      <c r="B79" t="str">
        <f>_xll.BDP("912810FT Govt","TICKER")</f>
        <v>T</v>
      </c>
      <c r="C79">
        <f>_xll.BDP("912810FT Govt","CPN")</f>
        <v>4.5</v>
      </c>
      <c r="D79">
        <f>_xll.BDP("912810FT Govt","YLD_YTM_BID")</f>
        <v>1.6462177604386556</v>
      </c>
      <c r="E79" t="str">
        <f>_xll.BDP("912810FT Govt","MATURITY")</f>
        <v>2/15/2036</v>
      </c>
      <c r="F79" t="str">
        <f>_xll.BDP("912810FT Govt","MTY_TYP")</f>
        <v>NORMAL</v>
      </c>
      <c r="G79" t="str">
        <f>_xll.BDP("912810FT Govt","CRNCY")</f>
        <v>USD</v>
      </c>
      <c r="H79" t="str">
        <f>_xll.BDP("912810FT Govt","COUNTRY_FULL_NAME")</f>
        <v>UNITED STATES</v>
      </c>
      <c r="I79" t="str">
        <f>_xll.BDP("912810FT Govt","FIRST_CPN_DT")</f>
        <v>8/15/2006</v>
      </c>
      <c r="J79" t="str">
        <f>_xll.BDP("912810FT Govt","COUPON_FREQUENCY_DESCRIPTION")</f>
        <v>S/A</v>
      </c>
      <c r="K79" t="str">
        <f>_xll.BDP("912810FT Govt","CPN_TYP")</f>
        <v>FIXED</v>
      </c>
      <c r="L79" t="str">
        <f>_xll.BDP("912810FT Govt","ID_ISIN")</f>
        <v>US912810FT08</v>
      </c>
      <c r="M79">
        <v>26397000000</v>
      </c>
      <c r="N79">
        <v>26397000000</v>
      </c>
      <c r="O79" t="str">
        <f>_xll.BDP("912810FT Govt","ISSUE_DT")</f>
        <v>2/15/2006</v>
      </c>
      <c r="P79" t="str">
        <f>_xll.BDP("912810FT Govt","SECURITY_NAME")</f>
        <v>T 4 1/2 02/15/36</v>
      </c>
      <c r="Q79" t="str">
        <f>_xll.BDP("912810FT Govt","DAY_CNT_DES")</f>
        <v>ACT/ACT</v>
      </c>
      <c r="R79">
        <v>100</v>
      </c>
      <c r="S79" t="str">
        <f>_xll.BDP("912810FT Govt","ID_CUSIP")</f>
        <v>912810FT0</v>
      </c>
      <c r="T79" t="str">
        <f>_xll.BDP("912810FT Govt","IDX_RATIO")</f>
        <v>#N/A Field Not Applicable</v>
      </c>
    </row>
    <row r="80" spans="1:20" x14ac:dyDescent="0.25">
      <c r="A80" t="s">
        <v>14</v>
      </c>
      <c r="B80" t="str">
        <f>_xll.BDP("912828YJ Govt","TICKER")</f>
        <v>T</v>
      </c>
      <c r="C80">
        <f>_xll.BDP("912828YJ Govt","CPN")</f>
        <v>1.5</v>
      </c>
      <c r="D80" t="str">
        <f>_xll.BDP("912828YJ Govt","YLD_YTM_BID")</f>
        <v>#N/A N/A</v>
      </c>
      <c r="E80" t="str">
        <f>_xll.BDP("912828YJ Govt","MATURITY")</f>
        <v>9/30/2021</v>
      </c>
      <c r="F80" t="str">
        <f>_xll.BDP("912828YJ Govt","MTY_TYP")</f>
        <v>NORMAL</v>
      </c>
      <c r="G80" t="str">
        <f>_xll.BDP("912828YJ Govt","CRNCY")</f>
        <v>USD</v>
      </c>
      <c r="H80" t="str">
        <f>_xll.BDP("912828YJ Govt","COUNTRY_FULL_NAME")</f>
        <v>UNITED STATES</v>
      </c>
      <c r="I80" t="str">
        <f>_xll.BDP("912828YJ Govt","FIRST_CPN_DT")</f>
        <v>3/31/2020</v>
      </c>
      <c r="J80" t="str">
        <f>_xll.BDP("912828YJ Govt","COUPON_FREQUENCY_DESCRIPTION")</f>
        <v>S/A</v>
      </c>
      <c r="K80" t="str">
        <f>_xll.BDP("912828YJ Govt","CPN_TYP")</f>
        <v>FIXED</v>
      </c>
      <c r="L80" t="str">
        <f>_xll.BDP("912828YJ Govt","ID_ISIN")</f>
        <v>US912828YJ31</v>
      </c>
      <c r="M80">
        <v>44154000000</v>
      </c>
      <c r="N80">
        <v>0</v>
      </c>
      <c r="O80" t="str">
        <f>_xll.BDP("912828YJ Govt","ISSUE_DT")</f>
        <v>9/30/2019</v>
      </c>
      <c r="P80" t="str">
        <f>_xll.BDP("912828YJ Govt","SECURITY_NAME")</f>
        <v>T 1 1/2 09/30/21</v>
      </c>
      <c r="Q80" t="str">
        <f>_xll.BDP("912828YJ Govt","DAY_CNT_DES")</f>
        <v>ACT/ACT</v>
      </c>
      <c r="R80">
        <v>100</v>
      </c>
      <c r="S80" t="str">
        <f>_xll.BDP("912828YJ Govt","ID_CUSIP")</f>
        <v>912828YJ3</v>
      </c>
      <c r="T80" t="str">
        <f>_xll.BDP("912828YJ Govt","IDX_RATIO")</f>
        <v>#N/A Field Not Applicable</v>
      </c>
    </row>
    <row r="81" spans="1:20" x14ac:dyDescent="0.25">
      <c r="A81" t="s">
        <v>14</v>
      </c>
      <c r="B81" t="str">
        <f>_xll.BDP("912828K7 Govt","TICKER")</f>
        <v>T</v>
      </c>
      <c r="C81">
        <f>_xll.BDP("912828K7 Govt","CPN")</f>
        <v>2</v>
      </c>
      <c r="D81">
        <f>_xll.BDP("912828K7 Govt","YLD_YTM_BID")</f>
        <v>0.74874341654364451</v>
      </c>
      <c r="E81" t="str">
        <f>_xll.BDP("912828K7 Govt","MATURITY")</f>
        <v>8/15/2025</v>
      </c>
      <c r="F81" t="str">
        <f>_xll.BDP("912828K7 Govt","MTY_TYP")</f>
        <v>NORMAL</v>
      </c>
      <c r="G81" t="str">
        <f>_xll.BDP("912828K7 Govt","CRNCY")</f>
        <v>USD</v>
      </c>
      <c r="H81" t="str">
        <f>_xll.BDP("912828K7 Govt","COUNTRY_FULL_NAME")</f>
        <v>UNITED STATES</v>
      </c>
      <c r="I81" t="str">
        <f>_xll.BDP("912828K7 Govt","FIRST_CPN_DT")</f>
        <v>2/15/2016</v>
      </c>
      <c r="J81" t="str">
        <f>_xll.BDP("912828K7 Govt","COUPON_FREQUENCY_DESCRIPTION")</f>
        <v>S/A</v>
      </c>
      <c r="K81" t="str">
        <f>_xll.BDP("912828K7 Govt","CPN_TYP")</f>
        <v>FIXED</v>
      </c>
      <c r="L81" t="str">
        <f>_xll.BDP("912828K7 Govt","ID_ISIN")</f>
        <v>US912828K742</v>
      </c>
      <c r="M81">
        <v>66483000000</v>
      </c>
      <c r="N81">
        <v>66480000000</v>
      </c>
      <c r="O81" t="str">
        <f>_xll.BDP("912828K7 Govt","ISSUE_DT")</f>
        <v>8/17/2015</v>
      </c>
      <c r="P81" t="str">
        <f>_xll.BDP("912828K7 Govt","SECURITY_NAME")</f>
        <v>T 2 08/15/25</v>
      </c>
      <c r="Q81" t="str">
        <f>_xll.BDP("912828K7 Govt","DAY_CNT_DES")</f>
        <v>ACT/ACT</v>
      </c>
      <c r="R81">
        <v>100</v>
      </c>
      <c r="S81" t="str">
        <f>_xll.BDP("912828K7 Govt","ID_CUSIP")</f>
        <v>912828K74</v>
      </c>
      <c r="T81" t="str">
        <f>_xll.BDP("912828K7 Govt","IDX_RATIO")</f>
        <v>#N/A Field Not Applicable</v>
      </c>
    </row>
    <row r="82" spans="1:20" x14ac:dyDescent="0.25">
      <c r="A82" t="s">
        <v>14</v>
      </c>
      <c r="B82" t="str">
        <f>_xll.BDP("91282CBN Govt","TICKER")</f>
        <v>T</v>
      </c>
      <c r="C82">
        <f>_xll.BDP("91282CBN Govt","CPN")</f>
        <v>0.125</v>
      </c>
      <c r="D82">
        <f>_xll.BDP("91282CBN Govt","YLD_YTM_BID")</f>
        <v>0.18366962281460444</v>
      </c>
      <c r="E82" t="str">
        <f>_xll.BDP("91282CBN Govt","MATURITY")</f>
        <v>2/28/2023</v>
      </c>
      <c r="F82" t="str">
        <f>_xll.BDP("91282CBN Govt","MTY_TYP")</f>
        <v>NORMAL</v>
      </c>
      <c r="G82" t="str">
        <f>_xll.BDP("91282CBN Govt","CRNCY")</f>
        <v>USD</v>
      </c>
      <c r="H82" t="str">
        <f>_xll.BDP("91282CBN Govt","COUNTRY_FULL_NAME")</f>
        <v>UNITED STATES</v>
      </c>
      <c r="I82" t="str">
        <f>_xll.BDP("91282CBN Govt","FIRST_CPN_DT")</f>
        <v>8/31/2021</v>
      </c>
      <c r="J82" t="str">
        <f>_xll.BDP("91282CBN Govt","COUPON_FREQUENCY_DESCRIPTION")</f>
        <v>S/A</v>
      </c>
      <c r="K82" t="str">
        <f>_xll.BDP("91282CBN Govt","CPN_TYP")</f>
        <v>FIXED</v>
      </c>
      <c r="L82" t="str">
        <f>_xll.BDP("91282CBN Govt","ID_ISIN")</f>
        <v>US91282CBN02</v>
      </c>
      <c r="M82">
        <v>72991000000</v>
      </c>
      <c r="N82">
        <v>72991000000</v>
      </c>
      <c r="O82" t="str">
        <f>_xll.BDP("91282CBN Govt","ISSUE_DT")</f>
        <v>3/1/2021</v>
      </c>
      <c r="P82" t="str">
        <f>_xll.BDP("91282CBN Govt","SECURITY_NAME")</f>
        <v>T 0 1/8 02/28/23</v>
      </c>
      <c r="Q82" t="str">
        <f>_xll.BDP("91282CBN Govt","DAY_CNT_DES")</f>
        <v>ACT/ACT</v>
      </c>
      <c r="R82">
        <v>100</v>
      </c>
      <c r="S82" t="str">
        <f>_xll.BDP("91282CBN Govt","ID_CUSIP")</f>
        <v>91282CBN0</v>
      </c>
      <c r="T82" t="str">
        <f>_xll.BDP("91282CBN Govt","IDX_RATIO")</f>
        <v>#N/A Field Not Applicable</v>
      </c>
    </row>
    <row r="83" spans="1:20" x14ac:dyDescent="0.25">
      <c r="A83" t="s">
        <v>14</v>
      </c>
      <c r="B83" t="str">
        <f>_xll.BDP("912828Z5 Govt","TICKER")</f>
        <v>T</v>
      </c>
      <c r="C83">
        <f>_xll.BDP("912828Z5 Govt","CPN")</f>
        <v>1.375</v>
      </c>
      <c r="D83">
        <f>_xll.BDP("912828Z5 Govt","YLD_YTM_BID")</f>
        <v>0.61026026081235296</v>
      </c>
      <c r="E83" t="str">
        <f>_xll.BDP("912828Z5 Govt","MATURITY")</f>
        <v>1/31/2025</v>
      </c>
      <c r="F83" t="str">
        <f>_xll.BDP("912828Z5 Govt","MTY_TYP")</f>
        <v>NORMAL</v>
      </c>
      <c r="G83" t="str">
        <f>_xll.BDP("912828Z5 Govt","CRNCY")</f>
        <v>USD</v>
      </c>
      <c r="H83" t="str">
        <f>_xll.BDP("912828Z5 Govt","COUNTRY_FULL_NAME")</f>
        <v>UNITED STATES</v>
      </c>
      <c r="I83" t="str">
        <f>_xll.BDP("912828Z5 Govt","FIRST_CPN_DT")</f>
        <v>7/31/2020</v>
      </c>
      <c r="J83" t="str">
        <f>_xll.BDP("912828Z5 Govt","COUPON_FREQUENCY_DESCRIPTION")</f>
        <v>S/A</v>
      </c>
      <c r="K83" t="str">
        <f>_xll.BDP("912828Z5 Govt","CPN_TYP")</f>
        <v>FIXED</v>
      </c>
      <c r="L83" t="str">
        <f>_xll.BDP("912828Z5 Govt","ID_ISIN")</f>
        <v>US912828Z526</v>
      </c>
      <c r="M83">
        <v>45232000000</v>
      </c>
      <c r="N83">
        <v>45232000000</v>
      </c>
      <c r="O83" t="str">
        <f>_xll.BDP("912828Z5 Govt","ISSUE_DT")</f>
        <v>1/31/2020</v>
      </c>
      <c r="P83" t="str">
        <f>_xll.BDP("912828Z5 Govt","SECURITY_NAME")</f>
        <v>T 1 3/8 01/31/25</v>
      </c>
      <c r="Q83" t="str">
        <f>_xll.BDP("912828Z5 Govt","DAY_CNT_DES")</f>
        <v>ACT/ACT</v>
      </c>
      <c r="R83">
        <v>100</v>
      </c>
      <c r="S83" t="str">
        <f>_xll.BDP("912828Z5 Govt","ID_CUSIP")</f>
        <v>912828Z52</v>
      </c>
      <c r="T83" t="str">
        <f>_xll.BDP("912828Z5 Govt","IDX_RATIO")</f>
        <v>#N/A Field Not Applicable</v>
      </c>
    </row>
    <row r="84" spans="1:20" x14ac:dyDescent="0.25">
      <c r="A84" t="s">
        <v>14</v>
      </c>
      <c r="B84" t="str">
        <f>_xll.BDP("912828U2 Govt","TICKER")</f>
        <v>T</v>
      </c>
      <c r="C84">
        <f>_xll.BDP("912828U2 Govt","CPN")</f>
        <v>2</v>
      </c>
      <c r="D84">
        <f>_xll.BDP("912828U2 Govt","YLD_YTM_BID")</f>
        <v>0.99829880449781838</v>
      </c>
      <c r="E84" t="str">
        <f>_xll.BDP("912828U2 Govt","MATURITY")</f>
        <v>11/15/2026</v>
      </c>
      <c r="F84" t="str">
        <f>_xll.BDP("912828U2 Govt","MTY_TYP")</f>
        <v>NORMAL</v>
      </c>
      <c r="G84" t="str">
        <f>_xll.BDP("912828U2 Govt","CRNCY")</f>
        <v>USD</v>
      </c>
      <c r="H84" t="str">
        <f>_xll.BDP("912828U2 Govt","COUNTRY_FULL_NAME")</f>
        <v>UNITED STATES</v>
      </c>
      <c r="I84" t="str">
        <f>_xll.BDP("912828U2 Govt","FIRST_CPN_DT")</f>
        <v>5/15/2017</v>
      </c>
      <c r="J84" t="str">
        <f>_xll.BDP("912828U2 Govt","COUPON_FREQUENCY_DESCRIPTION")</f>
        <v>S/A</v>
      </c>
      <c r="K84" t="str">
        <f>_xll.BDP("912828U2 Govt","CPN_TYP")</f>
        <v>FIXED</v>
      </c>
      <c r="L84" t="str">
        <f>_xll.BDP("912828U2 Govt","ID_ISIN")</f>
        <v>US912828U246</v>
      </c>
      <c r="M84">
        <v>69143000000</v>
      </c>
      <c r="N84">
        <v>69135000000</v>
      </c>
      <c r="O84" t="str">
        <f>_xll.BDP("912828U2 Govt","ISSUE_DT")</f>
        <v>11/15/2016</v>
      </c>
      <c r="P84" t="str">
        <f>_xll.BDP("912828U2 Govt","SECURITY_NAME")</f>
        <v>T 2 11/15/26</v>
      </c>
      <c r="Q84" t="str">
        <f>_xll.BDP("912828U2 Govt","DAY_CNT_DES")</f>
        <v>ACT/ACT</v>
      </c>
      <c r="R84">
        <v>100</v>
      </c>
      <c r="S84" t="str">
        <f>_xll.BDP("912828U2 Govt","ID_CUSIP")</f>
        <v>912828U24</v>
      </c>
      <c r="T84" t="str">
        <f>_xll.BDP("912828U2 Govt","IDX_RATIO")</f>
        <v>#N/A Field Not Applicable</v>
      </c>
    </row>
    <row r="85" spans="1:20" x14ac:dyDescent="0.25">
      <c r="A85" t="s">
        <v>14</v>
      </c>
      <c r="B85" t="str">
        <f>_xll.BDP("912828ZT Govt","TICKER")</f>
        <v>T</v>
      </c>
      <c r="C85">
        <f>_xll.BDP("912828ZT Govt","CPN")</f>
        <v>0.25</v>
      </c>
      <c r="D85">
        <f>_xll.BDP("912828ZT Govt","YLD_YTM_BID")</f>
        <v>0.71043426332693649</v>
      </c>
      <c r="E85" t="str">
        <f>_xll.BDP("912828ZT Govt","MATURITY")</f>
        <v>5/31/2025</v>
      </c>
      <c r="F85" t="str">
        <f>_xll.BDP("912828ZT Govt","MTY_TYP")</f>
        <v>NORMAL</v>
      </c>
      <c r="G85" t="str">
        <f>_xll.BDP("912828ZT Govt","CRNCY")</f>
        <v>USD</v>
      </c>
      <c r="H85" t="str">
        <f>_xll.BDP("912828ZT Govt","COUNTRY_FULL_NAME")</f>
        <v>UNITED STATES</v>
      </c>
      <c r="I85" t="str">
        <f>_xll.BDP("912828ZT Govt","FIRST_CPN_DT")</f>
        <v>11/30/2020</v>
      </c>
      <c r="J85" t="str">
        <f>_xll.BDP("912828ZT Govt","COUPON_FREQUENCY_DESCRIPTION")</f>
        <v>S/A</v>
      </c>
      <c r="K85" t="str">
        <f>_xll.BDP("912828ZT Govt","CPN_TYP")</f>
        <v>FIXED</v>
      </c>
      <c r="L85" t="str">
        <f>_xll.BDP("912828ZT Govt","ID_ISIN")</f>
        <v>US912828ZT04</v>
      </c>
      <c r="M85">
        <v>49724000000</v>
      </c>
      <c r="N85">
        <v>49724000000</v>
      </c>
      <c r="O85" t="str">
        <f>_xll.BDP("912828ZT Govt","ISSUE_DT")</f>
        <v>6/1/2020</v>
      </c>
      <c r="P85" t="str">
        <f>_xll.BDP("912828ZT Govt","SECURITY_NAME")</f>
        <v>T 0 1/4 05/31/25</v>
      </c>
      <c r="Q85" t="str">
        <f>_xll.BDP("912828ZT Govt","DAY_CNT_DES")</f>
        <v>ACT/ACT</v>
      </c>
      <c r="R85">
        <v>100</v>
      </c>
      <c r="S85" t="str">
        <f>_xll.BDP("912828ZT Govt","ID_CUSIP")</f>
        <v>912828ZT0</v>
      </c>
      <c r="T85" t="str">
        <f>_xll.BDP("912828ZT Govt","IDX_RATIO")</f>
        <v>#N/A Field Not Applicable</v>
      </c>
    </row>
    <row r="86" spans="1:20" x14ac:dyDescent="0.25">
      <c r="A86" t="s">
        <v>14</v>
      </c>
      <c r="B86" t="str">
        <f>_xll.BDP("91282CBP Govt","TICKER")</f>
        <v>T</v>
      </c>
      <c r="C86">
        <f>_xll.BDP("91282CBP Govt","CPN")</f>
        <v>1.125</v>
      </c>
      <c r="D86">
        <f>_xll.BDP("91282CBP Govt","YLD_YTM_BID")</f>
        <v>1.2255089081773951</v>
      </c>
      <c r="E86" t="str">
        <f>_xll.BDP("91282CBP Govt","MATURITY")</f>
        <v>2/29/2028</v>
      </c>
      <c r="F86" t="str">
        <f>_xll.BDP("91282CBP Govt","MTY_TYP")</f>
        <v>NORMAL</v>
      </c>
      <c r="G86" t="str">
        <f>_xll.BDP("91282CBP Govt","CRNCY")</f>
        <v>USD</v>
      </c>
      <c r="H86" t="str">
        <f>_xll.BDP("91282CBP Govt","COUNTRY_FULL_NAME")</f>
        <v>UNITED STATES</v>
      </c>
      <c r="I86" t="str">
        <f>_xll.BDP("91282CBP Govt","FIRST_CPN_DT")</f>
        <v>8/31/2021</v>
      </c>
      <c r="J86" t="str">
        <f>_xll.BDP("91282CBP Govt","COUPON_FREQUENCY_DESCRIPTION")</f>
        <v>S/A</v>
      </c>
      <c r="K86" t="str">
        <f>_xll.BDP("91282CBP Govt","CPN_TYP")</f>
        <v>FIXED</v>
      </c>
      <c r="L86" t="str">
        <f>_xll.BDP("91282CBP Govt","ID_ISIN")</f>
        <v>US91282CBP59</v>
      </c>
      <c r="M86">
        <v>75431000000</v>
      </c>
      <c r="N86">
        <v>75431000000</v>
      </c>
      <c r="O86" t="str">
        <f>_xll.BDP("91282CBP Govt","ISSUE_DT")</f>
        <v>3/1/2021</v>
      </c>
      <c r="P86" t="str">
        <f>_xll.BDP("91282CBP Govt","SECURITY_NAME")</f>
        <v>T 1 1/8 02/29/28</v>
      </c>
      <c r="Q86" t="str">
        <f>_xll.BDP("91282CBP Govt","DAY_CNT_DES")</f>
        <v>ACT/ACT</v>
      </c>
      <c r="R86">
        <v>100</v>
      </c>
      <c r="S86" t="str">
        <f>_xll.BDP("91282CBP Govt","ID_CUSIP")</f>
        <v>91282CBP5</v>
      </c>
      <c r="T86" t="str">
        <f>_xll.BDP("91282CBP Govt","IDX_RATIO")</f>
        <v>#N/A Field Not Applicable</v>
      </c>
    </row>
    <row r="87" spans="1:20" x14ac:dyDescent="0.25">
      <c r="A87" t="s">
        <v>14</v>
      </c>
      <c r="B87" t="str">
        <f>_xll.BDP("912828YQ Govt","TICKER")</f>
        <v>T</v>
      </c>
      <c r="C87">
        <f>_xll.BDP("912828YQ Govt","CPN")</f>
        <v>1.625</v>
      </c>
      <c r="D87">
        <f>_xll.BDP("912828YQ Govt","YLD_YTM_BID")</f>
        <v>0.98962968962118736</v>
      </c>
      <c r="E87" t="str">
        <f>_xll.BDP("912828YQ Govt","MATURITY")</f>
        <v>10/31/2026</v>
      </c>
      <c r="F87" t="str">
        <f>_xll.BDP("912828YQ Govt","MTY_TYP")</f>
        <v>NORMAL</v>
      </c>
      <c r="G87" t="str">
        <f>_xll.BDP("912828YQ Govt","CRNCY")</f>
        <v>USD</v>
      </c>
      <c r="H87" t="str">
        <f>_xll.BDP("912828YQ Govt","COUNTRY_FULL_NAME")</f>
        <v>UNITED STATES</v>
      </c>
      <c r="I87" t="str">
        <f>_xll.BDP("912828YQ Govt","FIRST_CPN_DT")</f>
        <v>4/30/2020</v>
      </c>
      <c r="J87" t="str">
        <f>_xll.BDP("912828YQ Govt","COUPON_FREQUENCY_DESCRIPTION")</f>
        <v>S/A</v>
      </c>
      <c r="K87" t="str">
        <f>_xll.BDP("912828YQ Govt","CPN_TYP")</f>
        <v>FIXED</v>
      </c>
      <c r="L87" t="str">
        <f>_xll.BDP("912828YQ Govt","ID_ISIN")</f>
        <v>US912828YQ73</v>
      </c>
      <c r="M87">
        <v>35346000000</v>
      </c>
      <c r="N87">
        <v>35346000000</v>
      </c>
      <c r="O87" t="str">
        <f>_xll.BDP("912828YQ Govt","ISSUE_DT")</f>
        <v>10/31/2019</v>
      </c>
      <c r="P87" t="str">
        <f>_xll.BDP("912828YQ Govt","SECURITY_NAME")</f>
        <v>T 1 5/8 10/31/26</v>
      </c>
      <c r="Q87" t="str">
        <f>_xll.BDP("912828YQ Govt","DAY_CNT_DES")</f>
        <v>ACT/ACT</v>
      </c>
      <c r="R87">
        <v>100</v>
      </c>
      <c r="S87" t="str">
        <f>_xll.BDP("912828YQ Govt","ID_CUSIP")</f>
        <v>912828YQ7</v>
      </c>
      <c r="T87" t="str">
        <f>_xll.BDP("912828YQ Govt","IDX_RATIO")</f>
        <v>#N/A Field Not Applicable</v>
      </c>
    </row>
    <row r="88" spans="1:20" x14ac:dyDescent="0.25">
      <c r="A88" t="s">
        <v>14</v>
      </c>
      <c r="B88" t="str">
        <f>_xll.BDP("91282CCC Govt","TICKER")</f>
        <v>T</v>
      </c>
      <c r="C88">
        <f>_xll.BDP("91282CCC Govt","CPN")</f>
        <v>0.25</v>
      </c>
      <c r="D88">
        <f>_xll.BDP("91282CCC Govt","YLD_YTM_BID")</f>
        <v>0.43995506769118115</v>
      </c>
      <c r="E88" t="str">
        <f>_xll.BDP("91282CCC Govt","MATURITY")</f>
        <v>5/15/2024</v>
      </c>
      <c r="F88" t="str">
        <f>_xll.BDP("91282CCC Govt","MTY_TYP")</f>
        <v>NORMAL</v>
      </c>
      <c r="G88" t="str">
        <f>_xll.BDP("91282CCC Govt","CRNCY")</f>
        <v>USD</v>
      </c>
      <c r="H88" t="str">
        <f>_xll.BDP("91282CCC Govt","COUNTRY_FULL_NAME")</f>
        <v>UNITED STATES</v>
      </c>
      <c r="I88" t="str">
        <f>_xll.BDP("91282CCC Govt","FIRST_CPN_DT")</f>
        <v>11/15/2021</v>
      </c>
      <c r="J88" t="str">
        <f>_xll.BDP("91282CCC Govt","COUPON_FREQUENCY_DESCRIPTION")</f>
        <v>S/A</v>
      </c>
      <c r="K88" t="str">
        <f>_xll.BDP("91282CCC Govt","CPN_TYP")</f>
        <v>FIXED</v>
      </c>
      <c r="L88" t="str">
        <f>_xll.BDP("91282CCC Govt","ID_ISIN")</f>
        <v>US91282CCC38</v>
      </c>
      <c r="M88">
        <v>88769000000</v>
      </c>
      <c r="N88">
        <v>88769000000</v>
      </c>
      <c r="O88" t="str">
        <f>_xll.BDP("91282CCC Govt","ISSUE_DT")</f>
        <v>5/17/2021</v>
      </c>
      <c r="P88" t="str">
        <f>_xll.BDP("91282CCC Govt","SECURITY_NAME")</f>
        <v>T 0 1/4 05/15/24</v>
      </c>
      <c r="Q88" t="str">
        <f>_xll.BDP("91282CCC Govt","DAY_CNT_DES")</f>
        <v>ACT/ACT</v>
      </c>
      <c r="R88">
        <v>100</v>
      </c>
      <c r="S88" t="str">
        <f>_xll.BDP("91282CCC Govt","ID_CUSIP")</f>
        <v>91282CCC3</v>
      </c>
      <c r="T88" t="str">
        <f>_xll.BDP("91282CCC Govt","IDX_RATIO")</f>
        <v>#N/A Field Not Applicable</v>
      </c>
    </row>
    <row r="89" spans="1:20" x14ac:dyDescent="0.25">
      <c r="A89" t="s">
        <v>14</v>
      </c>
      <c r="B89" t="str">
        <f>_xll.BDP("91282CBV Govt","TICKER")</f>
        <v>T</v>
      </c>
      <c r="C89">
        <f>_xll.BDP("91282CBV Govt","CPN")</f>
        <v>0.375</v>
      </c>
      <c r="D89">
        <f>_xll.BDP("91282CBV Govt","YLD_YTM_BID")</f>
        <v>0.41859485275874236</v>
      </c>
      <c r="E89" t="str">
        <f>_xll.BDP("91282CBV Govt","MATURITY")</f>
        <v>4/15/2024</v>
      </c>
      <c r="F89" t="str">
        <f>_xll.BDP("91282CBV Govt","MTY_TYP")</f>
        <v>NORMAL</v>
      </c>
      <c r="G89" t="str">
        <f>_xll.BDP("91282CBV Govt","CRNCY")</f>
        <v>USD</v>
      </c>
      <c r="H89" t="str">
        <f>_xll.BDP("91282CBV Govt","COUNTRY_FULL_NAME")</f>
        <v>UNITED STATES</v>
      </c>
      <c r="I89" t="str">
        <f>_xll.BDP("91282CBV Govt","FIRST_CPN_DT")</f>
        <v>10/15/2021</v>
      </c>
      <c r="J89" t="str">
        <f>_xll.BDP("91282CBV Govt","COUPON_FREQUENCY_DESCRIPTION")</f>
        <v>S/A</v>
      </c>
      <c r="K89" t="str">
        <f>_xll.BDP("91282CBV Govt","CPN_TYP")</f>
        <v>FIXED</v>
      </c>
      <c r="L89" t="str">
        <f>_xll.BDP("91282CBV Govt","ID_ISIN")</f>
        <v>US91282CBV28</v>
      </c>
      <c r="M89">
        <v>66902000000</v>
      </c>
      <c r="N89">
        <v>66902000000</v>
      </c>
      <c r="O89" t="str">
        <f>_xll.BDP("91282CBV Govt","ISSUE_DT")</f>
        <v>4/15/2021</v>
      </c>
      <c r="P89" t="str">
        <f>_xll.BDP("91282CBV Govt","SECURITY_NAME")</f>
        <v>T 0 3/8 04/15/24</v>
      </c>
      <c r="Q89" t="str">
        <f>_xll.BDP("91282CBV Govt","DAY_CNT_DES")</f>
        <v>ACT/ACT</v>
      </c>
      <c r="R89">
        <v>100</v>
      </c>
      <c r="S89" t="str">
        <f>_xll.BDP("91282CBV Govt","ID_CUSIP")</f>
        <v>91282CBV2</v>
      </c>
      <c r="T89" t="str">
        <f>_xll.BDP("91282CBV Govt","IDX_RATIO")</f>
        <v>#N/A Field Not Applicable</v>
      </c>
    </row>
    <row r="90" spans="1:20" x14ac:dyDescent="0.25">
      <c r="A90" t="s">
        <v>14</v>
      </c>
      <c r="B90" t="str">
        <f>_xll.BDP("912810ST Govt","TICKER")</f>
        <v>T</v>
      </c>
      <c r="C90">
        <f>_xll.BDP("912810ST Govt","CPN")</f>
        <v>1.375</v>
      </c>
      <c r="D90">
        <f>_xll.BDP("912810ST Govt","YLD_YTM_BID")</f>
        <v>2.0350047895936894</v>
      </c>
      <c r="E90" t="str">
        <f>_xll.BDP("912810ST Govt","MATURITY")</f>
        <v>11/15/2040</v>
      </c>
      <c r="F90" t="str">
        <f>_xll.BDP("912810ST Govt","MTY_TYP")</f>
        <v>NORMAL</v>
      </c>
      <c r="G90" t="str">
        <f>_xll.BDP("912810ST Govt","CRNCY")</f>
        <v>USD</v>
      </c>
      <c r="H90" t="str">
        <f>_xll.BDP("912810ST Govt","COUNTRY_FULL_NAME")</f>
        <v>UNITED STATES</v>
      </c>
      <c r="I90" t="str">
        <f>_xll.BDP("912810ST Govt","FIRST_CPN_DT")</f>
        <v>5/15/2021</v>
      </c>
      <c r="J90" t="str">
        <f>_xll.BDP("912810ST Govt","COUPON_FREQUENCY_DESCRIPTION")</f>
        <v>S/A</v>
      </c>
      <c r="K90" t="str">
        <f>_xll.BDP("912810ST Govt","CPN_TYP")</f>
        <v>FIXED</v>
      </c>
      <c r="L90" t="str">
        <f>_xll.BDP("912810ST Govt","ID_ISIN")</f>
        <v>US912810ST60</v>
      </c>
      <c r="M90">
        <v>85641000000</v>
      </c>
      <c r="N90">
        <v>85641000000</v>
      </c>
      <c r="O90" t="str">
        <f>_xll.BDP("912810ST Govt","ISSUE_DT")</f>
        <v>11/30/2020</v>
      </c>
      <c r="P90" t="str">
        <f>_xll.BDP("912810ST Govt","SECURITY_NAME")</f>
        <v>T 1 3/8 11/15/40</v>
      </c>
      <c r="Q90" t="str">
        <f>_xll.BDP("912810ST Govt","DAY_CNT_DES")</f>
        <v>ACT/ACT</v>
      </c>
      <c r="R90">
        <v>100</v>
      </c>
      <c r="S90" t="str">
        <f>_xll.BDP("912810ST Govt","ID_CUSIP")</f>
        <v>912810ST6</v>
      </c>
      <c r="T90" t="str">
        <f>_xll.BDP("912810ST Govt","IDX_RATIO")</f>
        <v>#N/A Field Not Applicable</v>
      </c>
    </row>
    <row r="91" spans="1:20" x14ac:dyDescent="0.25">
      <c r="A91" t="s">
        <v>14</v>
      </c>
      <c r="B91" t="str">
        <f>_xll.BDP("912828P4 Govt","TICKER")</f>
        <v>T</v>
      </c>
      <c r="C91">
        <f>_xll.BDP("912828P4 Govt","CPN")</f>
        <v>1.625</v>
      </c>
      <c r="D91">
        <f>_xll.BDP("912828P4 Govt","YLD_YTM_BID")</f>
        <v>0.87253935242991976</v>
      </c>
      <c r="E91" t="str">
        <f>_xll.BDP("912828P4 Govt","MATURITY")</f>
        <v>2/15/2026</v>
      </c>
      <c r="F91" t="str">
        <f>_xll.BDP("912828P4 Govt","MTY_TYP")</f>
        <v>NORMAL</v>
      </c>
      <c r="G91" t="str">
        <f>_xll.BDP("912828P4 Govt","CRNCY")</f>
        <v>USD</v>
      </c>
      <c r="H91" t="str">
        <f>_xll.BDP("912828P4 Govt","COUNTRY_FULL_NAME")</f>
        <v>UNITED STATES</v>
      </c>
      <c r="I91" t="str">
        <f>_xll.BDP("912828P4 Govt","FIRST_CPN_DT")</f>
        <v>8/15/2016</v>
      </c>
      <c r="J91" t="str">
        <f>_xll.BDP("912828P4 Govt","COUPON_FREQUENCY_DESCRIPTION")</f>
        <v>S/A</v>
      </c>
      <c r="K91" t="str">
        <f>_xll.BDP("912828P4 Govt","CPN_TYP")</f>
        <v>FIXED</v>
      </c>
      <c r="L91" t="str">
        <f>_xll.BDP("912828P4 Govt","ID_ISIN")</f>
        <v>US912828P469</v>
      </c>
      <c r="M91">
        <v>64947000000</v>
      </c>
      <c r="N91">
        <v>64941000000</v>
      </c>
      <c r="O91" t="str">
        <f>_xll.BDP("912828P4 Govt","ISSUE_DT")</f>
        <v>2/16/2016</v>
      </c>
      <c r="P91" t="str">
        <f>_xll.BDP("912828P4 Govt","SECURITY_NAME")</f>
        <v>T 1 5/8 02/15/26</v>
      </c>
      <c r="Q91" t="str">
        <f>_xll.BDP("912828P4 Govt","DAY_CNT_DES")</f>
        <v>ACT/ACT</v>
      </c>
      <c r="R91">
        <v>100</v>
      </c>
      <c r="S91" t="str">
        <f>_xll.BDP("912828P4 Govt","ID_CUSIP")</f>
        <v>912828P46</v>
      </c>
      <c r="T91" t="str">
        <f>_xll.BDP("912828P4 Govt","IDX_RATIO")</f>
        <v>#N/A Field Not Applicable</v>
      </c>
    </row>
    <row r="92" spans="1:20" x14ac:dyDescent="0.25">
      <c r="A92" t="s">
        <v>14</v>
      </c>
      <c r="B92" t="str">
        <f>_xll.BDP("912810SQ Govt","TICKER")</f>
        <v>T</v>
      </c>
      <c r="C92">
        <f>_xll.BDP("912810SQ Govt","CPN")</f>
        <v>1.125</v>
      </c>
      <c r="D92">
        <f>_xll.BDP("912810SQ Govt","YLD_YTM_BID")</f>
        <v>2.0356682789357179</v>
      </c>
      <c r="E92" t="str">
        <f>_xll.BDP("912810SQ Govt","MATURITY")</f>
        <v>8/15/2040</v>
      </c>
      <c r="F92" t="str">
        <f>_xll.BDP("912810SQ Govt","MTY_TYP")</f>
        <v>NORMAL</v>
      </c>
      <c r="G92" t="str">
        <f>_xll.BDP("912810SQ Govt","CRNCY")</f>
        <v>USD</v>
      </c>
      <c r="H92" t="str">
        <f>_xll.BDP("912810SQ Govt","COUNTRY_FULL_NAME")</f>
        <v>UNITED STATES</v>
      </c>
      <c r="I92" t="str">
        <f>_xll.BDP("912810SQ Govt","FIRST_CPN_DT")</f>
        <v>2/15/2021</v>
      </c>
      <c r="J92" t="str">
        <f>_xll.BDP("912810SQ Govt","COUPON_FREQUENCY_DESCRIPTION")</f>
        <v>S/A</v>
      </c>
      <c r="K92" t="str">
        <f>_xll.BDP("912810SQ Govt","CPN_TYP")</f>
        <v>FIXED</v>
      </c>
      <c r="L92" t="str">
        <f>_xll.BDP("912810SQ Govt","ID_ISIN")</f>
        <v>US912810SQ22</v>
      </c>
      <c r="M92">
        <v>76518000000</v>
      </c>
      <c r="N92">
        <v>76518000000</v>
      </c>
      <c r="O92" t="str">
        <f>_xll.BDP("912810SQ Govt","ISSUE_DT")</f>
        <v>8/31/2020</v>
      </c>
      <c r="P92" t="str">
        <f>_xll.BDP("912810SQ Govt","SECURITY_NAME")</f>
        <v>T 1 1/8 08/15/40</v>
      </c>
      <c r="Q92" t="str">
        <f>_xll.BDP("912810SQ Govt","DAY_CNT_DES")</f>
        <v>ACT/ACT</v>
      </c>
      <c r="R92">
        <v>100</v>
      </c>
      <c r="S92" t="str">
        <f>_xll.BDP("912810SQ Govt","ID_CUSIP")</f>
        <v>912810SQ2</v>
      </c>
      <c r="T92" t="str">
        <f>_xll.BDP("912810SQ Govt","IDX_RATIO")</f>
        <v>#N/A Field Not Applicable</v>
      </c>
    </row>
    <row r="93" spans="1:20" x14ac:dyDescent="0.25">
      <c r="A93" t="s">
        <v>14</v>
      </c>
      <c r="B93" t="str">
        <f>_xll.BDP("912810FP Govt","TICKER")</f>
        <v>T</v>
      </c>
      <c r="C93">
        <f>_xll.BDP("912810FP Govt","CPN")</f>
        <v>5.375</v>
      </c>
      <c r="D93">
        <f>_xll.BDP("912810FP Govt","YLD_YTM_BID")</f>
        <v>1.4346896645450651</v>
      </c>
      <c r="E93" t="str">
        <f>_xll.BDP("912810FP Govt","MATURITY")</f>
        <v>2/15/2031</v>
      </c>
      <c r="F93" t="str">
        <f>_xll.BDP("912810FP Govt","MTY_TYP")</f>
        <v>NORMAL</v>
      </c>
      <c r="G93" t="str">
        <f>_xll.BDP("912810FP Govt","CRNCY")</f>
        <v>USD</v>
      </c>
      <c r="H93" t="str">
        <f>_xll.BDP("912810FP Govt","COUNTRY_FULL_NAME")</f>
        <v>UNITED STATES</v>
      </c>
      <c r="I93" t="str">
        <f>_xll.BDP("912810FP Govt","FIRST_CPN_DT")</f>
        <v>8/15/2001</v>
      </c>
      <c r="J93" t="str">
        <f>_xll.BDP("912810FP Govt","COUPON_FREQUENCY_DESCRIPTION")</f>
        <v>S/A</v>
      </c>
      <c r="K93" t="str">
        <f>_xll.BDP("912810FP Govt","CPN_TYP")</f>
        <v>FIXED</v>
      </c>
      <c r="L93" t="str">
        <f>_xll.BDP("912810FP Govt","ID_ISIN")</f>
        <v>US912810FP85</v>
      </c>
      <c r="M93">
        <v>16428000000</v>
      </c>
      <c r="N93">
        <v>16428000000</v>
      </c>
      <c r="O93" t="str">
        <f>_xll.BDP("912810FP Govt","ISSUE_DT")</f>
        <v>2/15/2001</v>
      </c>
      <c r="P93" t="str">
        <f>_xll.BDP("912810FP Govt","SECURITY_NAME")</f>
        <v>T 5 3/8 02/15/31</v>
      </c>
      <c r="Q93" t="str">
        <f>_xll.BDP("912810FP Govt","DAY_CNT_DES")</f>
        <v>ACT/ACT</v>
      </c>
      <c r="R93">
        <v>100</v>
      </c>
      <c r="S93" t="str">
        <f>_xll.BDP("912810FP Govt","ID_CUSIP")</f>
        <v>912810FP8</v>
      </c>
      <c r="T93" t="str">
        <f>_xll.BDP("912810FP Govt","IDX_RATIO")</f>
        <v>#N/A Field Not Applicable</v>
      </c>
    </row>
    <row r="94" spans="1:20" x14ac:dyDescent="0.25">
      <c r="A94" t="s">
        <v>14</v>
      </c>
      <c r="B94" t="str">
        <f>_xll.BDP("912828J2 Govt","TICKER")</f>
        <v>T</v>
      </c>
      <c r="C94">
        <f>_xll.BDP("912828J2 Govt","CPN")</f>
        <v>2</v>
      </c>
      <c r="D94">
        <f>_xll.BDP("912828J2 Govt","YLD_YTM_BID")</f>
        <v>0.61818064135620765</v>
      </c>
      <c r="E94" t="str">
        <f>_xll.BDP("912828J2 Govt","MATURITY")</f>
        <v>2/15/2025</v>
      </c>
      <c r="F94" t="str">
        <f>_xll.BDP("912828J2 Govt","MTY_TYP")</f>
        <v>NORMAL</v>
      </c>
      <c r="G94" t="str">
        <f>_xll.BDP("912828J2 Govt","CRNCY")</f>
        <v>USD</v>
      </c>
      <c r="H94" t="str">
        <f>_xll.BDP("912828J2 Govt","COUNTRY_FULL_NAME")</f>
        <v>UNITED STATES</v>
      </c>
      <c r="I94" t="str">
        <f>_xll.BDP("912828J2 Govt","FIRST_CPN_DT")</f>
        <v>8/15/2015</v>
      </c>
      <c r="J94" t="str">
        <f>_xll.BDP("912828J2 Govt","COUPON_FREQUENCY_DESCRIPTION")</f>
        <v>S/A</v>
      </c>
      <c r="K94" t="str">
        <f>_xll.BDP("912828J2 Govt","CPN_TYP")</f>
        <v>FIXED</v>
      </c>
      <c r="L94" t="str">
        <f>_xll.BDP("912828J2 Govt","ID_ISIN")</f>
        <v>US912828J272</v>
      </c>
      <c r="M94">
        <v>65995000000</v>
      </c>
      <c r="N94">
        <v>65988000000</v>
      </c>
      <c r="O94" t="str">
        <f>_xll.BDP("912828J2 Govt","ISSUE_DT")</f>
        <v>2/17/2015</v>
      </c>
      <c r="P94" t="str">
        <f>_xll.BDP("912828J2 Govt","SECURITY_NAME")</f>
        <v>T 2 02/15/25</v>
      </c>
      <c r="Q94" t="str">
        <f>_xll.BDP("912828J2 Govt","DAY_CNT_DES")</f>
        <v>ACT/ACT</v>
      </c>
      <c r="R94">
        <v>100</v>
      </c>
      <c r="S94" t="str">
        <f>_xll.BDP("912828J2 Govt","ID_CUSIP")</f>
        <v>912828J27</v>
      </c>
      <c r="T94" t="str">
        <f>_xll.BDP("912828J2 Govt","IDX_RATIO")</f>
        <v>#N/A Field Not Applicable</v>
      </c>
    </row>
    <row r="95" spans="1:20" x14ac:dyDescent="0.25">
      <c r="A95" t="s">
        <v>14</v>
      </c>
      <c r="B95" t="str">
        <f>_xll.BDP("912810SK Govt","TICKER")</f>
        <v>T</v>
      </c>
      <c r="C95">
        <f>_xll.BDP("912810SK Govt","CPN")</f>
        <v>2.375</v>
      </c>
      <c r="D95">
        <f>_xll.BDP("912810SK Govt","YLD_YTM_BID")</f>
        <v>2.0879916945149155</v>
      </c>
      <c r="E95" t="str">
        <f>_xll.BDP("912810SK Govt","MATURITY")</f>
        <v>11/15/2049</v>
      </c>
      <c r="F95" t="str">
        <f>_xll.BDP("912810SK Govt","MTY_TYP")</f>
        <v>NORMAL</v>
      </c>
      <c r="G95" t="str">
        <f>_xll.BDP("912810SK Govt","CRNCY")</f>
        <v>USD</v>
      </c>
      <c r="H95" t="str">
        <f>_xll.BDP("912810SK Govt","COUNTRY_FULL_NAME")</f>
        <v>UNITED STATES</v>
      </c>
      <c r="I95" t="str">
        <f>_xll.BDP("912810SK Govt","FIRST_CPN_DT")</f>
        <v>5/15/2020</v>
      </c>
      <c r="J95" t="str">
        <f>_xll.BDP("912810SK Govt","COUPON_FREQUENCY_DESCRIPTION")</f>
        <v>S/A</v>
      </c>
      <c r="K95" t="str">
        <f>_xll.BDP("912810SK Govt","CPN_TYP")</f>
        <v>FIXED</v>
      </c>
      <c r="L95" t="str">
        <f>_xll.BDP("912810SK Govt","ID_ISIN")</f>
        <v>US912810SK51</v>
      </c>
      <c r="M95">
        <v>60505000000</v>
      </c>
      <c r="N95">
        <v>60505000000</v>
      </c>
      <c r="O95" t="str">
        <f>_xll.BDP("912810SK Govt","ISSUE_DT")</f>
        <v>11/15/2019</v>
      </c>
      <c r="P95" t="str">
        <f>_xll.BDP("912810SK Govt","SECURITY_NAME")</f>
        <v>T 2 3/8 11/15/49</v>
      </c>
      <c r="Q95" t="str">
        <f>_xll.BDP("912810SK Govt","DAY_CNT_DES")</f>
        <v>ACT/ACT</v>
      </c>
      <c r="R95">
        <v>100</v>
      </c>
      <c r="S95" t="str">
        <f>_xll.BDP("912810SK Govt","ID_CUSIP")</f>
        <v>912810SK5</v>
      </c>
      <c r="T95" t="str">
        <f>_xll.BDP("912810SK Govt","IDX_RATIO")</f>
        <v>#N/A Field Not Applicable</v>
      </c>
    </row>
    <row r="96" spans="1:20" x14ac:dyDescent="0.25">
      <c r="A96" t="s">
        <v>14</v>
      </c>
      <c r="B96" t="str">
        <f>_xll.BDP("912810RT Govt","TICKER")</f>
        <v>T</v>
      </c>
      <c r="C96">
        <f>_xll.BDP("912810RT Govt","CPN")</f>
        <v>2.25</v>
      </c>
      <c r="D96">
        <f>_xll.BDP("912810RT Govt","YLD_YTM_BID")</f>
        <v>2.0984861184714716</v>
      </c>
      <c r="E96" t="str">
        <f>_xll.BDP("912810RT Govt","MATURITY")</f>
        <v>8/15/2046</v>
      </c>
      <c r="F96" t="str">
        <f>_xll.BDP("912810RT Govt","MTY_TYP")</f>
        <v>NORMAL</v>
      </c>
      <c r="G96" t="str">
        <f>_xll.BDP("912810RT Govt","CRNCY")</f>
        <v>USD</v>
      </c>
      <c r="H96" t="str">
        <f>_xll.BDP("912810RT Govt","COUNTRY_FULL_NAME")</f>
        <v>UNITED STATES</v>
      </c>
      <c r="I96" t="str">
        <f>_xll.BDP("912810RT Govt","FIRST_CPN_DT")</f>
        <v>2/15/2017</v>
      </c>
      <c r="J96" t="str">
        <f>_xll.BDP("912810RT Govt","COUPON_FREQUENCY_DESCRIPTION")</f>
        <v>S/A</v>
      </c>
      <c r="K96" t="str">
        <f>_xll.BDP("912810RT Govt","CPN_TYP")</f>
        <v>FIXED</v>
      </c>
      <c r="L96" t="str">
        <f>_xll.BDP("912810RT Govt","ID_ISIN")</f>
        <v>US912810RT79</v>
      </c>
      <c r="M96">
        <v>40536000000</v>
      </c>
      <c r="N96">
        <v>40536000000</v>
      </c>
      <c r="O96" t="str">
        <f>_xll.BDP("912810RT Govt","ISSUE_DT")</f>
        <v>8/15/2016</v>
      </c>
      <c r="P96" t="str">
        <f>_xll.BDP("912810RT Govt","SECURITY_NAME")</f>
        <v>T 2 1/4 08/15/46</v>
      </c>
      <c r="Q96" t="str">
        <f>_xll.BDP("912810RT Govt","DAY_CNT_DES")</f>
        <v>ACT/ACT</v>
      </c>
      <c r="R96">
        <v>100</v>
      </c>
      <c r="S96" t="str">
        <f>_xll.BDP("912810RT Govt","ID_CUSIP")</f>
        <v>912810RT7</v>
      </c>
      <c r="T96" t="str">
        <f>_xll.BDP("912810RT Govt","IDX_RATIO")</f>
        <v>#N/A Field Not Applicable</v>
      </c>
    </row>
    <row r="97" spans="1:20" x14ac:dyDescent="0.25">
      <c r="A97" t="s">
        <v>14</v>
      </c>
      <c r="B97" t="str">
        <f>_xll.BDP("912828X8 Govt","TICKER")</f>
        <v>T</v>
      </c>
      <c r="C97">
        <f>_xll.BDP("912828X8 Govt","CPN")</f>
        <v>2.375</v>
      </c>
      <c r="D97">
        <f>_xll.BDP("912828X8 Govt","YLD_YTM_BID")</f>
        <v>1.0878636480802513</v>
      </c>
      <c r="E97" t="str">
        <f>_xll.BDP("912828X8 Govt","MATURITY")</f>
        <v>5/15/2027</v>
      </c>
      <c r="F97" t="str">
        <f>_xll.BDP("912828X8 Govt","MTY_TYP")</f>
        <v>NORMAL</v>
      </c>
      <c r="G97" t="str">
        <f>_xll.BDP("912828X8 Govt","CRNCY")</f>
        <v>USD</v>
      </c>
      <c r="H97" t="str">
        <f>_xll.BDP("912828X8 Govt","COUNTRY_FULL_NAME")</f>
        <v>UNITED STATES</v>
      </c>
      <c r="I97" t="str">
        <f>_xll.BDP("912828X8 Govt","FIRST_CPN_DT")</f>
        <v>11/15/2017</v>
      </c>
      <c r="J97" t="str">
        <f>_xll.BDP("912828X8 Govt","COUPON_FREQUENCY_DESCRIPTION")</f>
        <v>S/A</v>
      </c>
      <c r="K97" t="str">
        <f>_xll.BDP("912828X8 Govt","CPN_TYP")</f>
        <v>FIXED</v>
      </c>
      <c r="L97" t="str">
        <f>_xll.BDP("912828X8 Govt","ID_ISIN")</f>
        <v>US912828X885</v>
      </c>
      <c r="M97">
        <v>71050000000</v>
      </c>
      <c r="N97">
        <v>71050000000</v>
      </c>
      <c r="O97" t="str">
        <f>_xll.BDP("912828X8 Govt","ISSUE_DT")</f>
        <v>5/15/2017</v>
      </c>
      <c r="P97" t="str">
        <f>_xll.BDP("912828X8 Govt","SECURITY_NAME")</f>
        <v>T 2 3/8 05/15/27</v>
      </c>
      <c r="Q97" t="str">
        <f>_xll.BDP("912828X8 Govt","DAY_CNT_DES")</f>
        <v>ACT/ACT</v>
      </c>
      <c r="R97">
        <v>100</v>
      </c>
      <c r="S97" t="str">
        <f>_xll.BDP("912828X8 Govt","ID_CUSIP")</f>
        <v>912828X88</v>
      </c>
      <c r="T97" t="str">
        <f>_xll.BDP("912828X8 Govt","IDX_RATIO")</f>
        <v>#N/A Field Not Applicable</v>
      </c>
    </row>
    <row r="98" spans="1:20" x14ac:dyDescent="0.25">
      <c r="A98" t="s">
        <v>14</v>
      </c>
      <c r="B98" t="str">
        <f>_xll.BDP("9128282R Govt","TICKER")</f>
        <v>T</v>
      </c>
      <c r="C98">
        <f>_xll.BDP("9128282R Govt","CPN")</f>
        <v>2.25</v>
      </c>
      <c r="D98">
        <f>_xll.BDP("9128282R Govt","YLD_YTM_BID")</f>
        <v>1.1332164267109832</v>
      </c>
      <c r="E98" t="str">
        <f>_xll.BDP("9128282R Govt","MATURITY")</f>
        <v>8/15/2027</v>
      </c>
      <c r="F98" t="str">
        <f>_xll.BDP("9128282R Govt","MTY_TYP")</f>
        <v>NORMAL</v>
      </c>
      <c r="G98" t="str">
        <f>_xll.BDP("9128282R Govt","CRNCY")</f>
        <v>USD</v>
      </c>
      <c r="H98" t="str">
        <f>_xll.BDP("9128282R Govt","COUNTRY_FULL_NAME")</f>
        <v>UNITED STATES</v>
      </c>
      <c r="I98" t="str">
        <f>_xll.BDP("9128282R Govt","FIRST_CPN_DT")</f>
        <v>2/15/2018</v>
      </c>
      <c r="J98" t="str">
        <f>_xll.BDP("9128282R Govt","COUPON_FREQUENCY_DESCRIPTION")</f>
        <v>S/A</v>
      </c>
      <c r="K98" t="str">
        <f>_xll.BDP("9128282R Govt","CPN_TYP")</f>
        <v>FIXED</v>
      </c>
      <c r="L98" t="str">
        <f>_xll.BDP("9128282R Govt","ID_ISIN")</f>
        <v>US9128282R06</v>
      </c>
      <c r="M98">
        <v>69920000000</v>
      </c>
      <c r="N98">
        <v>69915000000</v>
      </c>
      <c r="O98" t="str">
        <f>_xll.BDP("9128282R Govt","ISSUE_DT")</f>
        <v>8/15/2017</v>
      </c>
      <c r="P98" t="str">
        <f>_xll.BDP("9128282R Govt","SECURITY_NAME")</f>
        <v>T 2 1/4 08/15/27</v>
      </c>
      <c r="Q98" t="str">
        <f>_xll.BDP("9128282R Govt","DAY_CNT_DES")</f>
        <v>ACT/ACT</v>
      </c>
      <c r="R98">
        <v>100</v>
      </c>
      <c r="S98" t="str">
        <f>_xll.BDP("9128282R Govt","ID_CUSIP")</f>
        <v>9128282R0</v>
      </c>
      <c r="T98" t="str">
        <f>_xll.BDP("9128282R Govt","IDX_RATIO")</f>
        <v>#N/A Field Not Applicable</v>
      </c>
    </row>
    <row r="99" spans="1:20" x14ac:dyDescent="0.25">
      <c r="A99" t="s">
        <v>14</v>
      </c>
      <c r="B99" t="str">
        <f>_xll.BDP("91282CAB Govt","TICKER")</f>
        <v>T</v>
      </c>
      <c r="C99">
        <f>_xll.BDP("91282CAB Govt","CPN")</f>
        <v>0.25</v>
      </c>
      <c r="D99">
        <f>_xll.BDP("91282CAB Govt","YLD_YTM_BID")</f>
        <v>0.74696195728597625</v>
      </c>
      <c r="E99" t="str">
        <f>_xll.BDP("91282CAB Govt","MATURITY")</f>
        <v>7/31/2025</v>
      </c>
      <c r="F99" t="str">
        <f>_xll.BDP("91282CAB Govt","MTY_TYP")</f>
        <v>NORMAL</v>
      </c>
      <c r="G99" t="str">
        <f>_xll.BDP("91282CAB Govt","CRNCY")</f>
        <v>USD</v>
      </c>
      <c r="H99" t="str">
        <f>_xll.BDP("91282CAB Govt","COUNTRY_FULL_NAME")</f>
        <v>UNITED STATES</v>
      </c>
      <c r="I99" t="str">
        <f>_xll.BDP("91282CAB Govt","FIRST_CPN_DT")</f>
        <v>1/31/2021</v>
      </c>
      <c r="J99" t="str">
        <f>_xll.BDP("91282CAB Govt","COUPON_FREQUENCY_DESCRIPTION")</f>
        <v>S/A</v>
      </c>
      <c r="K99" t="str">
        <f>_xll.BDP("91282CAB Govt","CPN_TYP")</f>
        <v>FIXED</v>
      </c>
      <c r="L99" t="str">
        <f>_xll.BDP("91282CAB Govt","ID_ISIN")</f>
        <v>US91282CAB72</v>
      </c>
      <c r="M99">
        <v>54568000000</v>
      </c>
      <c r="N99">
        <v>54568000000</v>
      </c>
      <c r="O99" t="str">
        <f>_xll.BDP("91282CAB Govt","ISSUE_DT")</f>
        <v>7/31/2020</v>
      </c>
      <c r="P99" t="str">
        <f>_xll.BDP("91282CAB Govt","SECURITY_NAME")</f>
        <v>T 0 1/4 07/31/25</v>
      </c>
      <c r="Q99" t="str">
        <f>_xll.BDP("91282CAB Govt","DAY_CNT_DES")</f>
        <v>ACT/ACT</v>
      </c>
      <c r="R99">
        <v>100</v>
      </c>
      <c r="S99" t="str">
        <f>_xll.BDP("91282CAB Govt","ID_CUSIP")</f>
        <v>91282CAB7</v>
      </c>
      <c r="T99" t="str">
        <f>_xll.BDP("91282CAB Govt","IDX_RATIO")</f>
        <v>#N/A Field Not Applicable</v>
      </c>
    </row>
    <row r="100" spans="1:20" x14ac:dyDescent="0.25">
      <c r="A100" t="s">
        <v>14</v>
      </c>
      <c r="B100" t="str">
        <f>_xll.BDP("912810SR Govt","TICKER")</f>
        <v>T</v>
      </c>
      <c r="C100">
        <f>_xll.BDP("912810SR Govt","CPN")</f>
        <v>1.125</v>
      </c>
      <c r="D100">
        <f>_xll.BDP("912810SR Govt","YLD_YTM_BID")</f>
        <v>2.0223777723588396</v>
      </c>
      <c r="E100" t="str">
        <f>_xll.BDP("912810SR Govt","MATURITY")</f>
        <v>5/15/2040</v>
      </c>
      <c r="F100" t="str">
        <f>_xll.BDP("912810SR Govt","MTY_TYP")</f>
        <v>NORMAL</v>
      </c>
      <c r="G100" t="str">
        <f>_xll.BDP("912810SR Govt","CRNCY")</f>
        <v>USD</v>
      </c>
      <c r="H100" t="str">
        <f>_xll.BDP("912810SR Govt","COUNTRY_FULL_NAME")</f>
        <v>UNITED STATES</v>
      </c>
      <c r="I100" t="str">
        <f>_xll.BDP("912810SR Govt","FIRST_CPN_DT")</f>
        <v>11/15/2020</v>
      </c>
      <c r="J100" t="str">
        <f>_xll.BDP("912810SR Govt","COUPON_FREQUENCY_DESCRIPTION")</f>
        <v>S/A</v>
      </c>
      <c r="K100" t="str">
        <f>_xll.BDP("912810SR Govt","CPN_TYP")</f>
        <v>FIXED</v>
      </c>
      <c r="L100" t="str">
        <f>_xll.BDP("912810SR Govt","ID_ISIN")</f>
        <v>US912810SR05</v>
      </c>
      <c r="M100">
        <v>60357000000</v>
      </c>
      <c r="N100">
        <v>60357000000</v>
      </c>
      <c r="O100" t="str">
        <f>_xll.BDP("912810SR Govt","ISSUE_DT")</f>
        <v>6/1/2020</v>
      </c>
      <c r="P100" t="str">
        <f>_xll.BDP("912810SR Govt","SECURITY_NAME")</f>
        <v>T 1 1/8 05/15/40</v>
      </c>
      <c r="Q100" t="str">
        <f>_xll.BDP("912810SR Govt","DAY_CNT_DES")</f>
        <v>ACT/ACT</v>
      </c>
      <c r="R100">
        <v>100</v>
      </c>
      <c r="S100" t="str">
        <f>_xll.BDP("912810SR Govt","ID_CUSIP")</f>
        <v>912810SR0</v>
      </c>
      <c r="T100" t="str">
        <f>_xll.BDP("912810SR Govt","IDX_RATIO")</f>
        <v>#N/A Field Not Applicable</v>
      </c>
    </row>
    <row r="101" spans="1:20" x14ac:dyDescent="0.25">
      <c r="A101" t="s">
        <v>14</v>
      </c>
      <c r="B101" t="str">
        <f>_xll.BDP("912828ZW Govt","TICKER")</f>
        <v>T</v>
      </c>
      <c r="C101">
        <f>_xll.BDP("912828ZW Govt","CPN")</f>
        <v>0.25</v>
      </c>
      <c r="D101">
        <f>_xll.BDP("912828ZW Govt","YLD_YTM_BID")</f>
        <v>0.72591971044173331</v>
      </c>
      <c r="E101" t="str">
        <f>_xll.BDP("912828ZW Govt","MATURITY")</f>
        <v>6/30/2025</v>
      </c>
      <c r="F101" t="str">
        <f>_xll.BDP("912828ZW Govt","MTY_TYP")</f>
        <v>NORMAL</v>
      </c>
      <c r="G101" t="str">
        <f>_xll.BDP("912828ZW Govt","CRNCY")</f>
        <v>USD</v>
      </c>
      <c r="H101" t="str">
        <f>_xll.BDP("912828ZW Govt","COUNTRY_FULL_NAME")</f>
        <v>UNITED STATES</v>
      </c>
      <c r="I101" t="str">
        <f>_xll.BDP("912828ZW Govt","FIRST_CPN_DT")</f>
        <v>12/31/2020</v>
      </c>
      <c r="J101" t="str">
        <f>_xll.BDP("912828ZW Govt","COUPON_FREQUENCY_DESCRIPTION")</f>
        <v>S/A</v>
      </c>
      <c r="K101" t="str">
        <f>_xll.BDP("912828ZW Govt","CPN_TYP")</f>
        <v>FIXED</v>
      </c>
      <c r="L101" t="str">
        <f>_xll.BDP("912828ZW Govt","ID_ISIN")</f>
        <v>US912828ZW33</v>
      </c>
      <c r="M101">
        <v>53428000000</v>
      </c>
      <c r="N101">
        <v>53428000000</v>
      </c>
      <c r="O101" t="str">
        <f>_xll.BDP("912828ZW Govt","ISSUE_DT")</f>
        <v>6/30/2020</v>
      </c>
      <c r="P101" t="str">
        <f>_xll.BDP("912828ZW Govt","SECURITY_NAME")</f>
        <v>T 0 1/4 06/30/25</v>
      </c>
      <c r="Q101" t="str">
        <f>_xll.BDP("912828ZW Govt","DAY_CNT_DES")</f>
        <v>ACT/ACT</v>
      </c>
      <c r="R101">
        <v>100</v>
      </c>
      <c r="S101" t="str">
        <f>_xll.BDP("912828ZW Govt","ID_CUSIP")</f>
        <v>912828ZW3</v>
      </c>
      <c r="T101" t="str">
        <f>_xll.BDP("912828ZW Govt","IDX_RATIO")</f>
        <v>#N/A Field Not Applicable</v>
      </c>
    </row>
    <row r="102" spans="1:20" x14ac:dyDescent="0.25">
      <c r="A102" t="s">
        <v>14</v>
      </c>
      <c r="B102" t="str">
        <f>_xll.BDP("91282CAU Govt","TICKER")</f>
        <v>T</v>
      </c>
      <c r="C102">
        <f>_xll.BDP("91282CAU Govt","CPN")</f>
        <v>0.5</v>
      </c>
      <c r="D102">
        <f>_xll.BDP("91282CAU Govt","YLD_YTM_BID")</f>
        <v>1.1851248946877395</v>
      </c>
      <c r="E102" t="str">
        <f>_xll.BDP("91282CAU Govt","MATURITY")</f>
        <v>10/31/2027</v>
      </c>
      <c r="F102" t="str">
        <f>_xll.BDP("91282CAU Govt","MTY_TYP")</f>
        <v>NORMAL</v>
      </c>
      <c r="G102" t="str">
        <f>_xll.BDP("91282CAU Govt","CRNCY")</f>
        <v>USD</v>
      </c>
      <c r="H102" t="str">
        <f>_xll.BDP("91282CAU Govt","COUNTRY_FULL_NAME")</f>
        <v>UNITED STATES</v>
      </c>
      <c r="I102" t="str">
        <f>_xll.BDP("91282CAU Govt","FIRST_CPN_DT")</f>
        <v>4/30/2021</v>
      </c>
      <c r="J102" t="str">
        <f>_xll.BDP("91282CAU Govt","COUPON_FREQUENCY_DESCRIPTION")</f>
        <v>S/A</v>
      </c>
      <c r="K102" t="str">
        <f>_xll.BDP("91282CAU Govt","CPN_TYP")</f>
        <v>FIXED</v>
      </c>
      <c r="L102" t="str">
        <f>_xll.BDP("91282CAU Govt","ID_ISIN")</f>
        <v>US91282CAU53</v>
      </c>
      <c r="M102">
        <v>58623000000</v>
      </c>
      <c r="N102">
        <v>58623000000</v>
      </c>
      <c r="O102" t="str">
        <f>_xll.BDP("91282CAU Govt","ISSUE_DT")</f>
        <v>11/2/2020</v>
      </c>
      <c r="P102" t="str">
        <f>_xll.BDP("91282CAU Govt","SECURITY_NAME")</f>
        <v>T 0 1/2 10/31/27</v>
      </c>
      <c r="Q102" t="str">
        <f>_xll.BDP("91282CAU Govt","DAY_CNT_DES")</f>
        <v>ACT/ACT</v>
      </c>
      <c r="R102">
        <v>100</v>
      </c>
      <c r="S102" t="str">
        <f>_xll.BDP("91282CAU Govt","ID_CUSIP")</f>
        <v>91282CAU5</v>
      </c>
      <c r="T102" t="str">
        <f>_xll.BDP("91282CAU Govt","IDX_RATIO")</f>
        <v>#N/A Field Not Applicable</v>
      </c>
    </row>
    <row r="103" spans="1:20" x14ac:dyDescent="0.25">
      <c r="A103" t="s">
        <v>14</v>
      </c>
      <c r="B103" t="str">
        <f>_xll.BDP("912810RK Govt","TICKER")</f>
        <v>T</v>
      </c>
      <c r="C103">
        <f>_xll.BDP("912810RK Govt","CPN")</f>
        <v>2.5</v>
      </c>
      <c r="D103">
        <f>_xll.BDP("912810RK Govt","YLD_YTM_BID")</f>
        <v>2.0858751537730074</v>
      </c>
      <c r="E103" t="str">
        <f>_xll.BDP("912810RK Govt","MATURITY")</f>
        <v>2/15/2045</v>
      </c>
      <c r="F103" t="str">
        <f>_xll.BDP("912810RK Govt","MTY_TYP")</f>
        <v>NORMAL</v>
      </c>
      <c r="G103" t="str">
        <f>_xll.BDP("912810RK Govt","CRNCY")</f>
        <v>USD</v>
      </c>
      <c r="H103" t="str">
        <f>_xll.BDP("912810RK Govt","COUNTRY_FULL_NAME")</f>
        <v>UNITED STATES</v>
      </c>
      <c r="I103" t="str">
        <f>_xll.BDP("912810RK Govt","FIRST_CPN_DT")</f>
        <v>8/15/2015</v>
      </c>
      <c r="J103" t="str">
        <f>_xll.BDP("912810RK Govt","COUPON_FREQUENCY_DESCRIPTION")</f>
        <v>S/A</v>
      </c>
      <c r="K103" t="str">
        <f>_xll.BDP("912810RK Govt","CPN_TYP")</f>
        <v>FIXED</v>
      </c>
      <c r="L103" t="str">
        <f>_xll.BDP("912810RK Govt","ID_ISIN")</f>
        <v>US912810RK60</v>
      </c>
      <c r="M103">
        <v>42001000000</v>
      </c>
      <c r="N103">
        <v>42001000000</v>
      </c>
      <c r="O103" t="str">
        <f>_xll.BDP("912810RK Govt","ISSUE_DT")</f>
        <v>2/17/2015</v>
      </c>
      <c r="P103" t="str">
        <f>_xll.BDP("912810RK Govt","SECURITY_NAME")</f>
        <v>T 2 1/2 02/15/45</v>
      </c>
      <c r="Q103" t="str">
        <f>_xll.BDP("912810RK Govt","DAY_CNT_DES")</f>
        <v>ACT/ACT</v>
      </c>
      <c r="R103">
        <v>100</v>
      </c>
      <c r="S103" t="str">
        <f>_xll.BDP("912810RK Govt","ID_CUSIP")</f>
        <v>912810RK6</v>
      </c>
      <c r="T103" t="str">
        <f>_xll.BDP("912810RK Govt","IDX_RATIO")</f>
        <v>#N/A Field Not Applicable</v>
      </c>
    </row>
    <row r="104" spans="1:20" x14ac:dyDescent="0.25">
      <c r="A104" t="s">
        <v>14</v>
      </c>
      <c r="B104" t="str">
        <f>_xll.BDP("912828YX Govt","TICKER")</f>
        <v>T</v>
      </c>
      <c r="C104">
        <f>_xll.BDP("912828YX Govt","CPN")</f>
        <v>1.75</v>
      </c>
      <c r="D104">
        <f>_xll.BDP("912828YX Govt","YLD_YTM_BID")</f>
        <v>1.0139237805561363</v>
      </c>
      <c r="E104" t="str">
        <f>_xll.BDP("912828YX Govt","MATURITY")</f>
        <v>12/31/2026</v>
      </c>
      <c r="F104" t="str">
        <f>_xll.BDP("912828YX Govt","MTY_TYP")</f>
        <v>NORMAL</v>
      </c>
      <c r="G104" t="str">
        <f>_xll.BDP("912828YX Govt","CRNCY")</f>
        <v>USD</v>
      </c>
      <c r="H104" t="str">
        <f>_xll.BDP("912828YX Govt","COUNTRY_FULL_NAME")</f>
        <v>UNITED STATES</v>
      </c>
      <c r="I104" t="str">
        <f>_xll.BDP("912828YX Govt","FIRST_CPN_DT")</f>
        <v>6/30/2020</v>
      </c>
      <c r="J104" t="str">
        <f>_xll.BDP("912828YX Govt","COUPON_FREQUENCY_DESCRIPTION")</f>
        <v>S/A</v>
      </c>
      <c r="K104" t="str">
        <f>_xll.BDP("912828YX Govt","CPN_TYP")</f>
        <v>FIXED</v>
      </c>
      <c r="L104" t="str">
        <f>_xll.BDP("912828YX Govt","ID_ISIN")</f>
        <v>US912828YX25</v>
      </c>
      <c r="M104">
        <v>35012000000</v>
      </c>
      <c r="N104">
        <v>35012000000</v>
      </c>
      <c r="O104" t="str">
        <f>_xll.BDP("912828YX Govt","ISSUE_DT")</f>
        <v>12/31/2019</v>
      </c>
      <c r="P104" t="str">
        <f>_xll.BDP("912828YX Govt","SECURITY_NAME")</f>
        <v>T 1 3/4 12/31/26</v>
      </c>
      <c r="Q104" t="str">
        <f>_xll.BDP("912828YX Govt","DAY_CNT_DES")</f>
        <v>ACT/ACT</v>
      </c>
      <c r="R104">
        <v>100</v>
      </c>
      <c r="S104" t="str">
        <f>_xll.BDP("912828YX Govt","ID_CUSIP")</f>
        <v>912828YX2</v>
      </c>
      <c r="T104" t="str">
        <f>_xll.BDP("912828YX Govt","IDX_RATIO")</f>
        <v>#N/A Field Not Applicable</v>
      </c>
    </row>
    <row r="105" spans="1:20" x14ac:dyDescent="0.25">
      <c r="A105" t="s">
        <v>14</v>
      </c>
      <c r="B105" t="str">
        <f>_xll.BDP("912828T6 Govt","TICKER")</f>
        <v>T</v>
      </c>
      <c r="C105">
        <f>_xll.BDP("912828T6 Govt","CPN")</f>
        <v>1.25</v>
      </c>
      <c r="D105">
        <f>_xll.BDP("912828T6 Govt","YLD_YTM_BID")</f>
        <v>0.27085728369546302</v>
      </c>
      <c r="E105" t="str">
        <f>_xll.BDP("912828T6 Govt","MATURITY")</f>
        <v>10/31/2021</v>
      </c>
      <c r="F105" t="str">
        <f>_xll.BDP("912828T6 Govt","MTY_TYP")</f>
        <v>NORMAL</v>
      </c>
      <c r="G105" t="str">
        <f>_xll.BDP("912828T6 Govt","CRNCY")</f>
        <v>USD</v>
      </c>
      <c r="H105" t="str">
        <f>_xll.BDP("912828T6 Govt","COUNTRY_FULL_NAME")</f>
        <v>UNITED STATES</v>
      </c>
      <c r="I105" t="str">
        <f>_xll.BDP("912828T6 Govt","FIRST_CPN_DT")</f>
        <v>4/30/2017</v>
      </c>
      <c r="J105" t="str">
        <f>_xll.BDP("912828T6 Govt","COUPON_FREQUENCY_DESCRIPTION")</f>
        <v>S/A</v>
      </c>
      <c r="K105" t="str">
        <f>_xll.BDP("912828T6 Govt","CPN_TYP")</f>
        <v>FIXED</v>
      </c>
      <c r="L105" t="str">
        <f>_xll.BDP("912828T6 Govt","ID_ISIN")</f>
        <v>US912828T677</v>
      </c>
      <c r="M105">
        <v>36055000000</v>
      </c>
      <c r="N105">
        <v>36055000000</v>
      </c>
      <c r="O105" t="str">
        <f>_xll.BDP("912828T6 Govt","ISSUE_DT")</f>
        <v>10/31/2016</v>
      </c>
      <c r="P105" t="str">
        <f>_xll.BDP("912828T6 Govt","SECURITY_NAME")</f>
        <v>T 1 1/4 10/31/21</v>
      </c>
      <c r="Q105" t="str">
        <f>_xll.BDP("912828T6 Govt","DAY_CNT_DES")</f>
        <v>ACT/ACT</v>
      </c>
      <c r="R105">
        <v>100</v>
      </c>
      <c r="S105" t="str">
        <f>_xll.BDP("912828T6 Govt","ID_CUSIP")</f>
        <v>912828T67</v>
      </c>
      <c r="T105" t="str">
        <f>_xll.BDP("912828T6 Govt","IDX_RATIO")</f>
        <v>#N/A Field Not Applicable</v>
      </c>
    </row>
    <row r="106" spans="1:20" x14ac:dyDescent="0.25">
      <c r="A106" t="s">
        <v>14</v>
      </c>
      <c r="B106" t="str">
        <f>_xll.BDP("9128285F Govt","TICKER")</f>
        <v>T</v>
      </c>
      <c r="C106">
        <f>_xll.BDP("9128285F Govt","CPN")</f>
        <v>2.875</v>
      </c>
      <c r="D106">
        <f>_xll.BDP("9128285F Govt","YLD_YTM_BID")</f>
        <v>0.32863612640377704</v>
      </c>
      <c r="E106" t="str">
        <f>_xll.BDP("9128285F Govt","MATURITY")</f>
        <v>10/15/2021</v>
      </c>
      <c r="F106" t="str">
        <f>_xll.BDP("9128285F Govt","MTY_TYP")</f>
        <v>NORMAL</v>
      </c>
      <c r="G106" t="str">
        <f>_xll.BDP("9128285F Govt","CRNCY")</f>
        <v>USD</v>
      </c>
      <c r="H106" t="str">
        <f>_xll.BDP("9128285F Govt","COUNTRY_FULL_NAME")</f>
        <v>UNITED STATES</v>
      </c>
      <c r="I106" t="str">
        <f>_xll.BDP("9128285F Govt","FIRST_CPN_DT")</f>
        <v>4/15/2019</v>
      </c>
      <c r="J106" t="str">
        <f>_xll.BDP("9128285F Govt","COUPON_FREQUENCY_DESCRIPTION")</f>
        <v>S/A</v>
      </c>
      <c r="K106" t="str">
        <f>_xll.BDP("9128285F Govt","CPN_TYP")</f>
        <v>FIXED</v>
      </c>
      <c r="L106" t="str">
        <f>_xll.BDP("9128285F Govt","ID_ISIN")</f>
        <v>US9128285F31</v>
      </c>
      <c r="M106">
        <v>36000000000</v>
      </c>
      <c r="N106">
        <v>36000000000</v>
      </c>
      <c r="O106" t="str">
        <f>_xll.BDP("9128285F Govt","ISSUE_DT")</f>
        <v>10/15/2018</v>
      </c>
      <c r="P106" t="str">
        <f>_xll.BDP("9128285F Govt","SECURITY_NAME")</f>
        <v>T 2 7/8 10/15/21</v>
      </c>
      <c r="Q106" t="str">
        <f>_xll.BDP("9128285F Govt","DAY_CNT_DES")</f>
        <v>ACT/ACT</v>
      </c>
      <c r="R106">
        <v>100</v>
      </c>
      <c r="S106" t="str">
        <f>_xll.BDP("9128285F Govt","ID_CUSIP")</f>
        <v>9128285F3</v>
      </c>
      <c r="T106" t="str">
        <f>_xll.BDP("9128285F Govt","IDX_RATIO")</f>
        <v>#N/A Field Not Applicable</v>
      </c>
    </row>
    <row r="107" spans="1:20" x14ac:dyDescent="0.25">
      <c r="A107" t="s">
        <v>14</v>
      </c>
      <c r="B107" t="str">
        <f>_xll.BDP("91282CBM Govt","TICKER")</f>
        <v>T</v>
      </c>
      <c r="C107">
        <f>_xll.BDP("91282CBM Govt","CPN")</f>
        <v>0.125</v>
      </c>
      <c r="D107">
        <f>_xll.BDP("91282CBM Govt","YLD_YTM_BID")</f>
        <v>0.36471896411438204</v>
      </c>
      <c r="E107" t="str">
        <f>_xll.BDP("91282CBM Govt","MATURITY")</f>
        <v>2/15/2024</v>
      </c>
      <c r="F107" t="str">
        <f>_xll.BDP("91282CBM Govt","MTY_TYP")</f>
        <v>NORMAL</v>
      </c>
      <c r="G107" t="str">
        <f>_xll.BDP("91282CBM Govt","CRNCY")</f>
        <v>USD</v>
      </c>
      <c r="H107" t="str">
        <f>_xll.BDP("91282CBM Govt","COUNTRY_FULL_NAME")</f>
        <v>UNITED STATES</v>
      </c>
      <c r="I107" t="str">
        <f>_xll.BDP("91282CBM Govt","FIRST_CPN_DT")</f>
        <v>8/15/2021</v>
      </c>
      <c r="J107" t="str">
        <f>_xll.BDP("91282CBM Govt","COUPON_FREQUENCY_DESCRIPTION")</f>
        <v>S/A</v>
      </c>
      <c r="K107" t="str">
        <f>_xll.BDP("91282CBM Govt","CPN_TYP")</f>
        <v>FIXED</v>
      </c>
      <c r="L107" t="str">
        <f>_xll.BDP("91282CBM Govt","ID_ISIN")</f>
        <v>US91282CBM29</v>
      </c>
      <c r="M107">
        <v>79041000000</v>
      </c>
      <c r="N107">
        <v>79041000000</v>
      </c>
      <c r="O107" t="str">
        <f>_xll.BDP("91282CBM Govt","ISSUE_DT")</f>
        <v>2/16/2021</v>
      </c>
      <c r="P107" t="str">
        <f>_xll.BDP("91282CBM Govt","SECURITY_NAME")</f>
        <v>T 0 1/8 02/15/24</v>
      </c>
      <c r="Q107" t="str">
        <f>_xll.BDP("91282CBM Govt","DAY_CNT_DES")</f>
        <v>ACT/ACT</v>
      </c>
      <c r="R107">
        <v>100</v>
      </c>
      <c r="S107" t="str">
        <f>_xll.BDP("91282CBM Govt","ID_CUSIP")</f>
        <v>91282CBM2</v>
      </c>
      <c r="T107" t="str">
        <f>_xll.BDP("91282CBM Govt","IDX_RATIO")</f>
        <v>#N/A Field Not Applicable</v>
      </c>
    </row>
    <row r="108" spans="1:20" x14ac:dyDescent="0.25">
      <c r="A108" t="s">
        <v>14</v>
      </c>
      <c r="B108" t="str">
        <f>_xll.BDP("912828WE Govt","TICKER")</f>
        <v>T</v>
      </c>
      <c r="C108">
        <f>_xll.BDP("912828WE Govt","CPN")</f>
        <v>2.75</v>
      </c>
      <c r="D108">
        <f>_xll.BDP("912828WE Govt","YLD_YTM_BID")</f>
        <v>0.30967624852812597</v>
      </c>
      <c r="E108" t="str">
        <f>_xll.BDP("912828WE Govt","MATURITY")</f>
        <v>11/15/2023</v>
      </c>
      <c r="F108" t="str">
        <f>_xll.BDP("912828WE Govt","MTY_TYP")</f>
        <v>NORMAL</v>
      </c>
      <c r="G108" t="str">
        <f>_xll.BDP("912828WE Govt","CRNCY")</f>
        <v>USD</v>
      </c>
      <c r="H108" t="str">
        <f>_xll.BDP("912828WE Govt","COUNTRY_FULL_NAME")</f>
        <v>UNITED STATES</v>
      </c>
      <c r="I108" t="str">
        <f>_xll.BDP("912828WE Govt","FIRST_CPN_DT")</f>
        <v>5/15/2014</v>
      </c>
      <c r="J108" t="str">
        <f>_xll.BDP("912828WE Govt","COUPON_FREQUENCY_DESCRIPTION")</f>
        <v>S/A</v>
      </c>
      <c r="K108" t="str">
        <f>_xll.BDP("912828WE Govt","CPN_TYP")</f>
        <v>FIXED</v>
      </c>
      <c r="L108" t="str">
        <f>_xll.BDP("912828WE Govt","ID_ISIN")</f>
        <v>US912828WE61</v>
      </c>
      <c r="M108">
        <v>65996000000</v>
      </c>
      <c r="N108">
        <v>65996000000</v>
      </c>
      <c r="O108" t="str">
        <f>_xll.BDP("912828WE Govt","ISSUE_DT")</f>
        <v>11/15/2013</v>
      </c>
      <c r="P108" t="str">
        <f>_xll.BDP("912828WE Govt","SECURITY_NAME")</f>
        <v>T 2 3/4 11/15/23</v>
      </c>
      <c r="Q108" t="str">
        <f>_xll.BDP("912828WE Govt","DAY_CNT_DES")</f>
        <v>ACT/ACT</v>
      </c>
      <c r="R108">
        <v>100</v>
      </c>
      <c r="S108" t="str">
        <f>_xll.BDP("912828WE Govt","ID_CUSIP")</f>
        <v>912828WE6</v>
      </c>
      <c r="T108" t="str">
        <f>_xll.BDP("912828WE Govt","IDX_RATIO")</f>
        <v>#N/A Field Not Applicable</v>
      </c>
    </row>
    <row r="109" spans="1:20" x14ac:dyDescent="0.25">
      <c r="A109" t="s">
        <v>14</v>
      </c>
      <c r="B109" t="str">
        <f>_xll.BDP("91282CAW Govt","TICKER")</f>
        <v>T</v>
      </c>
      <c r="C109">
        <f>_xll.BDP("91282CAW Govt","CPN")</f>
        <v>0.25</v>
      </c>
      <c r="D109">
        <f>_xll.BDP("91282CAW Govt","YLD_YTM_BID")</f>
        <v>0.31323286585019161</v>
      </c>
      <c r="E109" t="str">
        <f>_xll.BDP("91282CAW Govt","MATURITY")</f>
        <v>11/15/2023</v>
      </c>
      <c r="F109" t="str">
        <f>_xll.BDP("91282CAW Govt","MTY_TYP")</f>
        <v>NORMAL</v>
      </c>
      <c r="G109" t="str">
        <f>_xll.BDP("91282CAW Govt","CRNCY")</f>
        <v>USD</v>
      </c>
      <c r="H109" t="str">
        <f>_xll.BDP("91282CAW Govt","COUNTRY_FULL_NAME")</f>
        <v>UNITED STATES</v>
      </c>
      <c r="I109" t="str">
        <f>_xll.BDP("91282CAW Govt","FIRST_CPN_DT")</f>
        <v>5/15/2021</v>
      </c>
      <c r="J109" t="str">
        <f>_xll.BDP("91282CAW Govt","COUPON_FREQUENCY_DESCRIPTION")</f>
        <v>S/A</v>
      </c>
      <c r="K109" t="str">
        <f>_xll.BDP("91282CAW Govt","CPN_TYP")</f>
        <v>FIXED</v>
      </c>
      <c r="L109" t="str">
        <f>_xll.BDP("91282CAW Govt","ID_ISIN")</f>
        <v>US91282CAW10</v>
      </c>
      <c r="M109">
        <v>68807000000</v>
      </c>
      <c r="N109">
        <v>68807000000</v>
      </c>
      <c r="O109" t="str">
        <f>_xll.BDP("91282CAW Govt","ISSUE_DT")</f>
        <v>11/16/2020</v>
      </c>
      <c r="P109" t="str">
        <f>_xll.BDP("91282CAW Govt","SECURITY_NAME")</f>
        <v>T 0 1/4 11/15/23</v>
      </c>
      <c r="Q109" t="str">
        <f>_xll.BDP("91282CAW Govt","DAY_CNT_DES")</f>
        <v>ACT/ACT</v>
      </c>
      <c r="R109">
        <v>100</v>
      </c>
      <c r="S109" t="str">
        <f>_xll.BDP("91282CAW Govt","ID_CUSIP")</f>
        <v>91282CAW1</v>
      </c>
      <c r="T109" t="str">
        <f>_xll.BDP("91282CAW Govt","IDX_RATIO")</f>
        <v>#N/A Field Not Applicable</v>
      </c>
    </row>
    <row r="110" spans="1:20" x14ac:dyDescent="0.25">
      <c r="A110" t="s">
        <v>14</v>
      </c>
      <c r="B110" t="str">
        <f>_xll.BDP("912828B6 Govt","TICKER")</f>
        <v>T</v>
      </c>
      <c r="C110">
        <f>_xll.BDP("912828B6 Govt","CPN")</f>
        <v>2.75</v>
      </c>
      <c r="D110">
        <f>_xll.BDP("912828B6 Govt","YLD_YTM_BID")</f>
        <v>0.35949160067212416</v>
      </c>
      <c r="E110" t="str">
        <f>_xll.BDP("912828B6 Govt","MATURITY")</f>
        <v>2/15/2024</v>
      </c>
      <c r="F110" t="str">
        <f>_xll.BDP("912828B6 Govt","MTY_TYP")</f>
        <v>NORMAL</v>
      </c>
      <c r="G110" t="str">
        <f>_xll.BDP("912828B6 Govt","CRNCY")</f>
        <v>USD</v>
      </c>
      <c r="H110" t="str">
        <f>_xll.BDP("912828B6 Govt","COUNTRY_FULL_NAME")</f>
        <v>UNITED STATES</v>
      </c>
      <c r="I110" t="str">
        <f>_xll.BDP("912828B6 Govt","FIRST_CPN_DT")</f>
        <v>8/15/2014</v>
      </c>
      <c r="J110" t="str">
        <f>_xll.BDP("912828B6 Govt","COUPON_FREQUENCY_DESCRIPTION")</f>
        <v>S/A</v>
      </c>
      <c r="K110" t="str">
        <f>_xll.BDP("912828B6 Govt","CPN_TYP")</f>
        <v>FIXED</v>
      </c>
      <c r="L110" t="str">
        <f>_xll.BDP("912828B6 Govt","ID_ISIN")</f>
        <v>US912828B667</v>
      </c>
      <c r="M110">
        <v>65997000000</v>
      </c>
      <c r="N110">
        <v>65997000000</v>
      </c>
      <c r="O110" t="str">
        <f>_xll.BDP("912828B6 Govt","ISSUE_DT")</f>
        <v>2/18/2014</v>
      </c>
      <c r="P110" t="str">
        <f>_xll.BDP("912828B6 Govt","SECURITY_NAME")</f>
        <v>T 2 3/4 02/15/24</v>
      </c>
      <c r="Q110" t="str">
        <f>_xll.BDP("912828B6 Govt","DAY_CNT_DES")</f>
        <v>ACT/ACT</v>
      </c>
      <c r="R110">
        <v>100</v>
      </c>
      <c r="S110" t="str">
        <f>_xll.BDP("912828B6 Govt","ID_CUSIP")</f>
        <v>912828B66</v>
      </c>
      <c r="T110" t="str">
        <f>_xll.BDP("912828B6 Govt","IDX_RATIO")</f>
        <v>#N/A Field Not Applicable</v>
      </c>
    </row>
    <row r="111" spans="1:20" x14ac:dyDescent="0.25">
      <c r="A111" t="s">
        <v>14</v>
      </c>
      <c r="B111" t="str">
        <f>_xll.BDP("912828ZX Govt","TICKER")</f>
        <v>T</v>
      </c>
      <c r="C111">
        <f>_xll.BDP("912828ZX Govt","CPN")</f>
        <v>0.125</v>
      </c>
      <c r="D111">
        <f>_xll.BDP("912828ZX Govt","YLD_YTM_BID")</f>
        <v>7.7056470578180575E-2</v>
      </c>
      <c r="E111" t="str">
        <f>_xll.BDP("912828ZX Govt","MATURITY")</f>
        <v>6/30/2022</v>
      </c>
      <c r="F111" t="str">
        <f>_xll.BDP("912828ZX Govt","MTY_TYP")</f>
        <v>NORMAL</v>
      </c>
      <c r="G111" t="str">
        <f>_xll.BDP("912828ZX Govt","CRNCY")</f>
        <v>USD</v>
      </c>
      <c r="H111" t="str">
        <f>_xll.BDP("912828ZX Govt","COUNTRY_FULL_NAME")</f>
        <v>UNITED STATES</v>
      </c>
      <c r="I111" t="str">
        <f>_xll.BDP("912828ZX Govt","FIRST_CPN_DT")</f>
        <v>12/31/2020</v>
      </c>
      <c r="J111" t="str">
        <f>_xll.BDP("912828ZX Govt","COUPON_FREQUENCY_DESCRIPTION")</f>
        <v>S/A</v>
      </c>
      <c r="K111" t="str">
        <f>_xll.BDP("912828ZX Govt","CPN_TYP")</f>
        <v>FIXED</v>
      </c>
      <c r="L111" t="str">
        <f>_xll.BDP("912828ZX Govt","ID_ISIN")</f>
        <v>US912828ZX16</v>
      </c>
      <c r="M111">
        <v>52291000000</v>
      </c>
      <c r="N111">
        <v>52291000000</v>
      </c>
      <c r="O111" t="str">
        <f>_xll.BDP("912828ZX Govt","ISSUE_DT")</f>
        <v>6/30/2020</v>
      </c>
      <c r="P111" t="str">
        <f>_xll.BDP("912828ZX Govt","SECURITY_NAME")</f>
        <v>T 0 1/8 06/30/22</v>
      </c>
      <c r="Q111" t="str">
        <f>_xll.BDP("912828ZX Govt","DAY_CNT_DES")</f>
        <v>ACT/ACT</v>
      </c>
      <c r="R111">
        <v>100</v>
      </c>
      <c r="S111" t="str">
        <f>_xll.BDP("912828ZX Govt","ID_CUSIP")</f>
        <v>912828ZX1</v>
      </c>
      <c r="T111" t="str">
        <f>_xll.BDP("912828ZX Govt","IDX_RATIO")</f>
        <v>#N/A Field Not Applicable</v>
      </c>
    </row>
    <row r="112" spans="1:20" x14ac:dyDescent="0.25">
      <c r="A112" t="s">
        <v>14</v>
      </c>
      <c r="B112" t="str">
        <f>_xll.BDP("912828ZE Govt","TICKER")</f>
        <v>T</v>
      </c>
      <c r="C112">
        <f>_xll.BDP("912828ZE Govt","CPN")</f>
        <v>0.625</v>
      </c>
      <c r="D112">
        <f>_xll.BDP("912828ZE Govt","YLD_YTM_BID")</f>
        <v>1.0706365813898422</v>
      </c>
      <c r="E112" t="str">
        <f>_xll.BDP("912828ZE Govt","MATURITY")</f>
        <v>3/31/2027</v>
      </c>
      <c r="F112" t="str">
        <f>_xll.BDP("912828ZE Govt","MTY_TYP")</f>
        <v>NORMAL</v>
      </c>
      <c r="G112" t="str">
        <f>_xll.BDP("912828ZE Govt","CRNCY")</f>
        <v>USD</v>
      </c>
      <c r="H112" t="str">
        <f>_xll.BDP("912828ZE Govt","COUNTRY_FULL_NAME")</f>
        <v>UNITED STATES</v>
      </c>
      <c r="I112" t="str">
        <f>_xll.BDP("912828ZE Govt","FIRST_CPN_DT")</f>
        <v>9/30/2020</v>
      </c>
      <c r="J112" t="str">
        <f>_xll.BDP("912828ZE Govt","COUPON_FREQUENCY_DESCRIPTION")</f>
        <v>S/A</v>
      </c>
      <c r="K112" t="str">
        <f>_xll.BDP("912828ZE Govt","CPN_TYP")</f>
        <v>FIXED</v>
      </c>
      <c r="L112" t="str">
        <f>_xll.BDP("912828ZE Govt","ID_ISIN")</f>
        <v>US912828ZE35</v>
      </c>
      <c r="M112">
        <v>36303000000</v>
      </c>
      <c r="N112">
        <v>36303000000</v>
      </c>
      <c r="O112" t="str">
        <f>_xll.BDP("912828ZE Govt","ISSUE_DT")</f>
        <v>3/31/2020</v>
      </c>
      <c r="P112" t="str">
        <f>_xll.BDP("912828ZE Govt","SECURITY_NAME")</f>
        <v>T 0 5/8 03/31/27</v>
      </c>
      <c r="Q112" t="str">
        <f>_xll.BDP("912828ZE Govt","DAY_CNT_DES")</f>
        <v>ACT/ACT</v>
      </c>
      <c r="R112">
        <v>100</v>
      </c>
      <c r="S112" t="str">
        <f>_xll.BDP("912828ZE Govt","ID_CUSIP")</f>
        <v>912828ZE3</v>
      </c>
      <c r="T112" t="str">
        <f>_xll.BDP("912828ZE Govt","IDX_RATIO")</f>
        <v>#N/A Field Not Applicable</v>
      </c>
    </row>
    <row r="113" spans="1:20" x14ac:dyDescent="0.25">
      <c r="A113" t="s">
        <v>14</v>
      </c>
      <c r="B113" t="str">
        <f>_xll.BDP("912828YM Govt","TICKER")</f>
        <v>T</v>
      </c>
      <c r="C113">
        <f>_xll.BDP("912828YM Govt","CPN")</f>
        <v>1.5</v>
      </c>
      <c r="D113">
        <f>_xll.BDP("912828YM Govt","YLD_YTM_BID")</f>
        <v>0.54345669411042608</v>
      </c>
      <c r="E113" t="str">
        <f>_xll.BDP("912828YM Govt","MATURITY")</f>
        <v>10/31/2024</v>
      </c>
      <c r="F113" t="str">
        <f>_xll.BDP("912828YM Govt","MTY_TYP")</f>
        <v>NORMAL</v>
      </c>
      <c r="G113" t="str">
        <f>_xll.BDP("912828YM Govt","CRNCY")</f>
        <v>USD</v>
      </c>
      <c r="H113" t="str">
        <f>_xll.BDP("912828YM Govt","COUNTRY_FULL_NAME")</f>
        <v>UNITED STATES</v>
      </c>
      <c r="I113" t="str">
        <f>_xll.BDP("912828YM Govt","FIRST_CPN_DT")</f>
        <v>4/30/2020</v>
      </c>
      <c r="J113" t="str">
        <f>_xll.BDP("912828YM Govt","COUPON_FREQUENCY_DESCRIPTION")</f>
        <v>S/A</v>
      </c>
      <c r="K113" t="str">
        <f>_xll.BDP("912828YM Govt","CPN_TYP")</f>
        <v>FIXED</v>
      </c>
      <c r="L113" t="str">
        <f>_xll.BDP("912828YM Govt","ID_ISIN")</f>
        <v>US912828YM69</v>
      </c>
      <c r="M113">
        <v>45287000000</v>
      </c>
      <c r="N113">
        <v>45287000000</v>
      </c>
      <c r="O113" t="str">
        <f>_xll.BDP("912828YM Govt","ISSUE_DT")</f>
        <v>10/31/2019</v>
      </c>
      <c r="P113" t="str">
        <f>_xll.BDP("912828YM Govt","SECURITY_NAME")</f>
        <v>T 1 1/2 10/31/24</v>
      </c>
      <c r="Q113" t="str">
        <f>_xll.BDP("912828YM Govt","DAY_CNT_DES")</f>
        <v>ACT/ACT</v>
      </c>
      <c r="R113">
        <v>100</v>
      </c>
      <c r="S113" t="str">
        <f>_xll.BDP("912828YM Govt","ID_CUSIP")</f>
        <v>912828YM6</v>
      </c>
      <c r="T113" t="str">
        <f>_xll.BDP("912828YM Govt","IDX_RATIO")</f>
        <v>#N/A Field Not Applicable</v>
      </c>
    </row>
    <row r="114" spans="1:20" x14ac:dyDescent="0.25">
      <c r="A114" t="s">
        <v>14</v>
      </c>
      <c r="B114" t="str">
        <f>_xll.BDP("91282CBB Govt","TICKER")</f>
        <v>T</v>
      </c>
      <c r="C114">
        <f>_xll.BDP("91282CBB Govt","CPN")</f>
        <v>0.625</v>
      </c>
      <c r="D114">
        <f>_xll.BDP("91282CBB Govt","YLD_YTM_BID")</f>
        <v>1.209553983437091</v>
      </c>
      <c r="E114" t="str">
        <f>_xll.BDP("91282CBB Govt","MATURITY")</f>
        <v>12/31/2027</v>
      </c>
      <c r="F114" t="str">
        <f>_xll.BDP("91282CBB Govt","MTY_TYP")</f>
        <v>NORMAL</v>
      </c>
      <c r="G114" t="str">
        <f>_xll.BDP("91282CBB Govt","CRNCY")</f>
        <v>USD</v>
      </c>
      <c r="H114" t="str">
        <f>_xll.BDP("91282CBB Govt","COUNTRY_FULL_NAME")</f>
        <v>UNITED STATES</v>
      </c>
      <c r="I114" t="str">
        <f>_xll.BDP("91282CBB Govt","FIRST_CPN_DT")</f>
        <v>6/30/2021</v>
      </c>
      <c r="J114" t="str">
        <f>_xll.BDP("91282CBB Govt","COUPON_FREQUENCY_DESCRIPTION")</f>
        <v>S/A</v>
      </c>
      <c r="K114" t="str">
        <f>_xll.BDP("91282CBB Govt","CPN_TYP")</f>
        <v>FIXED</v>
      </c>
      <c r="L114" t="str">
        <f>_xll.BDP("91282CBB Govt","ID_ISIN")</f>
        <v>US91282CBB63</v>
      </c>
      <c r="M114">
        <v>67977000000</v>
      </c>
      <c r="N114">
        <v>67977000000</v>
      </c>
      <c r="O114" t="str">
        <f>_xll.BDP("91282CBB Govt","ISSUE_DT")</f>
        <v>12/31/2020</v>
      </c>
      <c r="P114" t="str">
        <f>_xll.BDP("91282CBB Govt","SECURITY_NAME")</f>
        <v>T 0 5/8 12/31/27</v>
      </c>
      <c r="Q114" t="str">
        <f>_xll.BDP("91282CBB Govt","DAY_CNT_DES")</f>
        <v>ACT/ACT</v>
      </c>
      <c r="R114">
        <v>100</v>
      </c>
      <c r="S114" t="str">
        <f>_xll.BDP("91282CBB Govt","ID_CUSIP")</f>
        <v>91282CBB6</v>
      </c>
      <c r="T114" t="str">
        <f>_xll.BDP("91282CBB Govt","IDX_RATIO")</f>
        <v>#N/A Field Not Applicable</v>
      </c>
    </row>
    <row r="115" spans="1:20" x14ac:dyDescent="0.25">
      <c r="A115" t="s">
        <v>14</v>
      </c>
      <c r="B115" t="str">
        <f>_xll.BDP("91282CBE Govt","TICKER")</f>
        <v>T</v>
      </c>
      <c r="C115">
        <f>_xll.BDP("91282CBE Govt","CPN")</f>
        <v>0.125</v>
      </c>
      <c r="D115">
        <f>_xll.BDP("91282CBE Govt","YLD_YTM_BID")</f>
        <v>0.35626991096744098</v>
      </c>
      <c r="E115" t="str">
        <f>_xll.BDP("91282CBE Govt","MATURITY")</f>
        <v>1/15/2024</v>
      </c>
      <c r="F115" t="str">
        <f>_xll.BDP("91282CBE Govt","MTY_TYP")</f>
        <v>NORMAL</v>
      </c>
      <c r="G115" t="str">
        <f>_xll.BDP("91282CBE Govt","CRNCY")</f>
        <v>USD</v>
      </c>
      <c r="H115" t="str">
        <f>_xll.BDP("91282CBE Govt","COUNTRY_FULL_NAME")</f>
        <v>UNITED STATES</v>
      </c>
      <c r="I115" t="str">
        <f>_xll.BDP("91282CBE Govt","FIRST_CPN_DT")</f>
        <v>7/15/2021</v>
      </c>
      <c r="J115" t="str">
        <f>_xll.BDP("91282CBE Govt","COUPON_FREQUENCY_DESCRIPTION")</f>
        <v>S/A</v>
      </c>
      <c r="K115" t="str">
        <f>_xll.BDP("91282CBE Govt","CPN_TYP")</f>
        <v>FIXED</v>
      </c>
      <c r="L115" t="str">
        <f>_xll.BDP("91282CBE Govt","ID_ISIN")</f>
        <v>US91282CBE03</v>
      </c>
      <c r="M115">
        <v>63831000000</v>
      </c>
      <c r="N115">
        <v>63831000000</v>
      </c>
      <c r="O115" t="str">
        <f>_xll.BDP("91282CBE Govt","ISSUE_DT")</f>
        <v>1/15/2021</v>
      </c>
      <c r="P115" t="str">
        <f>_xll.BDP("91282CBE Govt","SECURITY_NAME")</f>
        <v>T 0 1/8 01/15/24</v>
      </c>
      <c r="Q115" t="str">
        <f>_xll.BDP("91282CBE Govt","DAY_CNT_DES")</f>
        <v>ACT/ACT</v>
      </c>
      <c r="R115">
        <v>100</v>
      </c>
      <c r="S115" t="str">
        <f>_xll.BDP("91282CBE Govt","ID_CUSIP")</f>
        <v>91282CBE0</v>
      </c>
      <c r="T115" t="str">
        <f>_xll.BDP("91282CBE Govt","IDX_RATIO")</f>
        <v>#N/A Field Not Applicable</v>
      </c>
    </row>
    <row r="116" spans="1:20" x14ac:dyDescent="0.25">
      <c r="A116" t="s">
        <v>14</v>
      </c>
      <c r="B116" t="str">
        <f>_xll.BDP("912828M5 Govt","TICKER")</f>
        <v>T</v>
      </c>
      <c r="C116">
        <f>_xll.BDP("912828M5 Govt","CPN")</f>
        <v>2.25</v>
      </c>
      <c r="D116">
        <f>_xll.BDP("912828M5 Govt","YLD_YTM_BID")</f>
        <v>0.80872974554168597</v>
      </c>
      <c r="E116" t="str">
        <f>_xll.BDP("912828M5 Govt","MATURITY")</f>
        <v>11/15/2025</v>
      </c>
      <c r="F116" t="str">
        <f>_xll.BDP("912828M5 Govt","MTY_TYP")</f>
        <v>NORMAL</v>
      </c>
      <c r="G116" t="str">
        <f>_xll.BDP("912828M5 Govt","CRNCY")</f>
        <v>USD</v>
      </c>
      <c r="H116" t="str">
        <f>_xll.BDP("912828M5 Govt","COUNTRY_FULL_NAME")</f>
        <v>UNITED STATES</v>
      </c>
      <c r="I116" t="str">
        <f>_xll.BDP("912828M5 Govt","FIRST_CPN_DT")</f>
        <v>5/15/2016</v>
      </c>
      <c r="J116" t="str">
        <f>_xll.BDP("912828M5 Govt","COUPON_FREQUENCY_DESCRIPTION")</f>
        <v>S/A</v>
      </c>
      <c r="K116" t="str">
        <f>_xll.BDP("912828M5 Govt","CPN_TYP")</f>
        <v>FIXED</v>
      </c>
      <c r="L116" t="str">
        <f>_xll.BDP("912828M5 Govt","ID_ISIN")</f>
        <v>US912828M565</v>
      </c>
      <c r="M116">
        <v>66121000000</v>
      </c>
      <c r="N116">
        <v>66121000000</v>
      </c>
      <c r="O116" t="str">
        <f>_xll.BDP("912828M5 Govt","ISSUE_DT")</f>
        <v>11/16/2015</v>
      </c>
      <c r="P116" t="str">
        <f>_xll.BDP("912828M5 Govt","SECURITY_NAME")</f>
        <v>T 2 1/4 11/15/25</v>
      </c>
      <c r="Q116" t="str">
        <f>_xll.BDP("912828M5 Govt","DAY_CNT_DES")</f>
        <v>ACT/ACT</v>
      </c>
      <c r="R116">
        <v>100</v>
      </c>
      <c r="S116" t="str">
        <f>_xll.BDP("912828M5 Govt","ID_CUSIP")</f>
        <v>912828M56</v>
      </c>
      <c r="T116" t="str">
        <f>_xll.BDP("912828M5 Govt","IDX_RATIO")</f>
        <v>#N/A Field Not Applicable</v>
      </c>
    </row>
    <row r="117" spans="1:20" x14ac:dyDescent="0.25">
      <c r="A117" t="s">
        <v>14</v>
      </c>
      <c r="B117" t="str">
        <f>_xll.BDP("912828ZN Govt","TICKER")</f>
        <v>T</v>
      </c>
      <c r="C117">
        <f>_xll.BDP("912828ZN Govt","CPN")</f>
        <v>0.5</v>
      </c>
      <c r="D117">
        <f>_xll.BDP("912828ZN Govt","YLD_YTM_BID")</f>
        <v>1.0945458878711836</v>
      </c>
      <c r="E117" t="str">
        <f>_xll.BDP("912828ZN Govt","MATURITY")</f>
        <v>4/30/2027</v>
      </c>
      <c r="F117" t="str">
        <f>_xll.BDP("912828ZN Govt","MTY_TYP")</f>
        <v>NORMAL</v>
      </c>
      <c r="G117" t="str">
        <f>_xll.BDP("912828ZN Govt","CRNCY")</f>
        <v>USD</v>
      </c>
      <c r="H117" t="str">
        <f>_xll.BDP("912828ZN Govt","COUNTRY_FULL_NAME")</f>
        <v>UNITED STATES</v>
      </c>
      <c r="I117" t="str">
        <f>_xll.BDP("912828ZN Govt","FIRST_CPN_DT")</f>
        <v>10/31/2020</v>
      </c>
      <c r="J117" t="str">
        <f>_xll.BDP("912828ZN Govt","COUPON_FREQUENCY_DESCRIPTION")</f>
        <v>S/A</v>
      </c>
      <c r="K117" t="str">
        <f>_xll.BDP("912828ZN Govt","CPN_TYP")</f>
        <v>FIXED</v>
      </c>
      <c r="L117" t="str">
        <f>_xll.BDP("912828ZN Govt","ID_ISIN")</f>
        <v>US912828ZN34</v>
      </c>
      <c r="M117">
        <v>38040000000</v>
      </c>
      <c r="N117">
        <v>38040000000</v>
      </c>
      <c r="O117" t="str">
        <f>_xll.BDP("912828ZN Govt","ISSUE_DT")</f>
        <v>4/30/2020</v>
      </c>
      <c r="P117" t="str">
        <f>_xll.BDP("912828ZN Govt","SECURITY_NAME")</f>
        <v>T 0 1/2 04/30/27</v>
      </c>
      <c r="Q117" t="str">
        <f>_xll.BDP("912828ZN Govt","DAY_CNT_DES")</f>
        <v>ACT/ACT</v>
      </c>
      <c r="R117">
        <v>100</v>
      </c>
      <c r="S117" t="str">
        <f>_xll.BDP("912828ZN Govt","ID_CUSIP")</f>
        <v>912828ZN3</v>
      </c>
      <c r="T117" t="str">
        <f>_xll.BDP("912828ZN Govt","IDX_RATIO")</f>
        <v>#N/A Field Not Applicable</v>
      </c>
    </row>
    <row r="118" spans="1:20" x14ac:dyDescent="0.25">
      <c r="A118" t="s">
        <v>14</v>
      </c>
      <c r="B118" t="str">
        <f>_xll.BDP("912828TY Govt","TICKER")</f>
        <v>T</v>
      </c>
      <c r="C118">
        <f>_xll.BDP("912828TY Govt","CPN")</f>
        <v>1.625</v>
      </c>
      <c r="D118">
        <f>_xll.BDP("912828TY Govt","YLD_YTM_BID")</f>
        <v>0.13649878845630056</v>
      </c>
      <c r="E118" t="str">
        <f>_xll.BDP("912828TY Govt","MATURITY")</f>
        <v>11/15/2022</v>
      </c>
      <c r="F118" t="str">
        <f>_xll.BDP("912828TY Govt","MTY_TYP")</f>
        <v>NORMAL</v>
      </c>
      <c r="G118" t="str">
        <f>_xll.BDP("912828TY Govt","CRNCY")</f>
        <v>USD</v>
      </c>
      <c r="H118" t="str">
        <f>_xll.BDP("912828TY Govt","COUNTRY_FULL_NAME")</f>
        <v>UNITED STATES</v>
      </c>
      <c r="I118" t="str">
        <f>_xll.BDP("912828TY Govt","FIRST_CPN_DT")</f>
        <v>5/15/2013</v>
      </c>
      <c r="J118" t="str">
        <f>_xll.BDP("912828TY Govt","COUPON_FREQUENCY_DESCRIPTION")</f>
        <v>S/A</v>
      </c>
      <c r="K118" t="str">
        <f>_xll.BDP("912828TY Govt","CPN_TYP")</f>
        <v>FIXED</v>
      </c>
      <c r="L118" t="str">
        <f>_xll.BDP("912828TY Govt","ID_ISIN")</f>
        <v>US912828TY62</v>
      </c>
      <c r="M118">
        <v>121993000000</v>
      </c>
      <c r="N118">
        <v>121993000000</v>
      </c>
      <c r="O118" t="str">
        <f>_xll.BDP("912828TY Govt","ISSUE_DT")</f>
        <v>11/15/2012</v>
      </c>
      <c r="P118" t="str">
        <f>_xll.BDP("912828TY Govt","SECURITY_NAME")</f>
        <v>T 1 5/8 11/15/22</v>
      </c>
      <c r="Q118" t="str">
        <f>_xll.BDP("912828TY Govt","DAY_CNT_DES")</f>
        <v>ACT/ACT</v>
      </c>
      <c r="R118">
        <v>100</v>
      </c>
      <c r="S118" t="str">
        <f>_xll.BDP("912828TY Govt","ID_CUSIP")</f>
        <v>912828TY6</v>
      </c>
      <c r="T118" t="str">
        <f>_xll.BDP("912828TY Govt","IDX_RATIO")</f>
        <v>#N/A Field Not Applicable</v>
      </c>
    </row>
    <row r="119" spans="1:20" x14ac:dyDescent="0.25">
      <c r="A119" t="s">
        <v>14</v>
      </c>
      <c r="B119" t="str">
        <f>_xll.BDP("912828RR Govt","TICKER")</f>
        <v>T</v>
      </c>
      <c r="C119">
        <f>_xll.BDP("912828RR Govt","CPN")</f>
        <v>2</v>
      </c>
      <c r="D119">
        <f>_xll.BDP("912828RR Govt","YLD_YTM_BID")</f>
        <v>0.12996885322002605</v>
      </c>
      <c r="E119" t="str">
        <f>_xll.BDP("912828RR Govt","MATURITY")</f>
        <v>11/15/2021</v>
      </c>
      <c r="F119" t="str">
        <f>_xll.BDP("912828RR Govt","MTY_TYP")</f>
        <v>NORMAL</v>
      </c>
      <c r="G119" t="str">
        <f>_xll.BDP("912828RR Govt","CRNCY")</f>
        <v>USD</v>
      </c>
      <c r="H119" t="str">
        <f>_xll.BDP("912828RR Govt","COUNTRY_FULL_NAME")</f>
        <v>UNITED STATES</v>
      </c>
      <c r="I119" t="str">
        <f>_xll.BDP("912828RR Govt","FIRST_CPN_DT")</f>
        <v>5/15/2012</v>
      </c>
      <c r="J119" t="str">
        <f>_xll.BDP("912828RR Govt","COUPON_FREQUENCY_DESCRIPTION")</f>
        <v>S/A</v>
      </c>
      <c r="K119" t="str">
        <f>_xll.BDP("912828RR Govt","CPN_TYP")</f>
        <v>FIXED</v>
      </c>
      <c r="L119" t="str">
        <f>_xll.BDP("912828RR Govt","ID_ISIN")</f>
        <v>US912828RR30</v>
      </c>
      <c r="M119">
        <v>70092000000</v>
      </c>
      <c r="N119">
        <v>70092000000</v>
      </c>
      <c r="O119" t="str">
        <f>_xll.BDP("912828RR Govt","ISSUE_DT")</f>
        <v>11/15/2011</v>
      </c>
      <c r="P119" t="str">
        <f>_xll.BDP("912828RR Govt","SECURITY_NAME")</f>
        <v>T 2 11/15/21</v>
      </c>
      <c r="Q119" t="str">
        <f>_xll.BDP("912828RR Govt","DAY_CNT_DES")</f>
        <v>ACT/ACT</v>
      </c>
      <c r="R119">
        <v>100</v>
      </c>
      <c r="S119" t="str">
        <f>_xll.BDP("912828RR Govt","ID_CUSIP")</f>
        <v>912828RR3</v>
      </c>
      <c r="T119" t="str">
        <f>_xll.BDP("912828RR Govt","IDX_RATIO")</f>
        <v>#N/A Field Not Applicable</v>
      </c>
    </row>
    <row r="120" spans="1:20" x14ac:dyDescent="0.25">
      <c r="A120" t="s">
        <v>14</v>
      </c>
      <c r="B120" t="str">
        <f>_xll.BDP("91282CAC Govt","TICKER")</f>
        <v>T</v>
      </c>
      <c r="C120">
        <f>_xll.BDP("91282CAC Govt","CPN")</f>
        <v>0.125</v>
      </c>
      <c r="D120">
        <f>_xll.BDP("91282CAC Govt","YLD_YTM_BID")</f>
        <v>9.1545548918944064E-2</v>
      </c>
      <c r="E120" t="str">
        <f>_xll.BDP("91282CAC Govt","MATURITY")</f>
        <v>7/31/2022</v>
      </c>
      <c r="F120" t="str">
        <f>_xll.BDP("91282CAC Govt","MTY_TYP")</f>
        <v>NORMAL</v>
      </c>
      <c r="G120" t="str">
        <f>_xll.BDP("91282CAC Govt","CRNCY")</f>
        <v>USD</v>
      </c>
      <c r="H120" t="str">
        <f>_xll.BDP("91282CAC Govt","COUNTRY_FULL_NAME")</f>
        <v>UNITED STATES</v>
      </c>
      <c r="I120" t="str">
        <f>_xll.BDP("91282CAC Govt","FIRST_CPN_DT")</f>
        <v>1/31/2021</v>
      </c>
      <c r="J120" t="str">
        <f>_xll.BDP("91282CAC Govt","COUPON_FREQUENCY_DESCRIPTION")</f>
        <v>S/A</v>
      </c>
      <c r="K120" t="str">
        <f>_xll.BDP("91282CAC Govt","CPN_TYP")</f>
        <v>FIXED</v>
      </c>
      <c r="L120" t="str">
        <f>_xll.BDP("91282CAC Govt","ID_ISIN")</f>
        <v>US91282CAC55</v>
      </c>
      <c r="M120">
        <v>53454000000</v>
      </c>
      <c r="N120">
        <v>53454000000</v>
      </c>
      <c r="O120" t="str">
        <f>_xll.BDP("91282CAC Govt","ISSUE_DT")</f>
        <v>7/31/2020</v>
      </c>
      <c r="P120" t="str">
        <f>_xll.BDP("91282CAC Govt","SECURITY_NAME")</f>
        <v>T 0 1/8 07/31/22</v>
      </c>
      <c r="Q120" t="str">
        <f>_xll.BDP("91282CAC Govt","DAY_CNT_DES")</f>
        <v>ACT/ACT</v>
      </c>
      <c r="R120">
        <v>100</v>
      </c>
      <c r="S120" t="str">
        <f>_xll.BDP("91282CAC Govt","ID_CUSIP")</f>
        <v>91282CAC5</v>
      </c>
      <c r="T120" t="str">
        <f>_xll.BDP("91282CAC Govt","IDX_RATIO")</f>
        <v>#N/A Field Not Applicable</v>
      </c>
    </row>
    <row r="121" spans="1:20" x14ac:dyDescent="0.25">
      <c r="A121" t="s">
        <v>14</v>
      </c>
      <c r="B121" t="str">
        <f>_xll.BDP("912828ZD Govt","TICKER")</f>
        <v>T</v>
      </c>
      <c r="C121">
        <f>_xll.BDP("912828ZD Govt","CPN")</f>
        <v>0.5</v>
      </c>
      <c r="D121">
        <f>_xll.BDP("912828ZD Govt","YLD_YTM_BID")</f>
        <v>0.18519042657472926</v>
      </c>
      <c r="E121" t="str">
        <f>_xll.BDP("912828ZD Govt","MATURITY")</f>
        <v>3/15/2023</v>
      </c>
      <c r="F121" t="str">
        <f>_xll.BDP("912828ZD Govt","MTY_TYP")</f>
        <v>NORMAL</v>
      </c>
      <c r="G121" t="str">
        <f>_xll.BDP("912828ZD Govt","CRNCY")</f>
        <v>USD</v>
      </c>
      <c r="H121" t="str">
        <f>_xll.BDP("912828ZD Govt","COUNTRY_FULL_NAME")</f>
        <v>UNITED STATES</v>
      </c>
      <c r="I121" t="str">
        <f>_xll.BDP("912828ZD Govt","FIRST_CPN_DT")</f>
        <v>9/15/2020</v>
      </c>
      <c r="J121" t="str">
        <f>_xll.BDP("912828ZD Govt","COUPON_FREQUENCY_DESCRIPTION")</f>
        <v>S/A</v>
      </c>
      <c r="K121" t="str">
        <f>_xll.BDP("912828ZD Govt","CPN_TYP")</f>
        <v>FIXED</v>
      </c>
      <c r="L121" t="str">
        <f>_xll.BDP("912828ZD Govt","ID_ISIN")</f>
        <v>US912828ZD51</v>
      </c>
      <c r="M121">
        <v>38037000000</v>
      </c>
      <c r="N121">
        <v>38037000000</v>
      </c>
      <c r="O121" t="str">
        <f>_xll.BDP("912828ZD Govt","ISSUE_DT")</f>
        <v>3/16/2020</v>
      </c>
      <c r="P121" t="str">
        <f>_xll.BDP("912828ZD Govt","SECURITY_NAME")</f>
        <v>T 0 1/2 03/15/23</v>
      </c>
      <c r="Q121" t="str">
        <f>_xll.BDP("912828ZD Govt","DAY_CNT_DES")</f>
        <v>ACT/ACT</v>
      </c>
      <c r="R121">
        <v>100</v>
      </c>
      <c r="S121" t="str">
        <f>_xll.BDP("912828ZD Govt","ID_CUSIP")</f>
        <v>912828ZD5</v>
      </c>
      <c r="T121" t="str">
        <f>_xll.BDP("912828ZD Govt","IDX_RATIO")</f>
        <v>#N/A Field Not Applicable</v>
      </c>
    </row>
    <row r="122" spans="1:20" x14ac:dyDescent="0.25">
      <c r="A122" t="s">
        <v>14</v>
      </c>
      <c r="B122" t="str">
        <f>_xll.BDP("912828XB Govt","TICKER")</f>
        <v>T</v>
      </c>
      <c r="C122">
        <f>_xll.BDP("912828XB Govt","CPN")</f>
        <v>2.125</v>
      </c>
      <c r="D122">
        <f>_xll.BDP("912828XB Govt","YLD_YTM_BID")</f>
        <v>0.69108412757695525</v>
      </c>
      <c r="E122" t="str">
        <f>_xll.BDP("912828XB Govt","MATURITY")</f>
        <v>5/15/2025</v>
      </c>
      <c r="F122" t="str">
        <f>_xll.BDP("912828XB Govt","MTY_TYP")</f>
        <v>NORMAL</v>
      </c>
      <c r="G122" t="str">
        <f>_xll.BDP("912828XB Govt","CRNCY")</f>
        <v>USD</v>
      </c>
      <c r="H122" t="str">
        <f>_xll.BDP("912828XB Govt","COUNTRY_FULL_NAME")</f>
        <v>UNITED STATES</v>
      </c>
      <c r="I122" t="str">
        <f>_xll.BDP("912828XB Govt","FIRST_CPN_DT")</f>
        <v>11/15/2015</v>
      </c>
      <c r="J122" t="str">
        <f>_xll.BDP("912828XB Govt","COUPON_FREQUENCY_DESCRIPTION")</f>
        <v>S/A</v>
      </c>
      <c r="K122" t="str">
        <f>_xll.BDP("912828XB Govt","CPN_TYP")</f>
        <v>FIXED</v>
      </c>
      <c r="L122" t="str">
        <f>_xll.BDP("912828XB Govt","ID_ISIN")</f>
        <v>US912828XB14</v>
      </c>
      <c r="M122">
        <v>66524000000</v>
      </c>
      <c r="N122">
        <v>66522000000</v>
      </c>
      <c r="O122" t="str">
        <f>_xll.BDP("912828XB Govt","ISSUE_DT")</f>
        <v>5/15/2015</v>
      </c>
      <c r="P122" t="str">
        <f>_xll.BDP("912828XB Govt","SECURITY_NAME")</f>
        <v>T 2 1/8 05/15/25</v>
      </c>
      <c r="Q122" t="str">
        <f>_xll.BDP("912828XB Govt","DAY_CNT_DES")</f>
        <v>ACT/ACT</v>
      </c>
      <c r="R122">
        <v>100</v>
      </c>
      <c r="S122" t="str">
        <f>_xll.BDP("912828XB Govt","ID_CUSIP")</f>
        <v>912828XB1</v>
      </c>
      <c r="T122" t="str">
        <f>_xll.BDP("912828XB Govt","IDX_RATIO")</f>
        <v>#N/A Field Not Applicable</v>
      </c>
    </row>
    <row r="123" spans="1:20" x14ac:dyDescent="0.25">
      <c r="A123" t="s">
        <v>14</v>
      </c>
      <c r="B123" t="str">
        <f>_xll.BDP("91282CBJ Govt","TICKER")</f>
        <v>T</v>
      </c>
      <c r="C123">
        <f>_xll.BDP("91282CBJ Govt","CPN")</f>
        <v>0.75</v>
      </c>
      <c r="D123">
        <f>_xll.BDP("91282CBJ Govt","YLD_YTM_BID")</f>
        <v>1.2242257664307112</v>
      </c>
      <c r="E123" t="str">
        <f>_xll.BDP("91282CBJ Govt","MATURITY")</f>
        <v>1/31/2028</v>
      </c>
      <c r="F123" t="str">
        <f>_xll.BDP("91282CBJ Govt","MTY_TYP")</f>
        <v>NORMAL</v>
      </c>
      <c r="G123" t="str">
        <f>_xll.BDP("91282CBJ Govt","CRNCY")</f>
        <v>USD</v>
      </c>
      <c r="H123" t="str">
        <f>_xll.BDP("91282CBJ Govt","COUNTRY_FULL_NAME")</f>
        <v>UNITED STATES</v>
      </c>
      <c r="I123" t="str">
        <f>_xll.BDP("91282CBJ Govt","FIRST_CPN_DT")</f>
        <v>7/31/2021</v>
      </c>
      <c r="J123" t="str">
        <f>_xll.BDP("91282CBJ Govt","COUPON_FREQUENCY_DESCRIPTION")</f>
        <v>S/A</v>
      </c>
      <c r="K123" t="str">
        <f>_xll.BDP("91282CBJ Govt","CPN_TYP")</f>
        <v>FIXED</v>
      </c>
      <c r="L123" t="str">
        <f>_xll.BDP("91282CBJ Govt","ID_ISIN")</f>
        <v>US91282CBJ99</v>
      </c>
      <c r="M123">
        <v>70380000000</v>
      </c>
      <c r="N123">
        <v>70380000000</v>
      </c>
      <c r="O123" t="str">
        <f>_xll.BDP("91282CBJ Govt","ISSUE_DT")</f>
        <v>2/1/2021</v>
      </c>
      <c r="P123" t="str">
        <f>_xll.BDP("91282CBJ Govt","SECURITY_NAME")</f>
        <v>T 0 3/4 01/31/28</v>
      </c>
      <c r="Q123" t="str">
        <f>_xll.BDP("91282CBJ Govt","DAY_CNT_DES")</f>
        <v>ACT/ACT</v>
      </c>
      <c r="R123">
        <v>100</v>
      </c>
      <c r="S123" t="str">
        <f>_xll.BDP("91282CBJ Govt","ID_CUSIP")</f>
        <v>91282CBJ9</v>
      </c>
      <c r="T123" t="str">
        <f>_xll.BDP("91282CBJ Govt","IDX_RATIO")</f>
        <v>#N/A Field Not Applicable</v>
      </c>
    </row>
    <row r="124" spans="1:20" x14ac:dyDescent="0.25">
      <c r="A124" t="s">
        <v>14</v>
      </c>
      <c r="B124" t="str">
        <f>_xll.BDP("912828T3 Govt","TICKER")</f>
        <v>T</v>
      </c>
      <c r="C124">
        <f>_xll.BDP("912828T3 Govt","CPN")</f>
        <v>1.125</v>
      </c>
      <c r="D124" t="str">
        <f>_xll.BDP("912828T3 Govt","YLD_YTM_BID")</f>
        <v>#N/A N/A</v>
      </c>
      <c r="E124" t="str">
        <f>_xll.BDP("912828T3 Govt","MATURITY")</f>
        <v>9/30/2021</v>
      </c>
      <c r="F124" t="str">
        <f>_xll.BDP("912828T3 Govt","MTY_TYP")</f>
        <v>NORMAL</v>
      </c>
      <c r="G124" t="str">
        <f>_xll.BDP("912828T3 Govt","CRNCY")</f>
        <v>USD</v>
      </c>
      <c r="H124" t="str">
        <f>_xll.BDP("912828T3 Govt","COUNTRY_FULL_NAME")</f>
        <v>UNITED STATES</v>
      </c>
      <c r="I124" t="str">
        <f>_xll.BDP("912828T3 Govt","FIRST_CPN_DT")</f>
        <v>3/31/2017</v>
      </c>
      <c r="J124" t="str">
        <f>_xll.BDP("912828T3 Govt","COUPON_FREQUENCY_DESCRIPTION")</f>
        <v>S/A</v>
      </c>
      <c r="K124" t="str">
        <f>_xll.BDP("912828T3 Govt","CPN_TYP")</f>
        <v>FIXED</v>
      </c>
      <c r="L124" t="str">
        <f>_xll.BDP("912828T3 Govt","ID_ISIN")</f>
        <v>US912828T347</v>
      </c>
      <c r="M124">
        <v>36073000000</v>
      </c>
      <c r="N124">
        <v>0</v>
      </c>
      <c r="O124" t="str">
        <f>_xll.BDP("912828T3 Govt","ISSUE_DT")</f>
        <v>9/30/2016</v>
      </c>
      <c r="P124" t="str">
        <f>_xll.BDP("912828T3 Govt","SECURITY_NAME")</f>
        <v>T 1 1/8 09/30/21</v>
      </c>
      <c r="Q124" t="str">
        <f>_xll.BDP("912828T3 Govt","DAY_CNT_DES")</f>
        <v>ACT/ACT</v>
      </c>
      <c r="R124">
        <v>100</v>
      </c>
      <c r="S124" t="str">
        <f>_xll.BDP("912828T3 Govt","ID_CUSIP")</f>
        <v>912828T34</v>
      </c>
      <c r="T124" t="str">
        <f>_xll.BDP("912828T3 Govt","IDX_RATIO")</f>
        <v>#N/A Field Not Applicable</v>
      </c>
    </row>
    <row r="125" spans="1:20" x14ac:dyDescent="0.25">
      <c r="A125" t="s">
        <v>14</v>
      </c>
      <c r="B125" t="str">
        <f>_xll.BDP("912828W7 Govt","TICKER")</f>
        <v>T</v>
      </c>
      <c r="C125">
        <f>_xll.BDP("912828W7 Govt","CPN")</f>
        <v>2.125</v>
      </c>
      <c r="D125">
        <f>_xll.BDP("912828W7 Govt","YLD_YTM_BID")</f>
        <v>0.40956319954291576</v>
      </c>
      <c r="E125" t="str">
        <f>_xll.BDP("912828W7 Govt","MATURITY")</f>
        <v>3/31/2024</v>
      </c>
      <c r="F125" t="str">
        <f>_xll.BDP("912828W7 Govt","MTY_TYP")</f>
        <v>NORMAL</v>
      </c>
      <c r="G125" t="str">
        <f>_xll.BDP("912828W7 Govt","CRNCY")</f>
        <v>USD</v>
      </c>
      <c r="H125" t="str">
        <f>_xll.BDP("912828W7 Govt","COUNTRY_FULL_NAME")</f>
        <v>UNITED STATES</v>
      </c>
      <c r="I125" t="str">
        <f>_xll.BDP("912828W7 Govt","FIRST_CPN_DT")</f>
        <v>9/30/2017</v>
      </c>
      <c r="J125" t="str">
        <f>_xll.BDP("912828W7 Govt","COUPON_FREQUENCY_DESCRIPTION")</f>
        <v>S/A</v>
      </c>
      <c r="K125" t="str">
        <f>_xll.BDP("912828W7 Govt","CPN_TYP")</f>
        <v>FIXED</v>
      </c>
      <c r="L125" t="str">
        <f>_xll.BDP("912828W7 Govt","ID_ISIN")</f>
        <v>US912828W713</v>
      </c>
      <c r="M125">
        <v>72390000000</v>
      </c>
      <c r="N125">
        <v>72390000000</v>
      </c>
      <c r="O125" t="str">
        <f>_xll.BDP("912828W7 Govt","ISSUE_DT")</f>
        <v>3/31/2017</v>
      </c>
      <c r="P125" t="str">
        <f>_xll.BDP("912828W7 Govt","SECURITY_NAME")</f>
        <v>T 2 1/8 03/31/24</v>
      </c>
      <c r="Q125" t="str">
        <f>_xll.BDP("912828W7 Govt","DAY_CNT_DES")</f>
        <v>ACT/ACT</v>
      </c>
      <c r="R125">
        <v>100</v>
      </c>
      <c r="S125" t="str">
        <f>_xll.BDP("912828W7 Govt","ID_CUSIP")</f>
        <v>912828W71</v>
      </c>
      <c r="T125" t="str">
        <f>_xll.BDP("912828W7 Govt","IDX_RATIO")</f>
        <v>#N/A Field Not Applicable</v>
      </c>
    </row>
    <row r="126" spans="1:20" x14ac:dyDescent="0.25">
      <c r="A126" t="s">
        <v>14</v>
      </c>
      <c r="B126" t="str">
        <f>_xll.BDP("91282CBZ Govt","TICKER")</f>
        <v>T</v>
      </c>
      <c r="C126">
        <f>_xll.BDP("91282CBZ Govt","CPN")</f>
        <v>1.25</v>
      </c>
      <c r="D126">
        <f>_xll.BDP("91282CBZ Govt","YLD_YTM_BID")</f>
        <v>1.254935105147855</v>
      </c>
      <c r="E126" t="str">
        <f>_xll.BDP("91282CBZ Govt","MATURITY")</f>
        <v>4/30/2028</v>
      </c>
      <c r="F126" t="str">
        <f>_xll.BDP("91282CBZ Govt","MTY_TYP")</f>
        <v>NORMAL</v>
      </c>
      <c r="G126" t="str">
        <f>_xll.BDP("91282CBZ Govt","CRNCY")</f>
        <v>USD</v>
      </c>
      <c r="H126" t="str">
        <f>_xll.BDP("91282CBZ Govt","COUNTRY_FULL_NAME")</f>
        <v>UNITED STATES</v>
      </c>
      <c r="I126" t="str">
        <f>_xll.BDP("91282CBZ Govt","FIRST_CPN_DT")</f>
        <v>10/31/2021</v>
      </c>
      <c r="J126" t="str">
        <f>_xll.BDP("91282CBZ Govt","COUPON_FREQUENCY_DESCRIPTION")</f>
        <v>S/A</v>
      </c>
      <c r="K126" t="str">
        <f>_xll.BDP("91282CBZ Govt","CPN_TYP")</f>
        <v>FIXED</v>
      </c>
      <c r="L126" t="str">
        <f>_xll.BDP("91282CBZ Govt","ID_ISIN")</f>
        <v>US91282CBZ32</v>
      </c>
      <c r="M126">
        <v>73840000000</v>
      </c>
      <c r="N126">
        <v>73840000000</v>
      </c>
      <c r="O126" t="str">
        <f>_xll.BDP("91282CBZ Govt","ISSUE_DT")</f>
        <v>4/30/2021</v>
      </c>
      <c r="P126" t="str">
        <f>_xll.BDP("91282CBZ Govt","SECURITY_NAME")</f>
        <v>T 1 1/4 04/30/28</v>
      </c>
      <c r="Q126" t="str">
        <f>_xll.BDP("91282CBZ Govt","DAY_CNT_DES")</f>
        <v>ACT/ACT</v>
      </c>
      <c r="R126">
        <v>100</v>
      </c>
      <c r="S126" t="str">
        <f>_xll.BDP("91282CBZ Govt","ID_CUSIP")</f>
        <v>91282CBZ3</v>
      </c>
      <c r="T126" t="str">
        <f>_xll.BDP("91282CBZ Govt","IDX_RATIO")</f>
        <v>#N/A Field Not Applicable</v>
      </c>
    </row>
    <row r="127" spans="1:20" x14ac:dyDescent="0.25">
      <c r="A127" t="s">
        <v>14</v>
      </c>
      <c r="B127" t="str">
        <f>_xll.BDP("912828V9 Govt","TICKER")</f>
        <v>T</v>
      </c>
      <c r="C127">
        <f>_xll.BDP("912828V9 Govt","CPN")</f>
        <v>2.25</v>
      </c>
      <c r="D127">
        <f>_xll.BDP("912828V9 Govt","YLD_YTM_BID")</f>
        <v>1.0460141920166515</v>
      </c>
      <c r="E127" t="str">
        <f>_xll.BDP("912828V9 Govt","MATURITY")</f>
        <v>2/15/2027</v>
      </c>
      <c r="F127" t="str">
        <f>_xll.BDP("912828V9 Govt","MTY_TYP")</f>
        <v>NORMAL</v>
      </c>
      <c r="G127" t="str">
        <f>_xll.BDP("912828V9 Govt","CRNCY")</f>
        <v>USD</v>
      </c>
      <c r="H127" t="str">
        <f>_xll.BDP("912828V9 Govt","COUNTRY_FULL_NAME")</f>
        <v>UNITED STATES</v>
      </c>
      <c r="I127" t="str">
        <f>_xll.BDP("912828V9 Govt","FIRST_CPN_DT")</f>
        <v>8/15/2017</v>
      </c>
      <c r="J127" t="str">
        <f>_xll.BDP("912828V9 Govt","COUPON_FREQUENCY_DESCRIPTION")</f>
        <v>S/A</v>
      </c>
      <c r="K127" t="str">
        <f>_xll.BDP("912828V9 Govt","CPN_TYP")</f>
        <v>FIXED</v>
      </c>
      <c r="L127" t="str">
        <f>_xll.BDP("912828V9 Govt","ID_ISIN")</f>
        <v>US912828V988</v>
      </c>
      <c r="M127">
        <v>65821000000</v>
      </c>
      <c r="N127">
        <v>65816000000</v>
      </c>
      <c r="O127" t="str">
        <f>_xll.BDP("912828V9 Govt","ISSUE_DT")</f>
        <v>2/15/2017</v>
      </c>
      <c r="P127" t="str">
        <f>_xll.BDP("912828V9 Govt","SECURITY_NAME")</f>
        <v>T 2 1/4 02/15/27</v>
      </c>
      <c r="Q127" t="str">
        <f>_xll.BDP("912828V9 Govt","DAY_CNT_DES")</f>
        <v>ACT/ACT</v>
      </c>
      <c r="R127">
        <v>100</v>
      </c>
      <c r="S127" t="str">
        <f>_xll.BDP("912828V9 Govt","ID_CUSIP")</f>
        <v>912828V98</v>
      </c>
      <c r="T127" t="str">
        <f>_xll.BDP("912828V9 Govt","IDX_RATIO")</f>
        <v>#N/A Field Not Applicable</v>
      </c>
    </row>
    <row r="128" spans="1:20" x14ac:dyDescent="0.25">
      <c r="A128" t="s">
        <v>14</v>
      </c>
      <c r="B128" t="str">
        <f>_xll.BDP("9128284U Govt","TICKER")</f>
        <v>T</v>
      </c>
      <c r="C128">
        <f>_xll.BDP("9128284U Govt","CPN")</f>
        <v>2.625</v>
      </c>
      <c r="D128">
        <f>_xll.BDP("9128284U Govt","YLD_YTM_BID")</f>
        <v>0.23921681473934611</v>
      </c>
      <c r="E128" t="str">
        <f>_xll.BDP("9128284U Govt","MATURITY")</f>
        <v>6/30/2023</v>
      </c>
      <c r="F128" t="str">
        <f>_xll.BDP("9128284U Govt","MTY_TYP")</f>
        <v>NORMAL</v>
      </c>
      <c r="G128" t="str">
        <f>_xll.BDP("9128284U Govt","CRNCY")</f>
        <v>USD</v>
      </c>
      <c r="H128" t="str">
        <f>_xll.BDP("9128284U Govt","COUNTRY_FULL_NAME")</f>
        <v>UNITED STATES</v>
      </c>
      <c r="I128" t="str">
        <f>_xll.BDP("9128284U Govt","FIRST_CPN_DT")</f>
        <v>12/31/2018</v>
      </c>
      <c r="J128" t="str">
        <f>_xll.BDP("9128284U Govt","COUPON_FREQUENCY_DESCRIPTION")</f>
        <v>S/A</v>
      </c>
      <c r="K128" t="str">
        <f>_xll.BDP("9128284U Govt","CPN_TYP")</f>
        <v>FIXED</v>
      </c>
      <c r="L128" t="str">
        <f>_xll.BDP("9128284U Govt","ID_ISIN")</f>
        <v>US9128284U17</v>
      </c>
      <c r="M128">
        <v>40483000000</v>
      </c>
      <c r="N128">
        <v>40483000000</v>
      </c>
      <c r="O128" t="str">
        <f>_xll.BDP("9128284U Govt","ISSUE_DT")</f>
        <v>7/2/2018</v>
      </c>
      <c r="P128" t="str">
        <f>_xll.BDP("9128284U Govt","SECURITY_NAME")</f>
        <v>T 2 5/8 06/30/23</v>
      </c>
      <c r="Q128" t="str">
        <f>_xll.BDP("9128284U Govt","DAY_CNT_DES")</f>
        <v>ACT/ACT</v>
      </c>
      <c r="R128">
        <v>100</v>
      </c>
      <c r="S128" t="str">
        <f>_xll.BDP("9128284U Govt","ID_CUSIP")</f>
        <v>9128284U1</v>
      </c>
      <c r="T128" t="str">
        <f>_xll.BDP("9128284U Govt","IDX_RATIO")</f>
        <v>#N/A Field Not Applicable</v>
      </c>
    </row>
    <row r="129" spans="1:20" x14ac:dyDescent="0.25">
      <c r="A129" t="s">
        <v>14</v>
      </c>
      <c r="B129" t="str">
        <f>_xll.BDP("912828N3 Govt","TICKER")</f>
        <v>T</v>
      </c>
      <c r="C129">
        <f>_xll.BDP("912828N3 Govt","CPN")</f>
        <v>2.125</v>
      </c>
      <c r="D129">
        <f>_xll.BDP("912828N3 Govt","YLD_YTM_BID")</f>
        <v>0.15910094408329462</v>
      </c>
      <c r="E129" t="str">
        <f>_xll.BDP("912828N3 Govt","MATURITY")</f>
        <v>12/31/2022</v>
      </c>
      <c r="F129" t="str">
        <f>_xll.BDP("912828N3 Govt","MTY_TYP")</f>
        <v>NORMAL</v>
      </c>
      <c r="G129" t="str">
        <f>_xll.BDP("912828N3 Govt","CRNCY")</f>
        <v>USD</v>
      </c>
      <c r="H129" t="str">
        <f>_xll.BDP("912828N3 Govt","COUNTRY_FULL_NAME")</f>
        <v>UNITED STATES</v>
      </c>
      <c r="I129" t="str">
        <f>_xll.BDP("912828N3 Govt","FIRST_CPN_DT")</f>
        <v>6/30/2016</v>
      </c>
      <c r="J129" t="str">
        <f>_xll.BDP("912828N3 Govt","COUPON_FREQUENCY_DESCRIPTION")</f>
        <v>S/A</v>
      </c>
      <c r="K129" t="str">
        <f>_xll.BDP("912828N3 Govt","CPN_TYP")</f>
        <v>FIXED</v>
      </c>
      <c r="L129" t="str">
        <f>_xll.BDP("912828N3 Govt","ID_ISIN")</f>
        <v>US912828N308</v>
      </c>
      <c r="M129">
        <v>67445000000</v>
      </c>
      <c r="N129">
        <v>67445000000</v>
      </c>
      <c r="O129" t="str">
        <f>_xll.BDP("912828N3 Govt","ISSUE_DT")</f>
        <v>12/31/2015</v>
      </c>
      <c r="P129" t="str">
        <f>_xll.BDP("912828N3 Govt","SECURITY_NAME")</f>
        <v>T 2 1/8 12/31/22</v>
      </c>
      <c r="Q129" t="str">
        <f>_xll.BDP("912828N3 Govt","DAY_CNT_DES")</f>
        <v>ACT/ACT</v>
      </c>
      <c r="R129">
        <v>100</v>
      </c>
      <c r="S129" t="str">
        <f>_xll.BDP("912828N3 Govt","ID_CUSIP")</f>
        <v>912828N30</v>
      </c>
      <c r="T129" t="str">
        <f>_xll.BDP("912828N3 Govt","IDX_RATIO")</f>
        <v>#N/A Field Not Applicable</v>
      </c>
    </row>
    <row r="130" spans="1:20" x14ac:dyDescent="0.25">
      <c r="A130" t="s">
        <v>14</v>
      </c>
      <c r="B130" t="str">
        <f>_xll.BDP("912828R3 Govt","TICKER")</f>
        <v>T</v>
      </c>
      <c r="C130">
        <f>_xll.BDP("912828R3 Govt","CPN")</f>
        <v>1.625</v>
      </c>
      <c r="D130">
        <f>_xll.BDP("912828R3 Govt","YLD_YTM_BID")</f>
        <v>0.91870521316293341</v>
      </c>
      <c r="E130" t="str">
        <f>_xll.BDP("912828R3 Govt","MATURITY")</f>
        <v>5/15/2026</v>
      </c>
      <c r="F130" t="str">
        <f>_xll.BDP("912828R3 Govt","MTY_TYP")</f>
        <v>NORMAL</v>
      </c>
      <c r="G130" t="str">
        <f>_xll.BDP("912828R3 Govt","CRNCY")</f>
        <v>USD</v>
      </c>
      <c r="H130" t="str">
        <f>_xll.BDP("912828R3 Govt","COUNTRY_FULL_NAME")</f>
        <v>UNITED STATES</v>
      </c>
      <c r="I130" t="str">
        <f>_xll.BDP("912828R3 Govt","FIRST_CPN_DT")</f>
        <v>11/15/2016</v>
      </c>
      <c r="J130" t="str">
        <f>_xll.BDP("912828R3 Govt","COUPON_FREQUENCY_DESCRIPTION")</f>
        <v>S/A</v>
      </c>
      <c r="K130" t="str">
        <f>_xll.BDP("912828R3 Govt","CPN_TYP")</f>
        <v>FIXED</v>
      </c>
      <c r="L130" t="str">
        <f>_xll.BDP("912828R3 Govt","ID_ISIN")</f>
        <v>US912828R366</v>
      </c>
      <c r="M130">
        <v>69504000000</v>
      </c>
      <c r="N130">
        <v>69497000000</v>
      </c>
      <c r="O130" t="str">
        <f>_xll.BDP("912828R3 Govt","ISSUE_DT")</f>
        <v>5/16/2016</v>
      </c>
      <c r="P130" t="str">
        <f>_xll.BDP("912828R3 Govt","SECURITY_NAME")</f>
        <v>T 1 5/8 05/15/26</v>
      </c>
      <c r="Q130" t="str">
        <f>_xll.BDP("912828R3 Govt","DAY_CNT_DES")</f>
        <v>ACT/ACT</v>
      </c>
      <c r="R130">
        <v>100</v>
      </c>
      <c r="S130" t="str">
        <f>_xll.BDP("912828R3 Govt","ID_CUSIP")</f>
        <v>912828R36</v>
      </c>
      <c r="T130" t="str">
        <f>_xll.BDP("912828R3 Govt","IDX_RATIO")</f>
        <v>#N/A Field Not Applicable</v>
      </c>
    </row>
    <row r="131" spans="1:20" x14ac:dyDescent="0.25">
      <c r="A131" t="s">
        <v>14</v>
      </c>
      <c r="B131" t="str">
        <f>_xll.BDP("912828YK Govt","TICKER")</f>
        <v>T</v>
      </c>
      <c r="C131">
        <f>_xll.BDP("912828YK Govt","CPN")</f>
        <v>1.375</v>
      </c>
      <c r="D131">
        <f>_xll.BDP("912828YK Govt","YLD_YTM_BID")</f>
        <v>0.10441866815835477</v>
      </c>
      <c r="E131" t="str">
        <f>_xll.BDP("912828YK Govt","MATURITY")</f>
        <v>10/15/2022</v>
      </c>
      <c r="F131" t="str">
        <f>_xll.BDP("912828YK Govt","MTY_TYP")</f>
        <v>NORMAL</v>
      </c>
      <c r="G131" t="str">
        <f>_xll.BDP("912828YK Govt","CRNCY")</f>
        <v>USD</v>
      </c>
      <c r="H131" t="str">
        <f>_xll.BDP("912828YK Govt","COUNTRY_FULL_NAME")</f>
        <v>UNITED STATES</v>
      </c>
      <c r="I131" t="str">
        <f>_xll.BDP("912828YK Govt","FIRST_CPN_DT")</f>
        <v>4/15/2020</v>
      </c>
      <c r="J131" t="str">
        <f>_xll.BDP("912828YK Govt","COUPON_FREQUENCY_DESCRIPTION")</f>
        <v>S/A</v>
      </c>
      <c r="K131" t="str">
        <f>_xll.BDP("912828YK Govt","CPN_TYP")</f>
        <v>FIXED</v>
      </c>
      <c r="L131" t="str">
        <f>_xll.BDP("912828YK Govt","ID_ISIN")</f>
        <v>US912828YK04</v>
      </c>
      <c r="M131">
        <v>38000000000</v>
      </c>
      <c r="N131">
        <v>38000000000</v>
      </c>
      <c r="O131" t="str">
        <f>_xll.BDP("912828YK Govt","ISSUE_DT")</f>
        <v>10/15/2019</v>
      </c>
      <c r="P131" t="str">
        <f>_xll.BDP("912828YK Govt","SECURITY_NAME")</f>
        <v>T 1 3/8 10/15/22</v>
      </c>
      <c r="Q131" t="str">
        <f>_xll.BDP("912828YK Govt","DAY_CNT_DES")</f>
        <v>ACT/ACT</v>
      </c>
      <c r="R131">
        <v>100</v>
      </c>
      <c r="S131" t="str">
        <f>_xll.BDP("912828YK Govt","ID_CUSIP")</f>
        <v>912828YK0</v>
      </c>
      <c r="T131" t="str">
        <f>_xll.BDP("912828YK Govt","IDX_RATIO")</f>
        <v>#N/A Field Not Applicable</v>
      </c>
    </row>
    <row r="132" spans="1:20" x14ac:dyDescent="0.25">
      <c r="A132" t="s">
        <v>14</v>
      </c>
      <c r="B132" t="str">
        <f>_xll.BDP("91282CAD Govt","TICKER")</f>
        <v>T</v>
      </c>
      <c r="C132">
        <f>_xll.BDP("91282CAD Govt","CPN")</f>
        <v>0.375</v>
      </c>
      <c r="D132">
        <f>_xll.BDP("91282CAD Govt","YLD_YTM_BID")</f>
        <v>1.1318582663838335</v>
      </c>
      <c r="E132" t="str">
        <f>_xll.BDP("91282CAD Govt","MATURITY")</f>
        <v>7/31/2027</v>
      </c>
      <c r="F132" t="str">
        <f>_xll.BDP("91282CAD Govt","MTY_TYP")</f>
        <v>NORMAL</v>
      </c>
      <c r="G132" t="str">
        <f>_xll.BDP("91282CAD Govt","CRNCY")</f>
        <v>USD</v>
      </c>
      <c r="H132" t="str">
        <f>_xll.BDP("91282CAD Govt","COUNTRY_FULL_NAME")</f>
        <v>UNITED STATES</v>
      </c>
      <c r="I132" t="str">
        <f>_xll.BDP("91282CAD Govt","FIRST_CPN_DT")</f>
        <v>1/31/2021</v>
      </c>
      <c r="J132" t="str">
        <f>_xll.BDP("91282CAD Govt","COUPON_FREQUENCY_DESCRIPTION")</f>
        <v>S/A</v>
      </c>
      <c r="K132" t="str">
        <f>_xll.BDP("91282CAD Govt","CPN_TYP")</f>
        <v>FIXED</v>
      </c>
      <c r="L132" t="str">
        <f>_xll.BDP("91282CAD Govt","ID_ISIN")</f>
        <v>US91282CAD39</v>
      </c>
      <c r="M132">
        <v>49000000000</v>
      </c>
      <c r="N132">
        <v>49000000000</v>
      </c>
      <c r="O132" t="str">
        <f>_xll.BDP("91282CAD Govt","ISSUE_DT")</f>
        <v>7/31/2020</v>
      </c>
      <c r="P132" t="str">
        <f>_xll.BDP("91282CAD Govt","SECURITY_NAME")</f>
        <v>T 0 3/8 07/31/27</v>
      </c>
      <c r="Q132" t="str">
        <f>_xll.BDP("91282CAD Govt","DAY_CNT_DES")</f>
        <v>ACT/ACT</v>
      </c>
      <c r="R132">
        <v>100</v>
      </c>
      <c r="S132" t="str">
        <f>_xll.BDP("91282CAD Govt","ID_CUSIP")</f>
        <v>91282CAD3</v>
      </c>
      <c r="T132" t="str">
        <f>_xll.BDP("91282CAD Govt","IDX_RATIO")</f>
        <v>#N/A Field Not Applicable</v>
      </c>
    </row>
    <row r="133" spans="1:20" x14ac:dyDescent="0.25">
      <c r="A133" t="s">
        <v>14</v>
      </c>
      <c r="B133" t="str">
        <f>_xll.BDP("91282CAG Govt","TICKER")</f>
        <v>T</v>
      </c>
      <c r="C133">
        <f>_xll.BDP("91282CAG Govt","CPN")</f>
        <v>0.125</v>
      </c>
      <c r="D133">
        <f>_xll.BDP("91282CAG Govt","YLD_YTM_BID")</f>
        <v>9.4613959391690469E-2</v>
      </c>
      <c r="E133" t="str">
        <f>_xll.BDP("91282CAG Govt","MATURITY")</f>
        <v>8/31/2022</v>
      </c>
      <c r="F133" t="str">
        <f>_xll.BDP("91282CAG Govt","MTY_TYP")</f>
        <v>NORMAL</v>
      </c>
      <c r="G133" t="str">
        <f>_xll.BDP("91282CAG Govt","CRNCY")</f>
        <v>USD</v>
      </c>
      <c r="H133" t="str">
        <f>_xll.BDP("91282CAG Govt","COUNTRY_FULL_NAME")</f>
        <v>UNITED STATES</v>
      </c>
      <c r="I133" t="str">
        <f>_xll.BDP("91282CAG Govt","FIRST_CPN_DT")</f>
        <v>2/28/2021</v>
      </c>
      <c r="J133" t="str">
        <f>_xll.BDP("91282CAG Govt","COUPON_FREQUENCY_DESCRIPTION")</f>
        <v>S/A</v>
      </c>
      <c r="K133" t="str">
        <f>_xll.BDP("91282CAG Govt","CPN_TYP")</f>
        <v>FIXED</v>
      </c>
      <c r="L133" t="str">
        <f>_xll.BDP("91282CAG Govt","ID_ISIN")</f>
        <v>US91282CAG69</v>
      </c>
      <c r="M133">
        <v>54344000000</v>
      </c>
      <c r="N133">
        <v>54344000000</v>
      </c>
      <c r="O133" t="str">
        <f>_xll.BDP("91282CAG Govt","ISSUE_DT")</f>
        <v>8/31/2020</v>
      </c>
      <c r="P133" t="str">
        <f>_xll.BDP("91282CAG Govt","SECURITY_NAME")</f>
        <v>T 0 1/8 08/31/22</v>
      </c>
      <c r="Q133" t="str">
        <f>_xll.BDP("91282CAG Govt","DAY_CNT_DES")</f>
        <v>ACT/ACT</v>
      </c>
      <c r="R133">
        <v>100</v>
      </c>
      <c r="S133" t="str">
        <f>_xll.BDP("91282CAG Govt","ID_CUSIP")</f>
        <v>91282CAG6</v>
      </c>
      <c r="T133" t="str">
        <f>_xll.BDP("91282CAG Govt","IDX_RATIO")</f>
        <v>#N/A Field Not Applicable</v>
      </c>
    </row>
    <row r="134" spans="1:20" x14ac:dyDescent="0.25">
      <c r="A134" t="s">
        <v>14</v>
      </c>
      <c r="B134" t="str">
        <f>_xll.BDP("912828VS Govt","TICKER")</f>
        <v>T</v>
      </c>
      <c r="C134">
        <f>_xll.BDP("912828VS Govt","CPN")</f>
        <v>2.5</v>
      </c>
      <c r="D134">
        <f>_xll.BDP("912828VS Govt","YLD_YTM_BID")</f>
        <v>0.25907227160621832</v>
      </c>
      <c r="E134" t="str">
        <f>_xll.BDP("912828VS Govt","MATURITY")</f>
        <v>8/15/2023</v>
      </c>
      <c r="F134" t="str">
        <f>_xll.BDP("912828VS Govt","MTY_TYP")</f>
        <v>NORMAL</v>
      </c>
      <c r="G134" t="str">
        <f>_xll.BDP("912828VS Govt","CRNCY")</f>
        <v>USD</v>
      </c>
      <c r="H134" t="str">
        <f>_xll.BDP("912828VS Govt","COUNTRY_FULL_NAME")</f>
        <v>UNITED STATES</v>
      </c>
      <c r="I134" t="str">
        <f>_xll.BDP("912828VS Govt","FIRST_CPN_DT")</f>
        <v>2/15/2014</v>
      </c>
      <c r="J134" t="str">
        <f>_xll.BDP("912828VS Govt","COUPON_FREQUENCY_DESCRIPTION")</f>
        <v>S/A</v>
      </c>
      <c r="K134" t="str">
        <f>_xll.BDP("912828VS Govt","CPN_TYP")</f>
        <v>FIXED</v>
      </c>
      <c r="L134" t="str">
        <f>_xll.BDP("912828VS Govt","ID_ISIN")</f>
        <v>US912828VS66</v>
      </c>
      <c r="M134">
        <v>66000000000</v>
      </c>
      <c r="N134">
        <v>66000000000</v>
      </c>
      <c r="O134" t="str">
        <f>_xll.BDP("912828VS Govt","ISSUE_DT")</f>
        <v>8/15/2013</v>
      </c>
      <c r="P134" t="str">
        <f>_xll.BDP("912828VS Govt","SECURITY_NAME")</f>
        <v>T 2 1/2 08/15/23</v>
      </c>
      <c r="Q134" t="str">
        <f>_xll.BDP("912828VS Govt","DAY_CNT_DES")</f>
        <v>ACT/ACT</v>
      </c>
      <c r="R134">
        <v>100</v>
      </c>
      <c r="S134" t="str">
        <f>_xll.BDP("912828VS Govt","ID_CUSIP")</f>
        <v>912828VS6</v>
      </c>
      <c r="T134" t="str">
        <f>_xll.BDP("912828VS Govt","IDX_RATIO")</f>
        <v>#N/A Field Not Applicable</v>
      </c>
    </row>
    <row r="135" spans="1:20" x14ac:dyDescent="0.25">
      <c r="A135" t="s">
        <v>14</v>
      </c>
      <c r="B135" t="str">
        <f>_xll.BDP("912828YH Govt","TICKER")</f>
        <v>T</v>
      </c>
      <c r="C135">
        <f>_xll.BDP("912828YH Govt","CPN")</f>
        <v>1.5</v>
      </c>
      <c r="D135">
        <f>_xll.BDP("912828YH Govt","YLD_YTM_BID")</f>
        <v>0.51969328766145861</v>
      </c>
      <c r="E135" t="str">
        <f>_xll.BDP("912828YH Govt","MATURITY")</f>
        <v>9/30/2024</v>
      </c>
      <c r="F135" t="str">
        <f>_xll.BDP("912828YH Govt","MTY_TYP")</f>
        <v>NORMAL</v>
      </c>
      <c r="G135" t="str">
        <f>_xll.BDP("912828YH Govt","CRNCY")</f>
        <v>USD</v>
      </c>
      <c r="H135" t="str">
        <f>_xll.BDP("912828YH Govt","COUNTRY_FULL_NAME")</f>
        <v>UNITED STATES</v>
      </c>
      <c r="I135" t="str">
        <f>_xll.BDP("912828YH Govt","FIRST_CPN_DT")</f>
        <v>3/31/2020</v>
      </c>
      <c r="J135" t="str">
        <f>_xll.BDP("912828YH Govt","COUPON_FREQUENCY_DESCRIPTION")</f>
        <v>S/A</v>
      </c>
      <c r="K135" t="str">
        <f>_xll.BDP("912828YH Govt","CPN_TYP")</f>
        <v>FIXED</v>
      </c>
      <c r="L135" t="str">
        <f>_xll.BDP("912828YH Govt","ID_ISIN")</f>
        <v>US912828YH74</v>
      </c>
      <c r="M135">
        <v>45259000000</v>
      </c>
      <c r="N135">
        <v>45259000000</v>
      </c>
      <c r="O135" t="str">
        <f>_xll.BDP("912828YH Govt","ISSUE_DT")</f>
        <v>9/30/2019</v>
      </c>
      <c r="P135" t="str">
        <f>_xll.BDP("912828YH Govt","SECURITY_NAME")</f>
        <v>T 1 1/2 09/30/24</v>
      </c>
      <c r="Q135" t="str">
        <f>_xll.BDP("912828YH Govt","DAY_CNT_DES")</f>
        <v>ACT/ACT</v>
      </c>
      <c r="R135">
        <v>100</v>
      </c>
      <c r="S135" t="str">
        <f>_xll.BDP("912828YH Govt","ID_CUSIP")</f>
        <v>912828YH7</v>
      </c>
      <c r="T135" t="str">
        <f>_xll.BDP("912828YH Govt","IDX_RATIO")</f>
        <v>#N/A Field Not Applicable</v>
      </c>
    </row>
    <row r="136" spans="1:20" x14ac:dyDescent="0.25">
      <c r="A136" t="s">
        <v>14</v>
      </c>
      <c r="B136" t="str">
        <f>_xll.BDP("912828ZR Govt","TICKER")</f>
        <v>T</v>
      </c>
      <c r="C136">
        <f>_xll.BDP("912828ZR Govt","CPN")</f>
        <v>0.125</v>
      </c>
      <c r="D136">
        <f>_xll.BDP("912828ZR Govt","YLD_YTM_BID")</f>
        <v>8.2926121437120928E-2</v>
      </c>
      <c r="E136" t="str">
        <f>_xll.BDP("912828ZR Govt","MATURITY")</f>
        <v>5/31/2022</v>
      </c>
      <c r="F136" t="str">
        <f>_xll.BDP("912828ZR Govt","MTY_TYP")</f>
        <v>NORMAL</v>
      </c>
      <c r="G136" t="str">
        <f>_xll.BDP("912828ZR Govt","CRNCY")</f>
        <v>USD</v>
      </c>
      <c r="H136" t="str">
        <f>_xll.BDP("912828ZR Govt","COUNTRY_FULL_NAME")</f>
        <v>UNITED STATES</v>
      </c>
      <c r="I136" t="str">
        <f>_xll.BDP("912828ZR Govt","FIRST_CPN_DT")</f>
        <v>11/30/2020</v>
      </c>
      <c r="J136" t="str">
        <f>_xll.BDP("912828ZR Govt","COUPON_FREQUENCY_DESCRIPTION")</f>
        <v>S/A</v>
      </c>
      <c r="K136" t="str">
        <f>_xll.BDP("912828ZR Govt","CPN_TYP")</f>
        <v>FIXED</v>
      </c>
      <c r="L136" t="str">
        <f>_xll.BDP("912828ZR Govt","ID_ISIN")</f>
        <v>US912828ZR48</v>
      </c>
      <c r="M136">
        <v>48619000000</v>
      </c>
      <c r="N136">
        <v>48619000000</v>
      </c>
      <c r="O136" t="str">
        <f>_xll.BDP("912828ZR Govt","ISSUE_DT")</f>
        <v>6/1/2020</v>
      </c>
      <c r="P136" t="str">
        <f>_xll.BDP("912828ZR Govt","SECURITY_NAME")</f>
        <v>T 0 1/8 05/31/22</v>
      </c>
      <c r="Q136" t="str">
        <f>_xll.BDP("912828ZR Govt","DAY_CNT_DES")</f>
        <v>ACT/ACT</v>
      </c>
      <c r="R136">
        <v>100</v>
      </c>
      <c r="S136" t="str">
        <f>_xll.BDP("912828ZR Govt","ID_CUSIP")</f>
        <v>912828ZR4</v>
      </c>
      <c r="T136" t="str">
        <f>_xll.BDP("912828ZR Govt","IDX_RATIO")</f>
        <v>#N/A Field Not Applicable</v>
      </c>
    </row>
    <row r="137" spans="1:20" x14ac:dyDescent="0.25">
      <c r="A137" t="s">
        <v>14</v>
      </c>
      <c r="B137" t="str">
        <f>_xll.BDP("912828G3 Govt","TICKER")</f>
        <v>T</v>
      </c>
      <c r="C137">
        <f>_xll.BDP("912828G3 Govt","CPN")</f>
        <v>2.25</v>
      </c>
      <c r="D137">
        <f>_xll.BDP("912828G3 Govt","YLD_YTM_BID")</f>
        <v>0.55432393529654855</v>
      </c>
      <c r="E137" t="str">
        <f>_xll.BDP("912828G3 Govt","MATURITY")</f>
        <v>11/15/2024</v>
      </c>
      <c r="F137" t="str">
        <f>_xll.BDP("912828G3 Govt","MTY_TYP")</f>
        <v>NORMAL</v>
      </c>
      <c r="G137" t="str">
        <f>_xll.BDP("912828G3 Govt","CRNCY")</f>
        <v>USD</v>
      </c>
      <c r="H137" t="str">
        <f>_xll.BDP("912828G3 Govt","COUNTRY_FULL_NAME")</f>
        <v>UNITED STATES</v>
      </c>
      <c r="I137" t="str">
        <f>_xll.BDP("912828G3 Govt","FIRST_CPN_DT")</f>
        <v>5/15/2015</v>
      </c>
      <c r="J137" t="str">
        <f>_xll.BDP("912828G3 Govt","COUPON_FREQUENCY_DESCRIPTION")</f>
        <v>S/A</v>
      </c>
      <c r="K137" t="str">
        <f>_xll.BDP("912828G3 Govt","CPN_TYP")</f>
        <v>FIXED</v>
      </c>
      <c r="L137" t="str">
        <f>_xll.BDP("912828G3 Govt","ID_ISIN")</f>
        <v>US912828G385</v>
      </c>
      <c r="M137">
        <v>66032000000</v>
      </c>
      <c r="N137">
        <v>66032000000</v>
      </c>
      <c r="O137" t="str">
        <f>_xll.BDP("912828G3 Govt","ISSUE_DT")</f>
        <v>11/17/2014</v>
      </c>
      <c r="P137" t="str">
        <f>_xll.BDP("912828G3 Govt","SECURITY_NAME")</f>
        <v>T 2 1/4 11/15/24</v>
      </c>
      <c r="Q137" t="str">
        <f>_xll.BDP("912828G3 Govt","DAY_CNT_DES")</f>
        <v>ACT/ACT</v>
      </c>
      <c r="R137">
        <v>100</v>
      </c>
      <c r="S137" t="str">
        <f>_xll.BDP("912828G3 Govt","ID_CUSIP")</f>
        <v>912828G38</v>
      </c>
      <c r="T137" t="str">
        <f>_xll.BDP("912828G3 Govt","IDX_RATIO")</f>
        <v>#N/A Field Not Applicable</v>
      </c>
    </row>
    <row r="138" spans="1:20" x14ac:dyDescent="0.25">
      <c r="A138" t="s">
        <v>14</v>
      </c>
      <c r="B138" t="str">
        <f>_xll.BDP("912828SF Govt","TICKER")</f>
        <v>T</v>
      </c>
      <c r="C138">
        <f>_xll.BDP("912828SF Govt","CPN")</f>
        <v>2</v>
      </c>
      <c r="D138">
        <f>_xll.BDP("912828SF Govt","YLD_YTM_BID")</f>
        <v>6.095691966541409E-2</v>
      </c>
      <c r="E138" t="str">
        <f>_xll.BDP("912828SF Govt","MATURITY")</f>
        <v>2/15/2022</v>
      </c>
      <c r="F138" t="str">
        <f>_xll.BDP("912828SF Govt","MTY_TYP")</f>
        <v>NORMAL</v>
      </c>
      <c r="G138" t="str">
        <f>_xll.BDP("912828SF Govt","CRNCY")</f>
        <v>USD</v>
      </c>
      <c r="H138" t="str">
        <f>_xll.BDP("912828SF Govt","COUNTRY_FULL_NAME")</f>
        <v>UNITED STATES</v>
      </c>
      <c r="I138" t="str">
        <f>_xll.BDP("912828SF Govt","FIRST_CPN_DT")</f>
        <v>8/15/2012</v>
      </c>
      <c r="J138" t="str">
        <f>_xll.BDP("912828SF Govt","COUPON_FREQUENCY_DESCRIPTION")</f>
        <v>S/A</v>
      </c>
      <c r="K138" t="str">
        <f>_xll.BDP("912828SF Govt","CPN_TYP")</f>
        <v>FIXED</v>
      </c>
      <c r="L138" t="str">
        <f>_xll.BDP("912828SF Govt","ID_ISIN")</f>
        <v>US912828SF82</v>
      </c>
      <c r="M138">
        <v>74200000000</v>
      </c>
      <c r="N138">
        <v>74200000000</v>
      </c>
      <c r="O138" t="str">
        <f>_xll.BDP("912828SF Govt","ISSUE_DT")</f>
        <v>2/15/2012</v>
      </c>
      <c r="P138" t="str">
        <f>_xll.BDP("912828SF Govt","SECURITY_NAME")</f>
        <v>T 2 02/15/22</v>
      </c>
      <c r="Q138" t="str">
        <f>_xll.BDP("912828SF Govt","DAY_CNT_DES")</f>
        <v>ACT/ACT</v>
      </c>
      <c r="R138">
        <v>100</v>
      </c>
      <c r="S138" t="str">
        <f>_xll.BDP("912828SF Govt","ID_CUSIP")</f>
        <v>912828SF8</v>
      </c>
      <c r="T138" t="str">
        <f>_xll.BDP("912828SF Govt","IDX_RATIO")</f>
        <v>#N/A Field Not Applicable</v>
      </c>
    </row>
    <row r="139" spans="1:20" x14ac:dyDescent="0.25">
      <c r="A139" t="s">
        <v>14</v>
      </c>
      <c r="B139" t="str">
        <f>_xll.BDP("912828YV Govt","TICKER")</f>
        <v>T</v>
      </c>
      <c r="C139">
        <f>_xll.BDP("912828YV Govt","CPN")</f>
        <v>1.5</v>
      </c>
      <c r="D139">
        <f>_xll.BDP("912828YV Govt","YLD_YTM_BID")</f>
        <v>0.57026867784619184</v>
      </c>
      <c r="E139" t="str">
        <f>_xll.BDP("912828YV Govt","MATURITY")</f>
        <v>11/30/2024</v>
      </c>
      <c r="F139" t="str">
        <f>_xll.BDP("912828YV Govt","MTY_TYP")</f>
        <v>NORMAL</v>
      </c>
      <c r="G139" t="str">
        <f>_xll.BDP("912828YV Govt","CRNCY")</f>
        <v>USD</v>
      </c>
      <c r="H139" t="str">
        <f>_xll.BDP("912828YV Govt","COUNTRY_FULL_NAME")</f>
        <v>UNITED STATES</v>
      </c>
      <c r="I139" t="str">
        <f>_xll.BDP("912828YV Govt","FIRST_CPN_DT")</f>
        <v>5/31/2020</v>
      </c>
      <c r="J139" t="str">
        <f>_xll.BDP("912828YV Govt","COUPON_FREQUENCY_DESCRIPTION")</f>
        <v>S/A</v>
      </c>
      <c r="K139" t="str">
        <f>_xll.BDP("912828YV Govt","CPN_TYP")</f>
        <v>FIXED</v>
      </c>
      <c r="L139" t="str">
        <f>_xll.BDP("912828YV Govt","ID_ISIN")</f>
        <v>US912828YV68</v>
      </c>
      <c r="M139">
        <v>44255000000</v>
      </c>
      <c r="N139">
        <v>44255000000</v>
      </c>
      <c r="O139" t="str">
        <f>_xll.BDP("912828YV Govt","ISSUE_DT")</f>
        <v>12/2/2019</v>
      </c>
      <c r="P139" t="str">
        <f>_xll.BDP("912828YV Govt","SECURITY_NAME")</f>
        <v>T 1 1/2 11/30/24</v>
      </c>
      <c r="Q139" t="str">
        <f>_xll.BDP("912828YV Govt","DAY_CNT_DES")</f>
        <v>ACT/ACT</v>
      </c>
      <c r="R139">
        <v>100</v>
      </c>
      <c r="S139" t="str">
        <f>_xll.BDP("912828YV Govt","ID_CUSIP")</f>
        <v>912828YV6</v>
      </c>
      <c r="T139" t="str">
        <f>_xll.BDP("912828YV Govt","IDX_RATIO")</f>
        <v>#N/A Field Not Applicable</v>
      </c>
    </row>
    <row r="140" spans="1:20" x14ac:dyDescent="0.25">
      <c r="A140" t="s">
        <v>14</v>
      </c>
      <c r="B140" t="str">
        <f>_xll.BDP("9128285R Govt","TICKER")</f>
        <v>T</v>
      </c>
      <c r="C140">
        <f>_xll.BDP("9128285R Govt","CPN")</f>
        <v>2.625</v>
      </c>
      <c r="D140">
        <f>_xll.BDP("9128285R Govt","YLD_YTM_BID")</f>
        <v>5.0899464076397748E-2</v>
      </c>
      <c r="E140" t="str">
        <f>_xll.BDP("9128285R Govt","MATURITY")</f>
        <v>12/15/2021</v>
      </c>
      <c r="F140" t="str">
        <f>_xll.BDP("9128285R Govt","MTY_TYP")</f>
        <v>NORMAL</v>
      </c>
      <c r="G140" t="str">
        <f>_xll.BDP("9128285R Govt","CRNCY")</f>
        <v>USD</v>
      </c>
      <c r="H140" t="str">
        <f>_xll.BDP("9128285R Govt","COUNTRY_FULL_NAME")</f>
        <v>UNITED STATES</v>
      </c>
      <c r="I140" t="str">
        <f>_xll.BDP("9128285R Govt","FIRST_CPN_DT")</f>
        <v>6/15/2019</v>
      </c>
      <c r="J140" t="str">
        <f>_xll.BDP("9128285R Govt","COUPON_FREQUENCY_DESCRIPTION")</f>
        <v>S/A</v>
      </c>
      <c r="K140" t="str">
        <f>_xll.BDP("9128285R Govt","CPN_TYP")</f>
        <v>FIXED</v>
      </c>
      <c r="L140" t="str">
        <f>_xll.BDP("9128285R Govt","ID_ISIN")</f>
        <v>US9128285R78</v>
      </c>
      <c r="M140">
        <v>38000000000</v>
      </c>
      <c r="N140">
        <v>38000000000</v>
      </c>
      <c r="O140" t="str">
        <f>_xll.BDP("9128285R Govt","ISSUE_DT")</f>
        <v>12/17/2018</v>
      </c>
      <c r="P140" t="str">
        <f>_xll.BDP("9128285R Govt","SECURITY_NAME")</f>
        <v>T 2 5/8 12/15/21</v>
      </c>
      <c r="Q140" t="str">
        <f>_xll.BDP("9128285R Govt","DAY_CNT_DES")</f>
        <v>ACT/ACT</v>
      </c>
      <c r="R140">
        <v>100</v>
      </c>
      <c r="S140" t="str">
        <f>_xll.BDP("9128285R Govt","ID_CUSIP")</f>
        <v>9128285R7</v>
      </c>
      <c r="T140" t="str">
        <f>_xll.BDP("9128285R Govt","IDX_RATIO")</f>
        <v>#N/A Field Not Applicable</v>
      </c>
    </row>
    <row r="141" spans="1:20" x14ac:dyDescent="0.25">
      <c r="A141" t="s">
        <v>14</v>
      </c>
      <c r="B141" t="str">
        <f>_xll.BDP("912828YW Govt","TICKER")</f>
        <v>T</v>
      </c>
      <c r="C141">
        <f>_xll.BDP("912828YW Govt","CPN")</f>
        <v>1.625</v>
      </c>
      <c r="D141">
        <f>_xll.BDP("912828YW Govt","YLD_YTM_BID")</f>
        <v>0.14426342401248859</v>
      </c>
      <c r="E141" t="str">
        <f>_xll.BDP("912828YW Govt","MATURITY")</f>
        <v>12/15/2022</v>
      </c>
      <c r="F141" t="str">
        <f>_xll.BDP("912828YW Govt","MTY_TYP")</f>
        <v>NORMAL</v>
      </c>
      <c r="G141" t="str">
        <f>_xll.BDP("912828YW Govt","CRNCY")</f>
        <v>USD</v>
      </c>
      <c r="H141" t="str">
        <f>_xll.BDP("912828YW Govt","COUNTRY_FULL_NAME")</f>
        <v>UNITED STATES</v>
      </c>
      <c r="I141" t="str">
        <f>_xll.BDP("912828YW Govt","FIRST_CPN_DT")</f>
        <v>6/15/2020</v>
      </c>
      <c r="J141" t="str">
        <f>_xll.BDP("912828YW Govt","COUPON_FREQUENCY_DESCRIPTION")</f>
        <v>S/A</v>
      </c>
      <c r="K141" t="str">
        <f>_xll.BDP("912828YW Govt","CPN_TYP")</f>
        <v>FIXED</v>
      </c>
      <c r="L141" t="str">
        <f>_xll.BDP("912828YW Govt","ID_ISIN")</f>
        <v>US912828YW42</v>
      </c>
      <c r="M141">
        <v>38000000000</v>
      </c>
      <c r="N141">
        <v>38000000000</v>
      </c>
      <c r="O141" t="str">
        <f>_xll.BDP("912828YW Govt","ISSUE_DT")</f>
        <v>12/16/2019</v>
      </c>
      <c r="P141" t="str">
        <f>_xll.BDP("912828YW Govt","SECURITY_NAME")</f>
        <v>T 1 5/8 12/15/22</v>
      </c>
      <c r="Q141" t="str">
        <f>_xll.BDP("912828YW Govt","DAY_CNT_DES")</f>
        <v>ACT/ACT</v>
      </c>
      <c r="R141">
        <v>100</v>
      </c>
      <c r="S141" t="str">
        <f>_xll.BDP("912828YW Govt","ID_CUSIP")</f>
        <v>912828YW4</v>
      </c>
      <c r="T141" t="str">
        <f>_xll.BDP("912828YW Govt","IDX_RATIO")</f>
        <v>#N/A Field Not Applicable</v>
      </c>
    </row>
    <row r="142" spans="1:20" x14ac:dyDescent="0.25">
      <c r="A142" t="s">
        <v>14</v>
      </c>
      <c r="B142" t="str">
        <f>_xll.BDP("91282CAL Govt","TICKER")</f>
        <v>T</v>
      </c>
      <c r="C142">
        <f>_xll.BDP("91282CAL Govt","CPN")</f>
        <v>0.375</v>
      </c>
      <c r="D142">
        <f>_xll.BDP("91282CAL Govt","YLD_YTM_BID")</f>
        <v>1.1610915545196727</v>
      </c>
      <c r="E142" t="str">
        <f>_xll.BDP("91282CAL Govt","MATURITY")</f>
        <v>9/30/2027</v>
      </c>
      <c r="F142" t="str">
        <f>_xll.BDP("91282CAL Govt","MTY_TYP")</f>
        <v>NORMAL</v>
      </c>
      <c r="G142" t="str">
        <f>_xll.BDP("91282CAL Govt","CRNCY")</f>
        <v>USD</v>
      </c>
      <c r="H142" t="str">
        <f>_xll.BDP("91282CAL Govt","COUNTRY_FULL_NAME")</f>
        <v>UNITED STATES</v>
      </c>
      <c r="I142" t="str">
        <f>_xll.BDP("91282CAL Govt","FIRST_CPN_DT")</f>
        <v>3/31/2021</v>
      </c>
      <c r="J142" t="str">
        <f>_xll.BDP("91282CAL Govt","COUPON_FREQUENCY_DESCRIPTION")</f>
        <v>S/A</v>
      </c>
      <c r="K142" t="str">
        <f>_xll.BDP("91282CAL Govt","CPN_TYP")</f>
        <v>FIXED</v>
      </c>
      <c r="L142" t="str">
        <f>_xll.BDP("91282CAL Govt","ID_ISIN")</f>
        <v>US91282CAL54</v>
      </c>
      <c r="M142">
        <v>56845000000</v>
      </c>
      <c r="N142">
        <v>56845000000</v>
      </c>
      <c r="O142" t="str">
        <f>_xll.BDP("91282CAL Govt","ISSUE_DT")</f>
        <v>9/30/2020</v>
      </c>
      <c r="P142" t="str">
        <f>_xll.BDP("91282CAL Govt","SECURITY_NAME")</f>
        <v>T 0 3/8 09/30/27</v>
      </c>
      <c r="Q142" t="str">
        <f>_xll.BDP("91282CAL Govt","DAY_CNT_DES")</f>
        <v>ACT/ACT</v>
      </c>
      <c r="R142">
        <v>100</v>
      </c>
      <c r="S142" t="str">
        <f>_xll.BDP("91282CAL Govt","ID_CUSIP")</f>
        <v>91282CAL5</v>
      </c>
      <c r="T142" t="str">
        <f>_xll.BDP("91282CAL Govt","IDX_RATIO")</f>
        <v>#N/A Field Not Applicable</v>
      </c>
    </row>
    <row r="143" spans="1:20" x14ac:dyDescent="0.25">
      <c r="A143" t="s">
        <v>14</v>
      </c>
      <c r="B143" t="str">
        <f>_xll.BDP("912828YE Govt","TICKER")</f>
        <v>T</v>
      </c>
      <c r="C143">
        <f>_xll.BDP("912828YE Govt","CPN")</f>
        <v>1.25</v>
      </c>
      <c r="D143">
        <f>_xll.BDP("912828YE Govt","YLD_YTM_BID")</f>
        <v>0.50559327144253297</v>
      </c>
      <c r="E143" t="str">
        <f>_xll.BDP("912828YE Govt","MATURITY")</f>
        <v>8/31/2024</v>
      </c>
      <c r="F143" t="str">
        <f>_xll.BDP("912828YE Govt","MTY_TYP")</f>
        <v>NORMAL</v>
      </c>
      <c r="G143" t="str">
        <f>_xll.BDP("912828YE Govt","CRNCY")</f>
        <v>USD</v>
      </c>
      <c r="H143" t="str">
        <f>_xll.BDP("912828YE Govt","COUNTRY_FULL_NAME")</f>
        <v>UNITED STATES</v>
      </c>
      <c r="I143" t="str">
        <f>_xll.BDP("912828YE Govt","FIRST_CPN_DT")</f>
        <v>2/29/2020</v>
      </c>
      <c r="J143" t="str">
        <f>_xll.BDP("912828YE Govt","COUPON_FREQUENCY_DESCRIPTION")</f>
        <v>S/A</v>
      </c>
      <c r="K143" t="str">
        <f>_xll.BDP("912828YE Govt","CPN_TYP")</f>
        <v>FIXED</v>
      </c>
      <c r="L143" t="str">
        <f>_xll.BDP("912828YE Govt","ID_ISIN")</f>
        <v>US912828YE44</v>
      </c>
      <c r="M143">
        <v>46324000000</v>
      </c>
      <c r="N143">
        <v>46324000000</v>
      </c>
      <c r="O143" t="str">
        <f>_xll.BDP("912828YE Govt","ISSUE_DT")</f>
        <v>9/3/2019</v>
      </c>
      <c r="P143" t="str">
        <f>_xll.BDP("912828YE Govt","SECURITY_NAME")</f>
        <v>T 1 1/4 08/31/24</v>
      </c>
      <c r="Q143" t="str">
        <f>_xll.BDP("912828YE Govt","DAY_CNT_DES")</f>
        <v>ACT/ACT</v>
      </c>
      <c r="R143">
        <v>100</v>
      </c>
      <c r="S143" t="str">
        <f>_xll.BDP("912828YE Govt","ID_CUSIP")</f>
        <v>912828YE4</v>
      </c>
      <c r="T143" t="str">
        <f>_xll.BDP("912828YE Govt","IDX_RATIO")</f>
        <v>#N/A Field Not Applicable</v>
      </c>
    </row>
    <row r="144" spans="1:20" x14ac:dyDescent="0.25">
      <c r="A144" t="s">
        <v>14</v>
      </c>
      <c r="B144" t="str">
        <f>_xll.BDP("91282CAY Govt","TICKER")</f>
        <v>T</v>
      </c>
      <c r="C144">
        <f>_xll.BDP("91282CAY Govt","CPN")</f>
        <v>0.625</v>
      </c>
      <c r="D144">
        <f>_xll.BDP("91282CAY Govt","YLD_YTM_BID")</f>
        <v>1.1984804166388674</v>
      </c>
      <c r="E144" t="str">
        <f>_xll.BDP("91282CAY Govt","MATURITY")</f>
        <v>11/30/2027</v>
      </c>
      <c r="F144" t="str">
        <f>_xll.BDP("91282CAY Govt","MTY_TYP")</f>
        <v>NORMAL</v>
      </c>
      <c r="G144" t="str">
        <f>_xll.BDP("91282CAY Govt","CRNCY")</f>
        <v>USD</v>
      </c>
      <c r="H144" t="str">
        <f>_xll.BDP("91282CAY Govt","COUNTRY_FULL_NAME")</f>
        <v>UNITED STATES</v>
      </c>
      <c r="I144" t="str">
        <f>_xll.BDP("91282CAY Govt","FIRST_CPN_DT")</f>
        <v>5/31/2021</v>
      </c>
      <c r="J144" t="str">
        <f>_xll.BDP("91282CAY Govt","COUPON_FREQUENCY_DESCRIPTION")</f>
        <v>S/A</v>
      </c>
      <c r="K144" t="str">
        <f>_xll.BDP("91282CAY Govt","CPN_TYP")</f>
        <v>FIXED</v>
      </c>
      <c r="L144" t="str">
        <f>_xll.BDP("91282CAY Govt","ID_ISIN")</f>
        <v>US91282CAY75</v>
      </c>
      <c r="M144">
        <v>63769000000</v>
      </c>
      <c r="N144">
        <v>63769000000</v>
      </c>
      <c r="O144" t="str">
        <f>_xll.BDP("91282CAY Govt","ISSUE_DT")</f>
        <v>11/30/2020</v>
      </c>
      <c r="P144" t="str">
        <f>_xll.BDP("91282CAY Govt","SECURITY_NAME")</f>
        <v>T 0 5/8 11/30/27</v>
      </c>
      <c r="Q144" t="str">
        <f>_xll.BDP("91282CAY Govt","DAY_CNT_DES")</f>
        <v>ACT/ACT</v>
      </c>
      <c r="R144">
        <v>100</v>
      </c>
      <c r="S144" t="str">
        <f>_xll.BDP("91282CAY Govt","ID_CUSIP")</f>
        <v>91282CAY7</v>
      </c>
      <c r="T144" t="str">
        <f>_xll.BDP("91282CAY Govt","IDX_RATIO")</f>
        <v>#N/A Field Not Applicable</v>
      </c>
    </row>
    <row r="145" spans="1:20" x14ac:dyDescent="0.25">
      <c r="A145" t="s">
        <v>14</v>
      </c>
      <c r="B145" t="str">
        <f>_xll.BDP("9128282Y Govt","TICKER")</f>
        <v>T</v>
      </c>
      <c r="C145">
        <f>_xll.BDP("9128282Y Govt","CPN")</f>
        <v>2.125</v>
      </c>
      <c r="D145">
        <f>_xll.BDP("9128282Y Govt","YLD_YTM_BID")</f>
        <v>0.52620814216380618</v>
      </c>
      <c r="E145" t="str">
        <f>_xll.BDP("9128282Y Govt","MATURITY")</f>
        <v>9/30/2024</v>
      </c>
      <c r="F145" t="str">
        <f>_xll.BDP("9128282Y Govt","MTY_TYP")</f>
        <v>NORMAL</v>
      </c>
      <c r="G145" t="str">
        <f>_xll.BDP("9128282Y Govt","CRNCY")</f>
        <v>USD</v>
      </c>
      <c r="H145" t="str">
        <f>_xll.BDP("9128282Y Govt","COUNTRY_FULL_NAME")</f>
        <v>UNITED STATES</v>
      </c>
      <c r="I145" t="str">
        <f>_xll.BDP("9128282Y Govt","FIRST_CPN_DT")</f>
        <v>3/31/2018</v>
      </c>
      <c r="J145" t="str">
        <f>_xll.BDP("9128282Y Govt","COUPON_FREQUENCY_DESCRIPTION")</f>
        <v>S/A</v>
      </c>
      <c r="K145" t="str">
        <f>_xll.BDP("9128282Y Govt","CPN_TYP")</f>
        <v>FIXED</v>
      </c>
      <c r="L145" t="str">
        <f>_xll.BDP("9128282Y Govt","ID_ISIN")</f>
        <v>US9128282Y56</v>
      </c>
      <c r="M145">
        <v>31480000000</v>
      </c>
      <c r="N145">
        <v>31480000000</v>
      </c>
      <c r="O145" t="str">
        <f>_xll.BDP("9128282Y Govt","ISSUE_DT")</f>
        <v>10/2/2017</v>
      </c>
      <c r="P145" t="str">
        <f>_xll.BDP("9128282Y Govt","SECURITY_NAME")</f>
        <v>T 2 1/8 09/30/24</v>
      </c>
      <c r="Q145" t="str">
        <f>_xll.BDP("9128282Y Govt","DAY_CNT_DES")</f>
        <v>ACT/ACT</v>
      </c>
      <c r="R145">
        <v>100</v>
      </c>
      <c r="S145" t="str">
        <f>_xll.BDP("9128282Y Govt","ID_CUSIP")</f>
        <v>9128282Y5</v>
      </c>
      <c r="T145" t="str">
        <f>_xll.BDP("9128282Y Govt","IDX_RATIO")</f>
        <v>#N/A Field Not Applicable</v>
      </c>
    </row>
    <row r="146" spans="1:20" x14ac:dyDescent="0.25">
      <c r="A146" t="s">
        <v>14</v>
      </c>
      <c r="B146" t="str">
        <f>_xll.BDP("912810SA Govt","TICKER")</f>
        <v>T</v>
      </c>
      <c r="C146">
        <f>_xll.BDP("912810SA Govt","CPN")</f>
        <v>3</v>
      </c>
      <c r="D146">
        <f>_xll.BDP("912810SA Govt","YLD_YTM_BID")</f>
        <v>2.0827657920308109</v>
      </c>
      <c r="E146" t="str">
        <f>_xll.BDP("912810SA Govt","MATURITY")</f>
        <v>2/15/2048</v>
      </c>
      <c r="F146" t="str">
        <f>_xll.BDP("912810SA Govt","MTY_TYP")</f>
        <v>NORMAL</v>
      </c>
      <c r="G146" t="str">
        <f>_xll.BDP("912810SA Govt","CRNCY")</f>
        <v>USD</v>
      </c>
      <c r="H146" t="str">
        <f>_xll.BDP("912810SA Govt","COUNTRY_FULL_NAME")</f>
        <v>UNITED STATES</v>
      </c>
      <c r="I146" t="str">
        <f>_xll.BDP("912810SA Govt","FIRST_CPN_DT")</f>
        <v>8/15/2018</v>
      </c>
      <c r="J146" t="str">
        <f>_xll.BDP("912810SA Govt","COUPON_FREQUENCY_DESCRIPTION")</f>
        <v>S/A</v>
      </c>
      <c r="K146" t="str">
        <f>_xll.BDP("912810SA Govt","CPN_TYP")</f>
        <v>FIXED</v>
      </c>
      <c r="L146" t="str">
        <f>_xll.BDP("912810SA Govt","ID_ISIN")</f>
        <v>US912810SA79</v>
      </c>
      <c r="M146">
        <v>45045000000</v>
      </c>
      <c r="N146">
        <v>45045000000</v>
      </c>
      <c r="O146" t="str">
        <f>_xll.BDP("912810SA Govt","ISSUE_DT")</f>
        <v>2/15/2018</v>
      </c>
      <c r="P146" t="str">
        <f>_xll.BDP("912810SA Govt","SECURITY_NAME")</f>
        <v>T 3 02/15/48</v>
      </c>
      <c r="Q146" t="str">
        <f>_xll.BDP("912810SA Govt","DAY_CNT_DES")</f>
        <v>ACT/ACT</v>
      </c>
      <c r="R146">
        <v>100</v>
      </c>
      <c r="S146" t="str">
        <f>_xll.BDP("912810SA Govt","ID_CUSIP")</f>
        <v>912810SA7</v>
      </c>
      <c r="T146" t="str">
        <f>_xll.BDP("912810SA Govt","IDX_RATIO")</f>
        <v>#N/A Field Not Applicable</v>
      </c>
    </row>
    <row r="147" spans="1:20" x14ac:dyDescent="0.25">
      <c r="A147" t="s">
        <v>14</v>
      </c>
      <c r="B147" t="str">
        <f>_xll.BDP("912828UN Govt","TICKER")</f>
        <v>T</v>
      </c>
      <c r="C147">
        <f>_xll.BDP("912828UN Govt","CPN")</f>
        <v>2</v>
      </c>
      <c r="D147">
        <f>_xll.BDP("912828UN Govt","YLD_YTM_BID")</f>
        <v>0.16291143608861713</v>
      </c>
      <c r="E147" t="str">
        <f>_xll.BDP("912828UN Govt","MATURITY")</f>
        <v>2/15/2023</v>
      </c>
      <c r="F147" t="str">
        <f>_xll.BDP("912828UN Govt","MTY_TYP")</f>
        <v>NORMAL</v>
      </c>
      <c r="G147" t="str">
        <f>_xll.BDP("912828UN Govt","CRNCY")</f>
        <v>USD</v>
      </c>
      <c r="H147" t="str">
        <f>_xll.BDP("912828UN Govt","COUNTRY_FULL_NAME")</f>
        <v>UNITED STATES</v>
      </c>
      <c r="I147" t="str">
        <f>_xll.BDP("912828UN Govt","FIRST_CPN_DT")</f>
        <v>8/15/2013</v>
      </c>
      <c r="J147" t="str">
        <f>_xll.BDP("912828UN Govt","COUPON_FREQUENCY_DESCRIPTION")</f>
        <v>S/A</v>
      </c>
      <c r="K147" t="str">
        <f>_xll.BDP("912828UN Govt","CPN_TYP")</f>
        <v>FIXED</v>
      </c>
      <c r="L147" t="str">
        <f>_xll.BDP("912828UN Govt","ID_ISIN")</f>
        <v>US912828UN88</v>
      </c>
      <c r="M147">
        <v>66001000000</v>
      </c>
      <c r="N147">
        <v>66001000000</v>
      </c>
      <c r="O147" t="str">
        <f>_xll.BDP("912828UN Govt","ISSUE_DT")</f>
        <v>2/15/2013</v>
      </c>
      <c r="P147" t="str">
        <f>_xll.BDP("912828UN Govt","SECURITY_NAME")</f>
        <v>T 2 02/15/23</v>
      </c>
      <c r="Q147" t="str">
        <f>_xll.BDP("912828UN Govt","DAY_CNT_DES")</f>
        <v>ACT/ACT</v>
      </c>
      <c r="R147">
        <v>100</v>
      </c>
      <c r="S147" t="str">
        <f>_xll.BDP("912828UN Govt","ID_CUSIP")</f>
        <v>912828UN8</v>
      </c>
      <c r="T147" t="str">
        <f>_xll.BDP("912828UN Govt","IDX_RATIO")</f>
        <v>#N/A Field Not Applicable</v>
      </c>
    </row>
    <row r="148" spans="1:20" x14ac:dyDescent="0.25">
      <c r="A148" t="s">
        <v>14</v>
      </c>
      <c r="B148" t="str">
        <f>_xll.BDP("912828ZB Govt","TICKER")</f>
        <v>T</v>
      </c>
      <c r="C148">
        <f>_xll.BDP("912828ZB Govt","CPN")</f>
        <v>1.125</v>
      </c>
      <c r="D148">
        <f>_xll.BDP("912828ZB Govt","YLD_YTM_BID")</f>
        <v>1.0533413464557559</v>
      </c>
      <c r="E148" t="str">
        <f>_xll.BDP("912828ZB Govt","MATURITY")</f>
        <v>2/28/2027</v>
      </c>
      <c r="F148" t="str">
        <f>_xll.BDP("912828ZB Govt","MTY_TYP")</f>
        <v>NORMAL</v>
      </c>
      <c r="G148" t="str">
        <f>_xll.BDP("912828ZB Govt","CRNCY")</f>
        <v>USD</v>
      </c>
      <c r="H148" t="str">
        <f>_xll.BDP("912828ZB Govt","COUNTRY_FULL_NAME")</f>
        <v>UNITED STATES</v>
      </c>
      <c r="I148" t="str">
        <f>_xll.BDP("912828ZB Govt","FIRST_CPN_DT")</f>
        <v>8/31/2020</v>
      </c>
      <c r="J148" t="str">
        <f>_xll.BDP("912828ZB Govt","COUPON_FREQUENCY_DESCRIPTION")</f>
        <v>S/A</v>
      </c>
      <c r="K148" t="str">
        <f>_xll.BDP("912828ZB Govt","CPN_TYP")</f>
        <v>FIXED</v>
      </c>
      <c r="L148" t="str">
        <f>_xll.BDP("912828ZB Govt","ID_ISIN")</f>
        <v>US912828ZB95</v>
      </c>
      <c r="M148">
        <v>36836000000</v>
      </c>
      <c r="N148">
        <v>36836000000</v>
      </c>
      <c r="O148" t="str">
        <f>_xll.BDP("912828ZB Govt","ISSUE_DT")</f>
        <v>3/2/2020</v>
      </c>
      <c r="P148" t="str">
        <f>_xll.BDP("912828ZB Govt","SECURITY_NAME")</f>
        <v>T 1 1/8 02/28/27</v>
      </c>
      <c r="Q148" t="str">
        <f>_xll.BDP("912828ZB Govt","DAY_CNT_DES")</f>
        <v>ACT/ACT</v>
      </c>
      <c r="R148">
        <v>100</v>
      </c>
      <c r="S148" t="str">
        <f>_xll.BDP("912828ZB Govt","ID_CUSIP")</f>
        <v>912828ZB9</v>
      </c>
      <c r="T148" t="str">
        <f>_xll.BDP("912828ZB Govt","IDX_RATIO")</f>
        <v>#N/A Field Not Applicable</v>
      </c>
    </row>
    <row r="149" spans="1:20" x14ac:dyDescent="0.25">
      <c r="A149" t="s">
        <v>14</v>
      </c>
      <c r="B149" t="str">
        <f>_xll.BDP("912828YP Govt","TICKER")</f>
        <v>T</v>
      </c>
      <c r="C149">
        <f>_xll.BDP("912828YP Govt","CPN")</f>
        <v>1.5</v>
      </c>
      <c r="D149">
        <f>_xll.BDP("912828YP Govt","YLD_YTM_BID")</f>
        <v>0.29037985226752028</v>
      </c>
      <c r="E149" t="str">
        <f>_xll.BDP("912828YP Govt","MATURITY")</f>
        <v>10/31/2021</v>
      </c>
      <c r="F149" t="str">
        <f>_xll.BDP("912828YP Govt","MTY_TYP")</f>
        <v>NORMAL</v>
      </c>
      <c r="G149" t="str">
        <f>_xll.BDP("912828YP Govt","CRNCY")</f>
        <v>USD</v>
      </c>
      <c r="H149" t="str">
        <f>_xll.BDP("912828YP Govt","COUNTRY_FULL_NAME")</f>
        <v>UNITED STATES</v>
      </c>
      <c r="I149" t="str">
        <f>_xll.BDP("912828YP Govt","FIRST_CPN_DT")</f>
        <v>4/30/2020</v>
      </c>
      <c r="J149" t="str">
        <f>_xll.BDP("912828YP Govt","COUPON_FREQUENCY_DESCRIPTION")</f>
        <v>S/A</v>
      </c>
      <c r="K149" t="str">
        <f>_xll.BDP("912828YP Govt","CPN_TYP")</f>
        <v>FIXED</v>
      </c>
      <c r="L149" t="str">
        <f>_xll.BDP("912828YP Govt","ID_ISIN")</f>
        <v>US912828YP90</v>
      </c>
      <c r="M149">
        <v>44182000000</v>
      </c>
      <c r="N149">
        <v>44182000000</v>
      </c>
      <c r="O149" t="str">
        <f>_xll.BDP("912828YP Govt","ISSUE_DT")</f>
        <v>10/31/2019</v>
      </c>
      <c r="P149" t="str">
        <f>_xll.BDP("912828YP Govt","SECURITY_NAME")</f>
        <v>T 1 1/2 10/31/21</v>
      </c>
      <c r="Q149" t="str">
        <f>_xll.BDP("912828YP Govt","DAY_CNT_DES")</f>
        <v>ACT/ACT</v>
      </c>
      <c r="R149">
        <v>100</v>
      </c>
      <c r="S149" t="str">
        <f>_xll.BDP("912828YP Govt","ID_CUSIP")</f>
        <v>912828YP9</v>
      </c>
      <c r="T149" t="str">
        <f>_xll.BDP("912828YP Govt","IDX_RATIO")</f>
        <v>#N/A Field Not Applicable</v>
      </c>
    </row>
    <row r="150" spans="1:20" x14ac:dyDescent="0.25">
      <c r="A150" t="s">
        <v>14</v>
      </c>
      <c r="B150" t="str">
        <f>_xll.BDP("912828M8 Govt","TICKER")</f>
        <v>T</v>
      </c>
      <c r="C150">
        <f>_xll.BDP("912828M8 Govt","CPN")</f>
        <v>2</v>
      </c>
      <c r="D150">
        <f>_xll.BDP("912828M8 Govt","YLD_YTM_BID")</f>
        <v>0.13351783435683826</v>
      </c>
      <c r="E150" t="str">
        <f>_xll.BDP("912828M8 Govt","MATURITY")</f>
        <v>11/30/2022</v>
      </c>
      <c r="F150" t="str">
        <f>_xll.BDP("912828M8 Govt","MTY_TYP")</f>
        <v>NORMAL</v>
      </c>
      <c r="G150" t="str">
        <f>_xll.BDP("912828M8 Govt","CRNCY")</f>
        <v>USD</v>
      </c>
      <c r="H150" t="str">
        <f>_xll.BDP("912828M8 Govt","COUNTRY_FULL_NAME")</f>
        <v>UNITED STATES</v>
      </c>
      <c r="I150" t="str">
        <f>_xll.BDP("912828M8 Govt","FIRST_CPN_DT")</f>
        <v>5/31/2016</v>
      </c>
      <c r="J150" t="str">
        <f>_xll.BDP("912828M8 Govt","COUPON_FREQUENCY_DESCRIPTION")</f>
        <v>S/A</v>
      </c>
      <c r="K150" t="str">
        <f>_xll.BDP("912828M8 Govt","CPN_TYP")</f>
        <v>FIXED</v>
      </c>
      <c r="L150" t="str">
        <f>_xll.BDP("912828M8 Govt","ID_ISIN")</f>
        <v>US912828M805</v>
      </c>
      <c r="M150">
        <v>64845000000</v>
      </c>
      <c r="N150">
        <v>64845000000</v>
      </c>
      <c r="O150" t="str">
        <f>_xll.BDP("912828M8 Govt","ISSUE_DT")</f>
        <v>11/30/2015</v>
      </c>
      <c r="P150" t="str">
        <f>_xll.BDP("912828M8 Govt","SECURITY_NAME")</f>
        <v>T 2 11/30/22</v>
      </c>
      <c r="Q150" t="str">
        <f>_xll.BDP("912828M8 Govt","DAY_CNT_DES")</f>
        <v>ACT/ACT</v>
      </c>
      <c r="R150">
        <v>100</v>
      </c>
      <c r="S150" t="str">
        <f>_xll.BDP("912828M8 Govt","ID_CUSIP")</f>
        <v>912828M80</v>
      </c>
      <c r="T150" t="str">
        <f>_xll.BDP("912828M8 Govt","IDX_RATIO")</f>
        <v>#N/A Field Not Applicable</v>
      </c>
    </row>
    <row r="151" spans="1:20" x14ac:dyDescent="0.25">
      <c r="A151" t="s">
        <v>14</v>
      </c>
      <c r="B151" t="str">
        <f>_xll.BDP("91282CAP Govt","TICKER")</f>
        <v>T</v>
      </c>
      <c r="C151">
        <f>_xll.BDP("91282CAP Govt","CPN")</f>
        <v>0.125</v>
      </c>
      <c r="D151">
        <f>_xll.BDP("91282CAP Govt","YLD_YTM_BID")</f>
        <v>0.29930171781916165</v>
      </c>
      <c r="E151" t="str">
        <f>_xll.BDP("91282CAP Govt","MATURITY")</f>
        <v>10/15/2023</v>
      </c>
      <c r="F151" t="str">
        <f>_xll.BDP("91282CAP Govt","MTY_TYP")</f>
        <v>NORMAL</v>
      </c>
      <c r="G151" t="str">
        <f>_xll.BDP("91282CAP Govt","CRNCY")</f>
        <v>USD</v>
      </c>
      <c r="H151" t="str">
        <f>_xll.BDP("91282CAP Govt","COUNTRY_FULL_NAME")</f>
        <v>UNITED STATES</v>
      </c>
      <c r="I151" t="str">
        <f>_xll.BDP("91282CAP Govt","FIRST_CPN_DT")</f>
        <v>4/15/2021</v>
      </c>
      <c r="J151" t="str">
        <f>_xll.BDP("91282CAP Govt","COUPON_FREQUENCY_DESCRIPTION")</f>
        <v>S/A</v>
      </c>
      <c r="K151" t="str">
        <f>_xll.BDP("91282CAP Govt","CPN_TYP")</f>
        <v>FIXED</v>
      </c>
      <c r="L151" t="str">
        <f>_xll.BDP("91282CAP Govt","ID_ISIN")</f>
        <v>US91282CAP68</v>
      </c>
      <c r="M151">
        <v>53455000000</v>
      </c>
      <c r="N151">
        <v>53455000000</v>
      </c>
      <c r="O151" t="str">
        <f>_xll.BDP("91282CAP Govt","ISSUE_DT")</f>
        <v>10/15/2020</v>
      </c>
      <c r="P151" t="str">
        <f>_xll.BDP("91282CAP Govt","SECURITY_NAME")</f>
        <v>T 0 1/8 10/15/23</v>
      </c>
      <c r="Q151" t="str">
        <f>_xll.BDP("91282CAP Govt","DAY_CNT_DES")</f>
        <v>ACT/ACT</v>
      </c>
      <c r="R151">
        <v>100</v>
      </c>
      <c r="S151" t="str">
        <f>_xll.BDP("91282CAP Govt","ID_CUSIP")</f>
        <v>91282CAP6</v>
      </c>
      <c r="T151" t="str">
        <f>_xll.BDP("91282CAP Govt","IDX_RATIO")</f>
        <v>#N/A Field Not Applicable</v>
      </c>
    </row>
    <row r="152" spans="1:20" x14ac:dyDescent="0.25">
      <c r="A152" t="s">
        <v>14</v>
      </c>
      <c r="B152" t="str">
        <f>_xll.BDP("912810SE Govt","TICKER")</f>
        <v>T</v>
      </c>
      <c r="C152">
        <f>_xll.BDP("912810SE Govt","CPN")</f>
        <v>3.375</v>
      </c>
      <c r="D152">
        <f>_xll.BDP("912810SE Govt","YLD_YTM_BID")</f>
        <v>2.0686883595578971</v>
      </c>
      <c r="E152" t="str">
        <f>_xll.BDP("912810SE Govt","MATURITY")</f>
        <v>11/15/2048</v>
      </c>
      <c r="F152" t="str">
        <f>_xll.BDP("912810SE Govt","MTY_TYP")</f>
        <v>NORMAL</v>
      </c>
      <c r="G152" t="str">
        <f>_xll.BDP("912810SE Govt","CRNCY")</f>
        <v>USD</v>
      </c>
      <c r="H152" t="str">
        <f>_xll.BDP("912810SE Govt","COUNTRY_FULL_NAME")</f>
        <v>UNITED STATES</v>
      </c>
      <c r="I152" t="str">
        <f>_xll.BDP("912810SE Govt","FIRST_CPN_DT")</f>
        <v>5/15/2019</v>
      </c>
      <c r="J152" t="str">
        <f>_xll.BDP("912810SE Govt","COUPON_FREQUENCY_DESCRIPTION")</f>
        <v>S/A</v>
      </c>
      <c r="K152" t="str">
        <f>_xll.BDP("912810SE Govt","CPN_TYP")</f>
        <v>FIXED</v>
      </c>
      <c r="L152" t="str">
        <f>_xll.BDP("912810SE Govt","ID_ISIN")</f>
        <v>US912810SE91</v>
      </c>
      <c r="M152">
        <v>54868000000</v>
      </c>
      <c r="N152">
        <v>54868000000</v>
      </c>
      <c r="O152" t="str">
        <f>_xll.BDP("912810SE Govt","ISSUE_DT")</f>
        <v>11/15/2018</v>
      </c>
      <c r="P152" t="str">
        <f>_xll.BDP("912810SE Govt","SECURITY_NAME")</f>
        <v>T 3 3/8 11/15/48</v>
      </c>
      <c r="Q152" t="str">
        <f>_xll.BDP("912810SE Govt","DAY_CNT_DES")</f>
        <v>ACT/ACT</v>
      </c>
      <c r="R152">
        <v>100</v>
      </c>
      <c r="S152" t="str">
        <f>_xll.BDP("912810SE Govt","ID_CUSIP")</f>
        <v>912810SE9</v>
      </c>
      <c r="T152" t="str">
        <f>_xll.BDP("912810SE Govt","IDX_RATIO")</f>
        <v>#N/A Field Not Applicable</v>
      </c>
    </row>
    <row r="153" spans="1:20" x14ac:dyDescent="0.25">
      <c r="A153" t="s">
        <v>14</v>
      </c>
      <c r="B153" t="str">
        <f>_xll.BDP("912828ZP Govt","TICKER")</f>
        <v>T</v>
      </c>
      <c r="C153">
        <f>_xll.BDP("912828ZP Govt","CPN")</f>
        <v>0.125</v>
      </c>
      <c r="D153">
        <f>_xll.BDP("912828ZP Govt","YLD_YTM_BID")</f>
        <v>0.21504397462649918</v>
      </c>
      <c r="E153" t="str">
        <f>_xll.BDP("912828ZP Govt","MATURITY")</f>
        <v>5/15/2023</v>
      </c>
      <c r="F153" t="str">
        <f>_xll.BDP("912828ZP Govt","MTY_TYP")</f>
        <v>NORMAL</v>
      </c>
      <c r="G153" t="str">
        <f>_xll.BDP("912828ZP Govt","CRNCY")</f>
        <v>USD</v>
      </c>
      <c r="H153" t="str">
        <f>_xll.BDP("912828ZP Govt","COUNTRY_FULL_NAME")</f>
        <v>UNITED STATES</v>
      </c>
      <c r="I153" t="str">
        <f>_xll.BDP("912828ZP Govt","FIRST_CPN_DT")</f>
        <v>11/15/2020</v>
      </c>
      <c r="J153" t="str">
        <f>_xll.BDP("912828ZP Govt","COUPON_FREQUENCY_DESCRIPTION")</f>
        <v>S/A</v>
      </c>
      <c r="K153" t="str">
        <f>_xll.BDP("912828ZP Govt","CPN_TYP")</f>
        <v>FIXED</v>
      </c>
      <c r="L153" t="str">
        <f>_xll.BDP("912828ZP Govt","ID_ISIN")</f>
        <v>US912828ZP81</v>
      </c>
      <c r="M153">
        <v>64212000000</v>
      </c>
      <c r="N153">
        <v>64212000000</v>
      </c>
      <c r="O153" t="str">
        <f>_xll.BDP("912828ZP Govt","ISSUE_DT")</f>
        <v>5/15/2020</v>
      </c>
      <c r="P153" t="str">
        <f>_xll.BDP("912828ZP Govt","SECURITY_NAME")</f>
        <v>T 0 1/8 05/15/23</v>
      </c>
      <c r="Q153" t="str">
        <f>_xll.BDP("912828ZP Govt","DAY_CNT_DES")</f>
        <v>ACT/ACT</v>
      </c>
      <c r="R153">
        <v>100</v>
      </c>
      <c r="S153" t="str">
        <f>_xll.BDP("912828ZP Govt","ID_CUSIP")</f>
        <v>912828ZP8</v>
      </c>
      <c r="T153" t="str">
        <f>_xll.BDP("912828ZP Govt","IDX_RATIO")</f>
        <v>#N/A Field Not Applicable</v>
      </c>
    </row>
    <row r="154" spans="1:20" x14ac:dyDescent="0.25">
      <c r="A154" t="s">
        <v>14</v>
      </c>
      <c r="B154" t="str">
        <f>_xll.BDP("912810RU Govt","TICKER")</f>
        <v>T</v>
      </c>
      <c r="C154">
        <f>_xll.BDP("912810RU Govt","CPN")</f>
        <v>2.875</v>
      </c>
      <c r="D154">
        <f>_xll.BDP("912810RU Govt","YLD_YTM_BID")</f>
        <v>2.082313282465162</v>
      </c>
      <c r="E154" t="str">
        <f>_xll.BDP("912810RU Govt","MATURITY")</f>
        <v>11/15/2046</v>
      </c>
      <c r="F154" t="str">
        <f>_xll.BDP("912810RU Govt","MTY_TYP")</f>
        <v>NORMAL</v>
      </c>
      <c r="G154" t="str">
        <f>_xll.BDP("912810RU Govt","CRNCY")</f>
        <v>USD</v>
      </c>
      <c r="H154" t="str">
        <f>_xll.BDP("912810RU Govt","COUNTRY_FULL_NAME")</f>
        <v>UNITED STATES</v>
      </c>
      <c r="I154" t="str">
        <f>_xll.BDP("912810RU Govt","FIRST_CPN_DT")</f>
        <v>5/15/2017</v>
      </c>
      <c r="J154" t="str">
        <f>_xll.BDP("912810RU Govt","COUPON_FREQUENCY_DESCRIPTION")</f>
        <v>S/A</v>
      </c>
      <c r="K154" t="str">
        <f>_xll.BDP("912810RU Govt","CPN_TYP")</f>
        <v>FIXED</v>
      </c>
      <c r="L154" t="str">
        <f>_xll.BDP("912810RU Govt","ID_ISIN")</f>
        <v>US912810RU43</v>
      </c>
      <c r="M154">
        <v>42949000000</v>
      </c>
      <c r="N154">
        <v>42949000000</v>
      </c>
      <c r="O154" t="str">
        <f>_xll.BDP("912810RU Govt","ISSUE_DT")</f>
        <v>11/15/2016</v>
      </c>
      <c r="P154" t="str">
        <f>_xll.BDP("912810RU Govt","SECURITY_NAME")</f>
        <v>T 2 7/8 11/15/46</v>
      </c>
      <c r="Q154" t="str">
        <f>_xll.BDP("912810RU Govt","DAY_CNT_DES")</f>
        <v>ACT/ACT</v>
      </c>
      <c r="R154">
        <v>100</v>
      </c>
      <c r="S154" t="str">
        <f>_xll.BDP("912810RU Govt","ID_CUSIP")</f>
        <v>912810RU4</v>
      </c>
      <c r="T154" t="str">
        <f>_xll.BDP("912810RU Govt","IDX_RATIO")</f>
        <v>#N/A Field Not Applicable</v>
      </c>
    </row>
    <row r="155" spans="1:20" x14ac:dyDescent="0.25">
      <c r="A155" t="s">
        <v>14</v>
      </c>
      <c r="B155" t="str">
        <f>_xll.BDP("912828XT Govt","TICKER")</f>
        <v>T</v>
      </c>
      <c r="C155">
        <f>_xll.BDP("912828XT Govt","CPN")</f>
        <v>2</v>
      </c>
      <c r="D155">
        <f>_xll.BDP("912828XT Govt","YLD_YTM_BID")</f>
        <v>0.44442894734670585</v>
      </c>
      <c r="E155" t="str">
        <f>_xll.BDP("912828XT Govt","MATURITY")</f>
        <v>5/31/2024</v>
      </c>
      <c r="F155" t="str">
        <f>_xll.BDP("912828XT Govt","MTY_TYP")</f>
        <v>NORMAL</v>
      </c>
      <c r="G155" t="str">
        <f>_xll.BDP("912828XT Govt","CRNCY")</f>
        <v>USD</v>
      </c>
      <c r="H155" t="str">
        <f>_xll.BDP("912828XT Govt","COUNTRY_FULL_NAME")</f>
        <v>UNITED STATES</v>
      </c>
      <c r="I155" t="str">
        <f>_xll.BDP("912828XT Govt","FIRST_CPN_DT")</f>
        <v>11/30/2017</v>
      </c>
      <c r="J155" t="str">
        <f>_xll.BDP("912828XT Govt","COUPON_FREQUENCY_DESCRIPTION")</f>
        <v>S/A</v>
      </c>
      <c r="K155" t="str">
        <f>_xll.BDP("912828XT Govt","CPN_TYP")</f>
        <v>FIXED</v>
      </c>
      <c r="L155" t="str">
        <f>_xll.BDP("912828XT Govt","ID_ISIN")</f>
        <v>US912828XT22</v>
      </c>
      <c r="M155">
        <v>76676000000</v>
      </c>
      <c r="N155">
        <v>76676000000</v>
      </c>
      <c r="O155" t="str">
        <f>_xll.BDP("912828XT Govt","ISSUE_DT")</f>
        <v>5/31/2017</v>
      </c>
      <c r="P155" t="str">
        <f>_xll.BDP("912828XT Govt","SECURITY_NAME")</f>
        <v>T 2 05/31/24</v>
      </c>
      <c r="Q155" t="str">
        <f>_xll.BDP("912828XT Govt","DAY_CNT_DES")</f>
        <v>ACT/ACT</v>
      </c>
      <c r="R155">
        <v>100</v>
      </c>
      <c r="S155" t="str">
        <f>_xll.BDP("912828XT Govt","ID_CUSIP")</f>
        <v>912828XT2</v>
      </c>
      <c r="T155" t="str">
        <f>_xll.BDP("912828XT Govt","IDX_RATIO")</f>
        <v>#N/A Field Not Applicable</v>
      </c>
    </row>
    <row r="156" spans="1:20" x14ac:dyDescent="0.25">
      <c r="A156" t="s">
        <v>14</v>
      </c>
      <c r="B156" t="str">
        <f>_xll.BDP("912810SH Govt","TICKER")</f>
        <v>T</v>
      </c>
      <c r="C156">
        <f>_xll.BDP("912810SH Govt","CPN")</f>
        <v>2.875</v>
      </c>
      <c r="D156">
        <f>_xll.BDP("912810SH Govt","YLD_YTM_BID")</f>
        <v>2.081018976117599</v>
      </c>
      <c r="E156" t="str">
        <f>_xll.BDP("912810SH Govt","MATURITY")</f>
        <v>5/15/2049</v>
      </c>
      <c r="F156" t="str">
        <f>_xll.BDP("912810SH Govt","MTY_TYP")</f>
        <v>NORMAL</v>
      </c>
      <c r="G156" t="str">
        <f>_xll.BDP("912810SH Govt","CRNCY")</f>
        <v>USD</v>
      </c>
      <c r="H156" t="str">
        <f>_xll.BDP("912810SH Govt","COUNTRY_FULL_NAME")</f>
        <v>UNITED STATES</v>
      </c>
      <c r="I156" t="str">
        <f>_xll.BDP("912810SH Govt","FIRST_CPN_DT")</f>
        <v>11/15/2019</v>
      </c>
      <c r="J156" t="str">
        <f>_xll.BDP("912810SH Govt","COUPON_FREQUENCY_DESCRIPTION")</f>
        <v>S/A</v>
      </c>
      <c r="K156" t="str">
        <f>_xll.BDP("912810SH Govt","CPN_TYP")</f>
        <v>FIXED</v>
      </c>
      <c r="L156" t="str">
        <f>_xll.BDP("912810SH Govt","ID_ISIN")</f>
        <v>US912810SH23</v>
      </c>
      <c r="M156">
        <v>57608000000</v>
      </c>
      <c r="N156">
        <v>57608000000</v>
      </c>
      <c r="O156" t="str">
        <f>_xll.BDP("912810SH Govt","ISSUE_DT")</f>
        <v>5/15/2019</v>
      </c>
      <c r="P156" t="str">
        <f>_xll.BDP("912810SH Govt","SECURITY_NAME")</f>
        <v>T 2 7/8 05/15/49</v>
      </c>
      <c r="Q156" t="str">
        <f>_xll.BDP("912810SH Govt","DAY_CNT_DES")</f>
        <v>ACT/ACT</v>
      </c>
      <c r="R156">
        <v>100</v>
      </c>
      <c r="S156" t="str">
        <f>_xll.BDP("912810SH Govt","ID_CUSIP")</f>
        <v>912810SH2</v>
      </c>
      <c r="T156" t="str">
        <f>_xll.BDP("912810SH Govt","IDX_RATIO")</f>
        <v>#N/A Field Not Applicable</v>
      </c>
    </row>
    <row r="157" spans="1:20" x14ac:dyDescent="0.25">
      <c r="A157" t="s">
        <v>14</v>
      </c>
      <c r="B157" t="str">
        <f>_xll.BDP("912828Y9 Govt","TICKER")</f>
        <v>T</v>
      </c>
      <c r="C157">
        <f>_xll.BDP("912828Y9 Govt","CPN")</f>
        <v>1.875</v>
      </c>
      <c r="D157">
        <f>_xll.BDP("912828Y9 Govt","YLD_YTM_BID")</f>
        <v>0.9422586992484081</v>
      </c>
      <c r="E157" t="str">
        <f>_xll.BDP("912828Y9 Govt","MATURITY")</f>
        <v>7/31/2026</v>
      </c>
      <c r="F157" t="str">
        <f>_xll.BDP("912828Y9 Govt","MTY_TYP")</f>
        <v>NORMAL</v>
      </c>
      <c r="G157" t="str">
        <f>_xll.BDP("912828Y9 Govt","CRNCY")</f>
        <v>USD</v>
      </c>
      <c r="H157" t="str">
        <f>_xll.BDP("912828Y9 Govt","COUNTRY_FULL_NAME")</f>
        <v>UNITED STATES</v>
      </c>
      <c r="I157" t="str">
        <f>_xll.BDP("912828Y9 Govt","FIRST_CPN_DT")</f>
        <v>1/31/2020</v>
      </c>
      <c r="J157" t="str">
        <f>_xll.BDP("912828Y9 Govt","COUPON_FREQUENCY_DESCRIPTION")</f>
        <v>S/A</v>
      </c>
      <c r="K157" t="str">
        <f>_xll.BDP("912828Y9 Govt","CPN_TYP")</f>
        <v>FIXED</v>
      </c>
      <c r="L157" t="str">
        <f>_xll.BDP("912828Y9 Govt","ID_ISIN")</f>
        <v>US912828Y958</v>
      </c>
      <c r="M157">
        <v>33271000000</v>
      </c>
      <c r="N157">
        <v>33271000000</v>
      </c>
      <c r="O157" t="str">
        <f>_xll.BDP("912828Y9 Govt","ISSUE_DT")</f>
        <v>7/31/2019</v>
      </c>
      <c r="P157" t="str">
        <f>_xll.BDP("912828Y9 Govt","SECURITY_NAME")</f>
        <v>T 1 7/8 07/31/26</v>
      </c>
      <c r="Q157" t="str">
        <f>_xll.BDP("912828Y9 Govt","DAY_CNT_DES")</f>
        <v>ACT/ACT</v>
      </c>
      <c r="R157">
        <v>100</v>
      </c>
      <c r="S157" t="str">
        <f>_xll.BDP("912828Y9 Govt","ID_CUSIP")</f>
        <v>912828Y95</v>
      </c>
      <c r="T157" t="str">
        <f>_xll.BDP("912828Y9 Govt","IDX_RATIO")</f>
        <v>#N/A Field Not Applicable</v>
      </c>
    </row>
    <row r="158" spans="1:20" x14ac:dyDescent="0.25">
      <c r="A158" t="s">
        <v>14</v>
      </c>
      <c r="B158" t="str">
        <f>_xll.BDP("912828YY Govt","TICKER")</f>
        <v>T</v>
      </c>
      <c r="C158">
        <f>_xll.BDP("912828YY Govt","CPN")</f>
        <v>1.75</v>
      </c>
      <c r="D158">
        <f>_xll.BDP("912828YY Govt","YLD_YTM_BID")</f>
        <v>0.58247815268179048</v>
      </c>
      <c r="E158" t="str">
        <f>_xll.BDP("912828YY Govt","MATURITY")</f>
        <v>12/31/2024</v>
      </c>
      <c r="F158" t="str">
        <f>_xll.BDP("912828YY Govt","MTY_TYP")</f>
        <v>NORMAL</v>
      </c>
      <c r="G158" t="str">
        <f>_xll.BDP("912828YY Govt","CRNCY")</f>
        <v>USD</v>
      </c>
      <c r="H158" t="str">
        <f>_xll.BDP("912828YY Govt","COUNTRY_FULL_NAME")</f>
        <v>UNITED STATES</v>
      </c>
      <c r="I158" t="str">
        <f>_xll.BDP("912828YY Govt","FIRST_CPN_DT")</f>
        <v>6/30/2020</v>
      </c>
      <c r="J158" t="str">
        <f>_xll.BDP("912828YY Govt","COUPON_FREQUENCY_DESCRIPTION")</f>
        <v>S/A</v>
      </c>
      <c r="K158" t="str">
        <f>_xll.BDP("912828YY Govt","CPN_TYP")</f>
        <v>FIXED</v>
      </c>
      <c r="L158" t="str">
        <f>_xll.BDP("912828YY Govt","ID_ISIN")</f>
        <v>US912828YY08</v>
      </c>
      <c r="M158">
        <v>44859000000</v>
      </c>
      <c r="N158">
        <v>44859000000</v>
      </c>
      <c r="O158" t="str">
        <f>_xll.BDP("912828YY Govt","ISSUE_DT")</f>
        <v>12/31/2019</v>
      </c>
      <c r="P158" t="str">
        <f>_xll.BDP("912828YY Govt","SECURITY_NAME")</f>
        <v>T 1 3/4 12/31/24</v>
      </c>
      <c r="Q158" t="str">
        <f>_xll.BDP("912828YY Govt","DAY_CNT_DES")</f>
        <v>ACT/ACT</v>
      </c>
      <c r="R158">
        <v>100</v>
      </c>
      <c r="S158" t="str">
        <f>_xll.BDP("912828YY Govt","ID_CUSIP")</f>
        <v>912828YY0</v>
      </c>
      <c r="T158" t="str">
        <f>_xll.BDP("912828YY Govt","IDX_RATIO")</f>
        <v>#N/A Field Not Applicable</v>
      </c>
    </row>
    <row r="159" spans="1:20" x14ac:dyDescent="0.25">
      <c r="A159" t="s">
        <v>14</v>
      </c>
      <c r="B159" t="str">
        <f>_xll.BDP("912828ZV Govt","TICKER")</f>
        <v>T</v>
      </c>
      <c r="C159">
        <f>_xll.BDP("912828ZV Govt","CPN")</f>
        <v>0.5</v>
      </c>
      <c r="D159">
        <f>_xll.BDP("912828ZV Govt","YLD_YTM_BID")</f>
        <v>1.1192015007588694</v>
      </c>
      <c r="E159" t="str">
        <f>_xll.BDP("912828ZV Govt","MATURITY")</f>
        <v>6/30/2027</v>
      </c>
      <c r="F159" t="str">
        <f>_xll.BDP("912828ZV Govt","MTY_TYP")</f>
        <v>NORMAL</v>
      </c>
      <c r="G159" t="str">
        <f>_xll.BDP("912828ZV Govt","CRNCY")</f>
        <v>USD</v>
      </c>
      <c r="H159" t="str">
        <f>_xll.BDP("912828ZV Govt","COUNTRY_FULL_NAME")</f>
        <v>UNITED STATES</v>
      </c>
      <c r="I159" t="str">
        <f>_xll.BDP("912828ZV Govt","FIRST_CPN_DT")</f>
        <v>12/31/2020</v>
      </c>
      <c r="J159" t="str">
        <f>_xll.BDP("912828ZV Govt","COUPON_FREQUENCY_DESCRIPTION")</f>
        <v>S/A</v>
      </c>
      <c r="K159" t="str">
        <f>_xll.BDP("912828ZV Govt","CPN_TYP")</f>
        <v>FIXED</v>
      </c>
      <c r="L159" t="str">
        <f>_xll.BDP("912828ZV Govt","ID_ISIN")</f>
        <v>US912828ZV59</v>
      </c>
      <c r="M159">
        <v>46608000000</v>
      </c>
      <c r="N159">
        <v>46608000000</v>
      </c>
      <c r="O159" t="str">
        <f>_xll.BDP("912828ZV Govt","ISSUE_DT")</f>
        <v>6/30/2020</v>
      </c>
      <c r="P159" t="str">
        <f>_xll.BDP("912828ZV Govt","SECURITY_NAME")</f>
        <v>T 0 1/2 06/30/27</v>
      </c>
      <c r="Q159" t="str">
        <f>_xll.BDP("912828ZV Govt","DAY_CNT_DES")</f>
        <v>ACT/ACT</v>
      </c>
      <c r="R159">
        <v>100</v>
      </c>
      <c r="S159" t="str">
        <f>_xll.BDP("912828ZV Govt","ID_CUSIP")</f>
        <v>912828ZV5</v>
      </c>
      <c r="T159" t="str">
        <f>_xll.BDP("912828ZV Govt","IDX_RATIO")</f>
        <v>#N/A Field Not Applicable</v>
      </c>
    </row>
    <row r="160" spans="1:20" x14ac:dyDescent="0.25">
      <c r="A160" t="s">
        <v>14</v>
      </c>
      <c r="B160" t="str">
        <f>_xll.BDP("9128285U Govt","TICKER")</f>
        <v>T</v>
      </c>
      <c r="C160">
        <f>_xll.BDP("9128285U Govt","CPN")</f>
        <v>2.625</v>
      </c>
      <c r="D160">
        <f>_xll.BDP("9128285U Govt","YLD_YTM_BID")</f>
        <v>0.34426091797295866</v>
      </c>
      <c r="E160" t="str">
        <f>_xll.BDP("9128285U Govt","MATURITY")</f>
        <v>12/31/2023</v>
      </c>
      <c r="F160" t="str">
        <f>_xll.BDP("9128285U Govt","MTY_TYP")</f>
        <v>NORMAL</v>
      </c>
      <c r="G160" t="str">
        <f>_xll.BDP("9128285U Govt","CRNCY")</f>
        <v>USD</v>
      </c>
      <c r="H160" t="str">
        <f>_xll.BDP("9128285U Govt","COUNTRY_FULL_NAME")</f>
        <v>UNITED STATES</v>
      </c>
      <c r="I160" t="str">
        <f>_xll.BDP("9128285U Govt","FIRST_CPN_DT")</f>
        <v>6/30/2019</v>
      </c>
      <c r="J160" t="str">
        <f>_xll.BDP("9128285U Govt","COUPON_FREQUENCY_DESCRIPTION")</f>
        <v>S/A</v>
      </c>
      <c r="K160" t="str">
        <f>_xll.BDP("9128285U Govt","CPN_TYP")</f>
        <v>FIXED</v>
      </c>
      <c r="L160" t="str">
        <f>_xll.BDP("9128285U Govt","ID_ISIN")</f>
        <v>US9128285U08</v>
      </c>
      <c r="M160">
        <v>40999000000</v>
      </c>
      <c r="N160">
        <v>40999000000</v>
      </c>
      <c r="O160" t="str">
        <f>_xll.BDP("9128285U Govt","ISSUE_DT")</f>
        <v>12/31/2018</v>
      </c>
      <c r="P160" t="str">
        <f>_xll.BDP("9128285U Govt","SECURITY_NAME")</f>
        <v>T 2 5/8 12/31/23</v>
      </c>
      <c r="Q160" t="str">
        <f>_xll.BDP("9128285U Govt","DAY_CNT_DES")</f>
        <v>ACT/ACT</v>
      </c>
      <c r="R160">
        <v>100</v>
      </c>
      <c r="S160" t="str">
        <f>_xll.BDP("9128285U Govt","ID_CUSIP")</f>
        <v>9128285U0</v>
      </c>
      <c r="T160" t="str">
        <f>_xll.BDP("9128285U Govt","IDX_RATIO")</f>
        <v>#N/A Field Not Applicable</v>
      </c>
    </row>
    <row r="161" spans="1:20" x14ac:dyDescent="0.25">
      <c r="A161" t="s">
        <v>14</v>
      </c>
      <c r="B161" t="str">
        <f>_xll.BDP("912828L5 Govt","TICKER")</f>
        <v>T</v>
      </c>
      <c r="C161">
        <f>_xll.BDP("912828L5 Govt","CPN")</f>
        <v>1.75</v>
      </c>
      <c r="D161">
        <f>_xll.BDP("912828L5 Govt","YLD_YTM_BID")</f>
        <v>0.10050111306787182</v>
      </c>
      <c r="E161" t="str">
        <f>_xll.BDP("912828L5 Govt","MATURITY")</f>
        <v>9/30/2022</v>
      </c>
      <c r="F161" t="str">
        <f>_xll.BDP("912828L5 Govt","MTY_TYP")</f>
        <v>NORMAL</v>
      </c>
      <c r="G161" t="str">
        <f>_xll.BDP("912828L5 Govt","CRNCY")</f>
        <v>USD</v>
      </c>
      <c r="H161" t="str">
        <f>_xll.BDP("912828L5 Govt","COUNTRY_FULL_NAME")</f>
        <v>UNITED STATES</v>
      </c>
      <c r="I161" t="str">
        <f>_xll.BDP("912828L5 Govt","FIRST_CPN_DT")</f>
        <v>3/31/2016</v>
      </c>
      <c r="J161" t="str">
        <f>_xll.BDP("912828L5 Govt","COUPON_FREQUENCY_DESCRIPTION")</f>
        <v>S/A</v>
      </c>
      <c r="K161" t="str">
        <f>_xll.BDP("912828L5 Govt","CPN_TYP")</f>
        <v>FIXED</v>
      </c>
      <c r="L161" t="str">
        <f>_xll.BDP("912828L5 Govt","ID_ISIN")</f>
        <v>US912828L575</v>
      </c>
      <c r="M161">
        <v>29000000000</v>
      </c>
      <c r="N161">
        <v>28995000000</v>
      </c>
      <c r="O161" t="str">
        <f>_xll.BDP("912828L5 Govt","ISSUE_DT")</f>
        <v>9/30/2015</v>
      </c>
      <c r="P161" t="str">
        <f>_xll.BDP("912828L5 Govt","SECURITY_NAME")</f>
        <v>T 1 3/4 09/30/22</v>
      </c>
      <c r="Q161" t="str">
        <f>_xll.BDP("912828L5 Govt","DAY_CNT_DES")</f>
        <v>ACT/ACT</v>
      </c>
      <c r="R161">
        <v>100</v>
      </c>
      <c r="S161" t="str">
        <f>_xll.BDP("912828L5 Govt","ID_CUSIP")</f>
        <v>912828L57</v>
      </c>
      <c r="T161" t="str">
        <f>_xll.BDP("912828L5 Govt","IDX_RATIO")</f>
        <v>#N/A Field Not Applicable</v>
      </c>
    </row>
    <row r="162" spans="1:20" x14ac:dyDescent="0.25">
      <c r="A162" t="s">
        <v>14</v>
      </c>
      <c r="B162" t="str">
        <f>_xll.BDP("912828ZU Govt","TICKER")</f>
        <v>T</v>
      </c>
      <c r="C162">
        <f>_xll.BDP("912828ZU Govt","CPN")</f>
        <v>0.25</v>
      </c>
      <c r="D162">
        <f>_xll.BDP("912828ZU Govt","YLD_YTM_BID")</f>
        <v>0.23378063580228603</v>
      </c>
      <c r="E162" t="str">
        <f>_xll.BDP("912828ZU Govt","MATURITY")</f>
        <v>6/15/2023</v>
      </c>
      <c r="F162" t="str">
        <f>_xll.BDP("912828ZU Govt","MTY_TYP")</f>
        <v>NORMAL</v>
      </c>
      <c r="G162" t="str">
        <f>_xll.BDP("912828ZU Govt","CRNCY")</f>
        <v>USD</v>
      </c>
      <c r="H162" t="str">
        <f>_xll.BDP("912828ZU Govt","COUNTRY_FULL_NAME")</f>
        <v>UNITED STATES</v>
      </c>
      <c r="I162" t="str">
        <f>_xll.BDP("912828ZU Govt","FIRST_CPN_DT")</f>
        <v>12/15/2020</v>
      </c>
      <c r="J162" t="str">
        <f>_xll.BDP("912828ZU Govt","COUPON_FREQUENCY_DESCRIPTION")</f>
        <v>S/A</v>
      </c>
      <c r="K162" t="str">
        <f>_xll.BDP("912828ZU Govt","CPN_TYP")</f>
        <v>FIXED</v>
      </c>
      <c r="L162" t="str">
        <f>_xll.BDP("912828ZU Govt","ID_ISIN")</f>
        <v>US912828ZU76</v>
      </c>
      <c r="M162">
        <v>44626000000</v>
      </c>
      <c r="N162">
        <v>44626000000</v>
      </c>
      <c r="O162" t="str">
        <f>_xll.BDP("912828ZU Govt","ISSUE_DT")</f>
        <v>6/15/2020</v>
      </c>
      <c r="P162" t="str">
        <f>_xll.BDP("912828ZU Govt","SECURITY_NAME")</f>
        <v>T 0 1/4 06/15/23</v>
      </c>
      <c r="Q162" t="str">
        <f>_xll.BDP("912828ZU Govt","DAY_CNT_DES")</f>
        <v>ACT/ACT</v>
      </c>
      <c r="R162">
        <v>100</v>
      </c>
      <c r="S162" t="str">
        <f>_xll.BDP("912828ZU Govt","ID_CUSIP")</f>
        <v>912828ZU7</v>
      </c>
      <c r="T162" t="str">
        <f>_xll.BDP("912828ZU Govt","IDX_RATIO")</f>
        <v>#N/A Field Not Applicable</v>
      </c>
    </row>
    <row r="163" spans="1:20" x14ac:dyDescent="0.25">
      <c r="A163" t="s">
        <v>14</v>
      </c>
      <c r="B163" t="str">
        <f>_xll.BDP("912810RS Govt","TICKER")</f>
        <v>T</v>
      </c>
      <c r="C163">
        <f>_xll.BDP("912810RS Govt","CPN")</f>
        <v>2.5</v>
      </c>
      <c r="D163">
        <f>_xll.BDP("912810RS Govt","YLD_YTM_BID")</f>
        <v>2.0913658880520796</v>
      </c>
      <c r="E163" t="str">
        <f>_xll.BDP("912810RS Govt","MATURITY")</f>
        <v>5/15/2046</v>
      </c>
      <c r="F163" t="str">
        <f>_xll.BDP("912810RS Govt","MTY_TYP")</f>
        <v>NORMAL</v>
      </c>
      <c r="G163" t="str">
        <f>_xll.BDP("912810RS Govt","CRNCY")</f>
        <v>USD</v>
      </c>
      <c r="H163" t="str">
        <f>_xll.BDP("912810RS Govt","COUNTRY_FULL_NAME")</f>
        <v>UNITED STATES</v>
      </c>
      <c r="I163" t="str">
        <f>_xll.BDP("912810RS Govt","FIRST_CPN_DT")</f>
        <v>11/15/2016</v>
      </c>
      <c r="J163" t="str">
        <f>_xll.BDP("912810RS Govt","COUPON_FREQUENCY_DESCRIPTION")</f>
        <v>S/A</v>
      </c>
      <c r="K163" t="str">
        <f>_xll.BDP("912810RS Govt","CPN_TYP")</f>
        <v>FIXED</v>
      </c>
      <c r="L163" t="str">
        <f>_xll.BDP("912810RS Govt","ID_ISIN")</f>
        <v>US912810RS96</v>
      </c>
      <c r="M163">
        <v>43174000000</v>
      </c>
      <c r="N163">
        <v>43174000000</v>
      </c>
      <c r="O163" t="str">
        <f>_xll.BDP("912810RS Govt","ISSUE_DT")</f>
        <v>5/16/2016</v>
      </c>
      <c r="P163" t="str">
        <f>_xll.BDP("912810RS Govt","SECURITY_NAME")</f>
        <v>T 2 1/2 05/15/46</v>
      </c>
      <c r="Q163" t="str">
        <f>_xll.BDP("912810RS Govt","DAY_CNT_DES")</f>
        <v>ACT/ACT</v>
      </c>
      <c r="R163">
        <v>100</v>
      </c>
      <c r="S163" t="str">
        <f>_xll.BDP("912810RS Govt","ID_CUSIP")</f>
        <v>912810RS9</v>
      </c>
      <c r="T163" t="str">
        <f>_xll.BDP("912810RS Govt","IDX_RATIO")</f>
        <v>#N/A Field Not Applicable</v>
      </c>
    </row>
    <row r="164" spans="1:20" x14ac:dyDescent="0.25">
      <c r="A164" t="s">
        <v>14</v>
      </c>
      <c r="B164" t="str">
        <f>_xll.BDP("912828SV Govt","TICKER")</f>
        <v>T</v>
      </c>
      <c r="C164">
        <f>_xll.BDP("912828SV Govt","CPN")</f>
        <v>1.75</v>
      </c>
      <c r="D164">
        <f>_xll.BDP("912828SV Govt","YLD_YTM_BID")</f>
        <v>7.432027704660063E-2</v>
      </c>
      <c r="E164" t="str">
        <f>_xll.BDP("912828SV Govt","MATURITY")</f>
        <v>5/15/2022</v>
      </c>
      <c r="F164" t="str">
        <f>_xll.BDP("912828SV Govt","MTY_TYP")</f>
        <v>NORMAL</v>
      </c>
      <c r="G164" t="str">
        <f>_xll.BDP("912828SV Govt","CRNCY")</f>
        <v>USD</v>
      </c>
      <c r="H164" t="str">
        <f>_xll.BDP("912828SV Govt","COUNTRY_FULL_NAME")</f>
        <v>UNITED STATES</v>
      </c>
      <c r="I164" t="str">
        <f>_xll.BDP("912828SV Govt","FIRST_CPN_DT")</f>
        <v>11/15/2012</v>
      </c>
      <c r="J164" t="str">
        <f>_xll.BDP("912828SV Govt","COUPON_FREQUENCY_DESCRIPTION")</f>
        <v>S/A</v>
      </c>
      <c r="K164" t="str">
        <f>_xll.BDP("912828SV Govt","CPN_TYP")</f>
        <v>FIXED</v>
      </c>
      <c r="L164" t="str">
        <f>_xll.BDP("912828SV Govt","ID_ISIN")</f>
        <v>US912828SV33</v>
      </c>
      <c r="M164">
        <v>68985000000</v>
      </c>
      <c r="N164">
        <v>68985000000</v>
      </c>
      <c r="O164" t="str">
        <f>_xll.BDP("912828SV Govt","ISSUE_DT")</f>
        <v>5/15/2012</v>
      </c>
      <c r="P164" t="str">
        <f>_xll.BDP("912828SV Govt","SECURITY_NAME")</f>
        <v>T 1 3/4 05/15/22</v>
      </c>
      <c r="Q164" t="str">
        <f>_xll.BDP("912828SV Govt","DAY_CNT_DES")</f>
        <v>ACT/ACT</v>
      </c>
      <c r="R164">
        <v>100</v>
      </c>
      <c r="S164" t="str">
        <f>_xll.BDP("912828SV Govt","ID_CUSIP")</f>
        <v>912828SV3</v>
      </c>
      <c r="T164" t="str">
        <f>_xll.BDP("912828SV Govt","IDX_RATIO")</f>
        <v>#N/A Field Not Applicable</v>
      </c>
    </row>
    <row r="165" spans="1:20" x14ac:dyDescent="0.25">
      <c r="A165" t="s">
        <v>14</v>
      </c>
      <c r="B165" t="str">
        <f>_xll.BDP("912828ZH Govt","TICKER")</f>
        <v>T</v>
      </c>
      <c r="C165">
        <f>_xll.BDP("912828ZH Govt","CPN")</f>
        <v>0.25</v>
      </c>
      <c r="D165">
        <f>_xll.BDP("912828ZH Govt","YLD_YTM_BID")</f>
        <v>0.20121775904114506</v>
      </c>
      <c r="E165" t="str">
        <f>_xll.BDP("912828ZH Govt","MATURITY")</f>
        <v>4/15/2023</v>
      </c>
      <c r="F165" t="str">
        <f>_xll.BDP("912828ZH Govt","MTY_TYP")</f>
        <v>NORMAL</v>
      </c>
      <c r="G165" t="str">
        <f>_xll.BDP("912828ZH Govt","CRNCY")</f>
        <v>USD</v>
      </c>
      <c r="H165" t="str">
        <f>_xll.BDP("912828ZH Govt","COUNTRY_FULL_NAME")</f>
        <v>UNITED STATES</v>
      </c>
      <c r="I165" t="str">
        <f>_xll.BDP("912828ZH Govt","FIRST_CPN_DT")</f>
        <v>10/15/2020</v>
      </c>
      <c r="J165" t="str">
        <f>_xll.BDP("912828ZH Govt","COUPON_FREQUENCY_DESCRIPTION")</f>
        <v>S/A</v>
      </c>
      <c r="K165" t="str">
        <f>_xll.BDP("912828ZH Govt","CPN_TYP")</f>
        <v>FIXED</v>
      </c>
      <c r="L165" t="str">
        <f>_xll.BDP("912828ZH Govt","ID_ISIN")</f>
        <v>US912828ZH65</v>
      </c>
      <c r="M165">
        <v>40131000000</v>
      </c>
      <c r="N165">
        <v>40131000000</v>
      </c>
      <c r="O165" t="str">
        <f>_xll.BDP("912828ZH Govt","ISSUE_DT")</f>
        <v>4/15/2020</v>
      </c>
      <c r="P165" t="str">
        <f>_xll.BDP("912828ZH Govt","SECURITY_NAME")</f>
        <v>T 0 1/4 04/15/23</v>
      </c>
      <c r="Q165" t="str">
        <f>_xll.BDP("912828ZH Govt","DAY_CNT_DES")</f>
        <v>ACT/ACT</v>
      </c>
      <c r="R165">
        <v>100</v>
      </c>
      <c r="S165" t="str">
        <f>_xll.BDP("912828ZH Govt","ID_CUSIP")</f>
        <v>912828ZH6</v>
      </c>
      <c r="T165" t="str">
        <f>_xll.BDP("912828ZH Govt","IDX_RATIO")</f>
        <v>#N/A Field Not Applicable</v>
      </c>
    </row>
    <row r="166" spans="1:20" x14ac:dyDescent="0.25">
      <c r="A166" t="s">
        <v>14</v>
      </c>
      <c r="B166" t="str">
        <f>_xll.BDP("9128282W Govt","TICKER")</f>
        <v>T</v>
      </c>
      <c r="C166">
        <f>_xll.BDP("9128282W Govt","CPN")</f>
        <v>1.875</v>
      </c>
      <c r="D166">
        <f>_xll.BDP("9128282W Govt","YLD_YTM_BID")</f>
        <v>0.10226227852311034</v>
      </c>
      <c r="E166" t="str">
        <f>_xll.BDP("9128282W Govt","MATURITY")</f>
        <v>9/30/2022</v>
      </c>
      <c r="F166" t="str">
        <f>_xll.BDP("9128282W Govt","MTY_TYP")</f>
        <v>NORMAL</v>
      </c>
      <c r="G166" t="str">
        <f>_xll.BDP("9128282W Govt","CRNCY")</f>
        <v>USD</v>
      </c>
      <c r="H166" t="str">
        <f>_xll.BDP("9128282W Govt","COUNTRY_FULL_NAME")</f>
        <v>UNITED STATES</v>
      </c>
      <c r="I166" t="str">
        <f>_xll.BDP("9128282W Govt","FIRST_CPN_DT")</f>
        <v>3/31/2018</v>
      </c>
      <c r="J166" t="str">
        <f>_xll.BDP("9128282W Govt","COUPON_FREQUENCY_DESCRIPTION")</f>
        <v>S/A</v>
      </c>
      <c r="K166" t="str">
        <f>_xll.BDP("9128282W Govt","CPN_TYP")</f>
        <v>FIXED</v>
      </c>
      <c r="L166" t="str">
        <f>_xll.BDP("9128282W Govt","ID_ISIN")</f>
        <v>US9128282W90</v>
      </c>
      <c r="M166">
        <v>38229000000</v>
      </c>
      <c r="N166">
        <v>38229000000</v>
      </c>
      <c r="O166" t="str">
        <f>_xll.BDP("9128282W Govt","ISSUE_DT")</f>
        <v>10/2/2017</v>
      </c>
      <c r="P166" t="str">
        <f>_xll.BDP("9128282W Govt","SECURITY_NAME")</f>
        <v>T 1 7/8 09/30/22</v>
      </c>
      <c r="Q166" t="str">
        <f>_xll.BDP("9128282W Govt","DAY_CNT_DES")</f>
        <v>ACT/ACT</v>
      </c>
      <c r="R166">
        <v>100</v>
      </c>
      <c r="S166" t="str">
        <f>_xll.BDP("9128282W Govt","ID_CUSIP")</f>
        <v>9128282W9</v>
      </c>
      <c r="T166" t="str">
        <f>_xll.BDP("9128282W Govt","IDX_RATIO")</f>
        <v>#N/A Field Not Applicable</v>
      </c>
    </row>
    <row r="167" spans="1:20" x14ac:dyDescent="0.25">
      <c r="A167" t="s">
        <v>14</v>
      </c>
      <c r="B167" t="str">
        <f>_xll.BDP("91282CAH Govt","TICKER")</f>
        <v>T</v>
      </c>
      <c r="C167">
        <f>_xll.BDP("91282CAH Govt","CPN")</f>
        <v>0.5</v>
      </c>
      <c r="D167">
        <f>_xll.BDP("91282CAH Govt","YLD_YTM_BID")</f>
        <v>1.1551306712725513</v>
      </c>
      <c r="E167" t="str">
        <f>_xll.BDP("91282CAH Govt","MATURITY")</f>
        <v>8/31/2027</v>
      </c>
      <c r="F167" t="str">
        <f>_xll.BDP("91282CAH Govt","MTY_TYP")</f>
        <v>NORMAL</v>
      </c>
      <c r="G167" t="str">
        <f>_xll.BDP("91282CAH Govt","CRNCY")</f>
        <v>USD</v>
      </c>
      <c r="H167" t="str">
        <f>_xll.BDP("91282CAH Govt","COUNTRY_FULL_NAME")</f>
        <v>UNITED STATES</v>
      </c>
      <c r="I167" t="str">
        <f>_xll.BDP("91282CAH Govt","FIRST_CPN_DT")</f>
        <v>2/28/2021</v>
      </c>
      <c r="J167" t="str">
        <f>_xll.BDP("91282CAH Govt","COUPON_FREQUENCY_DESCRIPTION")</f>
        <v>S/A</v>
      </c>
      <c r="K167" t="str">
        <f>_xll.BDP("91282CAH Govt","CPN_TYP")</f>
        <v>FIXED</v>
      </c>
      <c r="L167" t="str">
        <f>_xll.BDP("91282CAH Govt","ID_ISIN")</f>
        <v>US91282CAH43</v>
      </c>
      <c r="M167">
        <v>51083000000</v>
      </c>
      <c r="N167">
        <v>51083000000</v>
      </c>
      <c r="O167" t="str">
        <f>_xll.BDP("91282CAH Govt","ISSUE_DT")</f>
        <v>8/31/2020</v>
      </c>
      <c r="P167" t="str">
        <f>_xll.BDP("91282CAH Govt","SECURITY_NAME")</f>
        <v>T 0 1/2 08/31/27</v>
      </c>
      <c r="Q167" t="str">
        <f>_xll.BDP("91282CAH Govt","DAY_CNT_DES")</f>
        <v>ACT/ACT</v>
      </c>
      <c r="R167">
        <v>100</v>
      </c>
      <c r="S167" t="str">
        <f>_xll.BDP("91282CAH Govt","ID_CUSIP")</f>
        <v>91282CAH4</v>
      </c>
      <c r="T167" t="str">
        <f>_xll.BDP("91282CAH Govt","IDX_RATIO")</f>
        <v>#N/A Field Not Applicable</v>
      </c>
    </row>
    <row r="168" spans="1:20" x14ac:dyDescent="0.25">
      <c r="A168" t="s">
        <v>14</v>
      </c>
      <c r="B168" t="str">
        <f>_xll.BDP("912828VB Govt","TICKER")</f>
        <v>T</v>
      </c>
      <c r="C168">
        <f>_xll.BDP("912828VB Govt","CPN")</f>
        <v>1.75</v>
      </c>
      <c r="D168">
        <f>_xll.BDP("912828VB Govt","YLD_YTM_BID")</f>
        <v>0.21189267951596247</v>
      </c>
      <c r="E168" t="str">
        <f>_xll.BDP("912828VB Govt","MATURITY")</f>
        <v>5/15/2023</v>
      </c>
      <c r="F168" t="str">
        <f>_xll.BDP("912828VB Govt","MTY_TYP")</f>
        <v>NORMAL</v>
      </c>
      <c r="G168" t="str">
        <f>_xll.BDP("912828VB Govt","CRNCY")</f>
        <v>USD</v>
      </c>
      <c r="H168" t="str">
        <f>_xll.BDP("912828VB Govt","COUNTRY_FULL_NAME")</f>
        <v>UNITED STATES</v>
      </c>
      <c r="I168" t="str">
        <f>_xll.BDP("912828VB Govt","FIRST_CPN_DT")</f>
        <v>11/15/2013</v>
      </c>
      <c r="J168" t="str">
        <f>_xll.BDP("912828VB Govt","COUPON_FREQUENCY_DESCRIPTION")</f>
        <v>S/A</v>
      </c>
      <c r="K168" t="str">
        <f>_xll.BDP("912828VB Govt","CPN_TYP")</f>
        <v>FIXED</v>
      </c>
      <c r="L168" t="str">
        <f>_xll.BDP("912828VB Govt","ID_ISIN")</f>
        <v>US912828VB32</v>
      </c>
      <c r="M168">
        <v>66001000000</v>
      </c>
      <c r="N168">
        <v>66001000000</v>
      </c>
      <c r="O168" t="str">
        <f>_xll.BDP("912828VB Govt","ISSUE_DT")</f>
        <v>5/15/2013</v>
      </c>
      <c r="P168" t="str">
        <f>_xll.BDP("912828VB Govt","SECURITY_NAME")</f>
        <v>T 1 3/4 05/15/23</v>
      </c>
      <c r="Q168" t="str">
        <f>_xll.BDP("912828VB Govt","DAY_CNT_DES")</f>
        <v>ACT/ACT</v>
      </c>
      <c r="R168">
        <v>100</v>
      </c>
      <c r="S168" t="str">
        <f>_xll.BDP("912828VB Govt","ID_CUSIP")</f>
        <v>912828VB3</v>
      </c>
      <c r="T168" t="str">
        <f>_xll.BDP("912828VB Govt","IDX_RATIO")</f>
        <v>#N/A Field Not Applicable</v>
      </c>
    </row>
    <row r="169" spans="1:20" x14ac:dyDescent="0.25">
      <c r="A169" t="s">
        <v>14</v>
      </c>
      <c r="B169" t="str">
        <f>_xll.BDP("912828Z7 Govt","TICKER")</f>
        <v>T</v>
      </c>
      <c r="C169">
        <f>_xll.BDP("912828Z7 Govt","CPN")</f>
        <v>1.5</v>
      </c>
      <c r="D169">
        <f>_xll.BDP("912828Z7 Govt","YLD_YTM_BID")</f>
        <v>1.0337161375069521</v>
      </c>
      <c r="E169" t="str">
        <f>_xll.BDP("912828Z7 Govt","MATURITY")</f>
        <v>1/31/2027</v>
      </c>
      <c r="F169" t="str">
        <f>_xll.BDP("912828Z7 Govt","MTY_TYP")</f>
        <v>NORMAL</v>
      </c>
      <c r="G169" t="str">
        <f>_xll.BDP("912828Z7 Govt","CRNCY")</f>
        <v>USD</v>
      </c>
      <c r="H169" t="str">
        <f>_xll.BDP("912828Z7 Govt","COUNTRY_FULL_NAME")</f>
        <v>UNITED STATES</v>
      </c>
      <c r="I169" t="str">
        <f>_xll.BDP("912828Z7 Govt","FIRST_CPN_DT")</f>
        <v>7/31/2020</v>
      </c>
      <c r="J169" t="str">
        <f>_xll.BDP("912828Z7 Govt","COUPON_FREQUENCY_DESCRIPTION")</f>
        <v>S/A</v>
      </c>
      <c r="K169" t="str">
        <f>_xll.BDP("912828Z7 Govt","CPN_TYP")</f>
        <v>FIXED</v>
      </c>
      <c r="L169" t="str">
        <f>_xll.BDP("912828Z7 Govt","ID_ISIN")</f>
        <v>US912828Z781</v>
      </c>
      <c r="M169">
        <v>35304000000</v>
      </c>
      <c r="N169">
        <v>35304000000</v>
      </c>
      <c r="O169" t="str">
        <f>_xll.BDP("912828Z7 Govt","ISSUE_DT")</f>
        <v>1/31/2020</v>
      </c>
      <c r="P169" t="str">
        <f>_xll.BDP("912828Z7 Govt","SECURITY_NAME")</f>
        <v>T 1 1/2 01/31/27</v>
      </c>
      <c r="Q169" t="str">
        <f>_xll.BDP("912828Z7 Govt","DAY_CNT_DES")</f>
        <v>ACT/ACT</v>
      </c>
      <c r="R169">
        <v>100</v>
      </c>
      <c r="S169" t="str">
        <f>_xll.BDP("912828Z7 Govt","ID_CUSIP")</f>
        <v>912828Z78</v>
      </c>
      <c r="T169" t="str">
        <f>_xll.BDP("912828Z7 Govt","IDX_RATIO")</f>
        <v>#N/A Field Not Applicable</v>
      </c>
    </row>
    <row r="170" spans="1:20" x14ac:dyDescent="0.25">
      <c r="A170" t="s">
        <v>14</v>
      </c>
      <c r="B170" t="str">
        <f>_xll.BDP("912828YZ Govt","TICKER")</f>
        <v>T</v>
      </c>
      <c r="C170">
        <f>_xll.BDP("912828YZ Govt","CPN")</f>
        <v>1.625</v>
      </c>
      <c r="D170">
        <f>_xll.BDP("912828YZ Govt","YLD_YTM_BID")</f>
        <v>6.993746576454607E-2</v>
      </c>
      <c r="E170" t="str">
        <f>_xll.BDP("912828YZ Govt","MATURITY")</f>
        <v>12/31/2021</v>
      </c>
      <c r="F170" t="str">
        <f>_xll.BDP("912828YZ Govt","MTY_TYP")</f>
        <v>NORMAL</v>
      </c>
      <c r="G170" t="str">
        <f>_xll.BDP("912828YZ Govt","CRNCY")</f>
        <v>USD</v>
      </c>
      <c r="H170" t="str">
        <f>_xll.BDP("912828YZ Govt","COUNTRY_FULL_NAME")</f>
        <v>UNITED STATES</v>
      </c>
      <c r="I170" t="str">
        <f>_xll.BDP("912828YZ Govt","FIRST_CPN_DT")</f>
        <v>6/30/2020</v>
      </c>
      <c r="J170" t="str">
        <f>_xll.BDP("912828YZ Govt","COUPON_FREQUENCY_DESCRIPTION")</f>
        <v>S/A</v>
      </c>
      <c r="K170" t="str">
        <f>_xll.BDP("912828YZ Govt","CPN_TYP")</f>
        <v>FIXED</v>
      </c>
      <c r="L170" t="str">
        <f>_xll.BDP("912828YZ Govt","ID_ISIN")</f>
        <v>US912828YZ72</v>
      </c>
      <c r="M170">
        <v>43764000000</v>
      </c>
      <c r="N170">
        <v>43764000000</v>
      </c>
      <c r="O170" t="str">
        <f>_xll.BDP("912828YZ Govt","ISSUE_DT")</f>
        <v>12/31/2019</v>
      </c>
      <c r="P170" t="str">
        <f>_xll.BDP("912828YZ Govt","SECURITY_NAME")</f>
        <v>T 1 5/8 12/31/21</v>
      </c>
      <c r="Q170" t="str">
        <f>_xll.BDP("912828YZ Govt","DAY_CNT_DES")</f>
        <v>ACT/ACT</v>
      </c>
      <c r="R170">
        <v>100</v>
      </c>
      <c r="S170" t="str">
        <f>_xll.BDP("912828YZ Govt","ID_CUSIP")</f>
        <v>912828YZ7</v>
      </c>
      <c r="T170" t="str">
        <f>_xll.BDP("912828YZ Govt","IDX_RATIO")</f>
        <v>#N/A Field Not Applicable</v>
      </c>
    </row>
    <row r="171" spans="1:20" x14ac:dyDescent="0.25">
      <c r="A171" t="s">
        <v>14</v>
      </c>
      <c r="B171" t="str">
        <f>_xll.BDP("912828ZS Govt","TICKER")</f>
        <v>T</v>
      </c>
      <c r="C171">
        <f>_xll.BDP("912828ZS Govt","CPN")</f>
        <v>0.5</v>
      </c>
      <c r="D171">
        <f>_xll.BDP("912828ZS Govt","YLD_YTM_BID")</f>
        <v>1.1136488982653223</v>
      </c>
      <c r="E171" t="str">
        <f>_xll.BDP("912828ZS Govt","MATURITY")</f>
        <v>5/31/2027</v>
      </c>
      <c r="F171" t="str">
        <f>_xll.BDP("912828ZS Govt","MTY_TYP")</f>
        <v>NORMAL</v>
      </c>
      <c r="G171" t="str">
        <f>_xll.BDP("912828ZS Govt","CRNCY")</f>
        <v>USD</v>
      </c>
      <c r="H171" t="str">
        <f>_xll.BDP("912828ZS Govt","COUNTRY_FULL_NAME")</f>
        <v>UNITED STATES</v>
      </c>
      <c r="I171" t="str">
        <f>_xll.BDP("912828ZS Govt","FIRST_CPN_DT")</f>
        <v>11/30/2020</v>
      </c>
      <c r="J171" t="str">
        <f>_xll.BDP("912828ZS Govt","COUPON_FREQUENCY_DESCRIPTION")</f>
        <v>S/A</v>
      </c>
      <c r="K171" t="str">
        <f>_xll.BDP("912828ZS Govt","CPN_TYP")</f>
        <v>FIXED</v>
      </c>
      <c r="L171" t="str">
        <f>_xll.BDP("912828ZS Govt","ID_ISIN")</f>
        <v>US912828ZS21</v>
      </c>
      <c r="M171">
        <v>41989000000</v>
      </c>
      <c r="N171">
        <v>41989000000</v>
      </c>
      <c r="O171" t="str">
        <f>_xll.BDP("912828ZS Govt","ISSUE_DT")</f>
        <v>6/1/2020</v>
      </c>
      <c r="P171" t="str">
        <f>_xll.BDP("912828ZS Govt","SECURITY_NAME")</f>
        <v>T 0 1/2 05/31/27</v>
      </c>
      <c r="Q171" t="str">
        <f>_xll.BDP("912828ZS Govt","DAY_CNT_DES")</f>
        <v>ACT/ACT</v>
      </c>
      <c r="R171">
        <v>100</v>
      </c>
      <c r="S171" t="str">
        <f>_xll.BDP("912828ZS Govt","ID_CUSIP")</f>
        <v>912828ZS2</v>
      </c>
      <c r="T171" t="str">
        <f>_xll.BDP("912828ZS Govt","IDX_RATIO")</f>
        <v>#N/A Field Not Applicable</v>
      </c>
    </row>
    <row r="172" spans="1:20" x14ac:dyDescent="0.25">
      <c r="A172" t="s">
        <v>14</v>
      </c>
      <c r="B172" t="str">
        <f>_xll.BDP("912810RQ Govt","TICKER")</f>
        <v>T</v>
      </c>
      <c r="C172">
        <f>_xll.BDP("912810RQ Govt","CPN")</f>
        <v>2.5</v>
      </c>
      <c r="D172">
        <f>_xll.BDP("912810RQ Govt","YLD_YTM_BID")</f>
        <v>2.0898564139259639</v>
      </c>
      <c r="E172" t="str">
        <f>_xll.BDP("912810RQ Govt","MATURITY")</f>
        <v>2/15/2046</v>
      </c>
      <c r="F172" t="str">
        <f>_xll.BDP("912810RQ Govt","MTY_TYP")</f>
        <v>NORMAL</v>
      </c>
      <c r="G172" t="str">
        <f>_xll.BDP("912810RQ Govt","CRNCY")</f>
        <v>USD</v>
      </c>
      <c r="H172" t="str">
        <f>_xll.BDP("912810RQ Govt","COUNTRY_FULL_NAME")</f>
        <v>UNITED STATES</v>
      </c>
      <c r="I172" t="str">
        <f>_xll.BDP("912810RQ Govt","FIRST_CPN_DT")</f>
        <v>8/15/2016</v>
      </c>
      <c r="J172" t="str">
        <f>_xll.BDP("912810RQ Govt","COUPON_FREQUENCY_DESCRIPTION")</f>
        <v>S/A</v>
      </c>
      <c r="K172" t="str">
        <f>_xll.BDP("912810RQ Govt","CPN_TYP")</f>
        <v>FIXED</v>
      </c>
      <c r="L172" t="str">
        <f>_xll.BDP("912810RQ Govt","ID_ISIN")</f>
        <v>US912810RQ31</v>
      </c>
      <c r="M172">
        <v>40252000000</v>
      </c>
      <c r="N172">
        <v>40252000000</v>
      </c>
      <c r="O172" t="str">
        <f>_xll.BDP("912810RQ Govt","ISSUE_DT")</f>
        <v>2/16/2016</v>
      </c>
      <c r="P172" t="str">
        <f>_xll.BDP("912810RQ Govt","SECURITY_NAME")</f>
        <v>T 2 1/2 02/15/46</v>
      </c>
      <c r="Q172" t="str">
        <f>_xll.BDP("912810RQ Govt","DAY_CNT_DES")</f>
        <v>ACT/ACT</v>
      </c>
      <c r="R172">
        <v>100</v>
      </c>
      <c r="S172" t="str">
        <f>_xll.BDP("912810RQ Govt","ID_CUSIP")</f>
        <v>912810RQ3</v>
      </c>
      <c r="T172" t="str">
        <f>_xll.BDP("912810RQ Govt","IDX_RATIO")</f>
        <v>#N/A Field Not Applicable</v>
      </c>
    </row>
    <row r="173" spans="1:20" x14ac:dyDescent="0.25">
      <c r="A173" t="s">
        <v>14</v>
      </c>
      <c r="B173" t="str">
        <f>_xll.BDP("912828L2 Govt","TICKER")</f>
        <v>T</v>
      </c>
      <c r="C173">
        <f>_xll.BDP("912828L2 Govt","CPN")</f>
        <v>1.875</v>
      </c>
      <c r="D173">
        <f>_xll.BDP("912828L2 Govt","YLD_YTM_BID")</f>
        <v>9.9636207618483991E-2</v>
      </c>
      <c r="E173" t="str">
        <f>_xll.BDP("912828L2 Govt","MATURITY")</f>
        <v>8/31/2022</v>
      </c>
      <c r="F173" t="str">
        <f>_xll.BDP("912828L2 Govt","MTY_TYP")</f>
        <v>NORMAL</v>
      </c>
      <c r="G173" t="str">
        <f>_xll.BDP("912828L2 Govt","CRNCY")</f>
        <v>USD</v>
      </c>
      <c r="H173" t="str">
        <f>_xll.BDP("912828L2 Govt","COUNTRY_FULL_NAME")</f>
        <v>UNITED STATES</v>
      </c>
      <c r="I173" t="str">
        <f>_xll.BDP("912828L2 Govt","FIRST_CPN_DT")</f>
        <v>2/29/2016</v>
      </c>
      <c r="J173" t="str">
        <f>_xll.BDP("912828L2 Govt","COUPON_FREQUENCY_DESCRIPTION")</f>
        <v>S/A</v>
      </c>
      <c r="K173" t="str">
        <f>_xll.BDP("912828L2 Govt","CPN_TYP")</f>
        <v>FIXED</v>
      </c>
      <c r="L173" t="str">
        <f>_xll.BDP("912828L2 Govt","ID_ISIN")</f>
        <v>US912828L245</v>
      </c>
      <c r="M173">
        <v>29000000000</v>
      </c>
      <c r="N173">
        <v>29000000000</v>
      </c>
      <c r="O173" t="str">
        <f>_xll.BDP("912828L2 Govt","ISSUE_DT")</f>
        <v>8/31/2015</v>
      </c>
      <c r="P173" t="str">
        <f>_xll.BDP("912828L2 Govt","SECURITY_NAME")</f>
        <v>T 1 7/8 08/31/22</v>
      </c>
      <c r="Q173" t="str">
        <f>_xll.BDP("912828L2 Govt","DAY_CNT_DES")</f>
        <v>ACT/ACT</v>
      </c>
      <c r="R173">
        <v>100</v>
      </c>
      <c r="S173" t="str">
        <f>_xll.BDP("912828L2 Govt","ID_CUSIP")</f>
        <v>912828L24</v>
      </c>
      <c r="T173" t="str">
        <f>_xll.BDP("912828L2 Govt","IDX_RATIO")</f>
        <v>#N/A Field Not Applicable</v>
      </c>
    </row>
    <row r="174" spans="1:20" x14ac:dyDescent="0.25">
      <c r="A174" t="s">
        <v>14</v>
      </c>
      <c r="B174" t="str">
        <f>_xll.BDP("912828YU Govt","TICKER")</f>
        <v>T</v>
      </c>
      <c r="C174">
        <f>_xll.BDP("912828YU Govt","CPN")</f>
        <v>1.625</v>
      </c>
      <c r="D174">
        <f>_xll.BDP("912828YU Govt","YLD_YTM_BID")</f>
        <v>1.0054620034042019</v>
      </c>
      <c r="E174" t="str">
        <f>_xll.BDP("912828YU Govt","MATURITY")</f>
        <v>11/30/2026</v>
      </c>
      <c r="F174" t="str">
        <f>_xll.BDP("912828YU Govt","MTY_TYP")</f>
        <v>NORMAL</v>
      </c>
      <c r="G174" t="str">
        <f>_xll.BDP("912828YU Govt","CRNCY")</f>
        <v>USD</v>
      </c>
      <c r="H174" t="str">
        <f>_xll.BDP("912828YU Govt","COUNTRY_FULL_NAME")</f>
        <v>UNITED STATES</v>
      </c>
      <c r="I174" t="str">
        <f>_xll.BDP("912828YU Govt","FIRST_CPN_DT")</f>
        <v>5/31/2020</v>
      </c>
      <c r="J174" t="str">
        <f>_xll.BDP("912828YU Govt","COUPON_FREQUENCY_DESCRIPTION")</f>
        <v>S/A</v>
      </c>
      <c r="K174" t="str">
        <f>_xll.BDP("912828YU Govt","CPN_TYP")</f>
        <v>FIXED</v>
      </c>
      <c r="L174" t="str">
        <f>_xll.BDP("912828YU Govt","ID_ISIN")</f>
        <v>US912828YU85</v>
      </c>
      <c r="M174">
        <v>34540000000</v>
      </c>
      <c r="N174">
        <v>34540000000</v>
      </c>
      <c r="O174" t="str">
        <f>_xll.BDP("912828YU Govt","ISSUE_DT")</f>
        <v>12/2/2019</v>
      </c>
      <c r="P174" t="str">
        <f>_xll.BDP("912828YU Govt","SECURITY_NAME")</f>
        <v>T 1 5/8 11/30/26</v>
      </c>
      <c r="Q174" t="str">
        <f>_xll.BDP("912828YU Govt","DAY_CNT_DES")</f>
        <v>ACT/ACT</v>
      </c>
      <c r="R174">
        <v>100</v>
      </c>
      <c r="S174" t="str">
        <f>_xll.BDP("912828YU Govt","ID_CUSIP")</f>
        <v>912828YU8</v>
      </c>
      <c r="T174" t="str">
        <f>_xll.BDP("912828YU Govt","IDX_RATIO")</f>
        <v>#N/A Field Not Applicable</v>
      </c>
    </row>
    <row r="175" spans="1:20" x14ac:dyDescent="0.25">
      <c r="A175" t="s">
        <v>14</v>
      </c>
      <c r="B175" t="str">
        <f>_xll.BDP("912828ZM Govt","TICKER")</f>
        <v>T</v>
      </c>
      <c r="C175">
        <f>_xll.BDP("912828ZM Govt","CPN")</f>
        <v>0.125</v>
      </c>
      <c r="D175">
        <f>_xll.BDP("912828ZM Govt","YLD_YTM_BID")</f>
        <v>6.9953263496460943E-2</v>
      </c>
      <c r="E175" t="str">
        <f>_xll.BDP("912828ZM Govt","MATURITY")</f>
        <v>4/30/2022</v>
      </c>
      <c r="F175" t="str">
        <f>_xll.BDP("912828ZM Govt","MTY_TYP")</f>
        <v>NORMAL</v>
      </c>
      <c r="G175" t="str">
        <f>_xll.BDP("912828ZM Govt","CRNCY")</f>
        <v>USD</v>
      </c>
      <c r="H175" t="str">
        <f>_xll.BDP("912828ZM Govt","COUNTRY_FULL_NAME")</f>
        <v>UNITED STATES</v>
      </c>
      <c r="I175" t="str">
        <f>_xll.BDP("912828ZM Govt","FIRST_CPN_DT")</f>
        <v>10/31/2020</v>
      </c>
      <c r="J175" t="str">
        <f>_xll.BDP("912828ZM Govt","COUPON_FREQUENCY_DESCRIPTION")</f>
        <v>S/A</v>
      </c>
      <c r="K175" t="str">
        <f>_xll.BDP("912828ZM Govt","CPN_TYP")</f>
        <v>FIXED</v>
      </c>
      <c r="L175" t="str">
        <f>_xll.BDP("912828ZM Govt","ID_ISIN")</f>
        <v>US912828ZM50</v>
      </c>
      <c r="M175">
        <v>45647000000</v>
      </c>
      <c r="N175">
        <v>45647000000</v>
      </c>
      <c r="O175" t="str">
        <f>_xll.BDP("912828ZM Govt","ISSUE_DT")</f>
        <v>4/30/2020</v>
      </c>
      <c r="P175" t="str">
        <f>_xll.BDP("912828ZM Govt","SECURITY_NAME")</f>
        <v>T 0 1/8 04/30/22</v>
      </c>
      <c r="Q175" t="str">
        <f>_xll.BDP("912828ZM Govt","DAY_CNT_DES")</f>
        <v>ACT/ACT</v>
      </c>
      <c r="R175">
        <v>100</v>
      </c>
      <c r="S175" t="str">
        <f>_xll.BDP("912828ZM Govt","ID_CUSIP")</f>
        <v>912828ZM5</v>
      </c>
      <c r="T175" t="str">
        <f>_xll.BDP("912828ZM Govt","IDX_RATIO")</f>
        <v>#N/A Field Not Applicable</v>
      </c>
    </row>
    <row r="176" spans="1:20" x14ac:dyDescent="0.25">
      <c r="A176" t="s">
        <v>14</v>
      </c>
      <c r="B176" t="str">
        <f>_xll.BDP("912810RM Govt","TICKER")</f>
        <v>T</v>
      </c>
      <c r="C176">
        <f>_xll.BDP("912810RM Govt","CPN")</f>
        <v>3</v>
      </c>
      <c r="D176">
        <f>_xll.BDP("912810RM Govt","YLD_YTM_BID")</f>
        <v>2.0700213998841526</v>
      </c>
      <c r="E176" t="str">
        <f>_xll.BDP("912810RM Govt","MATURITY")</f>
        <v>5/15/2045</v>
      </c>
      <c r="F176" t="str">
        <f>_xll.BDP("912810RM Govt","MTY_TYP")</f>
        <v>NORMAL</v>
      </c>
      <c r="G176" t="str">
        <f>_xll.BDP("912810RM Govt","CRNCY")</f>
        <v>USD</v>
      </c>
      <c r="H176" t="str">
        <f>_xll.BDP("912810RM Govt","COUNTRY_FULL_NAME")</f>
        <v>UNITED STATES</v>
      </c>
      <c r="I176" t="str">
        <f>_xll.BDP("912810RM Govt","FIRST_CPN_DT")</f>
        <v>11/15/2015</v>
      </c>
      <c r="J176" t="str">
        <f>_xll.BDP("912810RM Govt","COUPON_FREQUENCY_DESCRIPTION")</f>
        <v>S/A</v>
      </c>
      <c r="K176" t="str">
        <f>_xll.BDP("912810RM Govt","CPN_TYP")</f>
        <v>FIXED</v>
      </c>
      <c r="L176" t="str">
        <f>_xll.BDP("912810RM Govt","ID_ISIN")</f>
        <v>US912810RM27</v>
      </c>
      <c r="M176">
        <v>42362000000</v>
      </c>
      <c r="N176">
        <v>42362000000</v>
      </c>
      <c r="O176" t="str">
        <f>_xll.BDP("912810RM Govt","ISSUE_DT")</f>
        <v>5/15/2015</v>
      </c>
      <c r="P176" t="str">
        <f>_xll.BDP("912810RM Govt","SECURITY_NAME")</f>
        <v>T 3 05/15/45</v>
      </c>
      <c r="Q176" t="str">
        <f>_xll.BDP("912810RM Govt","DAY_CNT_DES")</f>
        <v>ACT/ACT</v>
      </c>
      <c r="R176">
        <v>100</v>
      </c>
      <c r="S176" t="str">
        <f>_xll.BDP("912810RM Govt","ID_CUSIP")</f>
        <v>912810RM2</v>
      </c>
      <c r="T176" t="str">
        <f>_xll.BDP("912810RM Govt","IDX_RATIO")</f>
        <v>#N/A Field Not Applicable</v>
      </c>
    </row>
    <row r="177" spans="1:20" x14ac:dyDescent="0.25">
      <c r="A177" t="s">
        <v>14</v>
      </c>
      <c r="B177" t="str">
        <f>_xll.BDP("912810SF Govt","TICKER")</f>
        <v>T</v>
      </c>
      <c r="C177">
        <f>_xll.BDP("912810SF Govt","CPN")</f>
        <v>3</v>
      </c>
      <c r="D177">
        <f>_xll.BDP("912810SF Govt","YLD_YTM_BID")</f>
        <v>2.0776926287503978</v>
      </c>
      <c r="E177" t="str">
        <f>_xll.BDP("912810SF Govt","MATURITY")</f>
        <v>2/15/2049</v>
      </c>
      <c r="F177" t="str">
        <f>_xll.BDP("912810SF Govt","MTY_TYP")</f>
        <v>NORMAL</v>
      </c>
      <c r="G177" t="str">
        <f>_xll.BDP("912810SF Govt","CRNCY")</f>
        <v>USD</v>
      </c>
      <c r="H177" t="str">
        <f>_xll.BDP("912810SF Govt","COUNTRY_FULL_NAME")</f>
        <v>UNITED STATES</v>
      </c>
      <c r="I177" t="str">
        <f>_xll.BDP("912810SF Govt","FIRST_CPN_DT")</f>
        <v>8/15/2019</v>
      </c>
      <c r="J177" t="str">
        <f>_xll.BDP("912810SF Govt","COUPON_FREQUENCY_DESCRIPTION")</f>
        <v>S/A</v>
      </c>
      <c r="K177" t="str">
        <f>_xll.BDP("912810SF Govt","CPN_TYP")</f>
        <v>FIXED</v>
      </c>
      <c r="L177" t="str">
        <f>_xll.BDP("912810SF Govt","ID_ISIN")</f>
        <v>US912810SF66</v>
      </c>
      <c r="M177">
        <v>55577000000</v>
      </c>
      <c r="N177">
        <v>55577000000</v>
      </c>
      <c r="O177" t="str">
        <f>_xll.BDP("912810SF Govt","ISSUE_DT")</f>
        <v>2/15/2019</v>
      </c>
      <c r="P177" t="str">
        <f>_xll.BDP("912810SF Govt","SECURITY_NAME")</f>
        <v>T 3 02/15/49</v>
      </c>
      <c r="Q177" t="str">
        <f>_xll.BDP("912810SF Govt","DAY_CNT_DES")</f>
        <v>ACT/ACT</v>
      </c>
      <c r="R177">
        <v>100</v>
      </c>
      <c r="S177" t="str">
        <f>_xll.BDP("912810SF Govt","ID_CUSIP")</f>
        <v>912810SF6</v>
      </c>
      <c r="T177" t="str">
        <f>_xll.BDP("912810SF Govt","IDX_RATIO")</f>
        <v>#N/A Field Not Applicable</v>
      </c>
    </row>
    <row r="178" spans="1:20" x14ac:dyDescent="0.25">
      <c r="A178" t="s">
        <v>14</v>
      </c>
      <c r="B178" t="str">
        <f>_xll.BDP("912828YD Govt","TICKER")</f>
        <v>T</v>
      </c>
      <c r="C178">
        <f>_xll.BDP("912828YD Govt","CPN")</f>
        <v>1.375</v>
      </c>
      <c r="D178">
        <f>_xll.BDP("912828YD Govt","YLD_YTM_BID")</f>
        <v>0.96754241518504747</v>
      </c>
      <c r="E178" t="str">
        <f>_xll.BDP("912828YD Govt","MATURITY")</f>
        <v>8/31/2026</v>
      </c>
      <c r="F178" t="str">
        <f>_xll.BDP("912828YD Govt","MTY_TYP")</f>
        <v>NORMAL</v>
      </c>
      <c r="G178" t="str">
        <f>_xll.BDP("912828YD Govt","CRNCY")</f>
        <v>USD</v>
      </c>
      <c r="H178" t="str">
        <f>_xll.BDP("912828YD Govt","COUNTRY_FULL_NAME")</f>
        <v>UNITED STATES</v>
      </c>
      <c r="I178" t="str">
        <f>_xll.BDP("912828YD Govt","FIRST_CPN_DT")</f>
        <v>2/29/2020</v>
      </c>
      <c r="J178" t="str">
        <f>_xll.BDP("912828YD Govt","COUPON_FREQUENCY_DESCRIPTION")</f>
        <v>S/A</v>
      </c>
      <c r="K178" t="str">
        <f>_xll.BDP("912828YD Govt","CPN_TYP")</f>
        <v>FIXED</v>
      </c>
      <c r="L178" t="str">
        <f>_xll.BDP("912828YD Govt","ID_ISIN")</f>
        <v>US912828YD60</v>
      </c>
      <c r="M178">
        <v>36155000000</v>
      </c>
      <c r="N178">
        <v>36155000000</v>
      </c>
      <c r="O178" t="str">
        <f>_xll.BDP("912828YD Govt","ISSUE_DT")</f>
        <v>9/3/2019</v>
      </c>
      <c r="P178" t="str">
        <f>_xll.BDP("912828YD Govt","SECURITY_NAME")</f>
        <v>T 1 3/8 08/31/26</v>
      </c>
      <c r="Q178" t="str">
        <f>_xll.BDP("912828YD Govt","DAY_CNT_DES")</f>
        <v>ACT/ACT</v>
      </c>
      <c r="R178">
        <v>100</v>
      </c>
      <c r="S178" t="str">
        <f>_xll.BDP("912828YD Govt","ID_CUSIP")</f>
        <v>912828YD6</v>
      </c>
      <c r="T178" t="str">
        <f>_xll.BDP("912828YD Govt","IDX_RATIO")</f>
        <v>#N/A Field Not Applicable</v>
      </c>
    </row>
    <row r="179" spans="1:20" x14ac:dyDescent="0.25">
      <c r="A179" t="s">
        <v>14</v>
      </c>
      <c r="B179" t="str">
        <f>_xll.BDP("9128285V Govt","TICKER")</f>
        <v>T</v>
      </c>
      <c r="C179">
        <f>_xll.BDP("9128285V Govt","CPN")</f>
        <v>2.5</v>
      </c>
      <c r="D179">
        <f>_xll.BDP("9128285V Govt","YLD_YTM_BID")</f>
        <v>6.540716784221004E-2</v>
      </c>
      <c r="E179" t="str">
        <f>_xll.BDP("9128285V Govt","MATURITY")</f>
        <v>1/15/2022</v>
      </c>
      <c r="F179" t="str">
        <f>_xll.BDP("9128285V Govt","MTY_TYP")</f>
        <v>NORMAL</v>
      </c>
      <c r="G179" t="str">
        <f>_xll.BDP("9128285V Govt","CRNCY")</f>
        <v>USD</v>
      </c>
      <c r="H179" t="str">
        <f>_xll.BDP("9128285V Govt","COUNTRY_FULL_NAME")</f>
        <v>UNITED STATES</v>
      </c>
      <c r="I179" t="str">
        <f>_xll.BDP("9128285V Govt","FIRST_CPN_DT")</f>
        <v>7/15/2019</v>
      </c>
      <c r="J179" t="str">
        <f>_xll.BDP("9128285V Govt","COUPON_FREQUENCY_DESCRIPTION")</f>
        <v>S/A</v>
      </c>
      <c r="K179" t="str">
        <f>_xll.BDP("9128285V Govt","CPN_TYP")</f>
        <v>FIXED</v>
      </c>
      <c r="L179" t="str">
        <f>_xll.BDP("9128285V Govt","ID_ISIN")</f>
        <v>US9128285V80</v>
      </c>
      <c r="M179">
        <v>38000000000</v>
      </c>
      <c r="N179">
        <v>38000000000</v>
      </c>
      <c r="O179" t="str">
        <f>_xll.BDP("9128285V Govt","ISSUE_DT")</f>
        <v>1/15/2019</v>
      </c>
      <c r="P179" t="str">
        <f>_xll.BDP("9128285V Govt","SECURITY_NAME")</f>
        <v>T 2 1/2 01/15/22</v>
      </c>
      <c r="Q179" t="str">
        <f>_xll.BDP("9128285V Govt","DAY_CNT_DES")</f>
        <v>ACT/ACT</v>
      </c>
      <c r="R179">
        <v>100</v>
      </c>
      <c r="S179" t="str">
        <f>_xll.BDP("9128285V Govt","ID_CUSIP")</f>
        <v>9128285V8</v>
      </c>
      <c r="T179" t="str">
        <f>_xll.BDP("9128285V Govt","IDX_RATIO")</f>
        <v>#N/A Field Not Applicable</v>
      </c>
    </row>
    <row r="180" spans="1:20" x14ac:dyDescent="0.25">
      <c r="A180" t="s">
        <v>14</v>
      </c>
      <c r="B180" t="str">
        <f>_xll.BDP("912810RJ Govt","TICKER")</f>
        <v>T</v>
      </c>
      <c r="C180">
        <f>_xll.BDP("912810RJ Govt","CPN")</f>
        <v>3</v>
      </c>
      <c r="D180">
        <f>_xll.BDP("912810RJ Govt","YLD_YTM_BID")</f>
        <v>2.0690116476163714</v>
      </c>
      <c r="E180" t="str">
        <f>_xll.BDP("912810RJ Govt","MATURITY")</f>
        <v>11/15/2044</v>
      </c>
      <c r="F180" t="str">
        <f>_xll.BDP("912810RJ Govt","MTY_TYP")</f>
        <v>NORMAL</v>
      </c>
      <c r="G180" t="str">
        <f>_xll.BDP("912810RJ Govt","CRNCY")</f>
        <v>USD</v>
      </c>
      <c r="H180" t="str">
        <f>_xll.BDP("912810RJ Govt","COUNTRY_FULL_NAME")</f>
        <v>UNITED STATES</v>
      </c>
      <c r="I180" t="str">
        <f>_xll.BDP("912810RJ Govt","FIRST_CPN_DT")</f>
        <v>5/15/2015</v>
      </c>
      <c r="J180" t="str">
        <f>_xll.BDP("912810RJ Govt","COUPON_FREQUENCY_DESCRIPTION")</f>
        <v>S/A</v>
      </c>
      <c r="K180" t="str">
        <f>_xll.BDP("912810RJ Govt","CPN_TYP")</f>
        <v>FIXED</v>
      </c>
      <c r="L180" t="str">
        <f>_xll.BDP("912810RJ Govt","ID_ISIN")</f>
        <v>US912810RJ97</v>
      </c>
      <c r="M180">
        <v>42021000000</v>
      </c>
      <c r="N180">
        <v>42021000000</v>
      </c>
      <c r="O180" t="str">
        <f>_xll.BDP("912810RJ Govt","ISSUE_DT")</f>
        <v>11/17/2014</v>
      </c>
      <c r="P180" t="str">
        <f>_xll.BDP("912810RJ Govt","SECURITY_NAME")</f>
        <v>T 3 11/15/44</v>
      </c>
      <c r="Q180" t="str">
        <f>_xll.BDP("912810RJ Govt","DAY_CNT_DES")</f>
        <v>ACT/ACT</v>
      </c>
      <c r="R180">
        <v>100</v>
      </c>
      <c r="S180" t="str">
        <f>_xll.BDP("912810RJ Govt","ID_CUSIP")</f>
        <v>912810RJ9</v>
      </c>
      <c r="T180" t="str">
        <f>_xll.BDP("912810RJ Govt","IDX_RATIO")</f>
        <v>#N/A Field Not Applicable</v>
      </c>
    </row>
    <row r="181" spans="1:20" x14ac:dyDescent="0.25">
      <c r="A181" t="s">
        <v>14</v>
      </c>
      <c r="B181" t="str">
        <f>_xll.BDP("912810SD Govt","TICKER")</f>
        <v>T</v>
      </c>
      <c r="C181">
        <f>_xll.BDP("912810SD Govt","CPN")</f>
        <v>3</v>
      </c>
      <c r="D181">
        <f>_xll.BDP("912810SD Govt","YLD_YTM_BID")</f>
        <v>2.083330657951231</v>
      </c>
      <c r="E181" t="str">
        <f>_xll.BDP("912810SD Govt","MATURITY")</f>
        <v>8/15/2048</v>
      </c>
      <c r="F181" t="str">
        <f>_xll.BDP("912810SD Govt","MTY_TYP")</f>
        <v>NORMAL</v>
      </c>
      <c r="G181" t="str">
        <f>_xll.BDP("912810SD Govt","CRNCY")</f>
        <v>USD</v>
      </c>
      <c r="H181" t="str">
        <f>_xll.BDP("912810SD Govt","COUNTRY_FULL_NAME")</f>
        <v>UNITED STATES</v>
      </c>
      <c r="I181" t="str">
        <f>_xll.BDP("912810SD Govt","FIRST_CPN_DT")</f>
        <v>2/15/2019</v>
      </c>
      <c r="J181" t="str">
        <f>_xll.BDP("912810SD Govt","COUPON_FREQUENCY_DESCRIPTION")</f>
        <v>S/A</v>
      </c>
      <c r="K181" t="str">
        <f>_xll.BDP("912810SD Govt","CPN_TYP")</f>
        <v>FIXED</v>
      </c>
      <c r="L181" t="str">
        <f>_xll.BDP("912810SD Govt","ID_ISIN")</f>
        <v>US912810SD19</v>
      </c>
      <c r="M181">
        <v>50415000000</v>
      </c>
      <c r="N181">
        <v>50415000000</v>
      </c>
      <c r="O181" t="str">
        <f>_xll.BDP("912810SD Govt","ISSUE_DT")</f>
        <v>8/15/2018</v>
      </c>
      <c r="P181" t="str">
        <f>_xll.BDP("912810SD Govt","SECURITY_NAME")</f>
        <v>T 3 08/15/48</v>
      </c>
      <c r="Q181" t="str">
        <f>_xll.BDP("912810SD Govt","DAY_CNT_DES")</f>
        <v>ACT/ACT</v>
      </c>
      <c r="R181">
        <v>100</v>
      </c>
      <c r="S181" t="str">
        <f>_xll.BDP("912810SD Govt","ID_CUSIP")</f>
        <v>912810SD1</v>
      </c>
      <c r="T181" t="str">
        <f>_xll.BDP("912810SD Govt","IDX_RATIO")</f>
        <v>#N/A Field Not Applicable</v>
      </c>
    </row>
    <row r="182" spans="1:20" x14ac:dyDescent="0.25">
      <c r="A182" t="s">
        <v>14</v>
      </c>
      <c r="B182" t="str">
        <f>_xll.BDP("912828WJ Govt","TICKER")</f>
        <v>T</v>
      </c>
      <c r="C182">
        <f>_xll.BDP("912828WJ Govt","CPN")</f>
        <v>2.5</v>
      </c>
      <c r="D182">
        <f>_xll.BDP("912828WJ Govt","YLD_YTM_BID")</f>
        <v>0.43167876104977959</v>
      </c>
      <c r="E182" t="str">
        <f>_xll.BDP("912828WJ Govt","MATURITY")</f>
        <v>5/15/2024</v>
      </c>
      <c r="F182" t="str">
        <f>_xll.BDP("912828WJ Govt","MTY_TYP")</f>
        <v>NORMAL</v>
      </c>
      <c r="G182" t="str">
        <f>_xll.BDP("912828WJ Govt","CRNCY")</f>
        <v>USD</v>
      </c>
      <c r="H182" t="str">
        <f>_xll.BDP("912828WJ Govt","COUNTRY_FULL_NAME")</f>
        <v>UNITED STATES</v>
      </c>
      <c r="I182" t="str">
        <f>_xll.BDP("912828WJ Govt","FIRST_CPN_DT")</f>
        <v>11/15/2014</v>
      </c>
      <c r="J182" t="str">
        <f>_xll.BDP("912828WJ Govt","COUPON_FREQUENCY_DESCRIPTION")</f>
        <v>S/A</v>
      </c>
      <c r="K182" t="str">
        <f>_xll.BDP("912828WJ Govt","CPN_TYP")</f>
        <v>FIXED</v>
      </c>
      <c r="L182" t="str">
        <f>_xll.BDP("912828WJ Govt","ID_ISIN")</f>
        <v>US912828WJ58</v>
      </c>
      <c r="M182">
        <v>65995000000</v>
      </c>
      <c r="N182">
        <v>65995000000</v>
      </c>
      <c r="O182" t="str">
        <f>_xll.BDP("912828WJ Govt","ISSUE_DT")</f>
        <v>5/15/2014</v>
      </c>
      <c r="P182" t="str">
        <f>_xll.BDP("912828WJ Govt","SECURITY_NAME")</f>
        <v>T 2 1/2 05/15/24</v>
      </c>
      <c r="Q182" t="str">
        <f>_xll.BDP("912828WJ Govt","DAY_CNT_DES")</f>
        <v>ACT/ACT</v>
      </c>
      <c r="R182">
        <v>100</v>
      </c>
      <c r="S182" t="str">
        <f>_xll.BDP("912828WJ Govt","ID_CUSIP")</f>
        <v>912828WJ5</v>
      </c>
      <c r="T182" t="str">
        <f>_xll.BDP("912828WJ Govt","IDX_RATIO")</f>
        <v>#N/A Field Not Applicable</v>
      </c>
    </row>
    <row r="183" spans="1:20" x14ac:dyDescent="0.25">
      <c r="A183" t="s">
        <v>14</v>
      </c>
      <c r="B183" t="str">
        <f>_xll.BDP("912828YA Govt","TICKER")</f>
        <v>T</v>
      </c>
      <c r="C183">
        <f>_xll.BDP("912828YA Govt","CPN")</f>
        <v>1.5</v>
      </c>
      <c r="D183">
        <f>_xll.BDP("912828YA Govt","YLD_YTM_BID")</f>
        <v>9.3409938413634361E-2</v>
      </c>
      <c r="E183" t="str">
        <f>_xll.BDP("912828YA Govt","MATURITY")</f>
        <v>8/15/2022</v>
      </c>
      <c r="F183" t="str">
        <f>_xll.BDP("912828YA Govt","MTY_TYP")</f>
        <v>NORMAL</v>
      </c>
      <c r="G183" t="str">
        <f>_xll.BDP("912828YA Govt","CRNCY")</f>
        <v>USD</v>
      </c>
      <c r="H183" t="str">
        <f>_xll.BDP("912828YA Govt","COUNTRY_FULL_NAME")</f>
        <v>UNITED STATES</v>
      </c>
      <c r="I183" t="str">
        <f>_xll.BDP("912828YA Govt","FIRST_CPN_DT")</f>
        <v>2/15/2020</v>
      </c>
      <c r="J183" t="str">
        <f>_xll.BDP("912828YA Govt","COUPON_FREQUENCY_DESCRIPTION")</f>
        <v>S/A</v>
      </c>
      <c r="K183" t="str">
        <f>_xll.BDP("912828YA Govt","CPN_TYP")</f>
        <v>FIXED</v>
      </c>
      <c r="L183" t="str">
        <f>_xll.BDP("912828YA Govt","ID_ISIN")</f>
        <v>US912828YA22</v>
      </c>
      <c r="M183">
        <v>62797000000</v>
      </c>
      <c r="N183">
        <v>62797000000</v>
      </c>
      <c r="O183" t="str">
        <f>_xll.BDP("912828YA Govt","ISSUE_DT")</f>
        <v>8/15/2019</v>
      </c>
      <c r="P183" t="str">
        <f>_xll.BDP("912828YA Govt","SECURITY_NAME")</f>
        <v>T 1 1/2 08/15/22</v>
      </c>
      <c r="Q183" t="str">
        <f>_xll.BDP("912828YA Govt","DAY_CNT_DES")</f>
        <v>ACT/ACT</v>
      </c>
      <c r="R183">
        <v>100</v>
      </c>
      <c r="S183" t="str">
        <f>_xll.BDP("912828YA Govt","ID_CUSIP")</f>
        <v>912828YA2</v>
      </c>
      <c r="T183" t="str">
        <f>_xll.BDP("912828YA Govt","IDX_RATIO")</f>
        <v>#N/A Field Not Applicable</v>
      </c>
    </row>
    <row r="184" spans="1:20" x14ac:dyDescent="0.25">
      <c r="A184" t="s">
        <v>14</v>
      </c>
      <c r="B184" t="str">
        <f>_xll.BDP("912828ZY Govt","TICKER")</f>
        <v>T</v>
      </c>
      <c r="C184">
        <f>_xll.BDP("912828ZY Govt","CPN")</f>
        <v>0.125</v>
      </c>
      <c r="D184">
        <f>_xll.BDP("912828ZY Govt","YLD_YTM_BID")</f>
        <v>0.24198900549075011</v>
      </c>
      <c r="E184" t="str">
        <f>_xll.BDP("912828ZY Govt","MATURITY")</f>
        <v>7/15/2023</v>
      </c>
      <c r="F184" t="str">
        <f>_xll.BDP("912828ZY Govt","MTY_TYP")</f>
        <v>NORMAL</v>
      </c>
      <c r="G184" t="str">
        <f>_xll.BDP("912828ZY Govt","CRNCY")</f>
        <v>USD</v>
      </c>
      <c r="H184" t="str">
        <f>_xll.BDP("912828ZY Govt","COUNTRY_FULL_NAME")</f>
        <v>UNITED STATES</v>
      </c>
      <c r="I184" t="str">
        <f>_xll.BDP("912828ZY Govt","FIRST_CPN_DT")</f>
        <v>1/15/2021</v>
      </c>
      <c r="J184" t="str">
        <f>_xll.BDP("912828ZY Govt","COUPON_FREQUENCY_DESCRIPTION")</f>
        <v>S/A</v>
      </c>
      <c r="K184" t="str">
        <f>_xll.BDP("912828ZY Govt","CPN_TYP")</f>
        <v>FIXED</v>
      </c>
      <c r="L184" t="str">
        <f>_xll.BDP("912828ZY Govt","ID_ISIN")</f>
        <v>US912828ZY98</v>
      </c>
      <c r="M184">
        <v>50036000000</v>
      </c>
      <c r="N184">
        <v>50036000000</v>
      </c>
      <c r="O184" t="str">
        <f>_xll.BDP("912828ZY Govt","ISSUE_DT")</f>
        <v>7/15/2020</v>
      </c>
      <c r="P184" t="str">
        <f>_xll.BDP("912828ZY Govt","SECURITY_NAME")</f>
        <v>T 0 1/8 07/15/23</v>
      </c>
      <c r="Q184" t="str">
        <f>_xll.BDP("912828ZY Govt","DAY_CNT_DES")</f>
        <v>ACT/ACT</v>
      </c>
      <c r="R184">
        <v>100</v>
      </c>
      <c r="S184" t="str">
        <f>_xll.BDP("912828ZY Govt","ID_CUSIP")</f>
        <v>912828ZY9</v>
      </c>
      <c r="T184" t="str">
        <f>_xll.BDP("912828ZY Govt","IDX_RATIO")</f>
        <v>#N/A Field Not Applicable</v>
      </c>
    </row>
    <row r="185" spans="1:20" x14ac:dyDescent="0.25">
      <c r="A185" t="s">
        <v>14</v>
      </c>
      <c r="B185" t="str">
        <f>_xll.BDP("9128283P Govt","TICKER")</f>
        <v>T</v>
      </c>
      <c r="C185">
        <f>_xll.BDP("9128283P Govt","CPN")</f>
        <v>2.25</v>
      </c>
      <c r="D185">
        <f>_xll.BDP("9128283P Govt","YLD_YTM_BID")</f>
        <v>0.58653533262394886</v>
      </c>
      <c r="E185" t="str">
        <f>_xll.BDP("9128283P Govt","MATURITY")</f>
        <v>12/31/2024</v>
      </c>
      <c r="F185" t="str">
        <f>_xll.BDP("9128283P Govt","MTY_TYP")</f>
        <v>NORMAL</v>
      </c>
      <c r="G185" t="str">
        <f>_xll.BDP("9128283P Govt","CRNCY")</f>
        <v>USD</v>
      </c>
      <c r="H185" t="str">
        <f>_xll.BDP("9128283P Govt","COUNTRY_FULL_NAME")</f>
        <v>UNITED STATES</v>
      </c>
      <c r="I185" t="str">
        <f>_xll.BDP("9128283P Govt","FIRST_CPN_DT")</f>
        <v>6/30/2018</v>
      </c>
      <c r="J185" t="str">
        <f>_xll.BDP("9128283P Govt","COUPON_FREQUENCY_DESCRIPTION")</f>
        <v>S/A</v>
      </c>
      <c r="K185" t="str">
        <f>_xll.BDP("9128283P Govt","CPN_TYP")</f>
        <v>FIXED</v>
      </c>
      <c r="L185" t="str">
        <f>_xll.BDP("9128283P Govt","ID_ISIN")</f>
        <v>US9128283P31</v>
      </c>
      <c r="M185">
        <v>31660000000</v>
      </c>
      <c r="N185">
        <v>31660000000</v>
      </c>
      <c r="O185" t="str">
        <f>_xll.BDP("9128283P Govt","ISSUE_DT")</f>
        <v>1/2/2018</v>
      </c>
      <c r="P185" t="str">
        <f>_xll.BDP("9128283P Govt","SECURITY_NAME")</f>
        <v>T 2 1/4 12/31/24</v>
      </c>
      <c r="Q185" t="str">
        <f>_xll.BDP("9128283P Govt","DAY_CNT_DES")</f>
        <v>ACT/ACT</v>
      </c>
      <c r="R185">
        <v>100</v>
      </c>
      <c r="S185" t="str">
        <f>_xll.BDP("9128283P Govt","ID_CUSIP")</f>
        <v>9128283P3</v>
      </c>
      <c r="T185" t="str">
        <f>_xll.BDP("9128283P Govt","IDX_RATIO")</f>
        <v>#N/A Field Not Applicable</v>
      </c>
    </row>
    <row r="186" spans="1:20" x14ac:dyDescent="0.25">
      <c r="A186" t="s">
        <v>14</v>
      </c>
      <c r="B186" t="str">
        <f>_xll.BDP("9128283C Govt","TICKER")</f>
        <v>T</v>
      </c>
      <c r="C186">
        <f>_xll.BDP("9128283C Govt","CPN")</f>
        <v>2</v>
      </c>
      <c r="D186">
        <f>_xll.BDP("9128283C Govt","YLD_YTM_BID")</f>
        <v>0.10731697485013317</v>
      </c>
      <c r="E186" t="str">
        <f>_xll.BDP("9128283C Govt","MATURITY")</f>
        <v>10/31/2022</v>
      </c>
      <c r="F186" t="str">
        <f>_xll.BDP("9128283C Govt","MTY_TYP")</f>
        <v>NORMAL</v>
      </c>
      <c r="G186" t="str">
        <f>_xll.BDP("9128283C Govt","CRNCY")</f>
        <v>USD</v>
      </c>
      <c r="H186" t="str">
        <f>_xll.BDP("9128283C Govt","COUNTRY_FULL_NAME")</f>
        <v>UNITED STATES</v>
      </c>
      <c r="I186" t="str">
        <f>_xll.BDP("9128283C Govt","FIRST_CPN_DT")</f>
        <v>4/30/2018</v>
      </c>
      <c r="J186" t="str">
        <f>_xll.BDP("9128283C Govt","COUPON_FREQUENCY_DESCRIPTION")</f>
        <v>S/A</v>
      </c>
      <c r="K186" t="str">
        <f>_xll.BDP("9128283C Govt","CPN_TYP")</f>
        <v>FIXED</v>
      </c>
      <c r="L186" t="str">
        <f>_xll.BDP("9128283C Govt","ID_ISIN")</f>
        <v>US9128283C28</v>
      </c>
      <c r="M186">
        <v>34850000000</v>
      </c>
      <c r="N186">
        <v>34850000000</v>
      </c>
      <c r="O186" t="str">
        <f>_xll.BDP("9128283C Govt","ISSUE_DT")</f>
        <v>10/31/2017</v>
      </c>
      <c r="P186" t="str">
        <f>_xll.BDP("9128283C Govt","SECURITY_NAME")</f>
        <v>T 2 10/31/22</v>
      </c>
      <c r="Q186" t="str">
        <f>_xll.BDP("9128283C Govt","DAY_CNT_DES")</f>
        <v>ACT/ACT</v>
      </c>
      <c r="R186">
        <v>100</v>
      </c>
      <c r="S186" t="str">
        <f>_xll.BDP("9128283C Govt","ID_CUSIP")</f>
        <v>9128283C2</v>
      </c>
      <c r="T186" t="str">
        <f>_xll.BDP("9128283C Govt","IDX_RATIO")</f>
        <v>#N/A Field Not Applicable</v>
      </c>
    </row>
    <row r="187" spans="1:20" x14ac:dyDescent="0.25">
      <c r="A187" t="s">
        <v>14</v>
      </c>
      <c r="B187" t="str">
        <f>_xll.BDP("912828Q2 Govt","TICKER")</f>
        <v>T</v>
      </c>
      <c r="C187">
        <f>_xll.BDP("912828Q2 Govt","CPN")</f>
        <v>1.5</v>
      </c>
      <c r="D187">
        <f>_xll.BDP("912828Q2 Govt","YLD_YTM_BID")</f>
        <v>0.19409697323966496</v>
      </c>
      <c r="E187" t="str">
        <f>_xll.BDP("912828Q2 Govt","MATURITY")</f>
        <v>3/31/2023</v>
      </c>
      <c r="F187" t="str">
        <f>_xll.BDP("912828Q2 Govt","MTY_TYP")</f>
        <v>NORMAL</v>
      </c>
      <c r="G187" t="str">
        <f>_xll.BDP("912828Q2 Govt","CRNCY")</f>
        <v>USD</v>
      </c>
      <c r="H187" t="str">
        <f>_xll.BDP("912828Q2 Govt","COUNTRY_FULL_NAME")</f>
        <v>UNITED STATES</v>
      </c>
      <c r="I187" t="str">
        <f>_xll.BDP("912828Q2 Govt","FIRST_CPN_DT")</f>
        <v>9/30/2016</v>
      </c>
      <c r="J187" t="str">
        <f>_xll.BDP("912828Q2 Govt","COUPON_FREQUENCY_DESCRIPTION")</f>
        <v>S/A</v>
      </c>
      <c r="K187" t="str">
        <f>_xll.BDP("912828Q2 Govt","CPN_TYP")</f>
        <v>FIXED</v>
      </c>
      <c r="L187" t="str">
        <f>_xll.BDP("912828Q2 Govt","ID_ISIN")</f>
        <v>US912828Q293</v>
      </c>
      <c r="M187">
        <v>34671000000</v>
      </c>
      <c r="N187">
        <v>34671000000</v>
      </c>
      <c r="O187" t="str">
        <f>_xll.BDP("912828Q2 Govt","ISSUE_DT")</f>
        <v>3/31/2016</v>
      </c>
      <c r="P187" t="str">
        <f>_xll.BDP("912828Q2 Govt","SECURITY_NAME")</f>
        <v>T 1 1/2 03/31/23</v>
      </c>
      <c r="Q187" t="str">
        <f>_xll.BDP("912828Q2 Govt","DAY_CNT_DES")</f>
        <v>ACT/ACT</v>
      </c>
      <c r="R187">
        <v>100</v>
      </c>
      <c r="S187" t="str">
        <f>_xll.BDP("912828Q2 Govt","ID_CUSIP")</f>
        <v>912828Q29</v>
      </c>
      <c r="T187" t="str">
        <f>_xll.BDP("912828Q2 Govt","IDX_RATIO")</f>
        <v>#N/A Field Not Applicable</v>
      </c>
    </row>
    <row r="188" spans="1:20" x14ac:dyDescent="0.25">
      <c r="A188" t="s">
        <v>14</v>
      </c>
      <c r="B188" t="str">
        <f>_xll.BDP("912810FM Govt","TICKER")</f>
        <v>T</v>
      </c>
      <c r="C188">
        <f>_xll.BDP("912810FM Govt","CPN")</f>
        <v>6.25</v>
      </c>
      <c r="D188">
        <f>_xll.BDP("912810FM Govt","YLD_YTM_BID")</f>
        <v>1.3904929655769096</v>
      </c>
      <c r="E188" t="str">
        <f>_xll.BDP("912810FM Govt","MATURITY")</f>
        <v>5/15/2030</v>
      </c>
      <c r="F188" t="str">
        <f>_xll.BDP("912810FM Govt","MTY_TYP")</f>
        <v>NORMAL</v>
      </c>
      <c r="G188" t="str">
        <f>_xll.BDP("912810FM Govt","CRNCY")</f>
        <v>USD</v>
      </c>
      <c r="H188" t="str">
        <f>_xll.BDP("912810FM Govt","COUNTRY_FULL_NAME")</f>
        <v>UNITED STATES</v>
      </c>
      <c r="I188" t="str">
        <f>_xll.BDP("912810FM Govt","FIRST_CPN_DT")</f>
        <v>5/15/2000</v>
      </c>
      <c r="J188" t="str">
        <f>_xll.BDP("912810FM Govt","COUPON_FREQUENCY_DESCRIPTION")</f>
        <v>S/A</v>
      </c>
      <c r="K188" t="str">
        <f>_xll.BDP("912810FM Govt","CPN_TYP")</f>
        <v>FIXED</v>
      </c>
      <c r="L188" t="str">
        <f>_xll.BDP("912810FM Govt","ID_ISIN")</f>
        <v>US912810FM54</v>
      </c>
      <c r="M188">
        <v>17043000000</v>
      </c>
      <c r="N188">
        <v>17043000000</v>
      </c>
      <c r="O188" t="str">
        <f>_xll.BDP("912810FM Govt","ISSUE_DT")</f>
        <v>2/15/2000</v>
      </c>
      <c r="P188" t="str">
        <f>_xll.BDP("912810FM Govt","SECURITY_NAME")</f>
        <v>T 6 1/4 05/15/30</v>
      </c>
      <c r="Q188" t="str">
        <f>_xll.BDP("912810FM Govt","DAY_CNT_DES")</f>
        <v>ACT/ACT</v>
      </c>
      <c r="R188">
        <v>100</v>
      </c>
      <c r="S188" t="str">
        <f>_xll.BDP("912810FM Govt","ID_CUSIP")</f>
        <v>912810FM5</v>
      </c>
      <c r="T188" t="str">
        <f>_xll.BDP("912810FM Govt","IDX_RATIO")</f>
        <v>#N/A Field Not Applicable</v>
      </c>
    </row>
    <row r="189" spans="1:20" x14ac:dyDescent="0.25">
      <c r="A189" t="s">
        <v>14</v>
      </c>
      <c r="B189" t="str">
        <f>_xll.BDP("912828XD Govt","TICKER")</f>
        <v>T</v>
      </c>
      <c r="C189">
        <f>_xll.BDP("912828XD Govt","CPN")</f>
        <v>1.875</v>
      </c>
      <c r="D189">
        <f>_xll.BDP("912828XD Govt","YLD_YTM_BID")</f>
        <v>7.2071268155873336E-2</v>
      </c>
      <c r="E189" t="str">
        <f>_xll.BDP("912828XD Govt","MATURITY")</f>
        <v>5/31/2022</v>
      </c>
      <c r="F189" t="str">
        <f>_xll.BDP("912828XD Govt","MTY_TYP")</f>
        <v>NORMAL</v>
      </c>
      <c r="G189" t="str">
        <f>_xll.BDP("912828XD Govt","CRNCY")</f>
        <v>USD</v>
      </c>
      <c r="H189" t="str">
        <f>_xll.BDP("912828XD Govt","COUNTRY_FULL_NAME")</f>
        <v>UNITED STATES</v>
      </c>
      <c r="I189" t="str">
        <f>_xll.BDP("912828XD Govt","FIRST_CPN_DT")</f>
        <v>11/30/2015</v>
      </c>
      <c r="J189" t="str">
        <f>_xll.BDP("912828XD Govt","COUPON_FREQUENCY_DESCRIPTION")</f>
        <v>S/A</v>
      </c>
      <c r="K189" t="str">
        <f>_xll.BDP("912828XD Govt","CPN_TYP")</f>
        <v>FIXED</v>
      </c>
      <c r="L189" t="str">
        <f>_xll.BDP("912828XD Govt","ID_ISIN")</f>
        <v>US912828XD79</v>
      </c>
      <c r="M189">
        <v>29000000000</v>
      </c>
      <c r="N189">
        <v>29000000000</v>
      </c>
      <c r="O189" t="str">
        <f>_xll.BDP("912828XD Govt","ISSUE_DT")</f>
        <v>6/1/2015</v>
      </c>
      <c r="P189" t="str">
        <f>_xll.BDP("912828XD Govt","SECURITY_NAME")</f>
        <v>T 1 7/8 05/31/22</v>
      </c>
      <c r="Q189" t="str">
        <f>_xll.BDP("912828XD Govt","DAY_CNT_DES")</f>
        <v>ACT/ACT</v>
      </c>
      <c r="R189">
        <v>100</v>
      </c>
      <c r="S189" t="str">
        <f>_xll.BDP("912828XD Govt","ID_CUSIP")</f>
        <v>912828XD7</v>
      </c>
      <c r="T189" t="str">
        <f>_xll.BDP("912828XD Govt","IDX_RATIO")</f>
        <v>#N/A Field Not Applicable</v>
      </c>
    </row>
    <row r="190" spans="1:20" x14ac:dyDescent="0.25">
      <c r="A190" t="s">
        <v>14</v>
      </c>
      <c r="B190" t="str">
        <f>_xll.BDP("912828ZA Govt","TICKER")</f>
        <v>T</v>
      </c>
      <c r="C190">
        <f>_xll.BDP("912828ZA Govt","CPN")</f>
        <v>1.125</v>
      </c>
      <c r="D190">
        <f>_xll.BDP("912828ZA Govt","YLD_YTM_BID")</f>
        <v>6.168343921080402E-2</v>
      </c>
      <c r="E190" t="str">
        <f>_xll.BDP("912828ZA Govt","MATURITY")</f>
        <v>2/28/2022</v>
      </c>
      <c r="F190" t="str">
        <f>_xll.BDP("912828ZA Govt","MTY_TYP")</f>
        <v>NORMAL</v>
      </c>
      <c r="G190" t="str">
        <f>_xll.BDP("912828ZA Govt","CRNCY")</f>
        <v>USD</v>
      </c>
      <c r="H190" t="str">
        <f>_xll.BDP("912828ZA Govt","COUNTRY_FULL_NAME")</f>
        <v>UNITED STATES</v>
      </c>
      <c r="I190" t="str">
        <f>_xll.BDP("912828ZA Govt","FIRST_CPN_DT")</f>
        <v>8/31/2020</v>
      </c>
      <c r="J190" t="str">
        <f>_xll.BDP("912828ZA Govt","COUPON_FREQUENCY_DESCRIPTION")</f>
        <v>S/A</v>
      </c>
      <c r="K190" t="str">
        <f>_xll.BDP("912828ZA Govt","CPN_TYP")</f>
        <v>FIXED</v>
      </c>
      <c r="L190" t="str">
        <f>_xll.BDP("912828ZA Govt","ID_ISIN")</f>
        <v>US912828ZA13</v>
      </c>
      <c r="M190">
        <v>46045000000</v>
      </c>
      <c r="N190">
        <v>46045000000</v>
      </c>
      <c r="O190" t="str">
        <f>_xll.BDP("912828ZA Govt","ISSUE_DT")</f>
        <v>3/2/2020</v>
      </c>
      <c r="P190" t="str">
        <f>_xll.BDP("912828ZA Govt","SECURITY_NAME")</f>
        <v>T 1 1/8 02/28/22</v>
      </c>
      <c r="Q190" t="str">
        <f>_xll.BDP("912828ZA Govt","DAY_CNT_DES")</f>
        <v>ACT/ACT</v>
      </c>
      <c r="R190">
        <v>100</v>
      </c>
      <c r="S190" t="str">
        <f>_xll.BDP("912828ZA Govt","ID_CUSIP")</f>
        <v>912828ZA1</v>
      </c>
      <c r="T190" t="str">
        <f>_xll.BDP("912828ZA Govt","IDX_RATIO")</f>
        <v>#N/A Field Not Applicable</v>
      </c>
    </row>
    <row r="191" spans="1:20" x14ac:dyDescent="0.25">
      <c r="A191" t="s">
        <v>14</v>
      </c>
      <c r="B191" t="str">
        <f>_xll.BDP("912810RY Govt","TICKER")</f>
        <v>T</v>
      </c>
      <c r="C191">
        <f>_xll.BDP("912810RY Govt","CPN")</f>
        <v>2.75</v>
      </c>
      <c r="D191">
        <f>_xll.BDP("912810RY Govt","YLD_YTM_BID")</f>
        <v>2.0888463324545823</v>
      </c>
      <c r="E191" t="str">
        <f>_xll.BDP("912810RY Govt","MATURITY")</f>
        <v>8/15/2047</v>
      </c>
      <c r="F191" t="str">
        <f>_xll.BDP("912810RY Govt","MTY_TYP")</f>
        <v>NORMAL</v>
      </c>
      <c r="G191" t="str">
        <f>_xll.BDP("912810RY Govt","CRNCY")</f>
        <v>USD</v>
      </c>
      <c r="H191" t="str">
        <f>_xll.BDP("912810RY Govt","COUNTRY_FULL_NAME")</f>
        <v>UNITED STATES</v>
      </c>
      <c r="I191" t="str">
        <f>_xll.BDP("912810RY Govt","FIRST_CPN_DT")</f>
        <v>2/15/2018</v>
      </c>
      <c r="J191" t="str">
        <f>_xll.BDP("912810RY Govt","COUPON_FREQUENCY_DESCRIPTION")</f>
        <v>S/A</v>
      </c>
      <c r="K191" t="str">
        <f>_xll.BDP("912810RY Govt","CPN_TYP")</f>
        <v>FIXED</v>
      </c>
      <c r="L191" t="str">
        <f>_xll.BDP("912810RY Govt","ID_ISIN")</f>
        <v>US912810RY64</v>
      </c>
      <c r="M191">
        <v>43512000000</v>
      </c>
      <c r="N191">
        <v>43512000000</v>
      </c>
      <c r="O191" t="str">
        <f>_xll.BDP("912810RY Govt","ISSUE_DT")</f>
        <v>8/15/2017</v>
      </c>
      <c r="P191" t="str">
        <f>_xll.BDP("912810RY Govt","SECURITY_NAME")</f>
        <v>T 2 3/4 08/15/47</v>
      </c>
      <c r="Q191" t="str">
        <f>_xll.BDP("912810RY Govt","DAY_CNT_DES")</f>
        <v>ACT/ACT</v>
      </c>
      <c r="R191">
        <v>100</v>
      </c>
      <c r="S191" t="str">
        <f>_xll.BDP("912810RY Govt","ID_CUSIP")</f>
        <v>912810RY6</v>
      </c>
      <c r="T191" t="str">
        <f>_xll.BDP("912810RY Govt","IDX_RATIO")</f>
        <v>#N/A Field Not Applicable</v>
      </c>
    </row>
    <row r="192" spans="1:20" x14ac:dyDescent="0.25">
      <c r="A192" t="s">
        <v>14</v>
      </c>
      <c r="B192" t="str">
        <f>_xll.BDP("912828T2 Govt","TICKER")</f>
        <v>T</v>
      </c>
      <c r="C192">
        <f>_xll.BDP("912828T2 Govt","CPN")</f>
        <v>1.375</v>
      </c>
      <c r="D192">
        <f>_xll.BDP("912828T2 Govt","YLD_YTM_BID")</f>
        <v>0.28212045128710067</v>
      </c>
      <c r="E192" t="str">
        <f>_xll.BDP("912828T2 Govt","MATURITY")</f>
        <v>9/30/2023</v>
      </c>
      <c r="F192" t="str">
        <f>_xll.BDP("912828T2 Govt","MTY_TYP")</f>
        <v>NORMAL</v>
      </c>
      <c r="G192" t="str">
        <f>_xll.BDP("912828T2 Govt","CRNCY")</f>
        <v>USD</v>
      </c>
      <c r="H192" t="str">
        <f>_xll.BDP("912828T2 Govt","COUNTRY_FULL_NAME")</f>
        <v>UNITED STATES</v>
      </c>
      <c r="I192" t="str">
        <f>_xll.BDP("912828T2 Govt","FIRST_CPN_DT")</f>
        <v>3/31/2017</v>
      </c>
      <c r="J192" t="str">
        <f>_xll.BDP("912828T2 Govt","COUPON_FREQUENCY_DESCRIPTION")</f>
        <v>S/A</v>
      </c>
      <c r="K192" t="str">
        <f>_xll.BDP("912828T2 Govt","CPN_TYP")</f>
        <v>FIXED</v>
      </c>
      <c r="L192" t="str">
        <f>_xll.BDP("912828T2 Govt","ID_ISIN")</f>
        <v>US912828T263</v>
      </c>
      <c r="M192">
        <v>29707000000</v>
      </c>
      <c r="N192">
        <v>29707000000</v>
      </c>
      <c r="O192" t="str">
        <f>_xll.BDP("912828T2 Govt","ISSUE_DT")</f>
        <v>9/30/2016</v>
      </c>
      <c r="P192" t="str">
        <f>_xll.BDP("912828T2 Govt","SECURITY_NAME")</f>
        <v>T 1 3/8 09/30/23</v>
      </c>
      <c r="Q192" t="str">
        <f>_xll.BDP("912828T2 Govt","DAY_CNT_DES")</f>
        <v>ACT/ACT</v>
      </c>
      <c r="R192">
        <v>100</v>
      </c>
      <c r="S192" t="str">
        <f>_xll.BDP("912828T2 Govt","ID_CUSIP")</f>
        <v>912828T26</v>
      </c>
      <c r="T192" t="str">
        <f>_xll.BDP("912828T2 Govt","IDX_RATIO")</f>
        <v>#N/A Field Not Applicable</v>
      </c>
    </row>
    <row r="193" spans="1:20" x14ac:dyDescent="0.25">
      <c r="A193" t="s">
        <v>14</v>
      </c>
      <c r="B193" t="str">
        <f>_xll.BDP("9128285L Govt","TICKER")</f>
        <v>T</v>
      </c>
      <c r="C193">
        <f>_xll.BDP("9128285L Govt","CPN")</f>
        <v>2.875</v>
      </c>
      <c r="D193">
        <f>_xll.BDP("9128285L Govt","YLD_YTM_BID")</f>
        <v>0.14173470959789825</v>
      </c>
      <c r="E193" t="str">
        <f>_xll.BDP("9128285L Govt","MATURITY")</f>
        <v>11/15/2021</v>
      </c>
      <c r="F193" t="str">
        <f>_xll.BDP("9128285L Govt","MTY_TYP")</f>
        <v>NORMAL</v>
      </c>
      <c r="G193" t="str">
        <f>_xll.BDP("9128285L Govt","CRNCY")</f>
        <v>USD</v>
      </c>
      <c r="H193" t="str">
        <f>_xll.BDP("9128285L Govt","COUNTRY_FULL_NAME")</f>
        <v>UNITED STATES</v>
      </c>
      <c r="I193" t="str">
        <f>_xll.BDP("9128285L Govt","FIRST_CPN_DT")</f>
        <v>5/15/2019</v>
      </c>
      <c r="J193" t="str">
        <f>_xll.BDP("9128285L Govt","COUPON_FREQUENCY_DESCRIPTION")</f>
        <v>S/A</v>
      </c>
      <c r="K193" t="str">
        <f>_xll.BDP("9128285L Govt","CPN_TYP")</f>
        <v>FIXED</v>
      </c>
      <c r="L193" t="str">
        <f>_xll.BDP("9128285L Govt","ID_ISIN")</f>
        <v>US9128285L09</v>
      </c>
      <c r="M193">
        <v>44545000000</v>
      </c>
      <c r="N193">
        <v>44545000000</v>
      </c>
      <c r="O193" t="str">
        <f>_xll.BDP("9128285L Govt","ISSUE_DT")</f>
        <v>11/15/2018</v>
      </c>
      <c r="P193" t="str">
        <f>_xll.BDP("9128285L Govt","SECURITY_NAME")</f>
        <v>T 2 7/8 11/15/21</v>
      </c>
      <c r="Q193" t="str">
        <f>_xll.BDP("9128285L Govt","DAY_CNT_DES")</f>
        <v>ACT/ACT</v>
      </c>
      <c r="R193">
        <v>100</v>
      </c>
      <c r="S193" t="str">
        <f>_xll.BDP("9128285L Govt","ID_CUSIP")</f>
        <v>9128285L0</v>
      </c>
      <c r="T193" t="str">
        <f>_xll.BDP("9128285L Govt","IDX_RATIO")</f>
        <v>#N/A Field Not Applicable</v>
      </c>
    </row>
    <row r="194" spans="1:20" x14ac:dyDescent="0.25">
      <c r="A194" t="s">
        <v>14</v>
      </c>
      <c r="B194" t="str">
        <f>_xll.BDP("912828TJ Govt","TICKER")</f>
        <v>T</v>
      </c>
      <c r="C194">
        <f>_xll.BDP("912828TJ Govt","CPN")</f>
        <v>1.625</v>
      </c>
      <c r="D194">
        <f>_xll.BDP("912828TJ Govt","YLD_YTM_BID")</f>
        <v>9.0978730299394753E-2</v>
      </c>
      <c r="E194" t="str">
        <f>_xll.BDP("912828TJ Govt","MATURITY")</f>
        <v>8/15/2022</v>
      </c>
      <c r="F194" t="str">
        <f>_xll.BDP("912828TJ Govt","MTY_TYP")</f>
        <v>NORMAL</v>
      </c>
      <c r="G194" t="str">
        <f>_xll.BDP("912828TJ Govt","CRNCY")</f>
        <v>USD</v>
      </c>
      <c r="H194" t="str">
        <f>_xll.BDP("912828TJ Govt","COUNTRY_FULL_NAME")</f>
        <v>UNITED STATES</v>
      </c>
      <c r="I194" t="str">
        <f>_xll.BDP("912828TJ Govt","FIRST_CPN_DT")</f>
        <v>2/15/2013</v>
      </c>
      <c r="J194" t="str">
        <f>_xll.BDP("912828TJ Govt","COUPON_FREQUENCY_DESCRIPTION")</f>
        <v>S/A</v>
      </c>
      <c r="K194" t="str">
        <f>_xll.BDP("912828TJ Govt","CPN_TYP")</f>
        <v>FIXED</v>
      </c>
      <c r="L194" t="str">
        <f>_xll.BDP("912828TJ Govt","ID_ISIN")</f>
        <v>US912828TJ95</v>
      </c>
      <c r="M194">
        <v>66000000000</v>
      </c>
      <c r="N194">
        <v>65995000000</v>
      </c>
      <c r="O194" t="str">
        <f>_xll.BDP("912828TJ Govt","ISSUE_DT")</f>
        <v>8/15/2012</v>
      </c>
      <c r="P194" t="str">
        <f>_xll.BDP("912828TJ Govt","SECURITY_NAME")</f>
        <v>T 1 5/8 08/15/22</v>
      </c>
      <c r="Q194" t="str">
        <f>_xll.BDP("912828TJ Govt","DAY_CNT_DES")</f>
        <v>ACT/ACT</v>
      </c>
      <c r="R194">
        <v>100</v>
      </c>
      <c r="S194" t="str">
        <f>_xll.BDP("912828TJ Govt","ID_CUSIP")</f>
        <v>912828TJ9</v>
      </c>
      <c r="T194" t="str">
        <f>_xll.BDP("912828TJ Govt","IDX_RATIO")</f>
        <v>#N/A Field Not Applicable</v>
      </c>
    </row>
    <row r="195" spans="1:20" x14ac:dyDescent="0.25">
      <c r="A195" t="s">
        <v>14</v>
      </c>
      <c r="B195" t="str">
        <f>_xll.BDP("91282CAF Govt","TICKER")</f>
        <v>T</v>
      </c>
      <c r="C195">
        <f>_xll.BDP("91282CAF Govt","CPN")</f>
        <v>0.125</v>
      </c>
      <c r="D195">
        <f>_xll.BDP("91282CAF Govt","YLD_YTM_BID")</f>
        <v>0.25779969378034417</v>
      </c>
      <c r="E195" t="str">
        <f>_xll.BDP("91282CAF Govt","MATURITY")</f>
        <v>8/15/2023</v>
      </c>
      <c r="F195" t="str">
        <f>_xll.BDP("91282CAF Govt","MTY_TYP")</f>
        <v>NORMAL</v>
      </c>
      <c r="G195" t="str">
        <f>_xll.BDP("91282CAF Govt","CRNCY")</f>
        <v>USD</v>
      </c>
      <c r="H195" t="str">
        <f>_xll.BDP("91282CAF Govt","COUNTRY_FULL_NAME")</f>
        <v>UNITED STATES</v>
      </c>
      <c r="I195" t="str">
        <f>_xll.BDP("91282CAF Govt","FIRST_CPN_DT")</f>
        <v>2/15/2021</v>
      </c>
      <c r="J195" t="str">
        <f>_xll.BDP("91282CAF Govt","COUPON_FREQUENCY_DESCRIPTION")</f>
        <v>S/A</v>
      </c>
      <c r="K195" t="str">
        <f>_xll.BDP("91282CAF Govt","CPN_TYP")</f>
        <v>FIXED</v>
      </c>
      <c r="L195" t="str">
        <f>_xll.BDP("91282CAF Govt","ID_ISIN")</f>
        <v>US91282CAF86</v>
      </c>
      <c r="M195">
        <v>76548000000</v>
      </c>
      <c r="N195">
        <v>76548000000</v>
      </c>
      <c r="O195" t="str">
        <f>_xll.BDP("91282CAF Govt","ISSUE_DT")</f>
        <v>8/17/2020</v>
      </c>
      <c r="P195" t="str">
        <f>_xll.BDP("91282CAF Govt","SECURITY_NAME")</f>
        <v>T 0 1/8 08/15/23</v>
      </c>
      <c r="Q195" t="str">
        <f>_xll.BDP("91282CAF Govt","DAY_CNT_DES")</f>
        <v>ACT/ACT</v>
      </c>
      <c r="R195">
        <v>100</v>
      </c>
      <c r="S195" t="str">
        <f>_xll.BDP("91282CAF Govt","ID_CUSIP")</f>
        <v>91282CAF8</v>
      </c>
      <c r="T195" t="str">
        <f>_xll.BDP("91282CAF Govt","IDX_RATIO")</f>
        <v>#N/A Field Not Applicable</v>
      </c>
    </row>
    <row r="196" spans="1:20" x14ac:dyDescent="0.25">
      <c r="A196" t="s">
        <v>14</v>
      </c>
      <c r="B196" t="str">
        <f>_xll.BDP("912828XG Govt","TICKER")</f>
        <v>T</v>
      </c>
      <c r="C196">
        <f>_xll.BDP("912828XG Govt","CPN")</f>
        <v>2.125</v>
      </c>
      <c r="D196">
        <f>_xll.BDP("912828XG Govt","YLD_YTM_BID")</f>
        <v>7.9481521335205044E-2</v>
      </c>
      <c r="E196" t="str">
        <f>_xll.BDP("912828XG Govt","MATURITY")</f>
        <v>6/30/2022</v>
      </c>
      <c r="F196" t="str">
        <f>_xll.BDP("912828XG Govt","MTY_TYP")</f>
        <v>NORMAL</v>
      </c>
      <c r="G196" t="str">
        <f>_xll.BDP("912828XG Govt","CRNCY")</f>
        <v>USD</v>
      </c>
      <c r="H196" t="str">
        <f>_xll.BDP("912828XG Govt","COUNTRY_FULL_NAME")</f>
        <v>UNITED STATES</v>
      </c>
      <c r="I196" t="str">
        <f>_xll.BDP("912828XG Govt","FIRST_CPN_DT")</f>
        <v>12/31/2015</v>
      </c>
      <c r="J196" t="str">
        <f>_xll.BDP("912828XG Govt","COUPON_FREQUENCY_DESCRIPTION")</f>
        <v>S/A</v>
      </c>
      <c r="K196" t="str">
        <f>_xll.BDP("912828XG Govt","CPN_TYP")</f>
        <v>FIXED</v>
      </c>
      <c r="L196" t="str">
        <f>_xll.BDP("912828XG Govt","ID_ISIN")</f>
        <v>US912828XG01</v>
      </c>
      <c r="M196">
        <v>29000000000</v>
      </c>
      <c r="N196">
        <v>29000000000</v>
      </c>
      <c r="O196" t="str">
        <f>_xll.BDP("912828XG Govt","ISSUE_DT")</f>
        <v>6/30/2015</v>
      </c>
      <c r="P196" t="str">
        <f>_xll.BDP("912828XG Govt","SECURITY_NAME")</f>
        <v>T 2 1/8 06/30/22</v>
      </c>
      <c r="Q196" t="str">
        <f>_xll.BDP("912828XG Govt","DAY_CNT_DES")</f>
        <v>ACT/ACT</v>
      </c>
      <c r="R196">
        <v>100</v>
      </c>
      <c r="S196" t="str">
        <f>_xll.BDP("912828XG Govt","ID_CUSIP")</f>
        <v>912828XG0</v>
      </c>
      <c r="T196" t="str">
        <f>_xll.BDP("912828XG Govt","IDX_RATIO")</f>
        <v>#N/A Field Not Applicable</v>
      </c>
    </row>
    <row r="197" spans="1:20" x14ac:dyDescent="0.25">
      <c r="A197" t="s">
        <v>14</v>
      </c>
      <c r="B197" t="str">
        <f>_xll.BDP("912810RX Govt","TICKER")</f>
        <v>T</v>
      </c>
      <c r="C197">
        <f>_xll.BDP("912810RX Govt","CPN")</f>
        <v>3</v>
      </c>
      <c r="D197">
        <f>_xll.BDP("912810RX Govt","YLD_YTM_BID")</f>
        <v>2.0773853056239964</v>
      </c>
      <c r="E197" t="str">
        <f>_xll.BDP("912810RX Govt","MATURITY")</f>
        <v>5/15/2047</v>
      </c>
      <c r="F197" t="str">
        <f>_xll.BDP("912810RX Govt","MTY_TYP")</f>
        <v>NORMAL</v>
      </c>
      <c r="G197" t="str">
        <f>_xll.BDP("912810RX Govt","CRNCY")</f>
        <v>USD</v>
      </c>
      <c r="H197" t="str">
        <f>_xll.BDP("912810RX Govt","COUNTRY_FULL_NAME")</f>
        <v>UNITED STATES</v>
      </c>
      <c r="I197" t="str">
        <f>_xll.BDP("912810RX Govt","FIRST_CPN_DT")</f>
        <v>11/15/2017</v>
      </c>
      <c r="J197" t="str">
        <f>_xll.BDP("912810RX Govt","COUPON_FREQUENCY_DESCRIPTION")</f>
        <v>S/A</v>
      </c>
      <c r="K197" t="str">
        <f>_xll.BDP("912810RX Govt","CPN_TYP")</f>
        <v>FIXED</v>
      </c>
      <c r="L197" t="str">
        <f>_xll.BDP("912810RX Govt","ID_ISIN")</f>
        <v>US912810RX81</v>
      </c>
      <c r="M197">
        <v>44224000000</v>
      </c>
      <c r="N197">
        <v>44224000000</v>
      </c>
      <c r="O197" t="str">
        <f>_xll.BDP("912810RX Govt","ISSUE_DT")</f>
        <v>5/15/2017</v>
      </c>
      <c r="P197" t="str">
        <f>_xll.BDP("912810RX Govt","SECURITY_NAME")</f>
        <v>T 3 05/15/47</v>
      </c>
      <c r="Q197" t="str">
        <f>_xll.BDP("912810RX Govt","DAY_CNT_DES")</f>
        <v>ACT/ACT</v>
      </c>
      <c r="R197">
        <v>100</v>
      </c>
      <c r="S197" t="str">
        <f>_xll.BDP("912810RX Govt","ID_CUSIP")</f>
        <v>912810RX8</v>
      </c>
      <c r="T197" t="str">
        <f>_xll.BDP("912810RX Govt","IDX_RATIO")</f>
        <v>#N/A Field Not Applicable</v>
      </c>
    </row>
    <row r="198" spans="1:20" x14ac:dyDescent="0.25">
      <c r="A198" t="s">
        <v>14</v>
      </c>
      <c r="B198" t="str">
        <f>_xll.BDP("912828YT Govt","TICKER")</f>
        <v>T</v>
      </c>
      <c r="C198">
        <f>_xll.BDP("912828YT Govt","CPN")</f>
        <v>1.5</v>
      </c>
      <c r="D198">
        <f>_xll.BDP("912828YT Govt","YLD_YTM_BID")</f>
        <v>9.5603627057148088E-2</v>
      </c>
      <c r="E198" t="str">
        <f>_xll.BDP("912828YT Govt","MATURITY")</f>
        <v>11/30/2021</v>
      </c>
      <c r="F198" t="str">
        <f>_xll.BDP("912828YT Govt","MTY_TYP")</f>
        <v>NORMAL</v>
      </c>
      <c r="G198" t="str">
        <f>_xll.BDP("912828YT Govt","CRNCY")</f>
        <v>USD</v>
      </c>
      <c r="H198" t="str">
        <f>_xll.BDP("912828YT Govt","COUNTRY_FULL_NAME")</f>
        <v>UNITED STATES</v>
      </c>
      <c r="I198" t="str">
        <f>_xll.BDP("912828YT Govt","FIRST_CPN_DT")</f>
        <v>5/31/2020</v>
      </c>
      <c r="J198" t="str">
        <f>_xll.BDP("912828YT Govt","COUPON_FREQUENCY_DESCRIPTION")</f>
        <v>S/A</v>
      </c>
      <c r="K198" t="str">
        <f>_xll.BDP("912828YT Govt","CPN_TYP")</f>
        <v>FIXED</v>
      </c>
      <c r="L198" t="str">
        <f>_xll.BDP("912828YT Govt","ID_ISIN")</f>
        <v>US912828YT13</v>
      </c>
      <c r="M198">
        <v>43175000000</v>
      </c>
      <c r="N198">
        <v>43175000000</v>
      </c>
      <c r="O198" t="str">
        <f>_xll.BDP("912828YT Govt","ISSUE_DT")</f>
        <v>12/2/2019</v>
      </c>
      <c r="P198" t="str">
        <f>_xll.BDP("912828YT Govt","SECURITY_NAME")</f>
        <v>T 1 1/2 11/30/21</v>
      </c>
      <c r="Q198" t="str">
        <f>_xll.BDP("912828YT Govt","DAY_CNT_DES")</f>
        <v>ACT/ACT</v>
      </c>
      <c r="R198">
        <v>100</v>
      </c>
      <c r="S198" t="str">
        <f>_xll.BDP("912828YT Govt","ID_CUSIP")</f>
        <v>912828YT1</v>
      </c>
      <c r="T198" t="str">
        <f>_xll.BDP("912828YT Govt","IDX_RATIO")</f>
        <v>#N/A Field Not Applicable</v>
      </c>
    </row>
    <row r="199" spans="1:20" x14ac:dyDescent="0.25">
      <c r="A199" t="s">
        <v>14</v>
      </c>
      <c r="B199" t="str">
        <f>_xll.BDP("912828F9 Govt","TICKER")</f>
        <v>T</v>
      </c>
      <c r="C199">
        <f>_xll.BDP("912828F9 Govt","CPN")</f>
        <v>2</v>
      </c>
      <c r="D199">
        <f>_xll.BDP("912828F9 Govt","YLD_YTM_BID")</f>
        <v>0.27232760041567877</v>
      </c>
      <c r="E199" t="str">
        <f>_xll.BDP("912828F9 Govt","MATURITY")</f>
        <v>10/31/2021</v>
      </c>
      <c r="F199" t="str">
        <f>_xll.BDP("912828F9 Govt","MTY_TYP")</f>
        <v>NORMAL</v>
      </c>
      <c r="G199" t="str">
        <f>_xll.BDP("912828F9 Govt","CRNCY")</f>
        <v>USD</v>
      </c>
      <c r="H199" t="str">
        <f>_xll.BDP("912828F9 Govt","COUNTRY_FULL_NAME")</f>
        <v>UNITED STATES</v>
      </c>
      <c r="I199" t="str">
        <f>_xll.BDP("912828F9 Govt","FIRST_CPN_DT")</f>
        <v>4/30/2015</v>
      </c>
      <c r="J199" t="str">
        <f>_xll.BDP("912828F9 Govt","COUPON_FREQUENCY_DESCRIPTION")</f>
        <v>S/A</v>
      </c>
      <c r="K199" t="str">
        <f>_xll.BDP("912828F9 Govt","CPN_TYP")</f>
        <v>FIXED</v>
      </c>
      <c r="L199" t="str">
        <f>_xll.BDP("912828F9 Govt","ID_ISIN")</f>
        <v>US912828F965</v>
      </c>
      <c r="M199">
        <v>29000000000</v>
      </c>
      <c r="N199">
        <v>29000000000</v>
      </c>
      <c r="O199" t="str">
        <f>_xll.BDP("912828F9 Govt","ISSUE_DT")</f>
        <v>10/31/2014</v>
      </c>
      <c r="P199" t="str">
        <f>_xll.BDP("912828F9 Govt","SECURITY_NAME")</f>
        <v>T 2 10/31/21</v>
      </c>
      <c r="Q199" t="str">
        <f>_xll.BDP("912828F9 Govt","DAY_CNT_DES")</f>
        <v>ACT/ACT</v>
      </c>
      <c r="R199">
        <v>100</v>
      </c>
      <c r="S199" t="str">
        <f>_xll.BDP("912828F9 Govt","ID_CUSIP")</f>
        <v>912828F96</v>
      </c>
      <c r="T199" t="str">
        <f>_xll.BDP("912828F9 Govt","IDX_RATIO")</f>
        <v>#N/A Field Not Applicable</v>
      </c>
    </row>
    <row r="200" spans="1:20" x14ac:dyDescent="0.25">
      <c r="A200" t="s">
        <v>14</v>
      </c>
      <c r="B200" t="str">
        <f>_xll.BDP("9128286Z Govt","TICKER")</f>
        <v>T</v>
      </c>
      <c r="C200">
        <f>_xll.BDP("9128286Z Govt","CPN")</f>
        <v>1.75</v>
      </c>
      <c r="D200">
        <f>_xll.BDP("9128286Z Govt","YLD_YTM_BID")</f>
        <v>0.46287012500711322</v>
      </c>
      <c r="E200" t="str">
        <f>_xll.BDP("9128286Z Govt","MATURITY")</f>
        <v>6/30/2024</v>
      </c>
      <c r="F200" t="str">
        <f>_xll.BDP("9128286Z Govt","MTY_TYP")</f>
        <v>NORMAL</v>
      </c>
      <c r="G200" t="str">
        <f>_xll.BDP("9128286Z Govt","CRNCY")</f>
        <v>USD</v>
      </c>
      <c r="H200" t="str">
        <f>_xll.BDP("9128286Z Govt","COUNTRY_FULL_NAME")</f>
        <v>UNITED STATES</v>
      </c>
      <c r="I200" t="str">
        <f>_xll.BDP("9128286Z Govt","FIRST_CPN_DT")</f>
        <v>12/31/2019</v>
      </c>
      <c r="J200" t="str">
        <f>_xll.BDP("9128286Z Govt","COUPON_FREQUENCY_DESCRIPTION")</f>
        <v>S/A</v>
      </c>
      <c r="K200" t="str">
        <f>_xll.BDP("9128286Z Govt","CPN_TYP")</f>
        <v>FIXED</v>
      </c>
      <c r="L200" t="str">
        <f>_xll.BDP("9128286Z Govt","ID_ISIN")</f>
        <v>US9128286Z85</v>
      </c>
      <c r="M200">
        <v>43345000000</v>
      </c>
      <c r="N200">
        <v>43345000000</v>
      </c>
      <c r="O200" t="str">
        <f>_xll.BDP("9128286Z Govt","ISSUE_DT")</f>
        <v>7/1/2019</v>
      </c>
      <c r="P200" t="str">
        <f>_xll.BDP("9128286Z Govt","SECURITY_NAME")</f>
        <v>T 1 3/4 06/30/24</v>
      </c>
      <c r="Q200" t="str">
        <f>_xll.BDP("9128286Z Govt","DAY_CNT_DES")</f>
        <v>ACT/ACT</v>
      </c>
      <c r="R200">
        <v>100</v>
      </c>
      <c r="S200" t="str">
        <f>_xll.BDP("9128286Z Govt","ID_CUSIP")</f>
        <v>9128286Z8</v>
      </c>
      <c r="T200" t="str">
        <f>_xll.BDP("9128286Z Govt","IDX_RATIO")</f>
        <v>#N/A Field Not Applicable</v>
      </c>
    </row>
    <row r="201" spans="1:20" x14ac:dyDescent="0.25">
      <c r="A201" t="s">
        <v>14</v>
      </c>
      <c r="B201" t="str">
        <f>_xll.BDP("9128286R Govt","TICKER")</f>
        <v>T</v>
      </c>
      <c r="C201">
        <f>_xll.BDP("9128286R Govt","CPN")</f>
        <v>2.25</v>
      </c>
      <c r="D201">
        <f>_xll.BDP("9128286R Govt","YLD_YTM_BID")</f>
        <v>0.42488243544372434</v>
      </c>
      <c r="E201" t="str">
        <f>_xll.BDP("9128286R Govt","MATURITY")</f>
        <v>4/30/2024</v>
      </c>
      <c r="F201" t="str">
        <f>_xll.BDP("9128286R Govt","MTY_TYP")</f>
        <v>NORMAL</v>
      </c>
      <c r="G201" t="str">
        <f>_xll.BDP("9128286R Govt","CRNCY")</f>
        <v>USD</v>
      </c>
      <c r="H201" t="str">
        <f>_xll.BDP("9128286R Govt","COUNTRY_FULL_NAME")</f>
        <v>UNITED STATES</v>
      </c>
      <c r="I201" t="str">
        <f>_xll.BDP("9128286R Govt","FIRST_CPN_DT")</f>
        <v>10/31/2019</v>
      </c>
      <c r="J201" t="str">
        <f>_xll.BDP("9128286R Govt","COUPON_FREQUENCY_DESCRIPTION")</f>
        <v>S/A</v>
      </c>
      <c r="K201" t="str">
        <f>_xll.BDP("9128286R Govt","CPN_TYP")</f>
        <v>FIXED</v>
      </c>
      <c r="L201" t="str">
        <f>_xll.BDP("9128286R Govt","ID_ISIN")</f>
        <v>US9128286R69</v>
      </c>
      <c r="M201">
        <v>41523000000</v>
      </c>
      <c r="N201">
        <v>41523000000</v>
      </c>
      <c r="O201" t="str">
        <f>_xll.BDP("9128286R Govt","ISSUE_DT")</f>
        <v>4/30/2019</v>
      </c>
      <c r="P201" t="str">
        <f>_xll.BDP("9128286R Govt","SECURITY_NAME")</f>
        <v>T 2 1/4 04/30/24</v>
      </c>
      <c r="Q201" t="str">
        <f>_xll.BDP("9128286R Govt","DAY_CNT_DES")</f>
        <v>ACT/ACT</v>
      </c>
      <c r="R201">
        <v>100</v>
      </c>
      <c r="S201" t="str">
        <f>_xll.BDP("9128286R Govt","ID_CUSIP")</f>
        <v>9128286R6</v>
      </c>
      <c r="T201" t="str">
        <f>_xll.BDP("9128286R Govt","IDX_RATIO")</f>
        <v>#N/A Field Not Applicable</v>
      </c>
    </row>
    <row r="202" spans="1:20" x14ac:dyDescent="0.25">
      <c r="A202" t="s">
        <v>14</v>
      </c>
      <c r="B202" t="str">
        <f>_xll.BDP("9128284D Govt","TICKER")</f>
        <v>T</v>
      </c>
      <c r="C202">
        <f>_xll.BDP("9128284D Govt","CPN")</f>
        <v>2.5</v>
      </c>
      <c r="D202">
        <f>_xll.BDP("9128284D Govt","YLD_YTM_BID")</f>
        <v>0.19422166572148453</v>
      </c>
      <c r="E202" t="str">
        <f>_xll.BDP("9128284D Govt","MATURITY")</f>
        <v>3/31/2023</v>
      </c>
      <c r="F202" t="str">
        <f>_xll.BDP("9128284D Govt","MTY_TYP")</f>
        <v>NORMAL</v>
      </c>
      <c r="G202" t="str">
        <f>_xll.BDP("9128284D Govt","CRNCY")</f>
        <v>USD</v>
      </c>
      <c r="H202" t="str">
        <f>_xll.BDP("9128284D Govt","COUNTRY_FULL_NAME")</f>
        <v>UNITED STATES</v>
      </c>
      <c r="I202" t="str">
        <f>_xll.BDP("9128284D Govt","FIRST_CPN_DT")</f>
        <v>9/30/2018</v>
      </c>
      <c r="J202" t="str">
        <f>_xll.BDP("9128284D Govt","COUPON_FREQUENCY_DESCRIPTION")</f>
        <v>S/A</v>
      </c>
      <c r="K202" t="str">
        <f>_xll.BDP("9128284D Govt","CPN_TYP")</f>
        <v>FIXED</v>
      </c>
      <c r="L202" t="str">
        <f>_xll.BDP("9128284D Govt","ID_ISIN")</f>
        <v>US9128284D91</v>
      </c>
      <c r="M202">
        <v>41166000000</v>
      </c>
      <c r="N202">
        <v>41166000000</v>
      </c>
      <c r="O202" t="str">
        <f>_xll.BDP("9128284D Govt","ISSUE_DT")</f>
        <v>4/2/2018</v>
      </c>
      <c r="P202" t="str">
        <f>_xll.BDP("9128284D Govt","SECURITY_NAME")</f>
        <v>T 2 1/2 03/31/23</v>
      </c>
      <c r="Q202" t="str">
        <f>_xll.BDP("9128284D Govt","DAY_CNT_DES")</f>
        <v>ACT/ACT</v>
      </c>
      <c r="R202">
        <v>100</v>
      </c>
      <c r="S202" t="str">
        <f>_xll.BDP("9128284D Govt","ID_CUSIP")</f>
        <v>9128284D9</v>
      </c>
      <c r="T202" t="str">
        <f>_xll.BDP("9128284D Govt","IDX_RATIO")</f>
        <v>#N/A Field Not Applicable</v>
      </c>
    </row>
    <row r="203" spans="1:20" x14ac:dyDescent="0.25">
      <c r="A203" t="s">
        <v>14</v>
      </c>
      <c r="B203" t="str">
        <f>_xll.BDP("912828XR Govt","TICKER")</f>
        <v>T</v>
      </c>
      <c r="C203">
        <f>_xll.BDP("912828XR Govt","CPN")</f>
        <v>1.75</v>
      </c>
      <c r="D203">
        <f>_xll.BDP("912828XR Govt","YLD_YTM_BID")</f>
        <v>7.921203825658249E-2</v>
      </c>
      <c r="E203" t="str">
        <f>_xll.BDP("912828XR Govt","MATURITY")</f>
        <v>5/31/2022</v>
      </c>
      <c r="F203" t="str">
        <f>_xll.BDP("912828XR Govt","MTY_TYP")</f>
        <v>NORMAL</v>
      </c>
      <c r="G203" t="str">
        <f>_xll.BDP("912828XR Govt","CRNCY")</f>
        <v>USD</v>
      </c>
      <c r="H203" t="str">
        <f>_xll.BDP("912828XR Govt","COUNTRY_FULL_NAME")</f>
        <v>UNITED STATES</v>
      </c>
      <c r="I203" t="str">
        <f>_xll.BDP("912828XR Govt","FIRST_CPN_DT")</f>
        <v>11/30/2017</v>
      </c>
      <c r="J203" t="str">
        <f>_xll.BDP("912828XR Govt","COUPON_FREQUENCY_DESCRIPTION")</f>
        <v>S/A</v>
      </c>
      <c r="K203" t="str">
        <f>_xll.BDP("912828XR Govt","CPN_TYP")</f>
        <v>FIXED</v>
      </c>
      <c r="L203" t="str">
        <f>_xll.BDP("912828XR Govt","ID_ISIN")</f>
        <v>US912828XR65</v>
      </c>
      <c r="M203">
        <v>38090000000</v>
      </c>
      <c r="N203">
        <v>38090000000</v>
      </c>
      <c r="O203" t="str">
        <f>_xll.BDP("912828XR Govt","ISSUE_DT")</f>
        <v>5/31/2017</v>
      </c>
      <c r="P203" t="str">
        <f>_xll.BDP("912828XR Govt","SECURITY_NAME")</f>
        <v>T 1 3/4 05/31/22</v>
      </c>
      <c r="Q203" t="str">
        <f>_xll.BDP("912828XR Govt","DAY_CNT_DES")</f>
        <v>ACT/ACT</v>
      </c>
      <c r="R203">
        <v>100</v>
      </c>
      <c r="S203" t="str">
        <f>_xll.BDP("912828XR Govt","ID_CUSIP")</f>
        <v>912828XR6</v>
      </c>
      <c r="T203" t="str">
        <f>_xll.BDP("912828XR Govt","IDX_RATIO")</f>
        <v>#N/A Field Not Applicable</v>
      </c>
    </row>
    <row r="204" spans="1:20" x14ac:dyDescent="0.25">
      <c r="A204" t="s">
        <v>14</v>
      </c>
      <c r="B204" t="str">
        <f>_xll.BDP("912828J7 Govt","TICKER")</f>
        <v>T</v>
      </c>
      <c r="C204">
        <f>_xll.BDP("912828J7 Govt","CPN")</f>
        <v>1.75</v>
      </c>
      <c r="D204">
        <f>_xll.BDP("912828J7 Govt","YLD_YTM_BID")</f>
        <v>6.1007767875470069E-2</v>
      </c>
      <c r="E204" t="str">
        <f>_xll.BDP("912828J7 Govt","MATURITY")</f>
        <v>3/31/2022</v>
      </c>
      <c r="F204" t="str">
        <f>_xll.BDP("912828J7 Govt","MTY_TYP")</f>
        <v>NORMAL</v>
      </c>
      <c r="G204" t="str">
        <f>_xll.BDP("912828J7 Govt","CRNCY")</f>
        <v>USD</v>
      </c>
      <c r="H204" t="str">
        <f>_xll.BDP("912828J7 Govt","COUNTRY_FULL_NAME")</f>
        <v>UNITED STATES</v>
      </c>
      <c r="I204" t="str">
        <f>_xll.BDP("912828J7 Govt","FIRST_CPN_DT")</f>
        <v>9/30/2015</v>
      </c>
      <c r="J204" t="str">
        <f>_xll.BDP("912828J7 Govt","COUPON_FREQUENCY_DESCRIPTION")</f>
        <v>S/A</v>
      </c>
      <c r="K204" t="str">
        <f>_xll.BDP("912828J7 Govt","CPN_TYP")</f>
        <v>FIXED</v>
      </c>
      <c r="L204" t="str">
        <f>_xll.BDP("912828J7 Govt","ID_ISIN")</f>
        <v>US912828J769</v>
      </c>
      <c r="M204">
        <v>29000000000</v>
      </c>
      <c r="N204">
        <v>29000000000</v>
      </c>
      <c r="O204" t="str">
        <f>_xll.BDP("912828J7 Govt","ISSUE_DT")</f>
        <v>3/31/2015</v>
      </c>
      <c r="P204" t="str">
        <f>_xll.BDP("912828J7 Govt","SECURITY_NAME")</f>
        <v>T 1 3/4 03/31/22</v>
      </c>
      <c r="Q204" t="str">
        <f>_xll.BDP("912828J7 Govt","DAY_CNT_DES")</f>
        <v>ACT/ACT</v>
      </c>
      <c r="R204">
        <v>100</v>
      </c>
      <c r="S204" t="str">
        <f>_xll.BDP("912828J7 Govt","ID_CUSIP")</f>
        <v>912828J76</v>
      </c>
      <c r="T204" t="str">
        <f>_xll.BDP("912828J7 Govt","IDX_RATIO")</f>
        <v>#N/A Field Not Applicable</v>
      </c>
    </row>
    <row r="205" spans="1:20" x14ac:dyDescent="0.25">
      <c r="A205" t="s">
        <v>14</v>
      </c>
      <c r="B205" t="str">
        <f>_xll.BDP("9128285C Govt","TICKER")</f>
        <v>T</v>
      </c>
      <c r="C205">
        <f>_xll.BDP("9128285C Govt","CPN")</f>
        <v>3</v>
      </c>
      <c r="D205">
        <f>_xll.BDP("9128285C Govt","YLD_YTM_BID")</f>
        <v>0.77506516558970806</v>
      </c>
      <c r="E205" t="str">
        <f>_xll.BDP("9128285C Govt","MATURITY")</f>
        <v>9/30/2025</v>
      </c>
      <c r="F205" t="str">
        <f>_xll.BDP("9128285C Govt","MTY_TYP")</f>
        <v>NORMAL</v>
      </c>
      <c r="G205" t="str">
        <f>_xll.BDP("9128285C Govt","CRNCY")</f>
        <v>USD</v>
      </c>
      <c r="H205" t="str">
        <f>_xll.BDP("9128285C Govt","COUNTRY_FULL_NAME")</f>
        <v>UNITED STATES</v>
      </c>
      <c r="I205" t="str">
        <f>_xll.BDP("9128285C Govt","FIRST_CPN_DT")</f>
        <v>3/31/2019</v>
      </c>
      <c r="J205" t="str">
        <f>_xll.BDP("9128285C Govt","COUPON_FREQUENCY_DESCRIPTION")</f>
        <v>S/A</v>
      </c>
      <c r="K205" t="str">
        <f>_xll.BDP("9128285C Govt","CPN_TYP")</f>
        <v>FIXED</v>
      </c>
      <c r="L205" t="str">
        <f>_xll.BDP("9128285C Govt","ID_ISIN")</f>
        <v>US9128285C00</v>
      </c>
      <c r="M205">
        <v>31000000000</v>
      </c>
      <c r="N205">
        <v>31000000000</v>
      </c>
      <c r="O205" t="str">
        <f>_xll.BDP("9128285C Govt","ISSUE_DT")</f>
        <v>10/1/2018</v>
      </c>
      <c r="P205" t="str">
        <f>_xll.BDP("9128285C Govt","SECURITY_NAME")</f>
        <v>T 3 09/30/25</v>
      </c>
      <c r="Q205" t="str">
        <f>_xll.BDP("9128285C Govt","DAY_CNT_DES")</f>
        <v>ACT/ACT</v>
      </c>
      <c r="R205">
        <v>100</v>
      </c>
      <c r="S205" t="str">
        <f>_xll.BDP("9128285C Govt","ID_CUSIP")</f>
        <v>9128285C0</v>
      </c>
      <c r="T205" t="str">
        <f>_xll.BDP("9128285C Govt","IDX_RATIO")</f>
        <v>#N/A Field Not Applicable</v>
      </c>
    </row>
    <row r="206" spans="1:20" x14ac:dyDescent="0.25">
      <c r="A206" t="s">
        <v>14</v>
      </c>
      <c r="B206" t="str">
        <f>_xll.BDP("912828XQ Govt","TICKER")</f>
        <v>T</v>
      </c>
      <c r="C206">
        <f>_xll.BDP("912828XQ Govt","CPN")</f>
        <v>2</v>
      </c>
      <c r="D206">
        <f>_xll.BDP("912828XQ Govt","YLD_YTM_BID")</f>
        <v>8.8523914826192152E-2</v>
      </c>
      <c r="E206" t="str">
        <f>_xll.BDP("912828XQ Govt","MATURITY")</f>
        <v>7/31/2022</v>
      </c>
      <c r="F206" t="str">
        <f>_xll.BDP("912828XQ Govt","MTY_TYP")</f>
        <v>NORMAL</v>
      </c>
      <c r="G206" t="str">
        <f>_xll.BDP("912828XQ Govt","CRNCY")</f>
        <v>USD</v>
      </c>
      <c r="H206" t="str">
        <f>_xll.BDP("912828XQ Govt","COUNTRY_FULL_NAME")</f>
        <v>UNITED STATES</v>
      </c>
      <c r="I206" t="str">
        <f>_xll.BDP("912828XQ Govt","FIRST_CPN_DT")</f>
        <v>1/31/2016</v>
      </c>
      <c r="J206" t="str">
        <f>_xll.BDP("912828XQ Govt","COUPON_FREQUENCY_DESCRIPTION")</f>
        <v>S/A</v>
      </c>
      <c r="K206" t="str">
        <f>_xll.BDP("912828XQ Govt","CPN_TYP")</f>
        <v>FIXED</v>
      </c>
      <c r="L206" t="str">
        <f>_xll.BDP("912828XQ Govt","ID_ISIN")</f>
        <v>US912828XQ82</v>
      </c>
      <c r="M206">
        <v>29000000000</v>
      </c>
      <c r="N206">
        <v>29000000000</v>
      </c>
      <c r="O206" t="str">
        <f>_xll.BDP("912828XQ Govt","ISSUE_DT")</f>
        <v>7/31/2015</v>
      </c>
      <c r="P206" t="str">
        <f>_xll.BDP("912828XQ Govt","SECURITY_NAME")</f>
        <v>T 2 07/31/22</v>
      </c>
      <c r="Q206" t="str">
        <f>_xll.BDP("912828XQ Govt","DAY_CNT_DES")</f>
        <v>ACT/ACT</v>
      </c>
      <c r="R206">
        <v>100</v>
      </c>
      <c r="S206" t="str">
        <f>_xll.BDP("912828XQ Govt","ID_CUSIP")</f>
        <v>912828XQ8</v>
      </c>
      <c r="T206" t="str">
        <f>_xll.BDP("912828XQ Govt","IDX_RATIO")</f>
        <v>#N/A Field Not Applicable</v>
      </c>
    </row>
    <row r="207" spans="1:20" x14ac:dyDescent="0.25">
      <c r="A207" t="s">
        <v>14</v>
      </c>
      <c r="B207" t="str">
        <f>_xll.BDP("912828F2 Govt","TICKER")</f>
        <v>T</v>
      </c>
      <c r="C207">
        <f>_xll.BDP("912828F2 Govt","CPN")</f>
        <v>2.125</v>
      </c>
      <c r="D207" t="str">
        <f>_xll.BDP("912828F2 Govt","YLD_YTM_BID")</f>
        <v>#N/A N/A</v>
      </c>
      <c r="E207" t="str">
        <f>_xll.BDP("912828F2 Govt","MATURITY")</f>
        <v>9/30/2021</v>
      </c>
      <c r="F207" t="str">
        <f>_xll.BDP("912828F2 Govt","MTY_TYP")</f>
        <v>NORMAL</v>
      </c>
      <c r="G207" t="str">
        <f>_xll.BDP("912828F2 Govt","CRNCY")</f>
        <v>USD</v>
      </c>
      <c r="H207" t="str">
        <f>_xll.BDP("912828F2 Govt","COUNTRY_FULL_NAME")</f>
        <v>UNITED STATES</v>
      </c>
      <c r="I207" t="str">
        <f>_xll.BDP("912828F2 Govt","FIRST_CPN_DT")</f>
        <v>3/31/2015</v>
      </c>
      <c r="J207" t="str">
        <f>_xll.BDP("912828F2 Govt","COUPON_FREQUENCY_DESCRIPTION")</f>
        <v>S/A</v>
      </c>
      <c r="K207" t="str">
        <f>_xll.BDP("912828F2 Govt","CPN_TYP")</f>
        <v>FIXED</v>
      </c>
      <c r="L207" t="str">
        <f>_xll.BDP("912828F2 Govt","ID_ISIN")</f>
        <v>US912828F213</v>
      </c>
      <c r="M207">
        <v>29000000000</v>
      </c>
      <c r="N207">
        <v>0</v>
      </c>
      <c r="O207" t="str">
        <f>_xll.BDP("912828F2 Govt","ISSUE_DT")</f>
        <v>9/30/2014</v>
      </c>
      <c r="P207" t="str">
        <f>_xll.BDP("912828F2 Govt","SECURITY_NAME")</f>
        <v>T 2 1/8 09/30/21</v>
      </c>
      <c r="Q207" t="str">
        <f>_xll.BDP("912828F2 Govt","DAY_CNT_DES")</f>
        <v>ACT/ACT</v>
      </c>
      <c r="R207">
        <v>100</v>
      </c>
      <c r="S207" t="str">
        <f>_xll.BDP("912828F2 Govt","ID_CUSIP")</f>
        <v>912828F21</v>
      </c>
      <c r="T207" t="str">
        <f>_xll.BDP("912828F2 Govt","IDX_RATIO")</f>
        <v>#N/A Field Not Applicable</v>
      </c>
    </row>
    <row r="208" spans="1:20" x14ac:dyDescent="0.25">
      <c r="A208" t="s">
        <v>14</v>
      </c>
      <c r="B208" t="str">
        <f>_xll.BDP("912828Y8 Govt","TICKER")</f>
        <v>T</v>
      </c>
      <c r="C208">
        <f>_xll.BDP("912828Y8 Govt","CPN")</f>
        <v>1.75</v>
      </c>
      <c r="D208">
        <f>_xll.BDP("912828Y8 Govt","YLD_YTM_BID")</f>
        <v>0.47295899761532112</v>
      </c>
      <c r="E208" t="str">
        <f>_xll.BDP("912828Y8 Govt","MATURITY")</f>
        <v>7/31/2024</v>
      </c>
      <c r="F208" t="str">
        <f>_xll.BDP("912828Y8 Govt","MTY_TYP")</f>
        <v>NORMAL</v>
      </c>
      <c r="G208" t="str">
        <f>_xll.BDP("912828Y8 Govt","CRNCY")</f>
        <v>USD</v>
      </c>
      <c r="H208" t="str">
        <f>_xll.BDP("912828Y8 Govt","COUNTRY_FULL_NAME")</f>
        <v>UNITED STATES</v>
      </c>
      <c r="I208" t="str">
        <f>_xll.BDP("912828Y8 Govt","FIRST_CPN_DT")</f>
        <v>1/31/2020</v>
      </c>
      <c r="J208" t="str">
        <f>_xll.BDP("912828Y8 Govt","COUPON_FREQUENCY_DESCRIPTION")</f>
        <v>S/A</v>
      </c>
      <c r="K208" t="str">
        <f>_xll.BDP("912828Y8 Govt","CPN_TYP")</f>
        <v>FIXED</v>
      </c>
      <c r="L208" t="str">
        <f>_xll.BDP("912828Y8 Govt","ID_ISIN")</f>
        <v>US912828Y875</v>
      </c>
      <c r="M208">
        <v>42627000000</v>
      </c>
      <c r="N208">
        <v>42627000000</v>
      </c>
      <c r="O208" t="str">
        <f>_xll.BDP("912828Y8 Govt","ISSUE_DT")</f>
        <v>7/31/2019</v>
      </c>
      <c r="P208" t="str">
        <f>_xll.BDP("912828Y8 Govt","SECURITY_NAME")</f>
        <v>T 1 3/4 07/31/24</v>
      </c>
      <c r="Q208" t="str">
        <f>_xll.BDP("912828Y8 Govt","DAY_CNT_DES")</f>
        <v>ACT/ACT</v>
      </c>
      <c r="R208">
        <v>100</v>
      </c>
      <c r="S208" t="str">
        <f>_xll.BDP("912828Y8 Govt","ID_CUSIP")</f>
        <v>912828Y87</v>
      </c>
      <c r="T208" t="str">
        <f>_xll.BDP("912828Y8 Govt","IDX_RATIO")</f>
        <v>#N/A Field Not Applicable</v>
      </c>
    </row>
    <row r="209" spans="1:20" x14ac:dyDescent="0.25">
      <c r="A209" t="s">
        <v>14</v>
      </c>
      <c r="B209" t="str">
        <f>_xll.BDP("912828G8 Govt","TICKER")</f>
        <v>T</v>
      </c>
      <c r="C209">
        <f>_xll.BDP("912828G8 Govt","CPN")</f>
        <v>2.125</v>
      </c>
      <c r="D209">
        <f>_xll.BDP("912828G8 Govt","YLD_YTM_BID")</f>
        <v>8.4871067667274688E-2</v>
      </c>
      <c r="E209" t="str">
        <f>_xll.BDP("912828G8 Govt","MATURITY")</f>
        <v>12/31/2021</v>
      </c>
      <c r="F209" t="str">
        <f>_xll.BDP("912828G8 Govt","MTY_TYP")</f>
        <v>NORMAL</v>
      </c>
      <c r="G209" t="str">
        <f>_xll.BDP("912828G8 Govt","CRNCY")</f>
        <v>USD</v>
      </c>
      <c r="H209" t="str">
        <f>_xll.BDP("912828G8 Govt","COUNTRY_FULL_NAME")</f>
        <v>UNITED STATES</v>
      </c>
      <c r="I209" t="str">
        <f>_xll.BDP("912828G8 Govt","FIRST_CPN_DT")</f>
        <v>6/30/2015</v>
      </c>
      <c r="J209" t="str">
        <f>_xll.BDP("912828G8 Govt","COUPON_FREQUENCY_DESCRIPTION")</f>
        <v>S/A</v>
      </c>
      <c r="K209" t="str">
        <f>_xll.BDP("912828G8 Govt","CPN_TYP")</f>
        <v>FIXED</v>
      </c>
      <c r="L209" t="str">
        <f>_xll.BDP("912828G8 Govt","ID_ISIN")</f>
        <v>US912828G872</v>
      </c>
      <c r="M209">
        <v>29000000000</v>
      </c>
      <c r="N209">
        <v>29000000000</v>
      </c>
      <c r="O209" t="str">
        <f>_xll.BDP("912828G8 Govt","ISSUE_DT")</f>
        <v>12/31/2014</v>
      </c>
      <c r="P209" t="str">
        <f>_xll.BDP("912828G8 Govt","SECURITY_NAME")</f>
        <v>T 2 1/8 12/31/21</v>
      </c>
      <c r="Q209" t="str">
        <f>_xll.BDP("912828G8 Govt","DAY_CNT_DES")</f>
        <v>ACT/ACT</v>
      </c>
      <c r="R209">
        <v>100</v>
      </c>
      <c r="S209" t="str">
        <f>_xll.BDP("912828G8 Govt","ID_CUSIP")</f>
        <v>912828G87</v>
      </c>
      <c r="T209" t="str">
        <f>_xll.BDP("912828G8 Govt","IDX_RATIO")</f>
        <v>#N/A Field Not Applicable</v>
      </c>
    </row>
    <row r="210" spans="1:20" x14ac:dyDescent="0.25">
      <c r="A210" t="s">
        <v>14</v>
      </c>
      <c r="B210" t="str">
        <f>_xll.BDP("912828Z2 Govt","TICKER")</f>
        <v>T</v>
      </c>
      <c r="C210">
        <f>_xll.BDP("912828Z2 Govt","CPN")</f>
        <v>1.5</v>
      </c>
      <c r="D210">
        <f>_xll.BDP("912828Z2 Govt","YLD_YTM_BID")</f>
        <v>0.14954174571851284</v>
      </c>
      <c r="E210" t="str">
        <f>_xll.BDP("912828Z2 Govt","MATURITY")</f>
        <v>1/15/2023</v>
      </c>
      <c r="F210" t="str">
        <f>_xll.BDP("912828Z2 Govt","MTY_TYP")</f>
        <v>NORMAL</v>
      </c>
      <c r="G210" t="str">
        <f>_xll.BDP("912828Z2 Govt","CRNCY")</f>
        <v>USD</v>
      </c>
      <c r="H210" t="str">
        <f>_xll.BDP("912828Z2 Govt","COUNTRY_FULL_NAME")</f>
        <v>UNITED STATES</v>
      </c>
      <c r="I210" t="str">
        <f>_xll.BDP("912828Z2 Govt","FIRST_CPN_DT")</f>
        <v>7/15/2020</v>
      </c>
      <c r="J210" t="str">
        <f>_xll.BDP("912828Z2 Govt","COUPON_FREQUENCY_DESCRIPTION")</f>
        <v>S/A</v>
      </c>
      <c r="K210" t="str">
        <f>_xll.BDP("912828Z2 Govt","CPN_TYP")</f>
        <v>FIXED</v>
      </c>
      <c r="L210" t="str">
        <f>_xll.BDP("912828Z2 Govt","ID_ISIN")</f>
        <v>US912828Z294</v>
      </c>
      <c r="M210">
        <v>39216000000</v>
      </c>
      <c r="N210">
        <v>39216000000</v>
      </c>
      <c r="O210" t="str">
        <f>_xll.BDP("912828Z2 Govt","ISSUE_DT")</f>
        <v>1/15/2020</v>
      </c>
      <c r="P210" t="str">
        <f>_xll.BDP("912828Z2 Govt","SECURITY_NAME")</f>
        <v>T 1 1/2 01/15/23</v>
      </c>
      <c r="Q210" t="str">
        <f>_xll.BDP("912828Z2 Govt","DAY_CNT_DES")</f>
        <v>ACT/ACT</v>
      </c>
      <c r="R210">
        <v>100</v>
      </c>
      <c r="S210" t="str">
        <f>_xll.BDP("912828Z2 Govt","ID_CUSIP")</f>
        <v>912828Z29</v>
      </c>
      <c r="T210" t="str">
        <f>_xll.BDP("912828Z2 Govt","IDX_RATIO")</f>
        <v>#N/A Field Not Applicable</v>
      </c>
    </row>
    <row r="211" spans="1:20" x14ac:dyDescent="0.25">
      <c r="A211" t="s">
        <v>14</v>
      </c>
      <c r="B211" t="str">
        <f>_xll.BDP("912810EL Govt","TICKER")</f>
        <v>T</v>
      </c>
      <c r="C211">
        <f>_xll.BDP("912810EL Govt","CPN")</f>
        <v>8</v>
      </c>
      <c r="D211">
        <f>_xll.BDP("912810EL Govt","YLD_YTM_BID")</f>
        <v>1.0589096996965441</v>
      </c>
      <c r="E211" t="str">
        <f>_xll.BDP("912810EL Govt","MATURITY")</f>
        <v>11/15/2021</v>
      </c>
      <c r="F211" t="str">
        <f>_xll.BDP("912810EL Govt","MTY_TYP")</f>
        <v>NORMAL</v>
      </c>
      <c r="G211" t="str">
        <f>_xll.BDP("912810EL Govt","CRNCY")</f>
        <v>USD</v>
      </c>
      <c r="H211" t="str">
        <f>_xll.BDP("912810EL Govt","COUNTRY_FULL_NAME")</f>
        <v>UNITED STATES</v>
      </c>
      <c r="I211" t="str">
        <f>_xll.BDP("912810EL Govt","FIRST_CPN_DT")</f>
        <v>5/15/1992</v>
      </c>
      <c r="J211" t="str">
        <f>_xll.BDP("912810EL Govt","COUPON_FREQUENCY_DESCRIPTION")</f>
        <v>S/A</v>
      </c>
      <c r="K211" t="str">
        <f>_xll.BDP("912810EL Govt","CPN_TYP")</f>
        <v>FIXED</v>
      </c>
      <c r="L211" t="str">
        <f>_xll.BDP("912810EL Govt","ID_ISIN")</f>
        <v>US912810EL80</v>
      </c>
      <c r="M211">
        <v>32798000000</v>
      </c>
      <c r="N211">
        <v>30632000000</v>
      </c>
      <c r="O211" t="str">
        <f>_xll.BDP("912810EL Govt","ISSUE_DT")</f>
        <v>11/15/1991</v>
      </c>
      <c r="P211" t="str">
        <f>_xll.BDP("912810EL Govt","SECURITY_NAME")</f>
        <v>T 8 11/15/21</v>
      </c>
      <c r="Q211" t="str">
        <f>_xll.BDP("912810EL Govt","DAY_CNT_DES")</f>
        <v>ACT/ACT</v>
      </c>
      <c r="R211">
        <v>100</v>
      </c>
      <c r="S211" t="str">
        <f>_xll.BDP("912810EL Govt","ID_CUSIP")</f>
        <v>912810EL8</v>
      </c>
      <c r="T211" t="str">
        <f>_xll.BDP("912810EL Govt","IDX_RATIO")</f>
        <v>#N/A Field Not Applicable</v>
      </c>
    </row>
    <row r="212" spans="1:20" x14ac:dyDescent="0.25">
      <c r="A212" t="s">
        <v>14</v>
      </c>
      <c r="B212" t="str">
        <f>_xll.BDP("9128282S Govt","TICKER")</f>
        <v>T</v>
      </c>
      <c r="C212">
        <f>_xll.BDP("9128282S Govt","CPN")</f>
        <v>1.625</v>
      </c>
      <c r="D212">
        <f>_xll.BDP("9128282S Govt","YLD_YTM_BID")</f>
        <v>9.2793495482882835E-2</v>
      </c>
      <c r="E212" t="str">
        <f>_xll.BDP("9128282S Govt","MATURITY")</f>
        <v>8/31/2022</v>
      </c>
      <c r="F212" t="str">
        <f>_xll.BDP("9128282S Govt","MTY_TYP")</f>
        <v>NORMAL</v>
      </c>
      <c r="G212" t="str">
        <f>_xll.BDP("9128282S Govt","CRNCY")</f>
        <v>USD</v>
      </c>
      <c r="H212" t="str">
        <f>_xll.BDP("9128282S Govt","COUNTRY_FULL_NAME")</f>
        <v>UNITED STATES</v>
      </c>
      <c r="I212" t="str">
        <f>_xll.BDP("9128282S Govt","FIRST_CPN_DT")</f>
        <v>2/28/2018</v>
      </c>
      <c r="J212" t="str">
        <f>_xll.BDP("9128282S Govt","COUPON_FREQUENCY_DESCRIPTION")</f>
        <v>S/A</v>
      </c>
      <c r="K212" t="str">
        <f>_xll.BDP("9128282S Govt","CPN_TYP")</f>
        <v>FIXED</v>
      </c>
      <c r="L212" t="str">
        <f>_xll.BDP("9128282S Govt","ID_ISIN")</f>
        <v>US9128282S88</v>
      </c>
      <c r="M212">
        <v>35066000000</v>
      </c>
      <c r="N212">
        <v>35066000000</v>
      </c>
      <c r="O212" t="str">
        <f>_xll.BDP("9128282S Govt","ISSUE_DT")</f>
        <v>8/31/2017</v>
      </c>
      <c r="P212" t="str">
        <f>_xll.BDP("9128282S Govt","SECURITY_NAME")</f>
        <v>T 1 5/8 08/31/22</v>
      </c>
      <c r="Q212" t="str">
        <f>_xll.BDP("9128282S Govt","DAY_CNT_DES")</f>
        <v>ACT/ACT</v>
      </c>
      <c r="R212">
        <v>100</v>
      </c>
      <c r="S212" t="str">
        <f>_xll.BDP("9128282S Govt","ID_CUSIP")</f>
        <v>9128282S8</v>
      </c>
      <c r="T212" t="str">
        <f>_xll.BDP("9128282S Govt","IDX_RATIO")</f>
        <v>#N/A Field Not Applicable</v>
      </c>
    </row>
    <row r="213" spans="1:20" x14ac:dyDescent="0.25">
      <c r="A213" t="s">
        <v>14</v>
      </c>
      <c r="B213" t="str">
        <f>_xll.BDP("912828U8 Govt","TICKER")</f>
        <v>T</v>
      </c>
      <c r="C213">
        <f>_xll.BDP("912828U8 Govt","CPN")</f>
        <v>2</v>
      </c>
      <c r="D213">
        <f>_xll.BDP("912828U8 Govt","YLD_YTM_BID")</f>
        <v>7.7005566124133631E-2</v>
      </c>
      <c r="E213" t="str">
        <f>_xll.BDP("912828U8 Govt","MATURITY")</f>
        <v>12/31/2021</v>
      </c>
      <c r="F213" t="str">
        <f>_xll.BDP("912828U8 Govt","MTY_TYP")</f>
        <v>NORMAL</v>
      </c>
      <c r="G213" t="str">
        <f>_xll.BDP("912828U8 Govt","CRNCY")</f>
        <v>USD</v>
      </c>
      <c r="H213" t="str">
        <f>_xll.BDP("912828U8 Govt","COUNTRY_FULL_NAME")</f>
        <v>UNITED STATES</v>
      </c>
      <c r="I213" t="str">
        <f>_xll.BDP("912828U8 Govt","FIRST_CPN_DT")</f>
        <v>6/30/2017</v>
      </c>
      <c r="J213" t="str">
        <f>_xll.BDP("912828U8 Govt","COUPON_FREQUENCY_DESCRIPTION")</f>
        <v>S/A</v>
      </c>
      <c r="K213" t="str">
        <f>_xll.BDP("912828U8 Govt","CPN_TYP")</f>
        <v>FIXED</v>
      </c>
      <c r="L213" t="str">
        <f>_xll.BDP("912828U8 Govt","ID_ISIN")</f>
        <v>US912828U816</v>
      </c>
      <c r="M213">
        <v>38521000000</v>
      </c>
      <c r="N213">
        <v>38521000000</v>
      </c>
      <c r="O213" t="str">
        <f>_xll.BDP("912828U8 Govt","ISSUE_DT")</f>
        <v>1/3/2017</v>
      </c>
      <c r="P213" t="str">
        <f>_xll.BDP("912828U8 Govt","SECURITY_NAME")</f>
        <v>T 2 12/31/21</v>
      </c>
      <c r="Q213" t="str">
        <f>_xll.BDP("912828U8 Govt","DAY_CNT_DES")</f>
        <v>ACT/ACT</v>
      </c>
      <c r="R213">
        <v>100</v>
      </c>
      <c r="S213" t="str">
        <f>_xll.BDP("912828U8 Govt","ID_CUSIP")</f>
        <v>912828U81</v>
      </c>
      <c r="T213" t="str">
        <f>_xll.BDP("912828U8 Govt","IDX_RATIO")</f>
        <v>#N/A Field Not Applicable</v>
      </c>
    </row>
    <row r="214" spans="1:20" x14ac:dyDescent="0.25">
      <c r="A214" t="s">
        <v>14</v>
      </c>
      <c r="B214" t="str">
        <f>_xll.BDP("9128282P Govt","TICKER")</f>
        <v>T</v>
      </c>
      <c r="C214">
        <f>_xll.BDP("9128282P Govt","CPN")</f>
        <v>1.875</v>
      </c>
      <c r="D214">
        <f>_xll.BDP("9128282P Govt","YLD_YTM_BID")</f>
        <v>9.2498932594467717E-2</v>
      </c>
      <c r="E214" t="str">
        <f>_xll.BDP("9128282P Govt","MATURITY")</f>
        <v>7/31/2022</v>
      </c>
      <c r="F214" t="str">
        <f>_xll.BDP("9128282P Govt","MTY_TYP")</f>
        <v>NORMAL</v>
      </c>
      <c r="G214" t="str">
        <f>_xll.BDP("9128282P Govt","CRNCY")</f>
        <v>USD</v>
      </c>
      <c r="H214" t="str">
        <f>_xll.BDP("9128282P Govt","COUNTRY_FULL_NAME")</f>
        <v>UNITED STATES</v>
      </c>
      <c r="I214" t="str">
        <f>_xll.BDP("9128282P Govt","FIRST_CPN_DT")</f>
        <v>1/31/2018</v>
      </c>
      <c r="J214" t="str">
        <f>_xll.BDP("9128282P Govt","COUPON_FREQUENCY_DESCRIPTION")</f>
        <v>S/A</v>
      </c>
      <c r="K214" t="str">
        <f>_xll.BDP("9128282P Govt","CPN_TYP")</f>
        <v>FIXED</v>
      </c>
      <c r="L214" t="str">
        <f>_xll.BDP("9128282P Govt","ID_ISIN")</f>
        <v>US9128282P40</v>
      </c>
      <c r="M214">
        <v>37457000000</v>
      </c>
      <c r="N214">
        <v>37457000000</v>
      </c>
      <c r="O214" t="str">
        <f>_xll.BDP("9128282P Govt","ISSUE_DT")</f>
        <v>7/31/2017</v>
      </c>
      <c r="P214" t="str">
        <f>_xll.BDP("9128282P Govt","SECURITY_NAME")</f>
        <v>T 1 7/8 07/31/22</v>
      </c>
      <c r="Q214" t="str">
        <f>_xll.BDP("9128282P Govt","DAY_CNT_DES")</f>
        <v>ACT/ACT</v>
      </c>
      <c r="R214">
        <v>100</v>
      </c>
      <c r="S214" t="str">
        <f>_xll.BDP("9128282P Govt","ID_CUSIP")</f>
        <v>9128282P4</v>
      </c>
      <c r="T214" t="str">
        <f>_xll.BDP("9128282P Govt","IDX_RATIO")</f>
        <v>#N/A Field Not Applicable</v>
      </c>
    </row>
    <row r="215" spans="1:20" x14ac:dyDescent="0.25">
      <c r="A215" t="s">
        <v>14</v>
      </c>
      <c r="B215" t="str">
        <f>_xll.BDP("912828T9 Govt","TICKER")</f>
        <v>T</v>
      </c>
      <c r="C215">
        <f>_xll.BDP("912828T9 Govt","CPN")</f>
        <v>1.625</v>
      </c>
      <c r="D215">
        <f>_xll.BDP("912828T9 Govt","YLD_YTM_BID")</f>
        <v>0.30509298186169465</v>
      </c>
      <c r="E215" t="str">
        <f>_xll.BDP("912828T9 Govt","MATURITY")</f>
        <v>10/31/2023</v>
      </c>
      <c r="F215" t="str">
        <f>_xll.BDP("912828T9 Govt","MTY_TYP")</f>
        <v>NORMAL</v>
      </c>
      <c r="G215" t="str">
        <f>_xll.BDP("912828T9 Govt","CRNCY")</f>
        <v>USD</v>
      </c>
      <c r="H215" t="str">
        <f>_xll.BDP("912828T9 Govt","COUNTRY_FULL_NAME")</f>
        <v>UNITED STATES</v>
      </c>
      <c r="I215" t="str">
        <f>_xll.BDP("912828T9 Govt","FIRST_CPN_DT")</f>
        <v>4/30/2017</v>
      </c>
      <c r="J215" t="str">
        <f>_xll.BDP("912828T9 Govt","COUPON_FREQUENCY_DESCRIPTION")</f>
        <v>S/A</v>
      </c>
      <c r="K215" t="str">
        <f>_xll.BDP("912828T9 Govt","CPN_TYP")</f>
        <v>FIXED</v>
      </c>
      <c r="L215" t="str">
        <f>_xll.BDP("912828T9 Govt","ID_ISIN")</f>
        <v>US912828T917</v>
      </c>
      <c r="M215">
        <v>29693000000</v>
      </c>
      <c r="N215">
        <v>29693000000</v>
      </c>
      <c r="O215" t="str">
        <f>_xll.BDP("912828T9 Govt","ISSUE_DT")</f>
        <v>10/31/2016</v>
      </c>
      <c r="P215" t="str">
        <f>_xll.BDP("912828T9 Govt","SECURITY_NAME")</f>
        <v>T 1 5/8 10/31/23</v>
      </c>
      <c r="Q215" t="str">
        <f>_xll.BDP("912828T9 Govt","DAY_CNT_DES")</f>
        <v>ACT/ACT</v>
      </c>
      <c r="R215">
        <v>100</v>
      </c>
      <c r="S215" t="str">
        <f>_xll.BDP("912828T9 Govt","ID_CUSIP")</f>
        <v>912828T91</v>
      </c>
      <c r="T215" t="str">
        <f>_xll.BDP("912828T9 Govt","IDX_RATIO")</f>
        <v>#N/A Field Not Applicable</v>
      </c>
    </row>
    <row r="216" spans="1:20" x14ac:dyDescent="0.25">
      <c r="A216" t="s">
        <v>14</v>
      </c>
      <c r="B216" t="str">
        <f>_xll.BDP("9128283J Govt","TICKER")</f>
        <v>T</v>
      </c>
      <c r="C216">
        <f>_xll.BDP("9128283J Govt","CPN")</f>
        <v>2.125</v>
      </c>
      <c r="D216">
        <f>_xll.BDP("9128283J Govt","YLD_YTM_BID")</f>
        <v>0.5688246635004347</v>
      </c>
      <c r="E216" t="str">
        <f>_xll.BDP("9128283J Govt","MATURITY")</f>
        <v>11/30/2024</v>
      </c>
      <c r="F216" t="str">
        <f>_xll.BDP("9128283J Govt","MTY_TYP")</f>
        <v>NORMAL</v>
      </c>
      <c r="G216" t="str">
        <f>_xll.BDP("9128283J Govt","CRNCY")</f>
        <v>USD</v>
      </c>
      <c r="H216" t="str">
        <f>_xll.BDP("9128283J Govt","COUNTRY_FULL_NAME")</f>
        <v>UNITED STATES</v>
      </c>
      <c r="I216" t="str">
        <f>_xll.BDP("9128283J Govt","FIRST_CPN_DT")</f>
        <v>5/31/2018</v>
      </c>
      <c r="J216" t="str">
        <f>_xll.BDP("9128283J Govt","COUPON_FREQUENCY_DESCRIPTION")</f>
        <v>S/A</v>
      </c>
      <c r="K216" t="str">
        <f>_xll.BDP("9128283J Govt","CPN_TYP")</f>
        <v>FIXED</v>
      </c>
      <c r="L216" t="str">
        <f>_xll.BDP("9128283J Govt","ID_ISIN")</f>
        <v>US9128283J70</v>
      </c>
      <c r="M216">
        <v>29519000000</v>
      </c>
      <c r="N216">
        <v>29519000000</v>
      </c>
      <c r="O216" t="str">
        <f>_xll.BDP("9128283J Govt","ISSUE_DT")</f>
        <v>11/30/2017</v>
      </c>
      <c r="P216" t="str">
        <f>_xll.BDP("9128283J Govt","SECURITY_NAME")</f>
        <v>T 2 1/8 11/30/24</v>
      </c>
      <c r="Q216" t="str">
        <f>_xll.BDP("9128283J Govt","DAY_CNT_DES")</f>
        <v>ACT/ACT</v>
      </c>
      <c r="R216">
        <v>100</v>
      </c>
      <c r="S216" t="str">
        <f>_xll.BDP("9128283J Govt","ID_CUSIP")</f>
        <v>9128283J7</v>
      </c>
      <c r="T216" t="str">
        <f>_xll.BDP("9128283J Govt","IDX_RATIO")</f>
        <v>#N/A Field Not Applicable</v>
      </c>
    </row>
    <row r="217" spans="1:20" x14ac:dyDescent="0.25">
      <c r="A217" t="s">
        <v>14</v>
      </c>
      <c r="B217" t="str">
        <f>_xll.BDP("912828XW Govt","TICKER")</f>
        <v>T</v>
      </c>
      <c r="C217">
        <f>_xll.BDP("912828XW Govt","CPN")</f>
        <v>1.75</v>
      </c>
      <c r="D217">
        <f>_xll.BDP("912828XW Govt","YLD_YTM_BID")</f>
        <v>7.7385251994858073E-2</v>
      </c>
      <c r="E217" t="str">
        <f>_xll.BDP("912828XW Govt","MATURITY")</f>
        <v>6/30/2022</v>
      </c>
      <c r="F217" t="str">
        <f>_xll.BDP("912828XW Govt","MTY_TYP")</f>
        <v>NORMAL</v>
      </c>
      <c r="G217" t="str">
        <f>_xll.BDP("912828XW Govt","CRNCY")</f>
        <v>USD</v>
      </c>
      <c r="H217" t="str">
        <f>_xll.BDP("912828XW Govt","COUNTRY_FULL_NAME")</f>
        <v>UNITED STATES</v>
      </c>
      <c r="I217" t="str">
        <f>_xll.BDP("912828XW Govt","FIRST_CPN_DT")</f>
        <v>12/31/2017</v>
      </c>
      <c r="J217" t="str">
        <f>_xll.BDP("912828XW Govt","COUPON_FREQUENCY_DESCRIPTION")</f>
        <v>S/A</v>
      </c>
      <c r="K217" t="str">
        <f>_xll.BDP("912828XW Govt","CPN_TYP")</f>
        <v>FIXED</v>
      </c>
      <c r="L217" t="str">
        <f>_xll.BDP("912828XW Govt","ID_ISIN")</f>
        <v>US912828XW50</v>
      </c>
      <c r="M217">
        <v>38133000000</v>
      </c>
      <c r="N217">
        <v>38133000000</v>
      </c>
      <c r="O217" t="str">
        <f>_xll.BDP("912828XW Govt","ISSUE_DT")</f>
        <v>6/30/2017</v>
      </c>
      <c r="P217" t="str">
        <f>_xll.BDP("912828XW Govt","SECURITY_NAME")</f>
        <v>T 1 3/4 06/30/22</v>
      </c>
      <c r="Q217" t="str">
        <f>_xll.BDP("912828XW Govt","DAY_CNT_DES")</f>
        <v>ACT/ACT</v>
      </c>
      <c r="R217">
        <v>100</v>
      </c>
      <c r="S217" t="str">
        <f>_xll.BDP("912828XW Govt","ID_CUSIP")</f>
        <v>912828XW5</v>
      </c>
      <c r="T217" t="str">
        <f>_xll.BDP("912828XW Govt","IDX_RATIO")</f>
        <v>#N/A Field Not Applicable</v>
      </c>
    </row>
    <row r="218" spans="1:20" x14ac:dyDescent="0.25">
      <c r="A218" t="s">
        <v>14</v>
      </c>
      <c r="B218" t="str">
        <f>_xll.BDP("9128286M Govt","TICKER")</f>
        <v>T</v>
      </c>
      <c r="C218">
        <f>_xll.BDP("9128286M Govt","CPN")</f>
        <v>2.25</v>
      </c>
      <c r="D218">
        <f>_xll.BDP("9128286M Govt","YLD_YTM_BID")</f>
        <v>6.7466309465865903E-2</v>
      </c>
      <c r="E218" t="str">
        <f>_xll.BDP("9128286M Govt","MATURITY")</f>
        <v>4/15/2022</v>
      </c>
      <c r="F218" t="str">
        <f>_xll.BDP("9128286M Govt","MTY_TYP")</f>
        <v>NORMAL</v>
      </c>
      <c r="G218" t="str">
        <f>_xll.BDP("9128286M Govt","CRNCY")</f>
        <v>USD</v>
      </c>
      <c r="H218" t="str">
        <f>_xll.BDP("9128286M Govt","COUNTRY_FULL_NAME")</f>
        <v>UNITED STATES</v>
      </c>
      <c r="I218" t="str">
        <f>_xll.BDP("9128286M Govt","FIRST_CPN_DT")</f>
        <v>10/15/2019</v>
      </c>
      <c r="J218" t="str">
        <f>_xll.BDP("9128286M Govt","COUPON_FREQUENCY_DESCRIPTION")</f>
        <v>S/A</v>
      </c>
      <c r="K218" t="str">
        <f>_xll.BDP("9128286M Govt","CPN_TYP")</f>
        <v>FIXED</v>
      </c>
      <c r="L218" t="str">
        <f>_xll.BDP("9128286M Govt","ID_ISIN")</f>
        <v>US9128286M72</v>
      </c>
      <c r="M218">
        <v>38006000000</v>
      </c>
      <c r="N218">
        <v>38006000000</v>
      </c>
      <c r="O218" t="str">
        <f>_xll.BDP("9128286M Govt","ISSUE_DT")</f>
        <v>4/15/2019</v>
      </c>
      <c r="P218" t="str">
        <f>_xll.BDP("9128286M Govt","SECURITY_NAME")</f>
        <v>T 2 1/4 04/15/22</v>
      </c>
      <c r="Q218" t="str">
        <f>_xll.BDP("9128286M Govt","DAY_CNT_DES")</f>
        <v>ACT/ACT</v>
      </c>
      <c r="R218">
        <v>100</v>
      </c>
      <c r="S218" t="str">
        <f>_xll.BDP("9128286M Govt","ID_CUSIP")</f>
        <v>9128286M7</v>
      </c>
      <c r="T218" t="str">
        <f>_xll.BDP("9128286M Govt","IDX_RATIO")</f>
        <v>#N/A Field Not Applicable</v>
      </c>
    </row>
    <row r="219" spans="1:20" x14ac:dyDescent="0.25">
      <c r="A219" t="s">
        <v>14</v>
      </c>
      <c r="B219" t="str">
        <f>_xll.BDP("9128287C Govt","TICKER")</f>
        <v>T</v>
      </c>
      <c r="C219">
        <f>_xll.BDP("9128287C Govt","CPN")</f>
        <v>1.75</v>
      </c>
      <c r="D219">
        <f>_xll.BDP("9128287C Govt","YLD_YTM_BID")</f>
        <v>9.4551063582861528E-2</v>
      </c>
      <c r="E219" t="str">
        <f>_xll.BDP("9128287C Govt","MATURITY")</f>
        <v>7/15/2022</v>
      </c>
      <c r="F219" t="str">
        <f>_xll.BDP("9128287C Govt","MTY_TYP")</f>
        <v>NORMAL</v>
      </c>
      <c r="G219" t="str">
        <f>_xll.BDP("9128287C Govt","CRNCY")</f>
        <v>USD</v>
      </c>
      <c r="H219" t="str">
        <f>_xll.BDP("9128287C Govt","COUNTRY_FULL_NAME")</f>
        <v>UNITED STATES</v>
      </c>
      <c r="I219" t="str">
        <f>_xll.BDP("9128287C Govt","FIRST_CPN_DT")</f>
        <v>1/15/2020</v>
      </c>
      <c r="J219" t="str">
        <f>_xll.BDP("9128287C Govt","COUPON_FREQUENCY_DESCRIPTION")</f>
        <v>S/A</v>
      </c>
      <c r="K219" t="str">
        <f>_xll.BDP("9128287C Govt","CPN_TYP")</f>
        <v>FIXED</v>
      </c>
      <c r="L219" t="str">
        <f>_xll.BDP("9128287C Govt","ID_ISIN")</f>
        <v>US9128287C81</v>
      </c>
      <c r="M219">
        <v>38319000000</v>
      </c>
      <c r="N219">
        <v>38319000000</v>
      </c>
      <c r="O219" t="str">
        <f>_xll.BDP("9128287C Govt","ISSUE_DT")</f>
        <v>7/15/2019</v>
      </c>
      <c r="P219" t="str">
        <f>_xll.BDP("9128287C Govt","SECURITY_NAME")</f>
        <v>T 1 3/4 07/15/22</v>
      </c>
      <c r="Q219" t="str">
        <f>_xll.BDP("9128287C Govt","DAY_CNT_DES")</f>
        <v>ACT/ACT</v>
      </c>
      <c r="R219">
        <v>100</v>
      </c>
      <c r="S219" t="str">
        <f>_xll.BDP("9128287C Govt","ID_CUSIP")</f>
        <v>9128287C8</v>
      </c>
      <c r="T219" t="str">
        <f>_xll.BDP("9128287C Govt","IDX_RATIO")</f>
        <v>#N/A Field Not Applicable</v>
      </c>
    </row>
    <row r="220" spans="1:20" x14ac:dyDescent="0.25">
      <c r="A220" t="s">
        <v>14</v>
      </c>
      <c r="B220" t="str">
        <f>_xll.BDP("9128285Z Govt","TICKER")</f>
        <v>T</v>
      </c>
      <c r="C220">
        <f>_xll.BDP("9128285Z Govt","CPN")</f>
        <v>2.5</v>
      </c>
      <c r="D220">
        <f>_xll.BDP("9128285Z Govt","YLD_YTM_BID")</f>
        <v>0.36226078312237087</v>
      </c>
      <c r="E220" t="str">
        <f>_xll.BDP("9128285Z Govt","MATURITY")</f>
        <v>1/31/2024</v>
      </c>
      <c r="F220" t="str">
        <f>_xll.BDP("9128285Z Govt","MTY_TYP")</f>
        <v>NORMAL</v>
      </c>
      <c r="G220" t="str">
        <f>_xll.BDP("9128285Z Govt","CRNCY")</f>
        <v>USD</v>
      </c>
      <c r="H220" t="str">
        <f>_xll.BDP("9128285Z Govt","COUNTRY_FULL_NAME")</f>
        <v>UNITED STATES</v>
      </c>
      <c r="I220" t="str">
        <f>_xll.BDP("9128285Z Govt","FIRST_CPN_DT")</f>
        <v>7/31/2019</v>
      </c>
      <c r="J220" t="str">
        <f>_xll.BDP("9128285Z Govt","COUPON_FREQUENCY_DESCRIPTION")</f>
        <v>S/A</v>
      </c>
      <c r="K220" t="str">
        <f>_xll.BDP("9128285Z Govt","CPN_TYP")</f>
        <v>FIXED</v>
      </c>
      <c r="L220" t="str">
        <f>_xll.BDP("9128285Z Govt","ID_ISIN")</f>
        <v>US9128285Z94</v>
      </c>
      <c r="M220">
        <v>41000000000</v>
      </c>
      <c r="N220">
        <v>41000000000</v>
      </c>
      <c r="O220" t="str">
        <f>_xll.BDP("9128285Z Govt","ISSUE_DT")</f>
        <v>1/31/2019</v>
      </c>
      <c r="P220" t="str">
        <f>_xll.BDP("9128285Z Govt","SECURITY_NAME")</f>
        <v>T 2 1/2 01/31/24</v>
      </c>
      <c r="Q220" t="str">
        <f>_xll.BDP("9128285Z Govt","DAY_CNT_DES")</f>
        <v>ACT/ACT</v>
      </c>
      <c r="R220">
        <v>100</v>
      </c>
      <c r="S220" t="str">
        <f>_xll.BDP("9128285Z Govt","ID_CUSIP")</f>
        <v>9128285Z9</v>
      </c>
      <c r="T220" t="str">
        <f>_xll.BDP("9128285Z Govt","IDX_RATIO")</f>
        <v>#N/A Field Not Applicable</v>
      </c>
    </row>
    <row r="221" spans="1:20" x14ac:dyDescent="0.25">
      <c r="A221" t="s">
        <v>14</v>
      </c>
      <c r="B221" t="str">
        <f>_xll.BDP("912828W8 Govt","TICKER")</f>
        <v>T</v>
      </c>
      <c r="C221">
        <f>_xll.BDP("912828W8 Govt","CPN")</f>
        <v>1.875</v>
      </c>
      <c r="D221">
        <f>_xll.BDP("912828W8 Govt","YLD_YTM_BID")</f>
        <v>6.4754295657042979E-2</v>
      </c>
      <c r="E221" t="str">
        <f>_xll.BDP("912828W8 Govt","MATURITY")</f>
        <v>3/31/2022</v>
      </c>
      <c r="F221" t="str">
        <f>_xll.BDP("912828W8 Govt","MTY_TYP")</f>
        <v>NORMAL</v>
      </c>
      <c r="G221" t="str">
        <f>_xll.BDP("912828W8 Govt","CRNCY")</f>
        <v>USD</v>
      </c>
      <c r="H221" t="str">
        <f>_xll.BDP("912828W8 Govt","COUNTRY_FULL_NAME")</f>
        <v>UNITED STATES</v>
      </c>
      <c r="I221" t="str">
        <f>_xll.BDP("912828W8 Govt","FIRST_CPN_DT")</f>
        <v>9/30/2017</v>
      </c>
      <c r="J221" t="str">
        <f>_xll.BDP("912828W8 Govt","COUPON_FREQUENCY_DESCRIPTION")</f>
        <v>S/A</v>
      </c>
      <c r="K221" t="str">
        <f>_xll.BDP("912828W8 Govt","CPN_TYP")</f>
        <v>FIXED</v>
      </c>
      <c r="L221" t="str">
        <f>_xll.BDP("912828W8 Govt","ID_ISIN")</f>
        <v>US912828W895</v>
      </c>
      <c r="M221">
        <v>38116000000</v>
      </c>
      <c r="N221">
        <v>38116000000</v>
      </c>
      <c r="O221" t="str">
        <f>_xll.BDP("912828W8 Govt","ISSUE_DT")</f>
        <v>3/31/2017</v>
      </c>
      <c r="P221" t="str">
        <f>_xll.BDP("912828W8 Govt","SECURITY_NAME")</f>
        <v>T 1 7/8 03/31/22</v>
      </c>
      <c r="Q221" t="str">
        <f>_xll.BDP("912828W8 Govt","DAY_CNT_DES")</f>
        <v>ACT/ACT</v>
      </c>
      <c r="R221">
        <v>100</v>
      </c>
      <c r="S221" t="str">
        <f>_xll.BDP("912828W8 Govt","ID_CUSIP")</f>
        <v>912828W89</v>
      </c>
      <c r="T221" t="str">
        <f>_xll.BDP("912828W8 Govt","IDX_RATIO")</f>
        <v>#N/A Field Not Applicable</v>
      </c>
    </row>
    <row r="222" spans="1:20" x14ac:dyDescent="0.25">
      <c r="A222" t="s">
        <v>14</v>
      </c>
      <c r="B222" t="str">
        <f>_xll.BDP("912828P3 Govt","TICKER")</f>
        <v>T</v>
      </c>
      <c r="C222">
        <f>_xll.BDP("912828P3 Govt","CPN")</f>
        <v>1.75</v>
      </c>
      <c r="D222">
        <f>_xll.BDP("912828P3 Govt","YLD_YTM_BID")</f>
        <v>0.16190767285544344</v>
      </c>
      <c r="E222" t="str">
        <f>_xll.BDP("912828P3 Govt","MATURITY")</f>
        <v>1/31/2023</v>
      </c>
      <c r="F222" t="str">
        <f>_xll.BDP("912828P3 Govt","MTY_TYP")</f>
        <v>NORMAL</v>
      </c>
      <c r="G222" t="str">
        <f>_xll.BDP("912828P3 Govt","CRNCY")</f>
        <v>USD</v>
      </c>
      <c r="H222" t="str">
        <f>_xll.BDP("912828P3 Govt","COUNTRY_FULL_NAME")</f>
        <v>UNITED STATES</v>
      </c>
      <c r="I222" t="str">
        <f>_xll.BDP("912828P3 Govt","FIRST_CPN_DT")</f>
        <v>7/31/2016</v>
      </c>
      <c r="J222" t="str">
        <f>_xll.BDP("912828P3 Govt","COUPON_FREQUENCY_DESCRIPTION")</f>
        <v>S/A</v>
      </c>
      <c r="K222" t="str">
        <f>_xll.BDP("912828P3 Govt","CPN_TYP")</f>
        <v>FIXED</v>
      </c>
      <c r="L222" t="str">
        <f>_xll.BDP("912828P3 Govt","ID_ISIN")</f>
        <v>US912828P386</v>
      </c>
      <c r="M222">
        <v>29528000000</v>
      </c>
      <c r="N222">
        <v>29521000000</v>
      </c>
      <c r="O222" t="str">
        <f>_xll.BDP("912828P3 Govt","ISSUE_DT")</f>
        <v>2/1/2016</v>
      </c>
      <c r="P222" t="str">
        <f>_xll.BDP("912828P3 Govt","SECURITY_NAME")</f>
        <v>T 1 3/4 01/31/23</v>
      </c>
      <c r="Q222" t="str">
        <f>_xll.BDP("912828P3 Govt","DAY_CNT_DES")</f>
        <v>ACT/ACT</v>
      </c>
      <c r="R222">
        <v>100</v>
      </c>
      <c r="S222" t="str">
        <f>_xll.BDP("912828P3 Govt","ID_CUSIP")</f>
        <v>912828P38</v>
      </c>
      <c r="T222" t="str">
        <f>_xll.BDP("912828P3 Govt","IDX_RATIO")</f>
        <v>#N/A Field Not Applicable</v>
      </c>
    </row>
    <row r="223" spans="1:20" x14ac:dyDescent="0.25">
      <c r="A223" t="s">
        <v>14</v>
      </c>
      <c r="B223" t="str">
        <f>_xll.BDP("912810FG Govt","TICKER")</f>
        <v>T</v>
      </c>
      <c r="C223">
        <f>_xll.BDP("912810FG Govt","CPN")</f>
        <v>5.25</v>
      </c>
      <c r="D223">
        <f>_xll.BDP("912810FG Govt","YLD_YTM_BID")</f>
        <v>1.3184040349548729</v>
      </c>
      <c r="E223" t="str">
        <f>_xll.BDP("912810FG Govt","MATURITY")</f>
        <v>2/15/2029</v>
      </c>
      <c r="F223" t="str">
        <f>_xll.BDP("912810FG Govt","MTY_TYP")</f>
        <v>NORMAL</v>
      </c>
      <c r="G223" t="str">
        <f>_xll.BDP("912810FG Govt","CRNCY")</f>
        <v>USD</v>
      </c>
      <c r="H223" t="str">
        <f>_xll.BDP("912810FG Govt","COUNTRY_FULL_NAME")</f>
        <v>UNITED STATES</v>
      </c>
      <c r="I223" t="str">
        <f>_xll.BDP("912810FG Govt","FIRST_CPN_DT")</f>
        <v>8/15/1999</v>
      </c>
      <c r="J223" t="str">
        <f>_xll.BDP("912810FG Govt","COUPON_FREQUENCY_DESCRIPTION")</f>
        <v>S/A</v>
      </c>
      <c r="K223" t="str">
        <f>_xll.BDP("912810FG Govt","CPN_TYP")</f>
        <v>FIXED</v>
      </c>
      <c r="L223" t="str">
        <f>_xll.BDP("912810FG Govt","ID_ISIN")</f>
        <v>US912810FG86</v>
      </c>
      <c r="M223">
        <v>11350000000</v>
      </c>
      <c r="N223">
        <v>11350000000</v>
      </c>
      <c r="O223" t="str">
        <f>_xll.BDP("912810FG Govt","ISSUE_DT")</f>
        <v>2/16/1999</v>
      </c>
      <c r="P223" t="str">
        <f>_xll.BDP("912810FG Govt","SECURITY_NAME")</f>
        <v>T 5 1/4 02/15/29</v>
      </c>
      <c r="Q223" t="str">
        <f>_xll.BDP("912810FG Govt","DAY_CNT_DES")</f>
        <v>ACT/ACT</v>
      </c>
      <c r="R223">
        <v>100</v>
      </c>
      <c r="S223" t="str">
        <f>_xll.BDP("912810FG Govt","ID_CUSIP")</f>
        <v>912810FG8</v>
      </c>
      <c r="T223" t="str">
        <f>_xll.BDP("912810FG Govt","IDX_RATIO")</f>
        <v>#N/A Field Not Applicable</v>
      </c>
    </row>
    <row r="224" spans="1:20" x14ac:dyDescent="0.25">
      <c r="A224" t="s">
        <v>14</v>
      </c>
      <c r="B224" t="str">
        <f>_xll.BDP("912828X4 Govt","TICKER")</f>
        <v>T</v>
      </c>
      <c r="C224">
        <f>_xll.BDP("912828X4 Govt","CPN")</f>
        <v>1.875</v>
      </c>
      <c r="D224">
        <f>_xll.BDP("912828X4 Govt","YLD_YTM_BID")</f>
        <v>7.2236414229837037E-2</v>
      </c>
      <c r="E224" t="str">
        <f>_xll.BDP("912828X4 Govt","MATURITY")</f>
        <v>4/30/2022</v>
      </c>
      <c r="F224" t="str">
        <f>_xll.BDP("912828X4 Govt","MTY_TYP")</f>
        <v>NORMAL</v>
      </c>
      <c r="G224" t="str">
        <f>_xll.BDP("912828X4 Govt","CRNCY")</f>
        <v>USD</v>
      </c>
      <c r="H224" t="str">
        <f>_xll.BDP("912828X4 Govt","COUNTRY_FULL_NAME")</f>
        <v>UNITED STATES</v>
      </c>
      <c r="I224" t="str">
        <f>_xll.BDP("912828X4 Govt","FIRST_CPN_DT")</f>
        <v>10/31/2017</v>
      </c>
      <c r="J224" t="str">
        <f>_xll.BDP("912828X4 Govt","COUPON_FREQUENCY_DESCRIPTION")</f>
        <v>S/A</v>
      </c>
      <c r="K224" t="str">
        <f>_xll.BDP("912828X4 Govt","CPN_TYP")</f>
        <v>FIXED</v>
      </c>
      <c r="L224" t="str">
        <f>_xll.BDP("912828X4 Govt","ID_ISIN")</f>
        <v>US912828X471</v>
      </c>
      <c r="M224">
        <v>38641000000</v>
      </c>
      <c r="N224">
        <v>38641000000</v>
      </c>
      <c r="O224" t="str">
        <f>_xll.BDP("912828X4 Govt","ISSUE_DT")</f>
        <v>5/1/2017</v>
      </c>
      <c r="P224" t="str">
        <f>_xll.BDP("912828X4 Govt","SECURITY_NAME")</f>
        <v>T 1 7/8 04/30/22</v>
      </c>
      <c r="Q224" t="str">
        <f>_xll.BDP("912828X4 Govt","DAY_CNT_DES")</f>
        <v>ACT/ACT</v>
      </c>
      <c r="R224">
        <v>100</v>
      </c>
      <c r="S224" t="str">
        <f>_xll.BDP("912828X4 Govt","ID_CUSIP")</f>
        <v>912828X47</v>
      </c>
      <c r="T224" t="str">
        <f>_xll.BDP("912828X4 Govt","IDX_RATIO")</f>
        <v>#N/A Field Not Applicable</v>
      </c>
    </row>
    <row r="225" spans="1:20" x14ac:dyDescent="0.25">
      <c r="A225" t="s">
        <v>14</v>
      </c>
      <c r="B225" t="str">
        <f>_xll.BDP("9128286F Govt","TICKER")</f>
        <v>T</v>
      </c>
      <c r="C225">
        <f>_xll.BDP("9128286F Govt","CPN")</f>
        <v>2.5</v>
      </c>
      <c r="D225">
        <f>_xll.BDP("9128286F Govt","YLD_YTM_BID")</f>
        <v>0.86443041821905464</v>
      </c>
      <c r="E225" t="str">
        <f>_xll.BDP("9128286F Govt","MATURITY")</f>
        <v>2/28/2026</v>
      </c>
      <c r="F225" t="str">
        <f>_xll.BDP("9128286F Govt","MTY_TYP")</f>
        <v>NORMAL</v>
      </c>
      <c r="G225" t="str">
        <f>_xll.BDP("9128286F Govt","CRNCY")</f>
        <v>USD</v>
      </c>
      <c r="H225" t="str">
        <f>_xll.BDP("9128286F Govt","COUNTRY_FULL_NAME")</f>
        <v>UNITED STATES</v>
      </c>
      <c r="I225" t="str">
        <f>_xll.BDP("9128286F Govt","FIRST_CPN_DT")</f>
        <v>8/31/2019</v>
      </c>
      <c r="J225" t="str">
        <f>_xll.BDP("9128286F Govt","COUPON_FREQUENCY_DESCRIPTION")</f>
        <v>S/A</v>
      </c>
      <c r="K225" t="str">
        <f>_xll.BDP("9128286F Govt","CPN_TYP")</f>
        <v>FIXED</v>
      </c>
      <c r="L225" t="str">
        <f>_xll.BDP("9128286F Govt","ID_ISIN")</f>
        <v>US9128286F22</v>
      </c>
      <c r="M225">
        <v>33540000000</v>
      </c>
      <c r="N225">
        <v>33540000000</v>
      </c>
      <c r="O225" t="str">
        <f>_xll.BDP("9128286F Govt","ISSUE_DT")</f>
        <v>2/28/2019</v>
      </c>
      <c r="P225" t="str">
        <f>_xll.BDP("9128286F Govt","SECURITY_NAME")</f>
        <v>T 2 1/2 02/28/26</v>
      </c>
      <c r="Q225" t="str">
        <f>_xll.BDP("9128286F Govt","DAY_CNT_DES")</f>
        <v>ACT/ACT</v>
      </c>
      <c r="R225">
        <v>100</v>
      </c>
      <c r="S225" t="str">
        <f>_xll.BDP("9128286F Govt","ID_CUSIP")</f>
        <v>9128286F2</v>
      </c>
      <c r="T225" t="str">
        <f>_xll.BDP("9128286F Govt","IDX_RATIO")</f>
        <v>#N/A Field Not Applicable</v>
      </c>
    </row>
    <row r="226" spans="1:20" x14ac:dyDescent="0.25">
      <c r="A226" t="s">
        <v>14</v>
      </c>
      <c r="B226" t="str">
        <f>_xll.BDP("912810PT Govt","TICKER")</f>
        <v>T</v>
      </c>
      <c r="C226">
        <f>_xll.BDP("912810PT Govt","CPN")</f>
        <v>4.75</v>
      </c>
      <c r="D226">
        <f>_xll.BDP("912810PT Govt","YLD_YTM_BID")</f>
        <v>1.713868753954696</v>
      </c>
      <c r="E226" t="str">
        <f>_xll.BDP("912810PT Govt","MATURITY")</f>
        <v>2/15/2037</v>
      </c>
      <c r="F226" t="str">
        <f>_xll.BDP("912810PT Govt","MTY_TYP")</f>
        <v>NORMAL</v>
      </c>
      <c r="G226" t="str">
        <f>_xll.BDP("912810PT Govt","CRNCY")</f>
        <v>USD</v>
      </c>
      <c r="H226" t="str">
        <f>_xll.BDP("912810PT Govt","COUNTRY_FULL_NAME")</f>
        <v>UNITED STATES</v>
      </c>
      <c r="I226" t="str">
        <f>_xll.BDP("912810PT Govt","FIRST_CPN_DT")</f>
        <v>8/15/2007</v>
      </c>
      <c r="J226" t="str">
        <f>_xll.BDP("912810PT Govt","COUPON_FREQUENCY_DESCRIPTION")</f>
        <v>S/A</v>
      </c>
      <c r="K226" t="str">
        <f>_xll.BDP("912810PT Govt","CPN_TYP")</f>
        <v>FIXED</v>
      </c>
      <c r="L226" t="str">
        <f>_xll.BDP("912810PT Govt","ID_ISIN")</f>
        <v>US912810PT97</v>
      </c>
      <c r="M226">
        <v>16589000000</v>
      </c>
      <c r="N226">
        <v>16589000000</v>
      </c>
      <c r="O226" t="str">
        <f>_xll.BDP("912810PT Govt","ISSUE_DT")</f>
        <v>2/15/2007</v>
      </c>
      <c r="P226" t="str">
        <f>_xll.BDP("912810PT Govt","SECURITY_NAME")</f>
        <v>T 4 3/4 02/15/37</v>
      </c>
      <c r="Q226" t="str">
        <f>_xll.BDP("912810PT Govt","DAY_CNT_DES")</f>
        <v>ACT/ACT</v>
      </c>
      <c r="R226">
        <v>100</v>
      </c>
      <c r="S226" t="str">
        <f>_xll.BDP("912810PT Govt","ID_CUSIP")</f>
        <v>912810PT9</v>
      </c>
      <c r="T226" t="str">
        <f>_xll.BDP("912810PT Govt","IDX_RATIO")</f>
        <v>#N/A Field Not Applicable</v>
      </c>
    </row>
    <row r="227" spans="1:20" x14ac:dyDescent="0.25">
      <c r="A227" t="s">
        <v>14</v>
      </c>
      <c r="B227" t="str">
        <f>_xll.BDP("9128284M Govt","TICKER")</f>
        <v>T</v>
      </c>
      <c r="C227">
        <f>_xll.BDP("9128284M Govt","CPN")</f>
        <v>2.875</v>
      </c>
      <c r="D227">
        <f>_xll.BDP("9128284M Govt","YLD_YTM_BID")</f>
        <v>0.67508579501123989</v>
      </c>
      <c r="E227" t="str">
        <f>_xll.BDP("9128284M Govt","MATURITY")</f>
        <v>4/30/2025</v>
      </c>
      <c r="F227" t="str">
        <f>_xll.BDP("9128284M Govt","MTY_TYP")</f>
        <v>NORMAL</v>
      </c>
      <c r="G227" t="str">
        <f>_xll.BDP("9128284M Govt","CRNCY")</f>
        <v>USD</v>
      </c>
      <c r="H227" t="str">
        <f>_xll.BDP("9128284M Govt","COUNTRY_FULL_NAME")</f>
        <v>UNITED STATES</v>
      </c>
      <c r="I227" t="str">
        <f>_xll.BDP("9128284M Govt","FIRST_CPN_DT")</f>
        <v>10/31/2018</v>
      </c>
      <c r="J227" t="str">
        <f>_xll.BDP("9128284M Govt","COUPON_FREQUENCY_DESCRIPTION")</f>
        <v>S/A</v>
      </c>
      <c r="K227" t="str">
        <f>_xll.BDP("9128284M Govt","CPN_TYP")</f>
        <v>FIXED</v>
      </c>
      <c r="L227" t="str">
        <f>_xll.BDP("9128284M Govt","ID_ISIN")</f>
        <v>US9128284M90</v>
      </c>
      <c r="M227">
        <v>32701000000</v>
      </c>
      <c r="N227">
        <v>32701000000</v>
      </c>
      <c r="O227" t="str">
        <f>_xll.BDP("9128284M Govt","ISSUE_DT")</f>
        <v>4/30/2018</v>
      </c>
      <c r="P227" t="str">
        <f>_xll.BDP("9128284M Govt","SECURITY_NAME")</f>
        <v>T 2 7/8 04/30/25</v>
      </c>
      <c r="Q227" t="str">
        <f>_xll.BDP("9128284M Govt","DAY_CNT_DES")</f>
        <v>ACT/ACT</v>
      </c>
      <c r="R227">
        <v>100</v>
      </c>
      <c r="S227" t="str">
        <f>_xll.BDP("9128284M Govt","ID_CUSIP")</f>
        <v>9128284M9</v>
      </c>
      <c r="T227" t="str">
        <f>_xll.BDP("9128284M Govt","IDX_RATIO")</f>
        <v>#N/A Field Not Applicable</v>
      </c>
    </row>
    <row r="228" spans="1:20" x14ac:dyDescent="0.25">
      <c r="A228" t="s">
        <v>14</v>
      </c>
      <c r="B228" t="str">
        <f>_xll.BDP("9128286H Govt","TICKER")</f>
        <v>T</v>
      </c>
      <c r="C228">
        <f>_xll.BDP("9128286H Govt","CPN")</f>
        <v>2.375</v>
      </c>
      <c r="D228">
        <f>_xll.BDP("9128286H Govt","YLD_YTM_BID")</f>
        <v>5.8789978935065712E-2</v>
      </c>
      <c r="E228" t="str">
        <f>_xll.BDP("9128286H Govt","MATURITY")</f>
        <v>3/15/2022</v>
      </c>
      <c r="F228" t="str">
        <f>_xll.BDP("9128286H Govt","MTY_TYP")</f>
        <v>NORMAL</v>
      </c>
      <c r="G228" t="str">
        <f>_xll.BDP("9128286H Govt","CRNCY")</f>
        <v>USD</v>
      </c>
      <c r="H228" t="str">
        <f>_xll.BDP("9128286H Govt","COUNTRY_FULL_NAME")</f>
        <v>UNITED STATES</v>
      </c>
      <c r="I228" t="str">
        <f>_xll.BDP("9128286H Govt","FIRST_CPN_DT")</f>
        <v>9/15/2019</v>
      </c>
      <c r="J228" t="str">
        <f>_xll.BDP("9128286H Govt","COUPON_FREQUENCY_DESCRIPTION")</f>
        <v>S/A</v>
      </c>
      <c r="K228" t="str">
        <f>_xll.BDP("9128286H Govt","CPN_TYP")</f>
        <v>FIXED</v>
      </c>
      <c r="L228" t="str">
        <f>_xll.BDP("9128286H Govt","ID_ISIN")</f>
        <v>US9128286H87</v>
      </c>
      <c r="M228">
        <v>38000000000</v>
      </c>
      <c r="N228">
        <v>38000000000</v>
      </c>
      <c r="O228" t="str">
        <f>_xll.BDP("9128286H Govt","ISSUE_DT")</f>
        <v>3/15/2019</v>
      </c>
      <c r="P228" t="str">
        <f>_xll.BDP("9128286H Govt","SECURITY_NAME")</f>
        <v>T 2 3/8 03/15/22</v>
      </c>
      <c r="Q228" t="str">
        <f>_xll.BDP("9128286H Govt","DAY_CNT_DES")</f>
        <v>ACT/ACT</v>
      </c>
      <c r="R228">
        <v>100</v>
      </c>
      <c r="S228" t="str">
        <f>_xll.BDP("9128286H Govt","ID_CUSIP")</f>
        <v>9128286H8</v>
      </c>
      <c r="T228" t="str">
        <f>_xll.BDP("9128286H Govt","IDX_RATIO")</f>
        <v>#N/A Field Not Applicable</v>
      </c>
    </row>
    <row r="229" spans="1:20" x14ac:dyDescent="0.25">
      <c r="A229" t="s">
        <v>14</v>
      </c>
      <c r="B229" t="str">
        <f>_xll.BDP("9128285K Govt","TICKER")</f>
        <v>T</v>
      </c>
      <c r="C229">
        <f>_xll.BDP("9128285K Govt","CPN")</f>
        <v>2.875</v>
      </c>
      <c r="D229">
        <f>_xll.BDP("9128285K Govt","YLD_YTM_BID")</f>
        <v>0.3071867730699856</v>
      </c>
      <c r="E229" t="str">
        <f>_xll.BDP("9128285K Govt","MATURITY")</f>
        <v>10/31/2023</v>
      </c>
      <c r="F229" t="str">
        <f>_xll.BDP("9128285K Govt","MTY_TYP")</f>
        <v>NORMAL</v>
      </c>
      <c r="G229" t="str">
        <f>_xll.BDP("9128285K Govt","CRNCY")</f>
        <v>USD</v>
      </c>
      <c r="H229" t="str">
        <f>_xll.BDP("9128285K Govt","COUNTRY_FULL_NAME")</f>
        <v>UNITED STATES</v>
      </c>
      <c r="I229" t="str">
        <f>_xll.BDP("9128285K Govt","FIRST_CPN_DT")</f>
        <v>4/30/2019</v>
      </c>
      <c r="J229" t="str">
        <f>_xll.BDP("9128285K Govt","COUPON_FREQUENCY_DESCRIPTION")</f>
        <v>S/A</v>
      </c>
      <c r="K229" t="str">
        <f>_xll.BDP("9128285K Govt","CPN_TYP")</f>
        <v>FIXED</v>
      </c>
      <c r="L229" t="str">
        <f>_xll.BDP("9128285K Govt","ID_ISIN")</f>
        <v>US9128285K26</v>
      </c>
      <c r="M229">
        <v>39000000000</v>
      </c>
      <c r="N229">
        <v>39000000000</v>
      </c>
      <c r="O229" t="str">
        <f>_xll.BDP("9128285K Govt","ISSUE_DT")</f>
        <v>10/31/2018</v>
      </c>
      <c r="P229" t="str">
        <f>_xll.BDP("9128285K Govt","SECURITY_NAME")</f>
        <v>T 2 7/8 10/31/23</v>
      </c>
      <c r="Q229" t="str">
        <f>_xll.BDP("9128285K Govt","DAY_CNT_DES")</f>
        <v>ACT/ACT</v>
      </c>
      <c r="R229">
        <v>100</v>
      </c>
      <c r="S229" t="str">
        <f>_xll.BDP("9128285K Govt","ID_CUSIP")</f>
        <v>9128285K2</v>
      </c>
      <c r="T229" t="str">
        <f>_xll.BDP("9128285K Govt","IDX_RATIO")</f>
        <v>#N/A Field Not Applicable</v>
      </c>
    </row>
    <row r="230" spans="1:20" x14ac:dyDescent="0.25">
      <c r="A230" t="s">
        <v>14</v>
      </c>
      <c r="B230" t="str">
        <f>_xll.BDP("912828G5 Govt","TICKER")</f>
        <v>T</v>
      </c>
      <c r="C230">
        <f>_xll.BDP("912828G5 Govt","CPN")</f>
        <v>1.875</v>
      </c>
      <c r="D230">
        <f>_xll.BDP("912828G5 Govt","YLD_YTM_BID")</f>
        <v>0.10640597863339869</v>
      </c>
      <c r="E230" t="str">
        <f>_xll.BDP("912828G5 Govt","MATURITY")</f>
        <v>11/30/2021</v>
      </c>
      <c r="F230" t="str">
        <f>_xll.BDP("912828G5 Govt","MTY_TYP")</f>
        <v>NORMAL</v>
      </c>
      <c r="G230" t="str">
        <f>_xll.BDP("912828G5 Govt","CRNCY")</f>
        <v>USD</v>
      </c>
      <c r="H230" t="str">
        <f>_xll.BDP("912828G5 Govt","COUNTRY_FULL_NAME")</f>
        <v>UNITED STATES</v>
      </c>
      <c r="I230" t="str">
        <f>_xll.BDP("912828G5 Govt","FIRST_CPN_DT")</f>
        <v>5/31/2015</v>
      </c>
      <c r="J230" t="str">
        <f>_xll.BDP("912828G5 Govt","COUPON_FREQUENCY_DESCRIPTION")</f>
        <v>S/A</v>
      </c>
      <c r="K230" t="str">
        <f>_xll.BDP("912828G5 Govt","CPN_TYP")</f>
        <v>FIXED</v>
      </c>
      <c r="L230" t="str">
        <f>_xll.BDP("912828G5 Govt","ID_ISIN")</f>
        <v>US912828G534</v>
      </c>
      <c r="M230">
        <v>29000000000</v>
      </c>
      <c r="N230">
        <v>29000000000</v>
      </c>
      <c r="O230" t="str">
        <f>_xll.BDP("912828G5 Govt","ISSUE_DT")</f>
        <v>12/1/2014</v>
      </c>
      <c r="P230" t="str">
        <f>_xll.BDP("912828G5 Govt","SECURITY_NAME")</f>
        <v>T 1 7/8 11/30/21</v>
      </c>
      <c r="Q230" t="str">
        <f>_xll.BDP("912828G5 Govt","DAY_CNT_DES")</f>
        <v>ACT/ACT</v>
      </c>
      <c r="R230">
        <v>100</v>
      </c>
      <c r="S230" t="str">
        <f>_xll.BDP("912828G5 Govt","ID_CUSIP")</f>
        <v>912828G53</v>
      </c>
      <c r="T230" t="str">
        <f>_xll.BDP("912828G5 Govt","IDX_RATIO")</f>
        <v>#N/A Field Not Applicable</v>
      </c>
    </row>
    <row r="231" spans="1:20" x14ac:dyDescent="0.25">
      <c r="A231" t="s">
        <v>14</v>
      </c>
      <c r="B231" t="str">
        <f>_xll.BDP("9128283D Govt","TICKER")</f>
        <v>T</v>
      </c>
      <c r="C231">
        <f>_xll.BDP("9128283D Govt","CPN")</f>
        <v>2.25</v>
      </c>
      <c r="D231">
        <f>_xll.BDP("9128283D Govt","YLD_YTM_BID")</f>
        <v>0.54016194333390433</v>
      </c>
      <c r="E231" t="str">
        <f>_xll.BDP("9128283D Govt","MATURITY")</f>
        <v>10/31/2024</v>
      </c>
      <c r="F231" t="str">
        <f>_xll.BDP("9128283D Govt","MTY_TYP")</f>
        <v>NORMAL</v>
      </c>
      <c r="G231" t="str">
        <f>_xll.BDP("9128283D Govt","CRNCY")</f>
        <v>USD</v>
      </c>
      <c r="H231" t="str">
        <f>_xll.BDP("9128283D Govt","COUNTRY_FULL_NAME")</f>
        <v>UNITED STATES</v>
      </c>
      <c r="I231" t="str">
        <f>_xll.BDP("9128283D Govt","FIRST_CPN_DT")</f>
        <v>4/30/2018</v>
      </c>
      <c r="J231" t="str">
        <f>_xll.BDP("9128283D Govt","COUPON_FREQUENCY_DESCRIPTION")</f>
        <v>S/A</v>
      </c>
      <c r="K231" t="str">
        <f>_xll.BDP("9128283D Govt","CPN_TYP")</f>
        <v>FIXED</v>
      </c>
      <c r="L231" t="str">
        <f>_xll.BDP("9128283D Govt","ID_ISIN")</f>
        <v>US9128283D01</v>
      </c>
      <c r="M231">
        <v>28700000000</v>
      </c>
      <c r="N231">
        <v>28700000000</v>
      </c>
      <c r="O231" t="str">
        <f>_xll.BDP("9128283D Govt","ISSUE_DT")</f>
        <v>10/31/2017</v>
      </c>
      <c r="P231" t="str">
        <f>_xll.BDP("9128283D Govt","SECURITY_NAME")</f>
        <v>T 2 1/4 10/31/24</v>
      </c>
      <c r="Q231" t="str">
        <f>_xll.BDP("9128283D Govt","DAY_CNT_DES")</f>
        <v>ACT/ACT</v>
      </c>
      <c r="R231">
        <v>100</v>
      </c>
      <c r="S231" t="str">
        <f>_xll.BDP("9128283D Govt","ID_CUSIP")</f>
        <v>9128283D0</v>
      </c>
      <c r="T231" t="str">
        <f>_xll.BDP("9128283D Govt","IDX_RATIO")</f>
        <v>#N/A Field Not Applicable</v>
      </c>
    </row>
    <row r="232" spans="1:20" x14ac:dyDescent="0.25">
      <c r="A232" t="s">
        <v>14</v>
      </c>
      <c r="B232" t="str">
        <f>_xll.BDP("912828U6 Govt","TICKER")</f>
        <v>T</v>
      </c>
      <c r="C232">
        <f>_xll.BDP("912828U6 Govt","CPN")</f>
        <v>1.75</v>
      </c>
      <c r="D232">
        <f>_xll.BDP("912828U6 Govt","YLD_YTM_BID")</f>
        <v>0.11140199662488792</v>
      </c>
      <c r="E232" t="str">
        <f>_xll.BDP("912828U6 Govt","MATURITY")</f>
        <v>11/30/2021</v>
      </c>
      <c r="F232" t="str">
        <f>_xll.BDP("912828U6 Govt","MTY_TYP")</f>
        <v>NORMAL</v>
      </c>
      <c r="G232" t="str">
        <f>_xll.BDP("912828U6 Govt","CRNCY")</f>
        <v>USD</v>
      </c>
      <c r="H232" t="str">
        <f>_xll.BDP("912828U6 Govt","COUNTRY_FULL_NAME")</f>
        <v>UNITED STATES</v>
      </c>
      <c r="I232" t="str">
        <f>_xll.BDP("912828U6 Govt","FIRST_CPN_DT")</f>
        <v>5/31/2017</v>
      </c>
      <c r="J232" t="str">
        <f>_xll.BDP("912828U6 Govt","COUPON_FREQUENCY_DESCRIPTION")</f>
        <v>S/A</v>
      </c>
      <c r="K232" t="str">
        <f>_xll.BDP("912828U6 Govt","CPN_TYP")</f>
        <v>FIXED</v>
      </c>
      <c r="L232" t="str">
        <f>_xll.BDP("912828U6 Govt","ID_ISIN")</f>
        <v>US912828U659</v>
      </c>
      <c r="M232">
        <v>37619000000</v>
      </c>
      <c r="N232">
        <v>37619000000</v>
      </c>
      <c r="O232" t="str">
        <f>_xll.BDP("912828U6 Govt","ISSUE_DT")</f>
        <v>11/30/2016</v>
      </c>
      <c r="P232" t="str">
        <f>_xll.BDP("912828U6 Govt","SECURITY_NAME")</f>
        <v>T 1 3/4 11/30/21</v>
      </c>
      <c r="Q232" t="str">
        <f>_xll.BDP("912828U6 Govt","DAY_CNT_DES")</f>
        <v>ACT/ACT</v>
      </c>
      <c r="R232">
        <v>100</v>
      </c>
      <c r="S232" t="str">
        <f>_xll.BDP("912828U6 Govt","ID_CUSIP")</f>
        <v>912828U65</v>
      </c>
      <c r="T232" t="str">
        <f>_xll.BDP("912828U6 Govt","IDX_RATIO")</f>
        <v>#N/A Field Not Applicable</v>
      </c>
    </row>
    <row r="233" spans="1:20" x14ac:dyDescent="0.25">
      <c r="A233" t="s">
        <v>14</v>
      </c>
      <c r="B233" t="str">
        <f>_xll.BDP("9128286U Govt","TICKER")</f>
        <v>T</v>
      </c>
      <c r="C233">
        <f>_xll.BDP("9128286U Govt","CPN")</f>
        <v>2.125</v>
      </c>
      <c r="D233">
        <f>_xll.BDP("9128286U Govt","YLD_YTM_BID")</f>
        <v>7.6915980130937422E-2</v>
      </c>
      <c r="E233" t="str">
        <f>_xll.BDP("9128286U Govt","MATURITY")</f>
        <v>5/15/2022</v>
      </c>
      <c r="F233" t="str">
        <f>_xll.BDP("9128286U Govt","MTY_TYP")</f>
        <v>NORMAL</v>
      </c>
      <c r="G233" t="str">
        <f>_xll.BDP("9128286U Govt","CRNCY")</f>
        <v>USD</v>
      </c>
      <c r="H233" t="str">
        <f>_xll.BDP("9128286U Govt","COUNTRY_FULL_NAME")</f>
        <v>UNITED STATES</v>
      </c>
      <c r="I233" t="str">
        <f>_xll.BDP("9128286U Govt","FIRST_CPN_DT")</f>
        <v>11/15/2019</v>
      </c>
      <c r="J233" t="str">
        <f>_xll.BDP("9128286U Govt","COUPON_FREQUENCY_DESCRIPTION")</f>
        <v>S/A</v>
      </c>
      <c r="K233" t="str">
        <f>_xll.BDP("9128286U Govt","CPN_TYP")</f>
        <v>FIXED</v>
      </c>
      <c r="L233" t="str">
        <f>_xll.BDP("9128286U Govt","ID_ISIN")</f>
        <v>US9128286U98</v>
      </c>
      <c r="M233">
        <v>50945000000</v>
      </c>
      <c r="N233">
        <v>50945000000</v>
      </c>
      <c r="O233" t="str">
        <f>_xll.BDP("9128286U Govt","ISSUE_DT")</f>
        <v>5/15/2019</v>
      </c>
      <c r="P233" t="str">
        <f>_xll.BDP("9128286U Govt","SECURITY_NAME")</f>
        <v>T 2 1/8 05/15/22</v>
      </c>
      <c r="Q233" t="str">
        <f>_xll.BDP("9128286U Govt","DAY_CNT_DES")</f>
        <v>ACT/ACT</v>
      </c>
      <c r="R233">
        <v>100</v>
      </c>
      <c r="S233" t="str">
        <f>_xll.BDP("9128286U Govt","ID_CUSIP")</f>
        <v>9128286U9</v>
      </c>
      <c r="T233" t="str">
        <f>_xll.BDP("9128286U Govt","IDX_RATIO")</f>
        <v>#N/A Field Not Applicable</v>
      </c>
    </row>
    <row r="234" spans="1:20" x14ac:dyDescent="0.25">
      <c r="A234" t="s">
        <v>14</v>
      </c>
      <c r="B234" t="str">
        <f>_xll.BDP("912828Z6 Govt","TICKER")</f>
        <v>T</v>
      </c>
      <c r="C234">
        <f>_xll.BDP("912828Z6 Govt","CPN")</f>
        <v>1.375</v>
      </c>
      <c r="D234">
        <f>_xll.BDP("912828Z6 Govt","YLD_YTM_BID")</f>
        <v>5.9962513335423948E-2</v>
      </c>
      <c r="E234" t="str">
        <f>_xll.BDP("912828Z6 Govt","MATURITY")</f>
        <v>1/31/2022</v>
      </c>
      <c r="F234" t="str">
        <f>_xll.BDP("912828Z6 Govt","MTY_TYP")</f>
        <v>NORMAL</v>
      </c>
      <c r="G234" t="str">
        <f>_xll.BDP("912828Z6 Govt","CRNCY")</f>
        <v>USD</v>
      </c>
      <c r="H234" t="str">
        <f>_xll.BDP("912828Z6 Govt","COUNTRY_FULL_NAME")</f>
        <v>UNITED STATES</v>
      </c>
      <c r="I234" t="str">
        <f>_xll.BDP("912828Z6 Govt","FIRST_CPN_DT")</f>
        <v>7/31/2020</v>
      </c>
      <c r="J234" t="str">
        <f>_xll.BDP("912828Z6 Govt","COUPON_FREQUENCY_DESCRIPTION")</f>
        <v>S/A</v>
      </c>
      <c r="K234" t="str">
        <f>_xll.BDP("912828Z6 Govt","CPN_TYP")</f>
        <v>FIXED</v>
      </c>
      <c r="L234" t="str">
        <f>_xll.BDP("912828Z6 Govt","ID_ISIN")</f>
        <v>US912828Z609</v>
      </c>
      <c r="M234">
        <v>44132000000</v>
      </c>
      <c r="N234">
        <v>44132000000</v>
      </c>
      <c r="O234" t="str">
        <f>_xll.BDP("912828Z6 Govt","ISSUE_DT")</f>
        <v>1/31/2020</v>
      </c>
      <c r="P234" t="str">
        <f>_xll.BDP("912828Z6 Govt","SECURITY_NAME")</f>
        <v>T 1 3/8 01/31/22</v>
      </c>
      <c r="Q234" t="str">
        <f>_xll.BDP("912828Z6 Govt","DAY_CNT_DES")</f>
        <v>ACT/ACT</v>
      </c>
      <c r="R234">
        <v>100</v>
      </c>
      <c r="S234" t="str">
        <f>_xll.BDP("912828Z6 Govt","ID_CUSIP")</f>
        <v>912828Z60</v>
      </c>
      <c r="T234" t="str">
        <f>_xll.BDP("912828Z6 Govt","IDX_RATIO")</f>
        <v>#N/A Field Not Applicable</v>
      </c>
    </row>
    <row r="235" spans="1:20" x14ac:dyDescent="0.25">
      <c r="A235" t="s">
        <v>14</v>
      </c>
      <c r="B235" t="str">
        <f>_xll.BDP("912810RD Govt","TICKER")</f>
        <v>T</v>
      </c>
      <c r="C235">
        <f>_xll.BDP("912810RD Govt","CPN")</f>
        <v>3.75</v>
      </c>
      <c r="D235">
        <f>_xll.BDP("912810RD Govt","YLD_YTM_BID")</f>
        <v>2.0351932428178667</v>
      </c>
      <c r="E235" t="str">
        <f>_xll.BDP("912810RD Govt","MATURITY")</f>
        <v>11/15/2043</v>
      </c>
      <c r="F235" t="str">
        <f>_xll.BDP("912810RD Govt","MTY_TYP")</f>
        <v>NORMAL</v>
      </c>
      <c r="G235" t="str">
        <f>_xll.BDP("912810RD Govt","CRNCY")</f>
        <v>USD</v>
      </c>
      <c r="H235" t="str">
        <f>_xll.BDP("912810RD Govt","COUNTRY_FULL_NAME")</f>
        <v>UNITED STATES</v>
      </c>
      <c r="I235" t="str">
        <f>_xll.BDP("912810RD Govt","FIRST_CPN_DT")</f>
        <v>5/15/2014</v>
      </c>
      <c r="J235" t="str">
        <f>_xll.BDP("912810RD Govt","COUPON_FREQUENCY_DESCRIPTION")</f>
        <v>S/A</v>
      </c>
      <c r="K235" t="str">
        <f>_xll.BDP("912810RD Govt","CPN_TYP")</f>
        <v>FIXED</v>
      </c>
      <c r="L235" t="str">
        <f>_xll.BDP("912810RD Govt","ID_ISIN")</f>
        <v>US912810RD28</v>
      </c>
      <c r="M235">
        <v>41995000000</v>
      </c>
      <c r="N235">
        <v>41995000000</v>
      </c>
      <c r="O235" t="str">
        <f>_xll.BDP("912810RD Govt","ISSUE_DT")</f>
        <v>11/15/2013</v>
      </c>
      <c r="P235" t="str">
        <f>_xll.BDP("912810RD Govt","SECURITY_NAME")</f>
        <v>T 3 3/4 11/15/43</v>
      </c>
      <c r="Q235" t="str">
        <f>_xll.BDP("912810RD Govt","DAY_CNT_DES")</f>
        <v>ACT/ACT</v>
      </c>
      <c r="R235">
        <v>100</v>
      </c>
      <c r="S235" t="str">
        <f>_xll.BDP("912810RD Govt","ID_CUSIP")</f>
        <v>912810RD2</v>
      </c>
      <c r="T235" t="str">
        <f>_xll.BDP("912810RD Govt","IDX_RATIO")</f>
        <v>#N/A Field Not Applicable</v>
      </c>
    </row>
    <row r="236" spans="1:20" x14ac:dyDescent="0.25">
      <c r="A236" t="s">
        <v>14</v>
      </c>
      <c r="B236" t="str">
        <f>_xll.BDP("912828Z8 Govt","TICKER")</f>
        <v>T</v>
      </c>
      <c r="C236">
        <f>_xll.BDP("912828Z8 Govt","CPN")</f>
        <v>1.375</v>
      </c>
      <c r="D236">
        <f>_xll.BDP("912828Z8 Govt","YLD_YTM_BID")</f>
        <v>0.16559871577603127</v>
      </c>
      <c r="E236" t="str">
        <f>_xll.BDP("912828Z8 Govt","MATURITY")</f>
        <v>2/15/2023</v>
      </c>
      <c r="F236" t="str">
        <f>_xll.BDP("912828Z8 Govt","MTY_TYP")</f>
        <v>NORMAL</v>
      </c>
      <c r="G236" t="str">
        <f>_xll.BDP("912828Z8 Govt","CRNCY")</f>
        <v>USD</v>
      </c>
      <c r="H236" t="str">
        <f>_xll.BDP("912828Z8 Govt","COUNTRY_FULL_NAME")</f>
        <v>UNITED STATES</v>
      </c>
      <c r="I236" t="str">
        <f>_xll.BDP("912828Z8 Govt","FIRST_CPN_DT")</f>
        <v>8/15/2020</v>
      </c>
      <c r="J236" t="str">
        <f>_xll.BDP("912828Z8 Govt","COUPON_FREQUENCY_DESCRIPTION")</f>
        <v>S/A</v>
      </c>
      <c r="K236" t="str">
        <f>_xll.BDP("912828Z8 Govt","CPN_TYP")</f>
        <v>FIXED</v>
      </c>
      <c r="L236" t="str">
        <f>_xll.BDP("912828Z8 Govt","ID_ISIN")</f>
        <v>US912828Z864</v>
      </c>
      <c r="M236">
        <v>54900000000</v>
      </c>
      <c r="N236">
        <v>54900000000</v>
      </c>
      <c r="O236" t="str">
        <f>_xll.BDP("912828Z8 Govt","ISSUE_DT")</f>
        <v>2/18/2020</v>
      </c>
      <c r="P236" t="str">
        <f>_xll.BDP("912828Z8 Govt","SECURITY_NAME")</f>
        <v>T 1 3/8 02/15/23</v>
      </c>
      <c r="Q236" t="str">
        <f>_xll.BDP("912828Z8 Govt","DAY_CNT_DES")</f>
        <v>ACT/ACT</v>
      </c>
      <c r="R236">
        <v>100</v>
      </c>
      <c r="S236" t="str">
        <f>_xll.BDP("912828Z8 Govt","ID_CUSIP")</f>
        <v>912828Z86</v>
      </c>
      <c r="T236" t="str">
        <f>_xll.BDP("912828Z8 Govt","IDX_RATIO")</f>
        <v>#N/A Field Not Applicable</v>
      </c>
    </row>
    <row r="237" spans="1:20" x14ac:dyDescent="0.25">
      <c r="A237" t="s">
        <v>14</v>
      </c>
      <c r="B237" t="str">
        <f>_xll.BDP("912810QT Govt","TICKER")</f>
        <v>T</v>
      </c>
      <c r="C237">
        <f>_xll.BDP("912810QT Govt","CPN")</f>
        <v>3.125</v>
      </c>
      <c r="D237">
        <f>_xll.BDP("912810QT Govt","YLD_YTM_BID")</f>
        <v>1.9890487630913047</v>
      </c>
      <c r="E237" t="str">
        <f>_xll.BDP("912810QT Govt","MATURITY")</f>
        <v>11/15/2041</v>
      </c>
      <c r="F237" t="str">
        <f>_xll.BDP("912810QT Govt","MTY_TYP")</f>
        <v>NORMAL</v>
      </c>
      <c r="G237" t="str">
        <f>_xll.BDP("912810QT Govt","CRNCY")</f>
        <v>USD</v>
      </c>
      <c r="H237" t="str">
        <f>_xll.BDP("912810QT Govt","COUNTRY_FULL_NAME")</f>
        <v>UNITED STATES</v>
      </c>
      <c r="I237" t="str">
        <f>_xll.BDP("912810QT Govt","FIRST_CPN_DT")</f>
        <v>5/15/2012</v>
      </c>
      <c r="J237" t="str">
        <f>_xll.BDP("912810QT Govt","COUPON_FREQUENCY_DESCRIPTION")</f>
        <v>S/A</v>
      </c>
      <c r="K237" t="str">
        <f>_xll.BDP("912810QT Govt","CPN_TYP")</f>
        <v>FIXED</v>
      </c>
      <c r="L237" t="str">
        <f>_xll.BDP("912810QT Govt","ID_ISIN")</f>
        <v>US912810QT88</v>
      </c>
      <c r="M237">
        <v>44622000000</v>
      </c>
      <c r="N237">
        <v>44622000000</v>
      </c>
      <c r="O237" t="str">
        <f>_xll.BDP("912810QT Govt","ISSUE_DT")</f>
        <v>11/15/2011</v>
      </c>
      <c r="P237" t="str">
        <f>_xll.BDP("912810QT Govt","SECURITY_NAME")</f>
        <v>T 3 1/8 11/15/41</v>
      </c>
      <c r="Q237" t="str">
        <f>_xll.BDP("912810QT Govt","DAY_CNT_DES")</f>
        <v>ACT/ACT</v>
      </c>
      <c r="R237">
        <v>100</v>
      </c>
      <c r="S237" t="str">
        <f>_xll.BDP("912810QT Govt","ID_CUSIP")</f>
        <v>912810QT8</v>
      </c>
      <c r="T237" t="str">
        <f>_xll.BDP("912810QT Govt","IDX_RATIO")</f>
        <v>#N/A Field Not Applicable</v>
      </c>
    </row>
    <row r="238" spans="1:20" x14ac:dyDescent="0.25">
      <c r="A238" t="s">
        <v>14</v>
      </c>
      <c r="B238" t="str">
        <f>_xll.BDP("912810QK Govt","TICKER")</f>
        <v>T</v>
      </c>
      <c r="C238">
        <f>_xll.BDP("912810QK Govt","CPN")</f>
        <v>3.875</v>
      </c>
      <c r="D238">
        <f>_xll.BDP("912810QK Govt","YLD_YTM_BID")</f>
        <v>1.9230842509156212</v>
      </c>
      <c r="E238" t="str">
        <f>_xll.BDP("912810QK Govt","MATURITY")</f>
        <v>8/15/2040</v>
      </c>
      <c r="F238" t="str">
        <f>_xll.BDP("912810QK Govt","MTY_TYP")</f>
        <v>NORMAL</v>
      </c>
      <c r="G238" t="str">
        <f>_xll.BDP("912810QK Govt","CRNCY")</f>
        <v>USD</v>
      </c>
      <c r="H238" t="str">
        <f>_xll.BDP("912810QK Govt","COUNTRY_FULL_NAME")</f>
        <v>UNITED STATES</v>
      </c>
      <c r="I238" t="str">
        <f>_xll.BDP("912810QK Govt","FIRST_CPN_DT")</f>
        <v>2/15/2011</v>
      </c>
      <c r="J238" t="str">
        <f>_xll.BDP("912810QK Govt","COUPON_FREQUENCY_DESCRIPTION")</f>
        <v>S/A</v>
      </c>
      <c r="K238" t="str">
        <f>_xll.BDP("912810QK Govt","CPN_TYP")</f>
        <v>FIXED</v>
      </c>
      <c r="L238" t="str">
        <f>_xll.BDP("912810QK Govt","ID_ISIN")</f>
        <v>US912810QK79</v>
      </c>
      <c r="M238">
        <v>43213000000</v>
      </c>
      <c r="N238">
        <v>43213000000</v>
      </c>
      <c r="O238" t="str">
        <f>_xll.BDP("912810QK Govt","ISSUE_DT")</f>
        <v>8/16/2010</v>
      </c>
      <c r="P238" t="str">
        <f>_xll.BDP("912810QK Govt","SECURITY_NAME")</f>
        <v>T 3 7/8 08/15/40</v>
      </c>
      <c r="Q238" t="str">
        <f>_xll.BDP("912810QK Govt","DAY_CNT_DES")</f>
        <v>ACT/ACT</v>
      </c>
      <c r="R238">
        <v>100</v>
      </c>
      <c r="S238" t="str">
        <f>_xll.BDP("912810QK Govt","ID_CUSIP")</f>
        <v>912810QK7</v>
      </c>
      <c r="T238" t="str">
        <f>_xll.BDP("912810QK Govt","IDX_RATIO")</f>
        <v>#N/A Field Not Applicable</v>
      </c>
    </row>
    <row r="239" spans="1:20" x14ac:dyDescent="0.25">
      <c r="A239" t="s">
        <v>14</v>
      </c>
      <c r="B239" t="str">
        <f>_xll.BDP("9128285T Govt","TICKER")</f>
        <v>T</v>
      </c>
      <c r="C239">
        <f>_xll.BDP("9128285T Govt","CPN")</f>
        <v>2.625</v>
      </c>
      <c r="D239">
        <f>_xll.BDP("9128285T Govt","YLD_YTM_BID")</f>
        <v>0.83688249847933727</v>
      </c>
      <c r="E239" t="str">
        <f>_xll.BDP("9128285T Govt","MATURITY")</f>
        <v>12/31/2025</v>
      </c>
      <c r="F239" t="str">
        <f>_xll.BDP("9128285T Govt","MTY_TYP")</f>
        <v>NORMAL</v>
      </c>
      <c r="G239" t="str">
        <f>_xll.BDP("9128285T Govt","CRNCY")</f>
        <v>USD</v>
      </c>
      <c r="H239" t="str">
        <f>_xll.BDP("9128285T Govt","COUNTRY_FULL_NAME")</f>
        <v>UNITED STATES</v>
      </c>
      <c r="I239" t="str">
        <f>_xll.BDP("9128285T Govt","FIRST_CPN_DT")</f>
        <v>6/30/2019</v>
      </c>
      <c r="J239" t="str">
        <f>_xll.BDP("9128285T Govt","COUPON_FREQUENCY_DESCRIPTION")</f>
        <v>S/A</v>
      </c>
      <c r="K239" t="str">
        <f>_xll.BDP("9128285T Govt","CPN_TYP")</f>
        <v>FIXED</v>
      </c>
      <c r="L239" t="str">
        <f>_xll.BDP("9128285T Govt","ID_ISIN")</f>
        <v>US9128285T35</v>
      </c>
      <c r="M239">
        <v>32000000000</v>
      </c>
      <c r="N239">
        <v>32000000000</v>
      </c>
      <c r="O239" t="str">
        <f>_xll.BDP("9128285T Govt","ISSUE_DT")</f>
        <v>12/31/2018</v>
      </c>
      <c r="P239" t="str">
        <f>_xll.BDP("9128285T Govt","SECURITY_NAME")</f>
        <v>T 2 5/8 12/31/25</v>
      </c>
      <c r="Q239" t="str">
        <f>_xll.BDP("9128285T Govt","DAY_CNT_DES")</f>
        <v>ACT/ACT</v>
      </c>
      <c r="R239">
        <v>100</v>
      </c>
      <c r="S239" t="str">
        <f>_xll.BDP("9128285T Govt","ID_CUSIP")</f>
        <v>9128285T3</v>
      </c>
      <c r="T239" t="str">
        <f>_xll.BDP("9128285T Govt","IDX_RATIO")</f>
        <v>#N/A Field Not Applicable</v>
      </c>
    </row>
    <row r="240" spans="1:20" x14ac:dyDescent="0.25">
      <c r="A240" t="s">
        <v>14</v>
      </c>
      <c r="B240" t="str">
        <f>_xll.BDP("9128286G Govt","TICKER")</f>
        <v>T</v>
      </c>
      <c r="C240">
        <f>_xll.BDP("9128286G Govt","CPN")</f>
        <v>2.375</v>
      </c>
      <c r="D240">
        <f>_xll.BDP("9128286G Govt","YLD_YTM_BID")</f>
        <v>0.3851466691008944</v>
      </c>
      <c r="E240" t="str">
        <f>_xll.BDP("9128286G Govt","MATURITY")</f>
        <v>2/29/2024</v>
      </c>
      <c r="F240" t="str">
        <f>_xll.BDP("9128286G Govt","MTY_TYP")</f>
        <v>NORMAL</v>
      </c>
      <c r="G240" t="str">
        <f>_xll.BDP("9128286G Govt","CRNCY")</f>
        <v>USD</v>
      </c>
      <c r="H240" t="str">
        <f>_xll.BDP("9128286G Govt","COUNTRY_FULL_NAME")</f>
        <v>UNITED STATES</v>
      </c>
      <c r="I240" t="str">
        <f>_xll.BDP("9128286G Govt","FIRST_CPN_DT")</f>
        <v>8/31/2019</v>
      </c>
      <c r="J240" t="str">
        <f>_xll.BDP("9128286G Govt","COUPON_FREQUENCY_DESCRIPTION")</f>
        <v>S/A</v>
      </c>
      <c r="K240" t="str">
        <f>_xll.BDP("9128286G Govt","CPN_TYP")</f>
        <v>FIXED</v>
      </c>
      <c r="L240" t="str">
        <f>_xll.BDP("9128286G Govt","ID_ISIN")</f>
        <v>US9128286G05</v>
      </c>
      <c r="M240">
        <v>42973000000</v>
      </c>
      <c r="N240">
        <v>42973000000</v>
      </c>
      <c r="O240" t="str">
        <f>_xll.BDP("9128286G Govt","ISSUE_DT")</f>
        <v>2/28/2019</v>
      </c>
      <c r="P240" t="str">
        <f>_xll.BDP("9128286G Govt","SECURITY_NAME")</f>
        <v>T 2 3/8 02/29/24</v>
      </c>
      <c r="Q240" t="str">
        <f>_xll.BDP("9128286G Govt","DAY_CNT_DES")</f>
        <v>ACT/ACT</v>
      </c>
      <c r="R240">
        <v>100</v>
      </c>
      <c r="S240" t="str">
        <f>_xll.BDP("9128286G Govt","ID_CUSIP")</f>
        <v>9128286G0</v>
      </c>
      <c r="T240" t="str">
        <f>_xll.BDP("9128286G Govt","IDX_RATIO")</f>
        <v>#N/A Field Not Applicable</v>
      </c>
    </row>
    <row r="241" spans="1:20" x14ac:dyDescent="0.25">
      <c r="A241" t="s">
        <v>14</v>
      </c>
      <c r="B241" t="str">
        <f>_xll.BDP("9128286Y Govt","TICKER")</f>
        <v>T</v>
      </c>
      <c r="C241">
        <f>_xll.BDP("9128286Y Govt","CPN")</f>
        <v>1.75</v>
      </c>
      <c r="D241">
        <f>_xll.BDP("9128286Y Govt","YLD_YTM_BID")</f>
        <v>8.2096510639176806E-2</v>
      </c>
      <c r="E241" t="str">
        <f>_xll.BDP("9128286Y Govt","MATURITY")</f>
        <v>6/15/2022</v>
      </c>
      <c r="F241" t="str">
        <f>_xll.BDP("9128286Y Govt","MTY_TYP")</f>
        <v>NORMAL</v>
      </c>
      <c r="G241" t="str">
        <f>_xll.BDP("9128286Y Govt","CRNCY")</f>
        <v>USD</v>
      </c>
      <c r="H241" t="str">
        <f>_xll.BDP("9128286Y Govt","COUNTRY_FULL_NAME")</f>
        <v>UNITED STATES</v>
      </c>
      <c r="I241" t="str">
        <f>_xll.BDP("9128286Y Govt","FIRST_CPN_DT")</f>
        <v>12/15/2019</v>
      </c>
      <c r="J241" t="str">
        <f>_xll.BDP("9128286Y Govt","COUPON_FREQUENCY_DESCRIPTION")</f>
        <v>S/A</v>
      </c>
      <c r="K241" t="str">
        <f>_xll.BDP("9128286Y Govt","CPN_TYP")</f>
        <v>FIXED</v>
      </c>
      <c r="L241" t="str">
        <f>_xll.BDP("9128286Y Govt","ID_ISIN")</f>
        <v>US9128286Y11</v>
      </c>
      <c r="M241">
        <v>38000000000</v>
      </c>
      <c r="N241">
        <v>38000000000</v>
      </c>
      <c r="O241" t="str">
        <f>_xll.BDP("9128286Y Govt","ISSUE_DT")</f>
        <v>6/17/2019</v>
      </c>
      <c r="P241" t="str">
        <f>_xll.BDP("9128286Y Govt","SECURITY_NAME")</f>
        <v>T 1 3/4 06/15/22</v>
      </c>
      <c r="Q241" t="str">
        <f>_xll.BDP("9128286Y Govt","DAY_CNT_DES")</f>
        <v>ACT/ACT</v>
      </c>
      <c r="R241">
        <v>100</v>
      </c>
      <c r="S241" t="str">
        <f>_xll.BDP("9128286Y Govt","ID_CUSIP")</f>
        <v>9128286Y1</v>
      </c>
      <c r="T241" t="str">
        <f>_xll.BDP("9128286Y Govt","IDX_RATIO")</f>
        <v>#N/A Field Not Applicable</v>
      </c>
    </row>
    <row r="242" spans="1:20" x14ac:dyDescent="0.25">
      <c r="A242" t="s">
        <v>14</v>
      </c>
      <c r="B242" t="str">
        <f>_xll.BDP("9128283V Govt","TICKER")</f>
        <v>T</v>
      </c>
      <c r="C242">
        <f>_xll.BDP("9128283V Govt","CPN")</f>
        <v>2.5</v>
      </c>
      <c r="D242">
        <f>_xll.BDP("9128283V Govt","YLD_YTM_BID")</f>
        <v>0.60161615888368469</v>
      </c>
      <c r="E242" t="str">
        <f>_xll.BDP("9128283V Govt","MATURITY")</f>
        <v>1/31/2025</v>
      </c>
      <c r="F242" t="str">
        <f>_xll.BDP("9128283V Govt","MTY_TYP")</f>
        <v>NORMAL</v>
      </c>
      <c r="G242" t="str">
        <f>_xll.BDP("9128283V Govt","CRNCY")</f>
        <v>USD</v>
      </c>
      <c r="H242" t="str">
        <f>_xll.BDP("9128283V Govt","COUNTRY_FULL_NAME")</f>
        <v>UNITED STATES</v>
      </c>
      <c r="I242" t="str">
        <f>_xll.BDP("9128283V Govt","FIRST_CPN_DT")</f>
        <v>7/31/2018</v>
      </c>
      <c r="J242" t="str">
        <f>_xll.BDP("9128283V Govt","COUPON_FREQUENCY_DESCRIPTION")</f>
        <v>S/A</v>
      </c>
      <c r="K242" t="str">
        <f>_xll.BDP("9128283V Govt","CPN_TYP")</f>
        <v>FIXED</v>
      </c>
      <c r="L242" t="str">
        <f>_xll.BDP("9128283V Govt","ID_ISIN")</f>
        <v>US9128283V09</v>
      </c>
      <c r="M242">
        <v>32115000000</v>
      </c>
      <c r="N242">
        <v>32115000000</v>
      </c>
      <c r="O242" t="str">
        <f>_xll.BDP("9128283V Govt","ISSUE_DT")</f>
        <v>1/31/2018</v>
      </c>
      <c r="P242" t="str">
        <f>_xll.BDP("9128283V Govt","SECURITY_NAME")</f>
        <v>T 2 1/2 01/31/25</v>
      </c>
      <c r="Q242" t="str">
        <f>_xll.BDP("9128283V Govt","DAY_CNT_DES")</f>
        <v>ACT/ACT</v>
      </c>
      <c r="R242">
        <v>100</v>
      </c>
      <c r="S242" t="str">
        <f>_xll.BDP("9128283V Govt","ID_CUSIP")</f>
        <v>9128283V0</v>
      </c>
      <c r="T242" t="str">
        <f>_xll.BDP("9128283V Govt","IDX_RATIO")</f>
        <v>#N/A Field Not Applicable</v>
      </c>
    </row>
    <row r="243" spans="1:20" x14ac:dyDescent="0.25">
      <c r="A243" t="s">
        <v>14</v>
      </c>
      <c r="B243" t="str">
        <f>_xll.BDP("912810SC Govt","TICKER")</f>
        <v>T</v>
      </c>
      <c r="C243">
        <f>_xll.BDP("912810SC Govt","CPN")</f>
        <v>3.125</v>
      </c>
      <c r="D243">
        <f>_xll.BDP("912810SC Govt","YLD_YTM_BID")</f>
        <v>2.0788420551276712</v>
      </c>
      <c r="E243" t="str">
        <f>_xll.BDP("912810SC Govt","MATURITY")</f>
        <v>5/15/2048</v>
      </c>
      <c r="F243" t="str">
        <f>_xll.BDP("912810SC Govt","MTY_TYP")</f>
        <v>NORMAL</v>
      </c>
      <c r="G243" t="str">
        <f>_xll.BDP("912810SC Govt","CRNCY")</f>
        <v>USD</v>
      </c>
      <c r="H243" t="str">
        <f>_xll.BDP("912810SC Govt","COUNTRY_FULL_NAME")</f>
        <v>UNITED STATES</v>
      </c>
      <c r="I243" t="str">
        <f>_xll.BDP("912810SC Govt","FIRST_CPN_DT")</f>
        <v>11/15/2018</v>
      </c>
      <c r="J243" t="str">
        <f>_xll.BDP("912810SC Govt","COUPON_FREQUENCY_DESCRIPTION")</f>
        <v>S/A</v>
      </c>
      <c r="K243" t="str">
        <f>_xll.BDP("912810SC Govt","CPN_TYP")</f>
        <v>FIXED</v>
      </c>
      <c r="L243" t="str">
        <f>_xll.BDP("912810SC Govt","ID_ISIN")</f>
        <v>US912810SC36</v>
      </c>
      <c r="M243">
        <v>49152000000</v>
      </c>
      <c r="N243">
        <v>49152000000</v>
      </c>
      <c r="O243" t="str">
        <f>_xll.BDP("912810SC Govt","ISSUE_DT")</f>
        <v>5/15/2018</v>
      </c>
      <c r="P243" t="str">
        <f>_xll.BDP("912810SC Govt","SECURITY_NAME")</f>
        <v>T 3 1/8 05/15/48</v>
      </c>
      <c r="Q243" t="str">
        <f>_xll.BDP("912810SC Govt","DAY_CNT_DES")</f>
        <v>ACT/ACT</v>
      </c>
      <c r="R243">
        <v>100</v>
      </c>
      <c r="S243" t="str">
        <f>_xll.BDP("912810SC Govt","ID_CUSIP")</f>
        <v>912810SC3</v>
      </c>
      <c r="T243" t="str">
        <f>_xll.BDP("912810SC Govt","IDX_RATIO")</f>
        <v>#N/A Field Not Applicable</v>
      </c>
    </row>
    <row r="244" spans="1:20" x14ac:dyDescent="0.25">
      <c r="A244" t="s">
        <v>14</v>
      </c>
      <c r="B244" t="str">
        <f>_xll.BDP("912828WZ Govt","TICKER")</f>
        <v>T</v>
      </c>
      <c r="C244">
        <f>_xll.BDP("912828WZ Govt","CPN")</f>
        <v>1.75</v>
      </c>
      <c r="D244">
        <f>_xll.BDP("912828WZ Govt","YLD_YTM_BID")</f>
        <v>7.7917699328323223E-2</v>
      </c>
      <c r="E244" t="str">
        <f>_xll.BDP("912828WZ Govt","MATURITY")</f>
        <v>4/30/2022</v>
      </c>
      <c r="F244" t="str">
        <f>_xll.BDP("912828WZ Govt","MTY_TYP")</f>
        <v>NORMAL</v>
      </c>
      <c r="G244" t="str">
        <f>_xll.BDP("912828WZ Govt","CRNCY")</f>
        <v>USD</v>
      </c>
      <c r="H244" t="str">
        <f>_xll.BDP("912828WZ Govt","COUNTRY_FULL_NAME")</f>
        <v>UNITED STATES</v>
      </c>
      <c r="I244" t="str">
        <f>_xll.BDP("912828WZ Govt","FIRST_CPN_DT")</f>
        <v>10/31/2015</v>
      </c>
      <c r="J244" t="str">
        <f>_xll.BDP("912828WZ Govt","COUPON_FREQUENCY_DESCRIPTION")</f>
        <v>S/A</v>
      </c>
      <c r="K244" t="str">
        <f>_xll.BDP("912828WZ Govt","CPN_TYP")</f>
        <v>FIXED</v>
      </c>
      <c r="L244" t="str">
        <f>_xll.BDP("912828WZ Govt","ID_ISIN")</f>
        <v>US912828WZ90</v>
      </c>
      <c r="M244">
        <v>29106000000</v>
      </c>
      <c r="N244">
        <v>29106000000</v>
      </c>
      <c r="O244" t="str">
        <f>_xll.BDP("912828WZ Govt","ISSUE_DT")</f>
        <v>4/30/2015</v>
      </c>
      <c r="P244" t="str">
        <f>_xll.BDP("912828WZ Govt","SECURITY_NAME")</f>
        <v>T 1 3/4 04/30/22</v>
      </c>
      <c r="Q244" t="str">
        <f>_xll.BDP("912828WZ Govt","DAY_CNT_DES")</f>
        <v>ACT/ACT</v>
      </c>
      <c r="R244">
        <v>100</v>
      </c>
      <c r="S244" t="str">
        <f>_xll.BDP("912828WZ Govt","ID_CUSIP")</f>
        <v>912828WZ9</v>
      </c>
      <c r="T244" t="str">
        <f>_xll.BDP("912828WZ Govt","IDX_RATIO")</f>
        <v>#N/A Field Not Applicable</v>
      </c>
    </row>
    <row r="245" spans="1:20" x14ac:dyDescent="0.25">
      <c r="A245" t="s">
        <v>14</v>
      </c>
      <c r="B245" t="str">
        <f>_xll.BDP("912828R2 Govt","TICKER")</f>
        <v>T</v>
      </c>
      <c r="C245">
        <f>_xll.BDP("912828R2 Govt","CPN")</f>
        <v>1.625</v>
      </c>
      <c r="D245">
        <f>_xll.BDP("912828R2 Govt","YLD_YTM_BID")</f>
        <v>0.20932300556388353</v>
      </c>
      <c r="E245" t="str">
        <f>_xll.BDP("912828R2 Govt","MATURITY")</f>
        <v>4/30/2023</v>
      </c>
      <c r="F245" t="str">
        <f>_xll.BDP("912828R2 Govt","MTY_TYP")</f>
        <v>NORMAL</v>
      </c>
      <c r="G245" t="str">
        <f>_xll.BDP("912828R2 Govt","CRNCY")</f>
        <v>USD</v>
      </c>
      <c r="H245" t="str">
        <f>_xll.BDP("912828R2 Govt","COUNTRY_FULL_NAME")</f>
        <v>UNITED STATES</v>
      </c>
      <c r="I245" t="str">
        <f>_xll.BDP("912828R2 Govt","FIRST_CPN_DT")</f>
        <v>10/31/2016</v>
      </c>
      <c r="J245" t="str">
        <f>_xll.BDP("912828R2 Govt","COUPON_FREQUENCY_DESCRIPTION")</f>
        <v>S/A</v>
      </c>
      <c r="K245" t="str">
        <f>_xll.BDP("912828R2 Govt","CPN_TYP")</f>
        <v>FIXED</v>
      </c>
      <c r="L245" t="str">
        <f>_xll.BDP("912828R2 Govt","ID_ISIN")</f>
        <v>US912828R283</v>
      </c>
      <c r="M245">
        <v>35441000000</v>
      </c>
      <c r="N245">
        <v>35441000000</v>
      </c>
      <c r="O245" t="str">
        <f>_xll.BDP("912828R2 Govt","ISSUE_DT")</f>
        <v>5/2/2016</v>
      </c>
      <c r="P245" t="str">
        <f>_xll.BDP("912828R2 Govt","SECURITY_NAME")</f>
        <v>T 1 5/8 04/30/23</v>
      </c>
      <c r="Q245" t="str">
        <f>_xll.BDP("912828R2 Govt","DAY_CNT_DES")</f>
        <v>ACT/ACT</v>
      </c>
      <c r="R245">
        <v>100</v>
      </c>
      <c r="S245" t="str">
        <f>_xll.BDP("912828R2 Govt","ID_CUSIP")</f>
        <v>912828R28</v>
      </c>
      <c r="T245" t="str">
        <f>_xll.BDP("912828R2 Govt","IDX_RATIO")</f>
        <v>#N/A Field Not Applicable</v>
      </c>
    </row>
    <row r="246" spans="1:20" x14ac:dyDescent="0.25">
      <c r="A246" t="s">
        <v>14</v>
      </c>
      <c r="B246" t="str">
        <f>_xll.BDP("912828U5 Govt","TICKER")</f>
        <v>T</v>
      </c>
      <c r="C246">
        <f>_xll.BDP("912828U5 Govt","CPN")</f>
        <v>2.125</v>
      </c>
      <c r="D246">
        <f>_xll.BDP("912828U5 Govt","YLD_YTM_BID")</f>
        <v>0.31884811974975175</v>
      </c>
      <c r="E246" t="str">
        <f>_xll.BDP("912828U5 Govt","MATURITY")</f>
        <v>11/30/2023</v>
      </c>
      <c r="F246" t="str">
        <f>_xll.BDP("912828U5 Govt","MTY_TYP")</f>
        <v>NORMAL</v>
      </c>
      <c r="G246" t="str">
        <f>_xll.BDP("912828U5 Govt","CRNCY")</f>
        <v>USD</v>
      </c>
      <c r="H246" t="str">
        <f>_xll.BDP("912828U5 Govt","COUNTRY_FULL_NAME")</f>
        <v>UNITED STATES</v>
      </c>
      <c r="I246" t="str">
        <f>_xll.BDP("912828U5 Govt","FIRST_CPN_DT")</f>
        <v>5/31/2017</v>
      </c>
      <c r="J246" t="str">
        <f>_xll.BDP("912828U5 Govt","COUPON_FREQUENCY_DESCRIPTION")</f>
        <v>S/A</v>
      </c>
      <c r="K246" t="str">
        <f>_xll.BDP("912828U5 Govt","CPN_TYP")</f>
        <v>FIXED</v>
      </c>
      <c r="L246" t="str">
        <f>_xll.BDP("912828U5 Govt","ID_ISIN")</f>
        <v>US912828U576</v>
      </c>
      <c r="M246">
        <v>30980000000</v>
      </c>
      <c r="N246">
        <v>30980000000</v>
      </c>
      <c r="O246" t="str">
        <f>_xll.BDP("912828U5 Govt","ISSUE_DT")</f>
        <v>11/30/2016</v>
      </c>
      <c r="P246" t="str">
        <f>_xll.BDP("912828U5 Govt","SECURITY_NAME")</f>
        <v>T 2 1/8 11/30/23</v>
      </c>
      <c r="Q246" t="str">
        <f>_xll.BDP("912828U5 Govt","DAY_CNT_DES")</f>
        <v>ACT/ACT</v>
      </c>
      <c r="R246">
        <v>100</v>
      </c>
      <c r="S246" t="str">
        <f>_xll.BDP("912828U5 Govt","ID_CUSIP")</f>
        <v>912828U57</v>
      </c>
      <c r="T246" t="str">
        <f>_xll.BDP("912828U5 Govt","IDX_RATIO")</f>
        <v>#N/A Field Not Applicable</v>
      </c>
    </row>
    <row r="247" spans="1:20" x14ac:dyDescent="0.25">
      <c r="A247" t="s">
        <v>14</v>
      </c>
      <c r="B247" t="str">
        <f>_xll.BDP("912828H8 Govt","TICKER")</f>
        <v>T</v>
      </c>
      <c r="C247">
        <f>_xll.BDP("912828H8 Govt","CPN")</f>
        <v>1.5</v>
      </c>
      <c r="D247">
        <f>_xll.BDP("912828H8 Govt","YLD_YTM_BID")</f>
        <v>6.2046976980239373E-2</v>
      </c>
      <c r="E247" t="str">
        <f>_xll.BDP("912828H8 Govt","MATURITY")</f>
        <v>1/31/2022</v>
      </c>
      <c r="F247" t="str">
        <f>_xll.BDP("912828H8 Govt","MTY_TYP")</f>
        <v>NORMAL</v>
      </c>
      <c r="G247" t="str">
        <f>_xll.BDP("912828H8 Govt","CRNCY")</f>
        <v>USD</v>
      </c>
      <c r="H247" t="str">
        <f>_xll.BDP("912828H8 Govt","COUNTRY_FULL_NAME")</f>
        <v>UNITED STATES</v>
      </c>
      <c r="I247" t="str">
        <f>_xll.BDP("912828H8 Govt","FIRST_CPN_DT")</f>
        <v>7/31/2015</v>
      </c>
      <c r="J247" t="str">
        <f>_xll.BDP("912828H8 Govt","COUPON_FREQUENCY_DESCRIPTION")</f>
        <v>S/A</v>
      </c>
      <c r="K247" t="str">
        <f>_xll.BDP("912828H8 Govt","CPN_TYP")</f>
        <v>FIXED</v>
      </c>
      <c r="L247" t="str">
        <f>_xll.BDP("912828H8 Govt","ID_ISIN")</f>
        <v>US912828H862</v>
      </c>
      <c r="M247">
        <v>29000000000</v>
      </c>
      <c r="N247">
        <v>29000000000</v>
      </c>
      <c r="O247" t="str">
        <f>_xll.BDP("912828H8 Govt","ISSUE_DT")</f>
        <v>2/2/2015</v>
      </c>
      <c r="P247" t="str">
        <f>_xll.BDP("912828H8 Govt","SECURITY_NAME")</f>
        <v>T 1 1/2 01/31/22</v>
      </c>
      <c r="Q247" t="str">
        <f>_xll.BDP("912828H8 Govt","DAY_CNT_DES")</f>
        <v>ACT/ACT</v>
      </c>
      <c r="R247">
        <v>100</v>
      </c>
      <c r="S247" t="str">
        <f>_xll.BDP("912828H8 Govt","ID_CUSIP")</f>
        <v>912828H86</v>
      </c>
      <c r="T247" t="str">
        <f>_xll.BDP("912828H8 Govt","IDX_RATIO")</f>
        <v>#N/A Field Not Applicable</v>
      </c>
    </row>
    <row r="248" spans="1:20" x14ac:dyDescent="0.25">
      <c r="A248" t="s">
        <v>14</v>
      </c>
      <c r="B248" t="str">
        <f>_xll.BDP("9128285J Govt","TICKER")</f>
        <v>T</v>
      </c>
      <c r="C248">
        <f>_xll.BDP("9128285J Govt","CPN")</f>
        <v>3</v>
      </c>
      <c r="D248">
        <f>_xll.BDP("9128285J Govt","YLD_YTM_BID")</f>
        <v>0.79410384959807023</v>
      </c>
      <c r="E248" t="str">
        <f>_xll.BDP("9128285J Govt","MATURITY")</f>
        <v>10/31/2025</v>
      </c>
      <c r="F248" t="str">
        <f>_xll.BDP("9128285J Govt","MTY_TYP")</f>
        <v>NORMAL</v>
      </c>
      <c r="G248" t="str">
        <f>_xll.BDP("9128285J Govt","CRNCY")</f>
        <v>USD</v>
      </c>
      <c r="H248" t="str">
        <f>_xll.BDP("9128285J Govt","COUNTRY_FULL_NAME")</f>
        <v>UNITED STATES</v>
      </c>
      <c r="I248" t="str">
        <f>_xll.BDP("9128285J Govt","FIRST_CPN_DT")</f>
        <v>4/30/2019</v>
      </c>
      <c r="J248" t="str">
        <f>_xll.BDP("9128285J Govt","COUPON_FREQUENCY_DESCRIPTION")</f>
        <v>S/A</v>
      </c>
      <c r="K248" t="str">
        <f>_xll.BDP("9128285J Govt","CPN_TYP")</f>
        <v>FIXED</v>
      </c>
      <c r="L248" t="str">
        <f>_xll.BDP("9128285J Govt","ID_ISIN")</f>
        <v>US9128285J52</v>
      </c>
      <c r="M248">
        <v>31000000000</v>
      </c>
      <c r="N248">
        <v>31000000000</v>
      </c>
      <c r="O248" t="str">
        <f>_xll.BDP("9128285J Govt","ISSUE_DT")</f>
        <v>10/31/2018</v>
      </c>
      <c r="P248" t="str">
        <f>_xll.BDP("9128285J Govt","SECURITY_NAME")</f>
        <v>T 3 10/31/25</v>
      </c>
      <c r="Q248" t="str">
        <f>_xll.BDP("9128285J Govt","DAY_CNT_DES")</f>
        <v>ACT/ACT</v>
      </c>
      <c r="R248">
        <v>100</v>
      </c>
      <c r="S248" t="str">
        <f>_xll.BDP("9128285J Govt","ID_CUSIP")</f>
        <v>9128285J5</v>
      </c>
      <c r="T248" t="str">
        <f>_xll.BDP("9128285J Govt","IDX_RATIO")</f>
        <v>#N/A Field Not Applicable</v>
      </c>
    </row>
    <row r="249" spans="1:20" x14ac:dyDescent="0.25">
      <c r="A249" t="s">
        <v>14</v>
      </c>
      <c r="B249" t="str">
        <f>_xll.BDP("912828XX Govt","TICKER")</f>
        <v>T</v>
      </c>
      <c r="C249">
        <f>_xll.BDP("912828XX Govt","CPN")</f>
        <v>2</v>
      </c>
      <c r="D249">
        <f>_xll.BDP("912828XX Govt","YLD_YTM_BID")</f>
        <v>0.45956323259445314</v>
      </c>
      <c r="E249" t="str">
        <f>_xll.BDP("912828XX Govt","MATURITY")</f>
        <v>6/30/2024</v>
      </c>
      <c r="F249" t="str">
        <f>_xll.BDP("912828XX Govt","MTY_TYP")</f>
        <v>NORMAL</v>
      </c>
      <c r="G249" t="str">
        <f>_xll.BDP("912828XX Govt","CRNCY")</f>
        <v>USD</v>
      </c>
      <c r="H249" t="str">
        <f>_xll.BDP("912828XX Govt","COUNTRY_FULL_NAME")</f>
        <v>UNITED STATES</v>
      </c>
      <c r="I249" t="str">
        <f>_xll.BDP("912828XX Govt","FIRST_CPN_DT")</f>
        <v>12/31/2017</v>
      </c>
      <c r="J249" t="str">
        <f>_xll.BDP("912828XX Govt","COUPON_FREQUENCY_DESCRIPTION")</f>
        <v>S/A</v>
      </c>
      <c r="K249" t="str">
        <f>_xll.BDP("912828XX Govt","CPN_TYP")</f>
        <v>FIXED</v>
      </c>
      <c r="L249" t="str">
        <f>_xll.BDP("912828XX Govt","ID_ISIN")</f>
        <v>US912828XX34</v>
      </c>
      <c r="M249">
        <v>31404000000</v>
      </c>
      <c r="N249">
        <v>31404000000</v>
      </c>
      <c r="O249" t="str">
        <f>_xll.BDP("912828XX Govt","ISSUE_DT")</f>
        <v>6/30/2017</v>
      </c>
      <c r="P249" t="str">
        <f>_xll.BDP("912828XX Govt","SECURITY_NAME")</f>
        <v>T 2 06/30/24</v>
      </c>
      <c r="Q249" t="str">
        <f>_xll.BDP("912828XX Govt","DAY_CNT_DES")</f>
        <v>ACT/ACT</v>
      </c>
      <c r="R249">
        <v>100</v>
      </c>
      <c r="S249" t="str">
        <f>_xll.BDP("912828XX Govt","ID_CUSIP")</f>
        <v>912828XX3</v>
      </c>
      <c r="T249" t="str">
        <f>_xll.BDP("912828XX Govt","IDX_RATIO")</f>
        <v>#N/A Field Not Applicable</v>
      </c>
    </row>
    <row r="250" spans="1:20" x14ac:dyDescent="0.25">
      <c r="A250" t="s">
        <v>14</v>
      </c>
      <c r="B250" t="str">
        <f>_xll.BDP("912828V2 Govt","TICKER")</f>
        <v>T</v>
      </c>
      <c r="C250">
        <f>_xll.BDP("912828V2 Govt","CPN")</f>
        <v>2.25</v>
      </c>
      <c r="D250">
        <f>_xll.BDP("912828V2 Govt","YLD_YTM_BID")</f>
        <v>0.34183129607964413</v>
      </c>
      <c r="E250" t="str">
        <f>_xll.BDP("912828V2 Govt","MATURITY")</f>
        <v>12/31/2023</v>
      </c>
      <c r="F250" t="str">
        <f>_xll.BDP("912828V2 Govt","MTY_TYP")</f>
        <v>NORMAL</v>
      </c>
      <c r="G250" t="str">
        <f>_xll.BDP("912828V2 Govt","CRNCY")</f>
        <v>USD</v>
      </c>
      <c r="H250" t="str">
        <f>_xll.BDP("912828V2 Govt","COUNTRY_FULL_NAME")</f>
        <v>UNITED STATES</v>
      </c>
      <c r="I250" t="str">
        <f>_xll.BDP("912828V2 Govt","FIRST_CPN_DT")</f>
        <v>6/30/2017</v>
      </c>
      <c r="J250" t="str">
        <f>_xll.BDP("912828V2 Govt","COUPON_FREQUENCY_DESCRIPTION")</f>
        <v>S/A</v>
      </c>
      <c r="K250" t="str">
        <f>_xll.BDP("912828V2 Govt","CPN_TYP")</f>
        <v>FIXED</v>
      </c>
      <c r="L250" t="str">
        <f>_xll.BDP("912828V2 Govt","ID_ISIN")</f>
        <v>US912828V236</v>
      </c>
      <c r="M250">
        <v>31723000000</v>
      </c>
      <c r="N250">
        <v>31723000000</v>
      </c>
      <c r="O250" t="str">
        <f>_xll.BDP("912828V2 Govt","ISSUE_DT")</f>
        <v>1/3/2017</v>
      </c>
      <c r="P250" t="str">
        <f>_xll.BDP("912828V2 Govt","SECURITY_NAME")</f>
        <v>T 2 1/4 12/31/23</v>
      </c>
      <c r="Q250" t="str">
        <f>_xll.BDP("912828V2 Govt","DAY_CNT_DES")</f>
        <v>ACT/ACT</v>
      </c>
      <c r="R250">
        <v>100</v>
      </c>
      <c r="S250" t="str">
        <f>_xll.BDP("912828V2 Govt","ID_CUSIP")</f>
        <v>912828V23</v>
      </c>
      <c r="T250" t="str">
        <f>_xll.BDP("912828V2 Govt","IDX_RATIO")</f>
        <v>#N/A Field Not Applicable</v>
      </c>
    </row>
    <row r="251" spans="1:20" x14ac:dyDescent="0.25">
      <c r="A251" t="s">
        <v>14</v>
      </c>
      <c r="B251" t="str">
        <f>_xll.BDP("9128284Z Govt","TICKER")</f>
        <v>T</v>
      </c>
      <c r="C251">
        <f>_xll.BDP("9128284Z Govt","CPN")</f>
        <v>2.75</v>
      </c>
      <c r="D251">
        <f>_xll.BDP("9128284Z Govt","YLD_YTM_BID")</f>
        <v>0.75626413455876651</v>
      </c>
      <c r="E251" t="str">
        <f>_xll.BDP("9128284Z Govt","MATURITY")</f>
        <v>8/31/2025</v>
      </c>
      <c r="F251" t="str">
        <f>_xll.BDP("9128284Z Govt","MTY_TYP")</f>
        <v>NORMAL</v>
      </c>
      <c r="G251" t="str">
        <f>_xll.BDP("9128284Z Govt","CRNCY")</f>
        <v>USD</v>
      </c>
      <c r="H251" t="str">
        <f>_xll.BDP("9128284Z Govt","COUNTRY_FULL_NAME")</f>
        <v>UNITED STATES</v>
      </c>
      <c r="I251" t="str">
        <f>_xll.BDP("9128284Z Govt","FIRST_CPN_DT")</f>
        <v>2/28/2019</v>
      </c>
      <c r="J251" t="str">
        <f>_xll.BDP("9128284Z Govt","COUPON_FREQUENCY_DESCRIPTION")</f>
        <v>S/A</v>
      </c>
      <c r="K251" t="str">
        <f>_xll.BDP("9128284Z Govt","CPN_TYP")</f>
        <v>FIXED</v>
      </c>
      <c r="L251" t="str">
        <f>_xll.BDP("9128284Z Govt","ID_ISIN")</f>
        <v>US9128284Z04</v>
      </c>
      <c r="M251">
        <v>33185000000</v>
      </c>
      <c r="N251">
        <v>33185000000</v>
      </c>
      <c r="O251" t="str">
        <f>_xll.BDP("9128284Z Govt","ISSUE_DT")</f>
        <v>8/31/2018</v>
      </c>
      <c r="P251" t="str">
        <f>_xll.BDP("9128284Z Govt","SECURITY_NAME")</f>
        <v>T 2 3/4 08/31/25</v>
      </c>
      <c r="Q251" t="str">
        <f>_xll.BDP("9128284Z Govt","DAY_CNT_DES")</f>
        <v>ACT/ACT</v>
      </c>
      <c r="R251">
        <v>100</v>
      </c>
      <c r="S251" t="str">
        <f>_xll.BDP("9128284Z Govt","ID_CUSIP")</f>
        <v>9128284Z0</v>
      </c>
      <c r="T251" t="str">
        <f>_xll.BDP("9128284Z Govt","IDX_RATIO")</f>
        <v>#N/A Field Not Applicable</v>
      </c>
    </row>
    <row r="252" spans="1:20" x14ac:dyDescent="0.25">
      <c r="A252" t="s">
        <v>14</v>
      </c>
      <c r="B252" t="str">
        <f>_xll.BDP("9128282U Govt","TICKER")</f>
        <v>T</v>
      </c>
      <c r="C252">
        <f>_xll.BDP("9128282U Govt","CPN")</f>
        <v>1.875</v>
      </c>
      <c r="D252">
        <f>_xll.BDP("9128282U Govt","YLD_YTM_BID")</f>
        <v>0.49777447328243629</v>
      </c>
      <c r="E252" t="str">
        <f>_xll.BDP("9128282U Govt","MATURITY")</f>
        <v>8/31/2024</v>
      </c>
      <c r="F252" t="str">
        <f>_xll.BDP("9128282U Govt","MTY_TYP")</f>
        <v>NORMAL</v>
      </c>
      <c r="G252" t="str">
        <f>_xll.BDP("9128282U Govt","CRNCY")</f>
        <v>USD</v>
      </c>
      <c r="H252" t="str">
        <f>_xll.BDP("9128282U Govt","COUNTRY_FULL_NAME")</f>
        <v>UNITED STATES</v>
      </c>
      <c r="I252" t="str">
        <f>_xll.BDP("9128282U Govt","FIRST_CPN_DT")</f>
        <v>2/28/2018</v>
      </c>
      <c r="J252" t="str">
        <f>_xll.BDP("9128282U Govt","COUPON_FREQUENCY_DESCRIPTION")</f>
        <v>S/A</v>
      </c>
      <c r="K252" t="str">
        <f>_xll.BDP("9128282U Govt","CPN_TYP")</f>
        <v>FIXED</v>
      </c>
      <c r="L252" t="str">
        <f>_xll.BDP("9128282U Govt","ID_ISIN")</f>
        <v>US9128282U35</v>
      </c>
      <c r="M252">
        <v>28878000000</v>
      </c>
      <c r="N252">
        <v>28878000000</v>
      </c>
      <c r="O252" t="str">
        <f>_xll.BDP("9128282U Govt","ISSUE_DT")</f>
        <v>8/31/2017</v>
      </c>
      <c r="P252" t="str">
        <f>_xll.BDP("9128282U Govt","SECURITY_NAME")</f>
        <v>T 1 7/8 08/31/24</v>
      </c>
      <c r="Q252" t="str">
        <f>_xll.BDP("9128282U Govt","DAY_CNT_DES")</f>
        <v>ACT/ACT</v>
      </c>
      <c r="R252">
        <v>100</v>
      </c>
      <c r="S252" t="str">
        <f>_xll.BDP("9128282U Govt","ID_CUSIP")</f>
        <v>9128282U3</v>
      </c>
      <c r="T252" t="str">
        <f>_xll.BDP("9128282U Govt","IDX_RATIO")</f>
        <v>#N/A Field Not Applicable</v>
      </c>
    </row>
    <row r="253" spans="1:20" x14ac:dyDescent="0.25">
      <c r="A253" t="s">
        <v>14</v>
      </c>
      <c r="B253" t="str">
        <f>_xll.BDP("912810FE Govt","TICKER")</f>
        <v>T</v>
      </c>
      <c r="C253">
        <f>_xll.BDP("912810FE Govt","CPN")</f>
        <v>5.5</v>
      </c>
      <c r="D253">
        <f>_xll.BDP("912810FE Govt","YLD_YTM_BID")</f>
        <v>1.2735633421158374</v>
      </c>
      <c r="E253" t="str">
        <f>_xll.BDP("912810FE Govt","MATURITY")</f>
        <v>8/15/2028</v>
      </c>
      <c r="F253" t="str">
        <f>_xll.BDP("912810FE Govt","MTY_TYP")</f>
        <v>NORMAL</v>
      </c>
      <c r="G253" t="str">
        <f>_xll.BDP("912810FE Govt","CRNCY")</f>
        <v>USD</v>
      </c>
      <c r="H253" t="str">
        <f>_xll.BDP("912810FE Govt","COUNTRY_FULL_NAME")</f>
        <v>UNITED STATES</v>
      </c>
      <c r="I253" t="str">
        <f>_xll.BDP("912810FE Govt","FIRST_CPN_DT")</f>
        <v>2/15/1999</v>
      </c>
      <c r="J253" t="str">
        <f>_xll.BDP("912810FE Govt","COUPON_FREQUENCY_DESCRIPTION")</f>
        <v>S/A</v>
      </c>
      <c r="K253" t="str">
        <f>_xll.BDP("912810FE Govt","CPN_TYP")</f>
        <v>FIXED</v>
      </c>
      <c r="L253" t="str">
        <f>_xll.BDP("912810FE Govt","ID_ISIN")</f>
        <v>US912810FE39</v>
      </c>
      <c r="M253">
        <v>11776000000</v>
      </c>
      <c r="N253">
        <v>11776000000</v>
      </c>
      <c r="O253" t="str">
        <f>_xll.BDP("912810FE Govt","ISSUE_DT")</f>
        <v>8/17/1998</v>
      </c>
      <c r="P253" t="str">
        <f>_xll.BDP("912810FE Govt","SECURITY_NAME")</f>
        <v>T 5 1/2 08/15/28</v>
      </c>
      <c r="Q253" t="str">
        <f>_xll.BDP("912810FE Govt","DAY_CNT_DES")</f>
        <v>ACT/ACT</v>
      </c>
      <c r="R253">
        <v>100</v>
      </c>
      <c r="S253" t="str">
        <f>_xll.BDP("912810FE Govt","ID_CUSIP")</f>
        <v>912810FE3</v>
      </c>
      <c r="T253" t="str">
        <f>_xll.BDP("912810FE Govt","IDX_RATIO")</f>
        <v>#N/A Field Not Applicable</v>
      </c>
    </row>
    <row r="254" spans="1:20" x14ac:dyDescent="0.25">
      <c r="A254" t="s">
        <v>14</v>
      </c>
      <c r="B254" t="str">
        <f>_xll.BDP("912828M4 Govt","TICKER")</f>
        <v>T</v>
      </c>
      <c r="C254">
        <f>_xll.BDP("912828M4 Govt","CPN")</f>
        <v>1.875</v>
      </c>
      <c r="D254">
        <f>_xll.BDP("912828M4 Govt","YLD_YTM_BID")</f>
        <v>0.11040468469238168</v>
      </c>
      <c r="E254" t="str">
        <f>_xll.BDP("912828M4 Govt","MATURITY")</f>
        <v>10/31/2022</v>
      </c>
      <c r="F254" t="str">
        <f>_xll.BDP("912828M4 Govt","MTY_TYP")</f>
        <v>NORMAL</v>
      </c>
      <c r="G254" t="str">
        <f>_xll.BDP("912828M4 Govt","CRNCY")</f>
        <v>USD</v>
      </c>
      <c r="H254" t="str">
        <f>_xll.BDP("912828M4 Govt","COUNTRY_FULL_NAME")</f>
        <v>UNITED STATES</v>
      </c>
      <c r="I254" t="str">
        <f>_xll.BDP("912828M4 Govt","FIRST_CPN_DT")</f>
        <v>4/30/2016</v>
      </c>
      <c r="J254" t="str">
        <f>_xll.BDP("912828M4 Govt","COUPON_FREQUENCY_DESCRIPTION")</f>
        <v>S/A</v>
      </c>
      <c r="K254" t="str">
        <f>_xll.BDP("912828M4 Govt","CPN_TYP")</f>
        <v>FIXED</v>
      </c>
      <c r="L254" t="str">
        <f>_xll.BDP("912828M4 Govt","ID_ISIN")</f>
        <v>US912828M490</v>
      </c>
      <c r="M254">
        <v>29000000000</v>
      </c>
      <c r="N254">
        <v>29000000000</v>
      </c>
      <c r="O254" t="str">
        <f>_xll.BDP("912828M4 Govt","ISSUE_DT")</f>
        <v>11/2/2015</v>
      </c>
      <c r="P254" t="str">
        <f>_xll.BDP("912828M4 Govt","SECURITY_NAME")</f>
        <v>T 1 7/8 10/31/22</v>
      </c>
      <c r="Q254" t="str">
        <f>_xll.BDP("912828M4 Govt","DAY_CNT_DES")</f>
        <v>ACT/ACT</v>
      </c>
      <c r="R254">
        <v>100</v>
      </c>
      <c r="S254" t="str">
        <f>_xll.BDP("912828M4 Govt","ID_CUSIP")</f>
        <v>912828M49</v>
      </c>
      <c r="T254" t="str">
        <f>_xll.BDP("912828M4 Govt","IDX_RATIO")</f>
        <v>#N/A Field Not Applicable</v>
      </c>
    </row>
    <row r="255" spans="1:20" x14ac:dyDescent="0.25">
      <c r="A255" t="s">
        <v>14</v>
      </c>
      <c r="B255" t="str">
        <f>_xll.BDP("912828Y7 Govt","TICKER")</f>
        <v>T</v>
      </c>
      <c r="C255">
        <f>_xll.BDP("912828Y7 Govt","CPN")</f>
        <v>2.875</v>
      </c>
      <c r="D255">
        <f>_xll.BDP("912828Y7 Govt","YLD_YTM_BID")</f>
        <v>0.7376417681765931</v>
      </c>
      <c r="E255" t="str">
        <f>_xll.BDP("912828Y7 Govt","MATURITY")</f>
        <v>7/31/2025</v>
      </c>
      <c r="F255" t="str">
        <f>_xll.BDP("912828Y7 Govt","MTY_TYP")</f>
        <v>NORMAL</v>
      </c>
      <c r="G255" t="str">
        <f>_xll.BDP("912828Y7 Govt","CRNCY")</f>
        <v>USD</v>
      </c>
      <c r="H255" t="str">
        <f>_xll.BDP("912828Y7 Govt","COUNTRY_FULL_NAME")</f>
        <v>UNITED STATES</v>
      </c>
      <c r="I255" t="str">
        <f>_xll.BDP("912828Y7 Govt","FIRST_CPN_DT")</f>
        <v>1/31/2019</v>
      </c>
      <c r="J255" t="str">
        <f>_xll.BDP("912828Y7 Govt","COUPON_FREQUENCY_DESCRIPTION")</f>
        <v>S/A</v>
      </c>
      <c r="K255" t="str">
        <f>_xll.BDP("912828Y7 Govt","CPN_TYP")</f>
        <v>FIXED</v>
      </c>
      <c r="L255" t="str">
        <f>_xll.BDP("912828Y7 Govt","ID_ISIN")</f>
        <v>US912828Y792</v>
      </c>
      <c r="M255">
        <v>31629000000</v>
      </c>
      <c r="N255">
        <v>31629000000</v>
      </c>
      <c r="O255" t="str">
        <f>_xll.BDP("912828Y7 Govt","ISSUE_DT")</f>
        <v>7/31/2018</v>
      </c>
      <c r="P255" t="str">
        <f>_xll.BDP("912828Y7 Govt","SECURITY_NAME")</f>
        <v>T 2 7/8 07/31/25</v>
      </c>
      <c r="Q255" t="str">
        <f>_xll.BDP("912828Y7 Govt","DAY_CNT_DES")</f>
        <v>ACT/ACT</v>
      </c>
      <c r="R255">
        <v>100</v>
      </c>
      <c r="S255" t="str">
        <f>_xll.BDP("912828Y7 Govt","ID_CUSIP")</f>
        <v>912828Y79</v>
      </c>
      <c r="T255" t="str">
        <f>_xll.BDP("912828Y7 Govt","IDX_RATIO")</f>
        <v>#N/A Field Not Applicable</v>
      </c>
    </row>
    <row r="256" spans="1:20" x14ac:dyDescent="0.25">
      <c r="A256" t="s">
        <v>14</v>
      </c>
      <c r="B256" t="str">
        <f>_xll.BDP("9128284X Govt","TICKER")</f>
        <v>T</v>
      </c>
      <c r="C256">
        <f>_xll.BDP("9128284X Govt","CPN")</f>
        <v>2.75</v>
      </c>
      <c r="D256">
        <f>_xll.BDP("9128284X Govt","YLD_YTM_BID")</f>
        <v>0.26936891769462246</v>
      </c>
      <c r="E256" t="str">
        <f>_xll.BDP("9128284X Govt","MATURITY")</f>
        <v>8/31/2023</v>
      </c>
      <c r="F256" t="str">
        <f>_xll.BDP("9128284X Govt","MTY_TYP")</f>
        <v>NORMAL</v>
      </c>
      <c r="G256" t="str">
        <f>_xll.BDP("9128284X Govt","CRNCY")</f>
        <v>USD</v>
      </c>
      <c r="H256" t="str">
        <f>_xll.BDP("9128284X Govt","COUNTRY_FULL_NAME")</f>
        <v>UNITED STATES</v>
      </c>
      <c r="I256" t="str">
        <f>_xll.BDP("9128284X Govt","FIRST_CPN_DT")</f>
        <v>2/28/2019</v>
      </c>
      <c r="J256" t="str">
        <f>_xll.BDP("9128284X Govt","COUPON_FREQUENCY_DESCRIPTION")</f>
        <v>S/A</v>
      </c>
      <c r="K256" t="str">
        <f>_xll.BDP("9128284X Govt","CPN_TYP")</f>
        <v>FIXED</v>
      </c>
      <c r="L256" t="str">
        <f>_xll.BDP("9128284X Govt","ID_ISIN")</f>
        <v>US9128284X55</v>
      </c>
      <c r="M256">
        <v>39608000000</v>
      </c>
      <c r="N256">
        <v>39608000000</v>
      </c>
      <c r="O256" t="str">
        <f>_xll.BDP("9128284X Govt","ISSUE_DT")</f>
        <v>8/31/2018</v>
      </c>
      <c r="P256" t="str">
        <f>_xll.BDP("9128284X Govt","SECURITY_NAME")</f>
        <v>T 2 3/4 08/31/23</v>
      </c>
      <c r="Q256" t="str">
        <f>_xll.BDP("9128284X Govt","DAY_CNT_DES")</f>
        <v>ACT/ACT</v>
      </c>
      <c r="R256">
        <v>100</v>
      </c>
      <c r="S256" t="str">
        <f>_xll.BDP("9128284X Govt","ID_CUSIP")</f>
        <v>9128284X5</v>
      </c>
      <c r="T256" t="str">
        <f>_xll.BDP("9128284X Govt","IDX_RATIO")</f>
        <v>#N/A Field Not Applicable</v>
      </c>
    </row>
    <row r="257" spans="1:20" x14ac:dyDescent="0.25">
      <c r="A257" t="s">
        <v>14</v>
      </c>
      <c r="B257" t="str">
        <f>_xll.BDP("9128284R Govt","TICKER")</f>
        <v>T</v>
      </c>
      <c r="C257">
        <f>_xll.BDP("9128284R Govt","CPN")</f>
        <v>2.875</v>
      </c>
      <c r="D257">
        <f>_xll.BDP("9128284R Govt","YLD_YTM_BID")</f>
        <v>0.69494169643298964</v>
      </c>
      <c r="E257" t="str">
        <f>_xll.BDP("9128284R Govt","MATURITY")</f>
        <v>5/31/2025</v>
      </c>
      <c r="F257" t="str">
        <f>_xll.BDP("9128284R Govt","MTY_TYP")</f>
        <v>NORMAL</v>
      </c>
      <c r="G257" t="str">
        <f>_xll.BDP("9128284R Govt","CRNCY")</f>
        <v>USD</v>
      </c>
      <c r="H257" t="str">
        <f>_xll.BDP("9128284R Govt","COUNTRY_FULL_NAME")</f>
        <v>UNITED STATES</v>
      </c>
      <c r="I257" t="str">
        <f>_xll.BDP("9128284R Govt","FIRST_CPN_DT")</f>
        <v>11/30/2018</v>
      </c>
      <c r="J257" t="str">
        <f>_xll.BDP("9128284R Govt","COUPON_FREQUENCY_DESCRIPTION")</f>
        <v>S/A</v>
      </c>
      <c r="K257" t="str">
        <f>_xll.BDP("9128284R Govt","CPN_TYP")</f>
        <v>FIXED</v>
      </c>
      <c r="L257" t="str">
        <f>_xll.BDP("9128284R Govt","ID_ISIN")</f>
        <v>US9128284R87</v>
      </c>
      <c r="M257">
        <v>35212000000</v>
      </c>
      <c r="N257">
        <v>35212000000</v>
      </c>
      <c r="O257" t="str">
        <f>_xll.BDP("9128284R Govt","ISSUE_DT")</f>
        <v>5/31/2018</v>
      </c>
      <c r="P257" t="str">
        <f>_xll.BDP("9128284R Govt","SECURITY_NAME")</f>
        <v>T 2 7/8 05/31/25</v>
      </c>
      <c r="Q257" t="str">
        <f>_xll.BDP("9128284R Govt","DAY_CNT_DES")</f>
        <v>ACT/ACT</v>
      </c>
      <c r="R257">
        <v>100</v>
      </c>
      <c r="S257" t="str">
        <f>_xll.BDP("9128284R Govt","ID_CUSIP")</f>
        <v>9128284R8</v>
      </c>
      <c r="T257" t="str">
        <f>_xll.BDP("9128284R Govt","IDX_RATIO")</f>
        <v>#N/A Field Not Applicable</v>
      </c>
    </row>
    <row r="258" spans="1:20" x14ac:dyDescent="0.25">
      <c r="A258" t="s">
        <v>14</v>
      </c>
      <c r="B258" t="str">
        <f>_xll.BDP("9128282N Govt","TICKER")</f>
        <v>T</v>
      </c>
      <c r="C258">
        <f>_xll.BDP("9128282N Govt","CPN")</f>
        <v>2.125</v>
      </c>
      <c r="D258">
        <f>_xll.BDP("9128282N Govt","YLD_YTM_BID")</f>
        <v>0.48166061283519157</v>
      </c>
      <c r="E258" t="str">
        <f>_xll.BDP("9128282N Govt","MATURITY")</f>
        <v>7/31/2024</v>
      </c>
      <c r="F258" t="str">
        <f>_xll.BDP("9128282N Govt","MTY_TYP")</f>
        <v>NORMAL</v>
      </c>
      <c r="G258" t="str">
        <f>_xll.BDP("9128282N Govt","CRNCY")</f>
        <v>USD</v>
      </c>
      <c r="H258" t="str">
        <f>_xll.BDP("9128282N Govt","COUNTRY_FULL_NAME")</f>
        <v>UNITED STATES</v>
      </c>
      <c r="I258" t="str">
        <f>_xll.BDP("9128282N Govt","FIRST_CPN_DT")</f>
        <v>1/31/2018</v>
      </c>
      <c r="J258" t="str">
        <f>_xll.BDP("9128282N Govt","COUPON_FREQUENCY_DESCRIPTION")</f>
        <v>S/A</v>
      </c>
      <c r="K258" t="str">
        <f>_xll.BDP("9128282N Govt","CPN_TYP")</f>
        <v>FIXED</v>
      </c>
      <c r="L258" t="str">
        <f>_xll.BDP("9128282N Govt","ID_ISIN")</f>
        <v>US9128282N91</v>
      </c>
      <c r="M258">
        <v>30847000000</v>
      </c>
      <c r="N258">
        <v>30847000000</v>
      </c>
      <c r="O258" t="str">
        <f>_xll.BDP("9128282N Govt","ISSUE_DT")</f>
        <v>7/31/2017</v>
      </c>
      <c r="P258" t="str">
        <f>_xll.BDP("9128282N Govt","SECURITY_NAME")</f>
        <v>T 2 1/8 07/31/24</v>
      </c>
      <c r="Q258" t="str">
        <f>_xll.BDP("9128282N Govt","DAY_CNT_DES")</f>
        <v>ACT/ACT</v>
      </c>
      <c r="R258">
        <v>100</v>
      </c>
      <c r="S258" t="str">
        <f>_xll.BDP("9128282N Govt","ID_CUSIP")</f>
        <v>9128282N9</v>
      </c>
      <c r="T258" t="str">
        <f>_xll.BDP("9128282N Govt","IDX_RATIO")</f>
        <v>#N/A Field Not Applicable</v>
      </c>
    </row>
    <row r="259" spans="1:20" x14ac:dyDescent="0.25">
      <c r="A259" t="s">
        <v>14</v>
      </c>
      <c r="B259" t="str">
        <f>_xll.BDP("912810RH Govt","TICKER")</f>
        <v>T</v>
      </c>
      <c r="C259">
        <f>_xll.BDP("912810RH Govt","CPN")</f>
        <v>3.125</v>
      </c>
      <c r="D259">
        <f>_xll.BDP("912810RH Govt","YLD_YTM_BID")</f>
        <v>2.0627210147241861</v>
      </c>
      <c r="E259" t="str">
        <f>_xll.BDP("912810RH Govt","MATURITY")</f>
        <v>8/15/2044</v>
      </c>
      <c r="F259" t="str">
        <f>_xll.BDP("912810RH Govt","MTY_TYP")</f>
        <v>NORMAL</v>
      </c>
      <c r="G259" t="str">
        <f>_xll.BDP("912810RH Govt","CRNCY")</f>
        <v>USD</v>
      </c>
      <c r="H259" t="str">
        <f>_xll.BDP("912810RH Govt","COUNTRY_FULL_NAME")</f>
        <v>UNITED STATES</v>
      </c>
      <c r="I259" t="str">
        <f>_xll.BDP("912810RH Govt","FIRST_CPN_DT")</f>
        <v>2/15/2015</v>
      </c>
      <c r="J259" t="str">
        <f>_xll.BDP("912810RH Govt","COUPON_FREQUENCY_DESCRIPTION")</f>
        <v>S/A</v>
      </c>
      <c r="K259" t="str">
        <f>_xll.BDP("912810RH Govt","CPN_TYP")</f>
        <v>FIXED</v>
      </c>
      <c r="L259" t="str">
        <f>_xll.BDP("912810RH Govt","ID_ISIN")</f>
        <v>US912810RH32</v>
      </c>
      <c r="M259">
        <v>42000000000</v>
      </c>
      <c r="N259">
        <v>42000000000</v>
      </c>
      <c r="O259" t="str">
        <f>_xll.BDP("912810RH Govt","ISSUE_DT")</f>
        <v>8/15/2014</v>
      </c>
      <c r="P259" t="str">
        <f>_xll.BDP("912810RH Govt","SECURITY_NAME")</f>
        <v>T 3 1/8 08/15/44</v>
      </c>
      <c r="Q259" t="str">
        <f>_xll.BDP("912810RH Govt","DAY_CNT_DES")</f>
        <v>ACT/ACT</v>
      </c>
      <c r="R259">
        <v>100</v>
      </c>
      <c r="S259" t="str">
        <f>_xll.BDP("912810RH Govt","ID_CUSIP")</f>
        <v>912810RH3</v>
      </c>
      <c r="T259" t="str">
        <f>_xll.BDP("912810RH Govt","IDX_RATIO")</f>
        <v>#N/A Field Not Applicable</v>
      </c>
    </row>
    <row r="260" spans="1:20" x14ac:dyDescent="0.25">
      <c r="A260" t="s">
        <v>14</v>
      </c>
      <c r="B260" t="str">
        <f>_xll.BDP("9128282D Govt","TICKER")</f>
        <v>T</v>
      </c>
      <c r="C260">
        <f>_xll.BDP("9128282D Govt","CPN")</f>
        <v>1.375</v>
      </c>
      <c r="D260">
        <f>_xll.BDP("9128282D Govt","YLD_YTM_BID")</f>
        <v>0.27177352457305881</v>
      </c>
      <c r="E260" t="str">
        <f>_xll.BDP("9128282D Govt","MATURITY")</f>
        <v>8/31/2023</v>
      </c>
      <c r="F260" t="str">
        <f>_xll.BDP("9128282D Govt","MTY_TYP")</f>
        <v>NORMAL</v>
      </c>
      <c r="G260" t="str">
        <f>_xll.BDP("9128282D Govt","CRNCY")</f>
        <v>USD</v>
      </c>
      <c r="H260" t="str">
        <f>_xll.BDP("9128282D Govt","COUNTRY_FULL_NAME")</f>
        <v>UNITED STATES</v>
      </c>
      <c r="I260" t="str">
        <f>_xll.BDP("9128282D Govt","FIRST_CPN_DT")</f>
        <v>2/28/2017</v>
      </c>
      <c r="J260" t="str">
        <f>_xll.BDP("9128282D Govt","COUPON_FREQUENCY_DESCRIPTION")</f>
        <v>S/A</v>
      </c>
      <c r="K260" t="str">
        <f>_xll.BDP("9128282D Govt","CPN_TYP")</f>
        <v>FIXED</v>
      </c>
      <c r="L260" t="str">
        <f>_xll.BDP("9128282D Govt","ID_ISIN")</f>
        <v>US9128282D10</v>
      </c>
      <c r="M260">
        <v>29915000000</v>
      </c>
      <c r="N260">
        <v>29915000000</v>
      </c>
      <c r="O260" t="str">
        <f>_xll.BDP("9128282D Govt","ISSUE_DT")</f>
        <v>8/31/2016</v>
      </c>
      <c r="P260" t="str">
        <f>_xll.BDP("9128282D Govt","SECURITY_NAME")</f>
        <v>T 1 3/8 08/31/23</v>
      </c>
      <c r="Q260" t="str">
        <f>_xll.BDP("9128282D Govt","DAY_CNT_DES")</f>
        <v>ACT/ACT</v>
      </c>
      <c r="R260">
        <v>100</v>
      </c>
      <c r="S260" t="str">
        <f>_xll.BDP("9128282D Govt","ID_CUSIP")</f>
        <v>9128282D1</v>
      </c>
      <c r="T260" t="str">
        <f>_xll.BDP("9128282D Govt","IDX_RATIO")</f>
        <v>#N/A Field Not Applicable</v>
      </c>
    </row>
    <row r="261" spans="1:20" x14ac:dyDescent="0.25">
      <c r="A261" t="s">
        <v>14</v>
      </c>
      <c r="B261" t="str">
        <f>_xll.BDP("9128283Z Govt","TICKER")</f>
        <v>T</v>
      </c>
      <c r="C261">
        <f>_xll.BDP("9128283Z Govt","CPN")</f>
        <v>2.75</v>
      </c>
      <c r="D261">
        <f>_xll.BDP("9128283Z Govt","YLD_YTM_BID")</f>
        <v>0.62887412992494118</v>
      </c>
      <c r="E261" t="str">
        <f>_xll.BDP("9128283Z Govt","MATURITY")</f>
        <v>2/28/2025</v>
      </c>
      <c r="F261" t="str">
        <f>_xll.BDP("9128283Z Govt","MTY_TYP")</f>
        <v>NORMAL</v>
      </c>
      <c r="G261" t="str">
        <f>_xll.BDP("9128283Z Govt","CRNCY")</f>
        <v>USD</v>
      </c>
      <c r="H261" t="str">
        <f>_xll.BDP("9128283Z Govt","COUNTRY_FULL_NAME")</f>
        <v>UNITED STATES</v>
      </c>
      <c r="I261" t="str">
        <f>_xll.BDP("9128283Z Govt","FIRST_CPN_DT")</f>
        <v>8/31/2018</v>
      </c>
      <c r="J261" t="str">
        <f>_xll.BDP("9128283Z Govt","COUPON_FREQUENCY_DESCRIPTION")</f>
        <v>S/A</v>
      </c>
      <c r="K261" t="str">
        <f>_xll.BDP("9128283Z Govt","CPN_TYP")</f>
        <v>FIXED</v>
      </c>
      <c r="L261" t="str">
        <f>_xll.BDP("9128283Z Govt","ID_ISIN")</f>
        <v>US9128283Z13</v>
      </c>
      <c r="M261">
        <v>36070000000</v>
      </c>
      <c r="N261">
        <v>36070000000</v>
      </c>
      <c r="O261" t="str">
        <f>_xll.BDP("9128283Z Govt","ISSUE_DT")</f>
        <v>2/28/2018</v>
      </c>
      <c r="P261" t="str">
        <f>_xll.BDP("9128283Z Govt","SECURITY_NAME")</f>
        <v>T 2 3/4 02/28/25</v>
      </c>
      <c r="Q261" t="str">
        <f>_xll.BDP("9128283Z Govt","DAY_CNT_DES")</f>
        <v>ACT/ACT</v>
      </c>
      <c r="R261">
        <v>100</v>
      </c>
      <c r="S261" t="str">
        <f>_xll.BDP("9128283Z Govt","ID_CUSIP")</f>
        <v>9128283Z1</v>
      </c>
      <c r="T261" t="str">
        <f>_xll.BDP("9128283Z Govt","IDX_RATIO")</f>
        <v>#N/A Field Not Applicable</v>
      </c>
    </row>
    <row r="262" spans="1:20" x14ac:dyDescent="0.25">
      <c r="A262" t="s">
        <v>14</v>
      </c>
      <c r="B262" t="str">
        <f>_xll.BDP("912828V7 Govt","TICKER")</f>
        <v>T</v>
      </c>
      <c r="C262">
        <f>_xll.BDP("912828V7 Govt","CPN")</f>
        <v>1.875</v>
      </c>
      <c r="D262">
        <f>_xll.BDP("912828V7 Govt","YLD_YTM_BID")</f>
        <v>6.8285044664652725E-2</v>
      </c>
      <c r="E262" t="str">
        <f>_xll.BDP("912828V7 Govt","MATURITY")</f>
        <v>1/31/2022</v>
      </c>
      <c r="F262" t="str">
        <f>_xll.BDP("912828V7 Govt","MTY_TYP")</f>
        <v>NORMAL</v>
      </c>
      <c r="G262" t="str">
        <f>_xll.BDP("912828V7 Govt","CRNCY")</f>
        <v>USD</v>
      </c>
      <c r="H262" t="str">
        <f>_xll.BDP("912828V7 Govt","COUNTRY_FULL_NAME")</f>
        <v>UNITED STATES</v>
      </c>
      <c r="I262" t="str">
        <f>_xll.BDP("912828V7 Govt","FIRST_CPN_DT")</f>
        <v>7/31/2017</v>
      </c>
      <c r="J262" t="str">
        <f>_xll.BDP("912828V7 Govt","COUPON_FREQUENCY_DESCRIPTION")</f>
        <v>S/A</v>
      </c>
      <c r="K262" t="str">
        <f>_xll.BDP("912828V7 Govt","CPN_TYP")</f>
        <v>FIXED</v>
      </c>
      <c r="L262" t="str">
        <f>_xll.BDP("912828V7 Govt","ID_ISIN")</f>
        <v>US912828V723</v>
      </c>
      <c r="M262">
        <v>36156000000</v>
      </c>
      <c r="N262">
        <v>36156000000</v>
      </c>
      <c r="O262" t="str">
        <f>_xll.BDP("912828V7 Govt","ISSUE_DT")</f>
        <v>1/31/2017</v>
      </c>
      <c r="P262" t="str">
        <f>_xll.BDP("912828V7 Govt","SECURITY_NAME")</f>
        <v>T 1 7/8 01/31/22</v>
      </c>
      <c r="Q262" t="str">
        <f>_xll.BDP("912828V7 Govt","DAY_CNT_DES")</f>
        <v>ACT/ACT</v>
      </c>
      <c r="R262">
        <v>100</v>
      </c>
      <c r="S262" t="str">
        <f>_xll.BDP("912828V7 Govt","ID_CUSIP")</f>
        <v>912828V72</v>
      </c>
      <c r="T262" t="str">
        <f>_xll.BDP("912828V7 Govt","IDX_RATIO")</f>
        <v>#N/A Field Not Applicable</v>
      </c>
    </row>
    <row r="263" spans="1:20" x14ac:dyDescent="0.25">
      <c r="A263" t="s">
        <v>14</v>
      </c>
      <c r="B263" t="str">
        <f>_xll.BDP("912810RC Govt","TICKER")</f>
        <v>T</v>
      </c>
      <c r="C263">
        <f>_xll.BDP("912810RC Govt","CPN")</f>
        <v>3.625</v>
      </c>
      <c r="D263">
        <f>_xll.BDP("912810RC Govt","YLD_YTM_BID")</f>
        <v>2.0343590267320617</v>
      </c>
      <c r="E263" t="str">
        <f>_xll.BDP("912810RC Govt","MATURITY")</f>
        <v>8/15/2043</v>
      </c>
      <c r="F263" t="str">
        <f>_xll.BDP("912810RC Govt","MTY_TYP")</f>
        <v>NORMAL</v>
      </c>
      <c r="G263" t="str">
        <f>_xll.BDP("912810RC Govt","CRNCY")</f>
        <v>USD</v>
      </c>
      <c r="H263" t="str">
        <f>_xll.BDP("912810RC Govt","COUNTRY_FULL_NAME")</f>
        <v>UNITED STATES</v>
      </c>
      <c r="I263" t="str">
        <f>_xll.BDP("912810RC Govt","FIRST_CPN_DT")</f>
        <v>2/15/2014</v>
      </c>
      <c r="J263" t="str">
        <f>_xll.BDP("912810RC Govt","COUPON_FREQUENCY_DESCRIPTION")</f>
        <v>S/A</v>
      </c>
      <c r="K263" t="str">
        <f>_xll.BDP("912810RC Govt","CPN_TYP")</f>
        <v>FIXED</v>
      </c>
      <c r="L263" t="str">
        <f>_xll.BDP("912810RC Govt","ID_ISIN")</f>
        <v>US912810RC45</v>
      </c>
      <c r="M263">
        <v>41999000000</v>
      </c>
      <c r="N263">
        <v>41999000000</v>
      </c>
      <c r="O263" t="str">
        <f>_xll.BDP("912810RC Govt","ISSUE_DT")</f>
        <v>8/15/2013</v>
      </c>
      <c r="P263" t="str">
        <f>_xll.BDP("912810RC Govt","SECURITY_NAME")</f>
        <v>T 3 5/8 08/15/43</v>
      </c>
      <c r="Q263" t="str">
        <f>_xll.BDP("912810RC Govt","DAY_CNT_DES")</f>
        <v>ACT/ACT</v>
      </c>
      <c r="R263">
        <v>100</v>
      </c>
      <c r="S263" t="str">
        <f>_xll.BDP("912810RC Govt","ID_CUSIP")</f>
        <v>912810RC4</v>
      </c>
      <c r="T263" t="str">
        <f>_xll.BDP("912810RC Govt","IDX_RATIO")</f>
        <v>#N/A Field Not Applicable</v>
      </c>
    </row>
    <row r="264" spans="1:20" x14ac:dyDescent="0.25">
      <c r="A264" t="s">
        <v>14</v>
      </c>
      <c r="B264" t="str">
        <f>_xll.BDP("9128286X Govt","TICKER")</f>
        <v>T</v>
      </c>
      <c r="C264">
        <f>_xll.BDP("9128286X Govt","CPN")</f>
        <v>2.125</v>
      </c>
      <c r="D264">
        <f>_xll.BDP("9128286X Govt","YLD_YTM_BID")</f>
        <v>0.91914917147767983</v>
      </c>
      <c r="E264" t="str">
        <f>_xll.BDP("9128286X Govt","MATURITY")</f>
        <v>5/31/2026</v>
      </c>
      <c r="F264" t="str">
        <f>_xll.BDP("9128286X Govt","MTY_TYP")</f>
        <v>NORMAL</v>
      </c>
      <c r="G264" t="str">
        <f>_xll.BDP("9128286X Govt","CRNCY")</f>
        <v>USD</v>
      </c>
      <c r="H264" t="str">
        <f>_xll.BDP("9128286X Govt","COUNTRY_FULL_NAME")</f>
        <v>UNITED STATES</v>
      </c>
      <c r="I264" t="str">
        <f>_xll.BDP("9128286X Govt","FIRST_CPN_DT")</f>
        <v>11/30/2019</v>
      </c>
      <c r="J264" t="str">
        <f>_xll.BDP("9128286X Govt","COUPON_FREQUENCY_DESCRIPTION")</f>
        <v>S/A</v>
      </c>
      <c r="K264" t="str">
        <f>_xll.BDP("9128286X Govt","CPN_TYP")</f>
        <v>FIXED</v>
      </c>
      <c r="L264" t="str">
        <f>_xll.BDP("9128286X Govt","ID_ISIN")</f>
        <v>US9128286X38</v>
      </c>
      <c r="M264">
        <v>35362000000</v>
      </c>
      <c r="N264">
        <v>35362000000</v>
      </c>
      <c r="O264" t="str">
        <f>_xll.BDP("9128286X Govt","ISSUE_DT")</f>
        <v>5/31/2019</v>
      </c>
      <c r="P264" t="str">
        <f>_xll.BDP("9128286X Govt","SECURITY_NAME")</f>
        <v>T 2 1/8 05/31/26</v>
      </c>
      <c r="Q264" t="str">
        <f>_xll.BDP("9128286X Govt","DAY_CNT_DES")</f>
        <v>ACT/ACT</v>
      </c>
      <c r="R264">
        <v>100</v>
      </c>
      <c r="S264" t="str">
        <f>_xll.BDP("9128286X Govt","ID_CUSIP")</f>
        <v>9128286X3</v>
      </c>
      <c r="T264" t="str">
        <f>_xll.BDP("9128286X Govt","IDX_RATIO")</f>
        <v>#N/A Field Not Applicable</v>
      </c>
    </row>
    <row r="265" spans="1:20" x14ac:dyDescent="0.25">
      <c r="A265" t="s">
        <v>14</v>
      </c>
      <c r="B265" t="str">
        <f>_xll.BDP("9128286A Govt","TICKER")</f>
        <v>T</v>
      </c>
      <c r="C265">
        <f>_xll.BDP("9128286A Govt","CPN")</f>
        <v>2.625</v>
      </c>
      <c r="D265">
        <f>_xll.BDP("9128286A Govt","YLD_YTM_BID")</f>
        <v>0.85206075456159458</v>
      </c>
      <c r="E265" t="str">
        <f>_xll.BDP("9128286A Govt","MATURITY")</f>
        <v>1/31/2026</v>
      </c>
      <c r="F265" t="str">
        <f>_xll.BDP("9128286A Govt","MTY_TYP")</f>
        <v>NORMAL</v>
      </c>
      <c r="G265" t="str">
        <f>_xll.BDP("9128286A Govt","CRNCY")</f>
        <v>USD</v>
      </c>
      <c r="H265" t="str">
        <f>_xll.BDP("9128286A Govt","COUNTRY_FULL_NAME")</f>
        <v>UNITED STATES</v>
      </c>
      <c r="I265" t="str">
        <f>_xll.BDP("9128286A Govt","FIRST_CPN_DT")</f>
        <v>7/31/2019</v>
      </c>
      <c r="J265" t="str">
        <f>_xll.BDP("9128286A Govt","COUPON_FREQUENCY_DESCRIPTION")</f>
        <v>S/A</v>
      </c>
      <c r="K265" t="str">
        <f>_xll.BDP("9128286A Govt","CPN_TYP")</f>
        <v>FIXED</v>
      </c>
      <c r="L265" t="str">
        <f>_xll.BDP("9128286A Govt","ID_ISIN")</f>
        <v>US9128286A35</v>
      </c>
      <c r="M265">
        <v>32000000000</v>
      </c>
      <c r="N265">
        <v>32000000000</v>
      </c>
      <c r="O265" t="str">
        <f>_xll.BDP("9128286A Govt","ISSUE_DT")</f>
        <v>1/31/2019</v>
      </c>
      <c r="P265" t="str">
        <f>_xll.BDP("9128286A Govt","SECURITY_NAME")</f>
        <v>T 2 5/8 01/31/26</v>
      </c>
      <c r="Q265" t="str">
        <f>_xll.BDP("9128286A Govt","DAY_CNT_DES")</f>
        <v>ACT/ACT</v>
      </c>
      <c r="R265">
        <v>100</v>
      </c>
      <c r="S265" t="str">
        <f>_xll.BDP("9128286A Govt","ID_CUSIP")</f>
        <v>9128286A3</v>
      </c>
      <c r="T265" t="str">
        <f>_xll.BDP("9128286A Govt","IDX_RATIO")</f>
        <v>#N/A Field Not Applicable</v>
      </c>
    </row>
    <row r="266" spans="1:20" x14ac:dyDescent="0.25">
      <c r="A266" t="s">
        <v>14</v>
      </c>
      <c r="B266" t="str">
        <f>_xll.BDP("912828R6 Govt","TICKER")</f>
        <v>T</v>
      </c>
      <c r="C266">
        <f>_xll.BDP("912828R6 Govt","CPN")</f>
        <v>1.625</v>
      </c>
      <c r="D266">
        <f>_xll.BDP("912828R6 Govt","YLD_YTM_BID")</f>
        <v>0.22734973129224387</v>
      </c>
      <c r="E266" t="str">
        <f>_xll.BDP("912828R6 Govt","MATURITY")</f>
        <v>5/31/2023</v>
      </c>
      <c r="F266" t="str">
        <f>_xll.BDP("912828R6 Govt","MTY_TYP")</f>
        <v>NORMAL</v>
      </c>
      <c r="G266" t="str">
        <f>_xll.BDP("912828R6 Govt","CRNCY")</f>
        <v>USD</v>
      </c>
      <c r="H266" t="str">
        <f>_xll.BDP("912828R6 Govt","COUNTRY_FULL_NAME")</f>
        <v>UNITED STATES</v>
      </c>
      <c r="I266" t="str">
        <f>_xll.BDP("912828R6 Govt","FIRST_CPN_DT")</f>
        <v>11/30/2016</v>
      </c>
      <c r="J266" t="str">
        <f>_xll.BDP("912828R6 Govt","COUPON_FREQUENCY_DESCRIPTION")</f>
        <v>S/A</v>
      </c>
      <c r="K266" t="str">
        <f>_xll.BDP("912828R6 Govt","CPN_TYP")</f>
        <v>FIXED</v>
      </c>
      <c r="L266" t="str">
        <f>_xll.BDP("912828R6 Govt","ID_ISIN")</f>
        <v>US912828R697</v>
      </c>
      <c r="M266">
        <v>35136000000</v>
      </c>
      <c r="N266">
        <v>35133000000</v>
      </c>
      <c r="O266" t="str">
        <f>_xll.BDP("912828R6 Govt","ISSUE_DT")</f>
        <v>5/31/2016</v>
      </c>
      <c r="P266" t="str">
        <f>_xll.BDP("912828R6 Govt","SECURITY_NAME")</f>
        <v>T 1 5/8 05/31/23</v>
      </c>
      <c r="Q266" t="str">
        <f>_xll.BDP("912828R6 Govt","DAY_CNT_DES")</f>
        <v>ACT/ACT</v>
      </c>
      <c r="R266">
        <v>100</v>
      </c>
      <c r="S266" t="str">
        <f>_xll.BDP("912828R6 Govt","ID_CUSIP")</f>
        <v>912828R69</v>
      </c>
      <c r="T266" t="str">
        <f>_xll.BDP("912828R6 Govt","IDX_RATIO")</f>
        <v>#N/A Field Not Applicable</v>
      </c>
    </row>
    <row r="267" spans="1:20" x14ac:dyDescent="0.25">
      <c r="A267" t="s">
        <v>14</v>
      </c>
      <c r="B267" t="str">
        <f>_xll.BDP("912810FJ Govt","TICKER")</f>
        <v>T</v>
      </c>
      <c r="C267">
        <f>_xll.BDP("912810FJ Govt","CPN")</f>
        <v>6.125</v>
      </c>
      <c r="D267">
        <f>_xll.BDP("912810FJ Govt","YLD_YTM_BID")</f>
        <v>1.3240234894932732</v>
      </c>
      <c r="E267" t="str">
        <f>_xll.BDP("912810FJ Govt","MATURITY")</f>
        <v>8/15/2029</v>
      </c>
      <c r="F267" t="str">
        <f>_xll.BDP("912810FJ Govt","MTY_TYP")</f>
        <v>NORMAL</v>
      </c>
      <c r="G267" t="str">
        <f>_xll.BDP("912810FJ Govt","CRNCY")</f>
        <v>USD</v>
      </c>
      <c r="H267" t="str">
        <f>_xll.BDP("912810FJ Govt","COUNTRY_FULL_NAME")</f>
        <v>UNITED STATES</v>
      </c>
      <c r="I267" t="str">
        <f>_xll.BDP("912810FJ Govt","FIRST_CPN_DT")</f>
        <v>2/15/2000</v>
      </c>
      <c r="J267" t="str">
        <f>_xll.BDP("912810FJ Govt","COUPON_FREQUENCY_DESCRIPTION")</f>
        <v>S/A</v>
      </c>
      <c r="K267" t="str">
        <f>_xll.BDP("912810FJ Govt","CPN_TYP")</f>
        <v>FIXED</v>
      </c>
      <c r="L267" t="str">
        <f>_xll.BDP("912810FJ Govt","ID_ISIN")</f>
        <v>US912810FJ26</v>
      </c>
      <c r="M267">
        <v>11179000000</v>
      </c>
      <c r="N267">
        <v>11179000000</v>
      </c>
      <c r="O267" t="str">
        <f>_xll.BDP("912810FJ Govt","ISSUE_DT")</f>
        <v>8/16/1999</v>
      </c>
      <c r="P267" t="str">
        <f>_xll.BDP("912810FJ Govt","SECURITY_NAME")</f>
        <v>T 6 1/8 08/15/29</v>
      </c>
      <c r="Q267" t="str">
        <f>_xll.BDP("912810FJ Govt","DAY_CNT_DES")</f>
        <v>ACT/ACT</v>
      </c>
      <c r="R267">
        <v>100</v>
      </c>
      <c r="S267" t="str">
        <f>_xll.BDP("912810FJ Govt","ID_CUSIP")</f>
        <v>912810FJ2</v>
      </c>
      <c r="T267" t="str">
        <f>_xll.BDP("912810FJ Govt","IDX_RATIO")</f>
        <v>#N/A Field Not Applicable</v>
      </c>
    </row>
    <row r="268" spans="1:20" x14ac:dyDescent="0.25">
      <c r="A268" t="s">
        <v>14</v>
      </c>
      <c r="B268" t="str">
        <f>_xll.BDP("9128283U Govt","TICKER")</f>
        <v>T</v>
      </c>
      <c r="C268">
        <f>_xll.BDP("9128283U Govt","CPN")</f>
        <v>2.375</v>
      </c>
      <c r="D268">
        <f>_xll.BDP("9128283U Govt","YLD_YTM_BID")</f>
        <v>0.16060512368021004</v>
      </c>
      <c r="E268" t="str">
        <f>_xll.BDP("9128283U Govt","MATURITY")</f>
        <v>1/31/2023</v>
      </c>
      <c r="F268" t="str">
        <f>_xll.BDP("9128283U Govt","MTY_TYP")</f>
        <v>NORMAL</v>
      </c>
      <c r="G268" t="str">
        <f>_xll.BDP("9128283U Govt","CRNCY")</f>
        <v>USD</v>
      </c>
      <c r="H268" t="str">
        <f>_xll.BDP("9128283U Govt","COUNTRY_FULL_NAME")</f>
        <v>UNITED STATES</v>
      </c>
      <c r="I268" t="str">
        <f>_xll.BDP("9128283U Govt","FIRST_CPN_DT")</f>
        <v>7/31/2018</v>
      </c>
      <c r="J268" t="str">
        <f>_xll.BDP("9128283U Govt","COUPON_FREQUENCY_DESCRIPTION")</f>
        <v>S/A</v>
      </c>
      <c r="K268" t="str">
        <f>_xll.BDP("9128283U Govt","CPN_TYP")</f>
        <v>FIXED</v>
      </c>
      <c r="L268" t="str">
        <f>_xll.BDP("9128283U Govt","ID_ISIN")</f>
        <v>US9128283U26</v>
      </c>
      <c r="M268">
        <v>38997000000</v>
      </c>
      <c r="N268">
        <v>38997000000</v>
      </c>
      <c r="O268" t="str">
        <f>_xll.BDP("9128283U Govt","ISSUE_DT")</f>
        <v>1/31/2018</v>
      </c>
      <c r="P268" t="str">
        <f>_xll.BDP("9128283U Govt","SECURITY_NAME")</f>
        <v>T 2 3/8 01/31/23</v>
      </c>
      <c r="Q268" t="str">
        <f>_xll.BDP("9128283U Govt","DAY_CNT_DES")</f>
        <v>ACT/ACT</v>
      </c>
      <c r="R268">
        <v>100</v>
      </c>
      <c r="S268" t="str">
        <f>_xll.BDP("9128283U Govt","ID_CUSIP")</f>
        <v>9128283U2</v>
      </c>
      <c r="T268" t="str">
        <f>_xll.BDP("9128283U Govt","IDX_RATIO")</f>
        <v>#N/A Field Not Applicable</v>
      </c>
    </row>
    <row r="269" spans="1:20" x14ac:dyDescent="0.25">
      <c r="A269" t="s">
        <v>14</v>
      </c>
      <c r="B269" t="str">
        <f>_xll.BDP("912810RB Govt","TICKER")</f>
        <v>T</v>
      </c>
      <c r="C269">
        <f>_xll.BDP("912810RB Govt","CPN")</f>
        <v>2.875</v>
      </c>
      <c r="D269">
        <f>_xll.BDP("912810RB Govt","YLD_YTM_BID")</f>
        <v>2.0474658576048412</v>
      </c>
      <c r="E269" t="str">
        <f>_xll.BDP("912810RB Govt","MATURITY")</f>
        <v>5/15/2043</v>
      </c>
      <c r="F269" t="str">
        <f>_xll.BDP("912810RB Govt","MTY_TYP")</f>
        <v>NORMAL</v>
      </c>
      <c r="G269" t="str">
        <f>_xll.BDP("912810RB Govt","CRNCY")</f>
        <v>USD</v>
      </c>
      <c r="H269" t="str">
        <f>_xll.BDP("912810RB Govt","COUNTRY_FULL_NAME")</f>
        <v>UNITED STATES</v>
      </c>
      <c r="I269" t="str">
        <f>_xll.BDP("912810RB Govt","FIRST_CPN_DT")</f>
        <v>11/15/2013</v>
      </c>
      <c r="J269" t="str">
        <f>_xll.BDP("912810RB Govt","COUPON_FREQUENCY_DESCRIPTION")</f>
        <v>S/A</v>
      </c>
      <c r="K269" t="str">
        <f>_xll.BDP("912810RB Govt","CPN_TYP")</f>
        <v>FIXED</v>
      </c>
      <c r="L269" t="str">
        <f>_xll.BDP("912810RB Govt","ID_ISIN")</f>
        <v>US912810RB61</v>
      </c>
      <c r="M269">
        <v>41999000000</v>
      </c>
      <c r="N269">
        <v>41999000000</v>
      </c>
      <c r="O269" t="str">
        <f>_xll.BDP("912810RB Govt","ISSUE_DT")</f>
        <v>5/15/2013</v>
      </c>
      <c r="P269" t="str">
        <f>_xll.BDP("912810RB Govt","SECURITY_NAME")</f>
        <v>T 2 7/8 05/15/43</v>
      </c>
      <c r="Q269" t="str">
        <f>_xll.BDP("912810RB Govt","DAY_CNT_DES")</f>
        <v>ACT/ACT</v>
      </c>
      <c r="R269">
        <v>100</v>
      </c>
      <c r="S269" t="str">
        <f>_xll.BDP("912810RB Govt","ID_CUSIP")</f>
        <v>912810RB6</v>
      </c>
      <c r="T269" t="str">
        <f>_xll.BDP("912810RB Govt","IDX_RATIO")</f>
        <v>#N/A Field Not Applicable</v>
      </c>
    </row>
    <row r="270" spans="1:20" x14ac:dyDescent="0.25">
      <c r="A270" t="s">
        <v>14</v>
      </c>
      <c r="B270" t="str">
        <f>_xll.BDP("912810QY Govt","TICKER")</f>
        <v>T</v>
      </c>
      <c r="C270">
        <f>_xll.BDP("912810QY Govt","CPN")</f>
        <v>2.75</v>
      </c>
      <c r="D270">
        <f>_xll.BDP("912810QY Govt","YLD_YTM_BID")</f>
        <v>2.0409654096541807</v>
      </c>
      <c r="E270" t="str">
        <f>_xll.BDP("912810QY Govt","MATURITY")</f>
        <v>11/15/2042</v>
      </c>
      <c r="F270" t="str">
        <f>_xll.BDP("912810QY Govt","MTY_TYP")</f>
        <v>NORMAL</v>
      </c>
      <c r="G270" t="str">
        <f>_xll.BDP("912810QY Govt","CRNCY")</f>
        <v>USD</v>
      </c>
      <c r="H270" t="str">
        <f>_xll.BDP("912810QY Govt","COUNTRY_FULL_NAME")</f>
        <v>UNITED STATES</v>
      </c>
      <c r="I270" t="str">
        <f>_xll.BDP("912810QY Govt","FIRST_CPN_DT")</f>
        <v>5/15/2013</v>
      </c>
      <c r="J270" t="str">
        <f>_xll.BDP("912810QY Govt","COUPON_FREQUENCY_DESCRIPTION")</f>
        <v>S/A</v>
      </c>
      <c r="K270" t="str">
        <f>_xll.BDP("912810QY Govt","CPN_TYP")</f>
        <v>FIXED</v>
      </c>
      <c r="L270" t="str">
        <f>_xll.BDP("912810QY Govt","ID_ISIN")</f>
        <v>US912810QY73</v>
      </c>
      <c r="M270">
        <v>41994000000</v>
      </c>
      <c r="N270">
        <v>41994000000</v>
      </c>
      <c r="O270" t="str">
        <f>_xll.BDP("912810QY Govt","ISSUE_DT")</f>
        <v>11/15/2012</v>
      </c>
      <c r="P270" t="str">
        <f>_xll.BDP("912810QY Govt","SECURITY_NAME")</f>
        <v>T 2 3/4 11/15/42</v>
      </c>
      <c r="Q270" t="str">
        <f>_xll.BDP("912810QY Govt","DAY_CNT_DES")</f>
        <v>ACT/ACT</v>
      </c>
      <c r="R270">
        <v>100</v>
      </c>
      <c r="S270" t="str">
        <f>_xll.BDP("912810QY Govt","ID_CUSIP")</f>
        <v>912810QY7</v>
      </c>
      <c r="T270" t="str">
        <f>_xll.BDP("912810QY Govt","IDX_RATIO")</f>
        <v>#N/A Field Not Applicable</v>
      </c>
    </row>
    <row r="271" spans="1:20" x14ac:dyDescent="0.25">
      <c r="A271" t="s">
        <v>14</v>
      </c>
      <c r="B271" t="str">
        <f>_xll.BDP("9128285P Govt","TICKER")</f>
        <v>T</v>
      </c>
      <c r="C271">
        <f>_xll.BDP("9128285P Govt","CPN")</f>
        <v>2.875</v>
      </c>
      <c r="D271">
        <f>_xll.BDP("9128285P Govt","YLD_YTM_BID")</f>
        <v>0.32431335037846659</v>
      </c>
      <c r="E271" t="str">
        <f>_xll.BDP("9128285P Govt","MATURITY")</f>
        <v>11/30/2023</v>
      </c>
      <c r="F271" t="str">
        <f>_xll.BDP("9128285P Govt","MTY_TYP")</f>
        <v>NORMAL</v>
      </c>
      <c r="G271" t="str">
        <f>_xll.BDP("9128285P Govt","CRNCY")</f>
        <v>USD</v>
      </c>
      <c r="H271" t="str">
        <f>_xll.BDP("9128285P Govt","COUNTRY_FULL_NAME")</f>
        <v>UNITED STATES</v>
      </c>
      <c r="I271" t="str">
        <f>_xll.BDP("9128285P Govt","FIRST_CPN_DT")</f>
        <v>5/31/2019</v>
      </c>
      <c r="J271" t="str">
        <f>_xll.BDP("9128285P Govt","COUPON_FREQUENCY_DESCRIPTION")</f>
        <v>S/A</v>
      </c>
      <c r="K271" t="str">
        <f>_xll.BDP("9128285P Govt","CPN_TYP")</f>
        <v>FIXED</v>
      </c>
      <c r="L271" t="str">
        <f>_xll.BDP("9128285P Govt","ID_ISIN")</f>
        <v>US9128285P13</v>
      </c>
      <c r="M271">
        <v>43513000000</v>
      </c>
      <c r="N271">
        <v>43513000000</v>
      </c>
      <c r="O271" t="str">
        <f>_xll.BDP("9128285P Govt","ISSUE_DT")</f>
        <v>11/30/2018</v>
      </c>
      <c r="P271" t="str">
        <f>_xll.BDP("9128285P Govt","SECURITY_NAME")</f>
        <v>T 2 7/8 11/30/23</v>
      </c>
      <c r="Q271" t="str">
        <f>_xll.BDP("9128285P Govt","DAY_CNT_DES")</f>
        <v>ACT/ACT</v>
      </c>
      <c r="R271">
        <v>100</v>
      </c>
      <c r="S271" t="str">
        <f>_xll.BDP("9128285P Govt","ID_CUSIP")</f>
        <v>9128285P1</v>
      </c>
      <c r="T271" t="str">
        <f>_xll.BDP("9128285P Govt","IDX_RATIO")</f>
        <v>#N/A Field Not Applicable</v>
      </c>
    </row>
    <row r="272" spans="1:20" x14ac:dyDescent="0.25">
      <c r="A272" t="s">
        <v>14</v>
      </c>
      <c r="B272" t="str">
        <f>_xll.BDP("9128286C Govt","TICKER")</f>
        <v>T</v>
      </c>
      <c r="C272">
        <f>_xll.BDP("9128286C Govt","CPN")</f>
        <v>2.5</v>
      </c>
      <c r="D272">
        <f>_xll.BDP("9128286C Govt","YLD_YTM_BID")</f>
        <v>7.0631432909499622E-2</v>
      </c>
      <c r="E272" t="str">
        <f>_xll.BDP("9128286C Govt","MATURITY")</f>
        <v>2/15/2022</v>
      </c>
      <c r="F272" t="str">
        <f>_xll.BDP("9128286C Govt","MTY_TYP")</f>
        <v>NORMAL</v>
      </c>
      <c r="G272" t="str">
        <f>_xll.BDP("9128286C Govt","CRNCY")</f>
        <v>USD</v>
      </c>
      <c r="H272" t="str">
        <f>_xll.BDP("9128286C Govt","COUNTRY_FULL_NAME")</f>
        <v>UNITED STATES</v>
      </c>
      <c r="I272" t="str">
        <f>_xll.BDP("9128286C Govt","FIRST_CPN_DT")</f>
        <v>8/15/2019</v>
      </c>
      <c r="J272" t="str">
        <f>_xll.BDP("9128286C Govt","COUPON_FREQUENCY_DESCRIPTION")</f>
        <v>S/A</v>
      </c>
      <c r="K272" t="str">
        <f>_xll.BDP("9128286C Govt","CPN_TYP")</f>
        <v>FIXED</v>
      </c>
      <c r="L272" t="str">
        <f>_xll.BDP("9128286C Govt","ID_ISIN")</f>
        <v>US9128286C90</v>
      </c>
      <c r="M272">
        <v>47151000000</v>
      </c>
      <c r="N272">
        <v>47151000000</v>
      </c>
      <c r="O272" t="str">
        <f>_xll.BDP("9128286C Govt","ISSUE_DT")</f>
        <v>2/15/2019</v>
      </c>
      <c r="P272" t="str">
        <f>_xll.BDP("9128286C Govt","SECURITY_NAME")</f>
        <v>T 2 1/2 02/15/22</v>
      </c>
      <c r="Q272" t="str">
        <f>_xll.BDP("9128286C Govt","DAY_CNT_DES")</f>
        <v>ACT/ACT</v>
      </c>
      <c r="R272">
        <v>100</v>
      </c>
      <c r="S272" t="str">
        <f>_xll.BDP("9128286C Govt","ID_CUSIP")</f>
        <v>9128286C9</v>
      </c>
      <c r="T272" t="str">
        <f>_xll.BDP("9128286C Govt","IDX_RATIO")</f>
        <v>#N/A Field Not Applicable</v>
      </c>
    </row>
    <row r="273" spans="1:20" x14ac:dyDescent="0.25">
      <c r="A273" t="s">
        <v>14</v>
      </c>
      <c r="B273" t="str">
        <f>_xll.BDP("912810RZ Govt","TICKER")</f>
        <v>T</v>
      </c>
      <c r="C273">
        <f>_xll.BDP("912810RZ Govt","CPN")</f>
        <v>2.75</v>
      </c>
      <c r="D273">
        <f>_xll.BDP("912810RZ Govt","YLD_YTM_BID")</f>
        <v>2.0889530025138314</v>
      </c>
      <c r="E273" t="str">
        <f>_xll.BDP("912810RZ Govt","MATURITY")</f>
        <v>11/15/2047</v>
      </c>
      <c r="F273" t="str">
        <f>_xll.BDP("912810RZ Govt","MTY_TYP")</f>
        <v>NORMAL</v>
      </c>
      <c r="G273" t="str">
        <f>_xll.BDP("912810RZ Govt","CRNCY")</f>
        <v>USD</v>
      </c>
      <c r="H273" t="str">
        <f>_xll.BDP("912810RZ Govt","COUNTRY_FULL_NAME")</f>
        <v>UNITED STATES</v>
      </c>
      <c r="I273" t="str">
        <f>_xll.BDP("912810RZ Govt","FIRST_CPN_DT")</f>
        <v>5/15/2018</v>
      </c>
      <c r="J273" t="str">
        <f>_xll.BDP("912810RZ Govt","COUPON_FREQUENCY_DESCRIPTION")</f>
        <v>S/A</v>
      </c>
      <c r="K273" t="str">
        <f>_xll.BDP("912810RZ Govt","CPN_TYP")</f>
        <v>FIXED</v>
      </c>
      <c r="L273" t="str">
        <f>_xll.BDP("912810RZ Govt","ID_ISIN")</f>
        <v>US912810RZ30</v>
      </c>
      <c r="M273">
        <v>41229000000</v>
      </c>
      <c r="N273">
        <v>41229000000</v>
      </c>
      <c r="O273" t="str">
        <f>_xll.BDP("912810RZ Govt","ISSUE_DT")</f>
        <v>11/15/2017</v>
      </c>
      <c r="P273" t="str">
        <f>_xll.BDP("912810RZ Govt","SECURITY_NAME")</f>
        <v>T 2 3/4 11/15/47</v>
      </c>
      <c r="Q273" t="str">
        <f>_xll.BDP("912810RZ Govt","DAY_CNT_DES")</f>
        <v>ACT/ACT</v>
      </c>
      <c r="R273">
        <v>100</v>
      </c>
      <c r="S273" t="str">
        <f>_xll.BDP("912810RZ Govt","ID_CUSIP")</f>
        <v>912810RZ3</v>
      </c>
      <c r="T273" t="str">
        <f>_xll.BDP("912810RZ Govt","IDX_RATIO")</f>
        <v>#N/A Field Not Applicable</v>
      </c>
    </row>
    <row r="274" spans="1:20" x14ac:dyDescent="0.25">
      <c r="A274" t="s">
        <v>14</v>
      </c>
      <c r="B274" t="str">
        <f>_xll.BDP("912810QB Govt","TICKER")</f>
        <v>T</v>
      </c>
      <c r="C274">
        <f>_xll.BDP("912810QB Govt","CPN")</f>
        <v>4.25</v>
      </c>
      <c r="D274">
        <f>_xll.BDP("912810QB Govt","YLD_YTM_BID")</f>
        <v>1.8502133834309384</v>
      </c>
      <c r="E274" t="str">
        <f>_xll.BDP("912810QB Govt","MATURITY")</f>
        <v>5/15/2039</v>
      </c>
      <c r="F274" t="str">
        <f>_xll.BDP("912810QB Govt","MTY_TYP")</f>
        <v>NORMAL</v>
      </c>
      <c r="G274" t="str">
        <f>_xll.BDP("912810QB Govt","CRNCY")</f>
        <v>USD</v>
      </c>
      <c r="H274" t="str">
        <f>_xll.BDP("912810QB Govt","COUNTRY_FULL_NAME")</f>
        <v>UNITED STATES</v>
      </c>
      <c r="I274" t="str">
        <f>_xll.BDP("912810QB Govt","FIRST_CPN_DT")</f>
        <v>11/15/2009</v>
      </c>
      <c r="J274" t="str">
        <f>_xll.BDP("912810QB Govt","COUPON_FREQUENCY_DESCRIPTION")</f>
        <v>S/A</v>
      </c>
      <c r="K274" t="str">
        <f>_xll.BDP("912810QB Govt","CPN_TYP")</f>
        <v>FIXED</v>
      </c>
      <c r="L274" t="str">
        <f>_xll.BDP("912810QB Govt","ID_ISIN")</f>
        <v>US912810QB70</v>
      </c>
      <c r="M274">
        <v>38779000000</v>
      </c>
      <c r="N274">
        <v>38779000000</v>
      </c>
      <c r="O274" t="str">
        <f>_xll.BDP("912810QB Govt","ISSUE_DT")</f>
        <v>5/15/2009</v>
      </c>
      <c r="P274" t="str">
        <f>_xll.BDP("912810QB Govt","SECURITY_NAME")</f>
        <v>T 4 1/4 05/15/39</v>
      </c>
      <c r="Q274" t="str">
        <f>_xll.BDP("912810QB Govt","DAY_CNT_DES")</f>
        <v>ACT/ACT</v>
      </c>
      <c r="R274">
        <v>100</v>
      </c>
      <c r="S274" t="str">
        <f>_xll.BDP("912810QB Govt","ID_CUSIP")</f>
        <v>912810QB7</v>
      </c>
      <c r="T274" t="str">
        <f>_xll.BDP("912810QB Govt","IDX_RATIO")</f>
        <v>#N/A Field Not Applicable</v>
      </c>
    </row>
    <row r="275" spans="1:20" x14ac:dyDescent="0.25">
      <c r="A275" t="s">
        <v>14</v>
      </c>
      <c r="B275" t="str">
        <f>_xll.BDP("912810QX Govt","TICKER")</f>
        <v>T</v>
      </c>
      <c r="C275">
        <f>_xll.BDP("912810QX Govt","CPN")</f>
        <v>2.75</v>
      </c>
      <c r="D275">
        <f>_xll.BDP("912810QX Govt","YLD_YTM_BID")</f>
        <v>2.0302843169677267</v>
      </c>
      <c r="E275" t="str">
        <f>_xll.BDP("912810QX Govt","MATURITY")</f>
        <v>8/15/2042</v>
      </c>
      <c r="F275" t="str">
        <f>_xll.BDP("912810QX Govt","MTY_TYP")</f>
        <v>NORMAL</v>
      </c>
      <c r="G275" t="str">
        <f>_xll.BDP("912810QX Govt","CRNCY")</f>
        <v>USD</v>
      </c>
      <c r="H275" t="str">
        <f>_xll.BDP("912810QX Govt","COUNTRY_FULL_NAME")</f>
        <v>UNITED STATES</v>
      </c>
      <c r="I275" t="str">
        <f>_xll.BDP("912810QX Govt","FIRST_CPN_DT")</f>
        <v>2/15/2013</v>
      </c>
      <c r="J275" t="str">
        <f>_xll.BDP("912810QX Govt","COUPON_FREQUENCY_DESCRIPTION")</f>
        <v>S/A</v>
      </c>
      <c r="K275" t="str">
        <f>_xll.BDP("912810QX Govt","CPN_TYP")</f>
        <v>FIXED</v>
      </c>
      <c r="L275" t="str">
        <f>_xll.BDP("912810QX Govt","ID_ISIN")</f>
        <v>US912810QX90</v>
      </c>
      <c r="M275">
        <v>41995000000</v>
      </c>
      <c r="N275">
        <v>41995000000</v>
      </c>
      <c r="O275" t="str">
        <f>_xll.BDP("912810QX Govt","ISSUE_DT")</f>
        <v>8/15/2012</v>
      </c>
      <c r="P275" t="str">
        <f>_xll.BDP("912810QX Govt","SECURITY_NAME")</f>
        <v>T 2 3/4 08/15/42</v>
      </c>
      <c r="Q275" t="str">
        <f>_xll.BDP("912810QX Govt","DAY_CNT_DES")</f>
        <v>ACT/ACT</v>
      </c>
      <c r="R275">
        <v>100</v>
      </c>
      <c r="S275" t="str">
        <f>_xll.BDP("912810QX Govt","ID_CUSIP")</f>
        <v>912810QX9</v>
      </c>
      <c r="T275" t="str">
        <f>_xll.BDP("912810QX Govt","IDX_RATIO")</f>
        <v>#N/A Field Not Applicable</v>
      </c>
    </row>
    <row r="276" spans="1:20" x14ac:dyDescent="0.25">
      <c r="A276" t="s">
        <v>14</v>
      </c>
      <c r="B276" t="str">
        <f>_xll.BDP("9128286L Govt","TICKER")</f>
        <v>T</v>
      </c>
      <c r="C276">
        <f>_xll.BDP("9128286L Govt","CPN")</f>
        <v>2.25</v>
      </c>
      <c r="D276">
        <f>_xll.BDP("9128286L Govt","YLD_YTM_BID")</f>
        <v>0.88732796688408433</v>
      </c>
      <c r="E276" t="str">
        <f>_xll.BDP("9128286L Govt","MATURITY")</f>
        <v>3/31/2026</v>
      </c>
      <c r="F276" t="str">
        <f>_xll.BDP("9128286L Govt","MTY_TYP")</f>
        <v>NORMAL</v>
      </c>
      <c r="G276" t="str">
        <f>_xll.BDP("9128286L Govt","CRNCY")</f>
        <v>USD</v>
      </c>
      <c r="H276" t="str">
        <f>_xll.BDP("9128286L Govt","COUNTRY_FULL_NAME")</f>
        <v>UNITED STATES</v>
      </c>
      <c r="I276" t="str">
        <f>_xll.BDP("9128286L Govt","FIRST_CPN_DT")</f>
        <v>9/30/2019</v>
      </c>
      <c r="J276" t="str">
        <f>_xll.BDP("9128286L Govt","COUPON_FREQUENCY_DESCRIPTION")</f>
        <v>S/A</v>
      </c>
      <c r="K276" t="str">
        <f>_xll.BDP("9128286L Govt","CPN_TYP")</f>
        <v>FIXED</v>
      </c>
      <c r="L276" t="str">
        <f>_xll.BDP("9128286L Govt","ID_ISIN")</f>
        <v>US9128286L99</v>
      </c>
      <c r="M276">
        <v>32000000000</v>
      </c>
      <c r="N276">
        <v>32000000000</v>
      </c>
      <c r="O276" t="str">
        <f>_xll.BDP("9128286L Govt","ISSUE_DT")</f>
        <v>4/1/2019</v>
      </c>
      <c r="P276" t="str">
        <f>_xll.BDP("9128286L Govt","SECURITY_NAME")</f>
        <v>T 2 1/4 03/31/26</v>
      </c>
      <c r="Q276" t="str">
        <f>_xll.BDP("9128286L Govt","DAY_CNT_DES")</f>
        <v>ACT/ACT</v>
      </c>
      <c r="R276">
        <v>100</v>
      </c>
      <c r="S276" t="str">
        <f>_xll.BDP("9128286L Govt","ID_CUSIP")</f>
        <v>9128286L9</v>
      </c>
      <c r="T276" t="str">
        <f>_xll.BDP("9128286L Govt","IDX_RATIO")</f>
        <v>#N/A Field Not Applicable</v>
      </c>
    </row>
    <row r="277" spans="1:20" x14ac:dyDescent="0.25">
      <c r="A277" t="s">
        <v>14</v>
      </c>
      <c r="B277" t="str">
        <f>_xll.BDP("912810EW Govt","TICKER")</f>
        <v>T</v>
      </c>
      <c r="C277">
        <f>_xll.BDP("912810EW Govt","CPN")</f>
        <v>6</v>
      </c>
      <c r="D277">
        <f>_xll.BDP("912810EW Govt","YLD_YTM_BID")</f>
        <v>0.86733186831194276</v>
      </c>
      <c r="E277" t="str">
        <f>_xll.BDP("912810EW Govt","MATURITY")</f>
        <v>2/15/2026</v>
      </c>
      <c r="F277" t="str">
        <f>_xll.BDP("912810EW Govt","MTY_TYP")</f>
        <v>NORMAL</v>
      </c>
      <c r="G277" t="str">
        <f>_xll.BDP("912810EW Govt","CRNCY")</f>
        <v>USD</v>
      </c>
      <c r="H277" t="str">
        <f>_xll.BDP("912810EW Govt","COUNTRY_FULL_NAME")</f>
        <v>UNITED STATES</v>
      </c>
      <c r="I277" t="str">
        <f>_xll.BDP("912810EW Govt","FIRST_CPN_DT")</f>
        <v>8/15/1996</v>
      </c>
      <c r="J277" t="str">
        <f>_xll.BDP("912810EW Govt","COUPON_FREQUENCY_DESCRIPTION")</f>
        <v>S/A</v>
      </c>
      <c r="K277" t="str">
        <f>_xll.BDP("912810EW Govt","CPN_TYP")</f>
        <v>FIXED</v>
      </c>
      <c r="L277" t="str">
        <f>_xll.BDP("912810EW Govt","ID_ISIN")</f>
        <v>US912810EW46</v>
      </c>
      <c r="M277">
        <v>12905000000</v>
      </c>
      <c r="N277">
        <v>12838000000</v>
      </c>
      <c r="O277" t="str">
        <f>_xll.BDP("912810EW Govt","ISSUE_DT")</f>
        <v>2/15/1996</v>
      </c>
      <c r="P277" t="str">
        <f>_xll.BDP("912810EW Govt","SECURITY_NAME")</f>
        <v>T 6 02/15/26</v>
      </c>
      <c r="Q277" t="str">
        <f>_xll.BDP("912810EW Govt","DAY_CNT_DES")</f>
        <v>ACT/ACT</v>
      </c>
      <c r="R277">
        <v>100</v>
      </c>
      <c r="S277" t="str">
        <f>_xll.BDP("912810EW Govt","ID_CUSIP")</f>
        <v>912810EW4</v>
      </c>
      <c r="T277" t="str">
        <f>_xll.BDP("912810EW Govt","IDX_RATIO")</f>
        <v>#N/A Field Not Applicable</v>
      </c>
    </row>
    <row r="278" spans="1:20" x14ac:dyDescent="0.25">
      <c r="A278" t="s">
        <v>14</v>
      </c>
      <c r="B278" t="str">
        <f>_xll.BDP("912810RP Govt","TICKER")</f>
        <v>T</v>
      </c>
      <c r="C278">
        <f>_xll.BDP("912810RP Govt","CPN")</f>
        <v>3</v>
      </c>
      <c r="D278">
        <f>_xll.BDP("912810RP Govt","YLD_YTM_BID")</f>
        <v>2.0745998204591509</v>
      </c>
      <c r="E278" t="str">
        <f>_xll.BDP("912810RP Govt","MATURITY")</f>
        <v>11/15/2045</v>
      </c>
      <c r="F278" t="str">
        <f>_xll.BDP("912810RP Govt","MTY_TYP")</f>
        <v>NORMAL</v>
      </c>
      <c r="G278" t="str">
        <f>_xll.BDP("912810RP Govt","CRNCY")</f>
        <v>USD</v>
      </c>
      <c r="H278" t="str">
        <f>_xll.BDP("912810RP Govt","COUNTRY_FULL_NAME")</f>
        <v>UNITED STATES</v>
      </c>
      <c r="I278" t="str">
        <f>_xll.BDP("912810RP Govt","FIRST_CPN_DT")</f>
        <v>5/15/2016</v>
      </c>
      <c r="J278" t="str">
        <f>_xll.BDP("912810RP Govt","COUPON_FREQUENCY_DESCRIPTION")</f>
        <v>S/A</v>
      </c>
      <c r="K278" t="str">
        <f>_xll.BDP("912810RP Govt","CPN_TYP")</f>
        <v>FIXED</v>
      </c>
      <c r="L278" t="str">
        <f>_xll.BDP("912810RP Govt","ID_ISIN")</f>
        <v>US912810RP57</v>
      </c>
      <c r="M278">
        <v>42077000000</v>
      </c>
      <c r="N278">
        <v>42077000000</v>
      </c>
      <c r="O278" t="str">
        <f>_xll.BDP("912810RP Govt","ISSUE_DT")</f>
        <v>11/16/2015</v>
      </c>
      <c r="P278" t="str">
        <f>_xll.BDP("912810RP Govt","SECURITY_NAME")</f>
        <v>T 3 11/15/45</v>
      </c>
      <c r="Q278" t="str">
        <f>_xll.BDP("912810RP Govt","DAY_CNT_DES")</f>
        <v>ACT/ACT</v>
      </c>
      <c r="R278">
        <v>100</v>
      </c>
      <c r="S278" t="str">
        <f>_xll.BDP("912810RP Govt","ID_CUSIP")</f>
        <v>912810RP5</v>
      </c>
      <c r="T278" t="str">
        <f>_xll.BDP("912810RP Govt","IDX_RATIO")</f>
        <v>#N/A Field Not Applicable</v>
      </c>
    </row>
    <row r="279" spans="1:20" x14ac:dyDescent="0.25">
      <c r="A279" t="s">
        <v>14</v>
      </c>
      <c r="B279" t="str">
        <f>_xll.BDP("912828XZ Govt","TICKER")</f>
        <v>T</v>
      </c>
      <c r="C279">
        <f>_xll.BDP("912828XZ Govt","CPN")</f>
        <v>2.75</v>
      </c>
      <c r="D279">
        <f>_xll.BDP("912828XZ Govt","YLD_YTM_BID")</f>
        <v>0.71890939942105359</v>
      </c>
      <c r="E279" t="str">
        <f>_xll.BDP("912828XZ Govt","MATURITY")</f>
        <v>6/30/2025</v>
      </c>
      <c r="F279" t="str">
        <f>_xll.BDP("912828XZ Govt","MTY_TYP")</f>
        <v>NORMAL</v>
      </c>
      <c r="G279" t="str">
        <f>_xll.BDP("912828XZ Govt","CRNCY")</f>
        <v>USD</v>
      </c>
      <c r="H279" t="str">
        <f>_xll.BDP("912828XZ Govt","COUNTRY_FULL_NAME")</f>
        <v>UNITED STATES</v>
      </c>
      <c r="I279" t="str">
        <f>_xll.BDP("912828XZ Govt","FIRST_CPN_DT")</f>
        <v>12/31/2018</v>
      </c>
      <c r="J279" t="str">
        <f>_xll.BDP("912828XZ Govt","COUPON_FREQUENCY_DESCRIPTION")</f>
        <v>S/A</v>
      </c>
      <c r="K279" t="str">
        <f>_xll.BDP("912828XZ Govt","CPN_TYP")</f>
        <v>FIXED</v>
      </c>
      <c r="L279" t="str">
        <f>_xll.BDP("912828XZ Govt","ID_ISIN")</f>
        <v>US912828XZ81</v>
      </c>
      <c r="M279">
        <v>33736000000</v>
      </c>
      <c r="N279">
        <v>33736000000</v>
      </c>
      <c r="O279" t="str">
        <f>_xll.BDP("912828XZ Govt","ISSUE_DT")</f>
        <v>7/2/2018</v>
      </c>
      <c r="P279" t="str">
        <f>_xll.BDP("912828XZ Govt","SECURITY_NAME")</f>
        <v>T 2 3/4 06/30/25</v>
      </c>
      <c r="Q279" t="str">
        <f>_xll.BDP("912828XZ Govt","DAY_CNT_DES")</f>
        <v>ACT/ACT</v>
      </c>
      <c r="R279">
        <v>100</v>
      </c>
      <c r="S279" t="str">
        <f>_xll.BDP("912828XZ Govt","ID_CUSIP")</f>
        <v>912828XZ8</v>
      </c>
      <c r="T279" t="str">
        <f>_xll.BDP("912828XZ Govt","IDX_RATIO")</f>
        <v>#N/A Field Not Applicable</v>
      </c>
    </row>
    <row r="280" spans="1:20" x14ac:dyDescent="0.25">
      <c r="A280" t="s">
        <v>14</v>
      </c>
      <c r="B280" t="str">
        <f>_xll.BDP("912810QA Govt","TICKER")</f>
        <v>T</v>
      </c>
      <c r="C280">
        <f>_xll.BDP("912810QA Govt","CPN")</f>
        <v>3.5</v>
      </c>
      <c r="D280">
        <f>_xll.BDP("912810QA Govt","YLD_YTM_BID")</f>
        <v>1.8561794217546541</v>
      </c>
      <c r="E280" t="str">
        <f>_xll.BDP("912810QA Govt","MATURITY")</f>
        <v>2/15/2039</v>
      </c>
      <c r="F280" t="str">
        <f>_xll.BDP("912810QA Govt","MTY_TYP")</f>
        <v>NORMAL</v>
      </c>
      <c r="G280" t="str">
        <f>_xll.BDP("912810QA Govt","CRNCY")</f>
        <v>USD</v>
      </c>
      <c r="H280" t="str">
        <f>_xll.BDP("912810QA Govt","COUNTRY_FULL_NAME")</f>
        <v>UNITED STATES</v>
      </c>
      <c r="I280" t="str">
        <f>_xll.BDP("912810QA Govt","FIRST_CPN_DT")</f>
        <v>8/15/2009</v>
      </c>
      <c r="J280" t="str">
        <f>_xll.BDP("912810QA Govt","COUPON_FREQUENCY_DESCRIPTION")</f>
        <v>S/A</v>
      </c>
      <c r="K280" t="str">
        <f>_xll.BDP("912810QA Govt","CPN_TYP")</f>
        <v>FIXED</v>
      </c>
      <c r="L280" t="str">
        <f>_xll.BDP("912810QA Govt","ID_ISIN")</f>
        <v>US912810QA97</v>
      </c>
      <c r="M280">
        <v>25909000000</v>
      </c>
      <c r="N280">
        <v>25909000000</v>
      </c>
      <c r="O280" t="str">
        <f>_xll.BDP("912810QA Govt","ISSUE_DT")</f>
        <v>2/17/2009</v>
      </c>
      <c r="P280" t="str">
        <f>_xll.BDP("912810QA Govt","SECURITY_NAME")</f>
        <v>T 3 1/2 02/15/39</v>
      </c>
      <c r="Q280" t="str">
        <f>_xll.BDP("912810QA Govt","DAY_CNT_DES")</f>
        <v>ACT/ACT</v>
      </c>
      <c r="R280">
        <v>100</v>
      </c>
      <c r="S280" t="str">
        <f>_xll.BDP("912810QA Govt","ID_CUSIP")</f>
        <v>912810QA9</v>
      </c>
      <c r="T280" t="str">
        <f>_xll.BDP("912810QA Govt","IDX_RATIO")</f>
        <v>#N/A Field Not Applicable</v>
      </c>
    </row>
    <row r="281" spans="1:20" x14ac:dyDescent="0.25">
      <c r="A281" t="s">
        <v>14</v>
      </c>
      <c r="B281" t="str">
        <f>_xll.BDP("912828W5 Govt","TICKER")</f>
        <v>T</v>
      </c>
      <c r="C281">
        <f>_xll.BDP("912828W5 Govt","CPN")</f>
        <v>1.875</v>
      </c>
      <c r="D281">
        <f>_xll.BDP("912828W5 Govt","YLD_YTM_BID")</f>
        <v>7.0212972688534006E-2</v>
      </c>
      <c r="E281" t="str">
        <f>_xll.BDP("912828W5 Govt","MATURITY")</f>
        <v>2/28/2022</v>
      </c>
      <c r="F281" t="str">
        <f>_xll.BDP("912828W5 Govt","MTY_TYP")</f>
        <v>NORMAL</v>
      </c>
      <c r="G281" t="str">
        <f>_xll.BDP("912828W5 Govt","CRNCY")</f>
        <v>USD</v>
      </c>
      <c r="H281" t="str">
        <f>_xll.BDP("912828W5 Govt","COUNTRY_FULL_NAME")</f>
        <v>UNITED STATES</v>
      </c>
      <c r="I281" t="str">
        <f>_xll.BDP("912828W5 Govt","FIRST_CPN_DT")</f>
        <v>8/31/2017</v>
      </c>
      <c r="J281" t="str">
        <f>_xll.BDP("912828W5 Govt","COUPON_FREQUENCY_DESCRIPTION")</f>
        <v>S/A</v>
      </c>
      <c r="K281" t="str">
        <f>_xll.BDP("912828W5 Govt","CPN_TYP")</f>
        <v>FIXED</v>
      </c>
      <c r="L281" t="str">
        <f>_xll.BDP("912828W5 Govt","ID_ISIN")</f>
        <v>US912828W556</v>
      </c>
      <c r="M281">
        <v>38715000000</v>
      </c>
      <c r="N281">
        <v>38715000000</v>
      </c>
      <c r="O281" t="str">
        <f>_xll.BDP("912828W5 Govt","ISSUE_DT")</f>
        <v>2/28/2017</v>
      </c>
      <c r="P281" t="str">
        <f>_xll.BDP("912828W5 Govt","SECURITY_NAME")</f>
        <v>T 1 7/8 02/28/22</v>
      </c>
      <c r="Q281" t="str">
        <f>_xll.BDP("912828W5 Govt","DAY_CNT_DES")</f>
        <v>ACT/ACT</v>
      </c>
      <c r="R281">
        <v>100</v>
      </c>
      <c r="S281" t="str">
        <f>_xll.BDP("912828W5 Govt","ID_CUSIP")</f>
        <v>912828W55</v>
      </c>
      <c r="T281" t="str">
        <f>_xll.BDP("912828W5 Govt","IDX_RATIO")</f>
        <v>#N/A Field Not Applicable</v>
      </c>
    </row>
    <row r="282" spans="1:20" x14ac:dyDescent="0.25">
      <c r="A282" t="s">
        <v>14</v>
      </c>
      <c r="B282" t="str">
        <f>_xll.BDP("912810PX Govt","TICKER")</f>
        <v>T</v>
      </c>
      <c r="C282">
        <f>_xll.BDP("912810PX Govt","CPN")</f>
        <v>4.5</v>
      </c>
      <c r="D282">
        <f>_xll.BDP("912810PX Govt","YLD_YTM_BID")</f>
        <v>1.8018691959854014</v>
      </c>
      <c r="E282" t="str">
        <f>_xll.BDP("912810PX Govt","MATURITY")</f>
        <v>5/15/2038</v>
      </c>
      <c r="F282" t="str">
        <f>_xll.BDP("912810PX Govt","MTY_TYP")</f>
        <v>NORMAL</v>
      </c>
      <c r="G282" t="str">
        <f>_xll.BDP("912810PX Govt","CRNCY")</f>
        <v>USD</v>
      </c>
      <c r="H282" t="str">
        <f>_xll.BDP("912810PX Govt","COUNTRY_FULL_NAME")</f>
        <v>UNITED STATES</v>
      </c>
      <c r="I282" t="str">
        <f>_xll.BDP("912810PX Govt","FIRST_CPN_DT")</f>
        <v>11/15/2008</v>
      </c>
      <c r="J282" t="str">
        <f>_xll.BDP("912810PX Govt","COUPON_FREQUENCY_DESCRIPTION")</f>
        <v>S/A</v>
      </c>
      <c r="K282" t="str">
        <f>_xll.BDP("912810PX Govt","CPN_TYP")</f>
        <v>FIXED</v>
      </c>
      <c r="L282" t="str">
        <f>_xll.BDP("912810PX Govt","ID_ISIN")</f>
        <v>US912810PX00</v>
      </c>
      <c r="M282">
        <v>25500000000</v>
      </c>
      <c r="N282">
        <v>25500000000</v>
      </c>
      <c r="O282" t="str">
        <f>_xll.BDP("912810PX Govt","ISSUE_DT")</f>
        <v>8/15/2008</v>
      </c>
      <c r="P282" t="str">
        <f>_xll.BDP("912810PX Govt","SECURITY_NAME")</f>
        <v>T 4 1/2 05/15/38</v>
      </c>
      <c r="Q282" t="str">
        <f>_xll.BDP("912810PX Govt","DAY_CNT_DES")</f>
        <v>ACT/ACT</v>
      </c>
      <c r="R282">
        <v>100</v>
      </c>
      <c r="S282" t="str">
        <f>_xll.BDP("912810PX Govt","ID_CUSIP")</f>
        <v>912810PX0</v>
      </c>
      <c r="T282" t="str">
        <f>_xll.BDP("912810PX Govt","IDX_RATIO")</f>
        <v>#N/A Field Not Applicable</v>
      </c>
    </row>
    <row r="283" spans="1:20" x14ac:dyDescent="0.25">
      <c r="A283" t="s">
        <v>14</v>
      </c>
      <c r="B283" t="str">
        <f>_xll.BDP("9128285A Govt","TICKER")</f>
        <v>T</v>
      </c>
      <c r="C283">
        <f>_xll.BDP("9128285A Govt","CPN")</f>
        <v>2.75</v>
      </c>
      <c r="D283" t="str">
        <f>_xll.BDP("9128285A Govt","YLD_YTM_BID")</f>
        <v>#N/A N/A</v>
      </c>
      <c r="E283" t="str">
        <f>_xll.BDP("9128285A Govt","MATURITY")</f>
        <v>9/15/2021</v>
      </c>
      <c r="F283" t="str">
        <f>_xll.BDP("9128285A Govt","MTY_TYP")</f>
        <v>NORMAL</v>
      </c>
      <c r="G283" t="str">
        <f>_xll.BDP("9128285A Govt","CRNCY")</f>
        <v>USD</v>
      </c>
      <c r="H283" t="str">
        <f>_xll.BDP("9128285A Govt","COUNTRY_FULL_NAME")</f>
        <v>UNITED STATES</v>
      </c>
      <c r="I283" t="str">
        <f>_xll.BDP("9128285A Govt","FIRST_CPN_DT")</f>
        <v>3/15/2019</v>
      </c>
      <c r="J283" t="str">
        <f>_xll.BDP("9128285A Govt","COUPON_FREQUENCY_DESCRIPTION")</f>
        <v>S/A</v>
      </c>
      <c r="K283" t="str">
        <f>_xll.BDP("9128285A Govt","CPN_TYP")</f>
        <v>FIXED</v>
      </c>
      <c r="L283" t="str">
        <f>_xll.BDP("9128285A Govt","ID_ISIN")</f>
        <v>US9128285A44</v>
      </c>
      <c r="M283">
        <v>35000000000</v>
      </c>
      <c r="N283">
        <v>0</v>
      </c>
      <c r="O283" t="str">
        <f>_xll.BDP("9128285A Govt","ISSUE_DT")</f>
        <v>9/17/2018</v>
      </c>
      <c r="P283" t="str">
        <f>_xll.BDP("9128285A Govt","SECURITY_NAME")</f>
        <v>T 2 3/4 09/15/21</v>
      </c>
      <c r="Q283" t="str">
        <f>_xll.BDP("9128285A Govt","DAY_CNT_DES")</f>
        <v>ACT/ACT</v>
      </c>
      <c r="R283">
        <v>100</v>
      </c>
      <c r="S283" t="str">
        <f>_xll.BDP("9128285A Govt","ID_CUSIP")</f>
        <v>9128285A4</v>
      </c>
      <c r="T283" t="str">
        <f>_xll.BDP("9128285A Govt","IDX_RATIO")</f>
        <v>#N/A Field Not Applicable</v>
      </c>
    </row>
    <row r="284" spans="1:20" x14ac:dyDescent="0.25">
      <c r="A284" t="s">
        <v>14</v>
      </c>
      <c r="B284" t="str">
        <f>_xll.BDP("912810RG Govt","TICKER")</f>
        <v>T</v>
      </c>
      <c r="C284">
        <f>_xll.BDP("912810RG Govt","CPN")</f>
        <v>3.375</v>
      </c>
      <c r="D284">
        <f>_xll.BDP("912810RG Govt","YLD_YTM_BID")</f>
        <v>2.0492802970766855</v>
      </c>
      <c r="E284" t="str">
        <f>_xll.BDP("912810RG Govt","MATURITY")</f>
        <v>5/15/2044</v>
      </c>
      <c r="F284" t="str">
        <f>_xll.BDP("912810RG Govt","MTY_TYP")</f>
        <v>NORMAL</v>
      </c>
      <c r="G284" t="str">
        <f>_xll.BDP("912810RG Govt","CRNCY")</f>
        <v>USD</v>
      </c>
      <c r="H284" t="str">
        <f>_xll.BDP("912810RG Govt","COUNTRY_FULL_NAME")</f>
        <v>UNITED STATES</v>
      </c>
      <c r="I284" t="str">
        <f>_xll.BDP("912810RG Govt","FIRST_CPN_DT")</f>
        <v>11/15/2014</v>
      </c>
      <c r="J284" t="str">
        <f>_xll.BDP("912810RG Govt","COUPON_FREQUENCY_DESCRIPTION")</f>
        <v>S/A</v>
      </c>
      <c r="K284" t="str">
        <f>_xll.BDP("912810RG Govt","CPN_TYP")</f>
        <v>FIXED</v>
      </c>
      <c r="L284" t="str">
        <f>_xll.BDP("912810RG Govt","ID_ISIN")</f>
        <v>US912810RG58</v>
      </c>
      <c r="M284">
        <v>41992000000</v>
      </c>
      <c r="N284">
        <v>41992000000</v>
      </c>
      <c r="O284" t="str">
        <f>_xll.BDP("912810RG Govt","ISSUE_DT")</f>
        <v>5/15/2014</v>
      </c>
      <c r="P284" t="str">
        <f>_xll.BDP("912810RG Govt","SECURITY_NAME")</f>
        <v>T 3 3/8 05/15/44</v>
      </c>
      <c r="Q284" t="str">
        <f>_xll.BDP("912810RG Govt","DAY_CNT_DES")</f>
        <v>ACT/ACT</v>
      </c>
      <c r="R284">
        <v>100</v>
      </c>
      <c r="S284" t="str">
        <f>_xll.BDP("912810RG Govt","ID_CUSIP")</f>
        <v>912810RG5</v>
      </c>
      <c r="T284" t="str">
        <f>_xll.BDP("912810RG Govt","IDX_RATIO")</f>
        <v>#N/A Field Not Applicable</v>
      </c>
    </row>
    <row r="285" spans="1:20" x14ac:dyDescent="0.25">
      <c r="A285" t="s">
        <v>14</v>
      </c>
      <c r="B285" t="str">
        <f>_xll.BDP("9128284F Govt","TICKER")</f>
        <v>T</v>
      </c>
      <c r="C285">
        <f>_xll.BDP("9128284F Govt","CPN")</f>
        <v>2.625</v>
      </c>
      <c r="D285">
        <f>_xll.BDP("9128284F Govt","YLD_YTM_BID")</f>
        <v>0.6529147330486087</v>
      </c>
      <c r="E285" t="str">
        <f>_xll.BDP("9128284F Govt","MATURITY")</f>
        <v>3/31/2025</v>
      </c>
      <c r="F285" t="str">
        <f>_xll.BDP("9128284F Govt","MTY_TYP")</f>
        <v>NORMAL</v>
      </c>
      <c r="G285" t="str">
        <f>_xll.BDP("9128284F Govt","CRNCY")</f>
        <v>USD</v>
      </c>
      <c r="H285" t="str">
        <f>_xll.BDP("9128284F Govt","COUNTRY_FULL_NAME")</f>
        <v>UNITED STATES</v>
      </c>
      <c r="I285" t="str">
        <f>_xll.BDP("9128284F Govt","FIRST_CPN_DT")</f>
        <v>9/30/2018</v>
      </c>
      <c r="J285" t="str">
        <f>_xll.BDP("9128284F Govt","COUPON_FREQUENCY_DESCRIPTION")</f>
        <v>S/A</v>
      </c>
      <c r="K285" t="str">
        <f>_xll.BDP("9128284F Govt","CPN_TYP")</f>
        <v>FIXED</v>
      </c>
      <c r="L285" t="str">
        <f>_xll.BDP("9128284F Govt","ID_ISIN")</f>
        <v>US9128284F40</v>
      </c>
      <c r="M285">
        <v>34108000000</v>
      </c>
      <c r="N285">
        <v>34108000000</v>
      </c>
      <c r="O285" t="str">
        <f>_xll.BDP("9128284F Govt","ISSUE_DT")</f>
        <v>4/2/2018</v>
      </c>
      <c r="P285" t="str">
        <f>_xll.BDP("9128284F Govt","SECURITY_NAME")</f>
        <v>T 2 5/8 03/31/25</v>
      </c>
      <c r="Q285" t="str">
        <f>_xll.BDP("9128284F Govt","DAY_CNT_DES")</f>
        <v>ACT/ACT</v>
      </c>
      <c r="R285">
        <v>100</v>
      </c>
      <c r="S285" t="str">
        <f>_xll.BDP("9128284F Govt","ID_CUSIP")</f>
        <v>9128284F4</v>
      </c>
      <c r="T285" t="str">
        <f>_xll.BDP("9128284F Govt","IDX_RATIO")</f>
        <v>#N/A Field Not Applicable</v>
      </c>
    </row>
    <row r="286" spans="1:20" x14ac:dyDescent="0.25">
      <c r="A286" t="s">
        <v>14</v>
      </c>
      <c r="B286" t="str">
        <f>_xll.BDP("912810QW Govt","TICKER")</f>
        <v>T</v>
      </c>
      <c r="C286">
        <f>_xll.BDP("912810QW Govt","CPN")</f>
        <v>3</v>
      </c>
      <c r="D286">
        <f>_xll.BDP("912810QW Govt","YLD_YTM_BID")</f>
        <v>2.0122911562933341</v>
      </c>
      <c r="E286" t="str">
        <f>_xll.BDP("912810QW Govt","MATURITY")</f>
        <v>5/15/2042</v>
      </c>
      <c r="F286" t="str">
        <f>_xll.BDP("912810QW Govt","MTY_TYP")</f>
        <v>NORMAL</v>
      </c>
      <c r="G286" t="str">
        <f>_xll.BDP("912810QW Govt","CRNCY")</f>
        <v>USD</v>
      </c>
      <c r="H286" t="str">
        <f>_xll.BDP("912810QW Govt","COUNTRY_FULL_NAME")</f>
        <v>UNITED STATES</v>
      </c>
      <c r="I286" t="str">
        <f>_xll.BDP("912810QW Govt","FIRST_CPN_DT")</f>
        <v>11/15/2012</v>
      </c>
      <c r="J286" t="str">
        <f>_xll.BDP("912810QW Govt","COUPON_FREQUENCY_DESCRIPTION")</f>
        <v>S/A</v>
      </c>
      <c r="K286" t="str">
        <f>_xll.BDP("912810QW Govt","CPN_TYP")</f>
        <v>FIXED</v>
      </c>
      <c r="L286" t="str">
        <f>_xll.BDP("912810QW Govt","ID_ISIN")</f>
        <v>US912810QW18</v>
      </c>
      <c r="M286">
        <v>43919000000</v>
      </c>
      <c r="N286">
        <v>43919000000</v>
      </c>
      <c r="O286" t="str">
        <f>_xll.BDP("912810QW Govt","ISSUE_DT")</f>
        <v>5/15/2012</v>
      </c>
      <c r="P286" t="str">
        <f>_xll.BDP("912810QW Govt","SECURITY_NAME")</f>
        <v>T 3 05/15/42</v>
      </c>
      <c r="Q286" t="str">
        <f>_xll.BDP("912810QW Govt","DAY_CNT_DES")</f>
        <v>ACT/ACT</v>
      </c>
      <c r="R286">
        <v>100</v>
      </c>
      <c r="S286" t="str">
        <f>_xll.BDP("912810QW Govt","ID_CUSIP")</f>
        <v>912810QW1</v>
      </c>
      <c r="T286" t="str">
        <f>_xll.BDP("912810QW Govt","IDX_RATIO")</f>
        <v>#N/A Field Not Applicable</v>
      </c>
    </row>
    <row r="287" spans="1:20" x14ac:dyDescent="0.25">
      <c r="A287" t="s">
        <v>14</v>
      </c>
      <c r="B287" t="str">
        <f>_xll.BDP("912810QU Govt","TICKER")</f>
        <v>T</v>
      </c>
      <c r="C287">
        <f>_xll.BDP("912810QU Govt","CPN")</f>
        <v>3.125</v>
      </c>
      <c r="D287">
        <f>_xll.BDP("912810QU Govt","YLD_YTM_BID")</f>
        <v>1.9891343608722345</v>
      </c>
      <c r="E287" t="str">
        <f>_xll.BDP("912810QU Govt","MATURITY")</f>
        <v>2/15/2042</v>
      </c>
      <c r="F287" t="str">
        <f>_xll.BDP("912810QU Govt","MTY_TYP")</f>
        <v>NORMAL</v>
      </c>
      <c r="G287" t="str">
        <f>_xll.BDP("912810QU Govt","CRNCY")</f>
        <v>USD</v>
      </c>
      <c r="H287" t="str">
        <f>_xll.BDP("912810QU Govt","COUNTRY_FULL_NAME")</f>
        <v>UNITED STATES</v>
      </c>
      <c r="I287" t="str">
        <f>_xll.BDP("912810QU Govt","FIRST_CPN_DT")</f>
        <v>8/15/2012</v>
      </c>
      <c r="J287" t="str">
        <f>_xll.BDP("912810QU Govt","COUPON_FREQUENCY_DESCRIPTION")</f>
        <v>S/A</v>
      </c>
      <c r="K287" t="str">
        <f>_xll.BDP("912810QU Govt","CPN_TYP")</f>
        <v>FIXED</v>
      </c>
      <c r="L287" t="str">
        <f>_xll.BDP("912810QU Govt","ID_ISIN")</f>
        <v>US912810QU51</v>
      </c>
      <c r="M287">
        <v>47219000000</v>
      </c>
      <c r="N287">
        <v>47219000000</v>
      </c>
      <c r="O287" t="str">
        <f>_xll.BDP("912810QU Govt","ISSUE_DT")</f>
        <v>2/15/2012</v>
      </c>
      <c r="P287" t="str">
        <f>_xll.BDP("912810QU Govt","SECURITY_NAME")</f>
        <v>T 3 1/8 02/15/42</v>
      </c>
      <c r="Q287" t="str">
        <f>_xll.BDP("912810QU Govt","DAY_CNT_DES")</f>
        <v>ACT/ACT</v>
      </c>
      <c r="R287">
        <v>100</v>
      </c>
      <c r="S287" t="str">
        <f>_xll.BDP("912810QU Govt","ID_CUSIP")</f>
        <v>912810QU5</v>
      </c>
      <c r="T287" t="str">
        <f>_xll.BDP("912810QU Govt","IDX_RATIO")</f>
        <v>#N/A Field Not Applicable</v>
      </c>
    </row>
    <row r="288" spans="1:20" x14ac:dyDescent="0.25">
      <c r="A288" t="s">
        <v>14</v>
      </c>
      <c r="B288" t="str">
        <f>_xll.BDP("9128284A Govt","TICKER")</f>
        <v>T</v>
      </c>
      <c r="C288">
        <f>_xll.BDP("9128284A Govt","CPN")</f>
        <v>2.625</v>
      </c>
      <c r="D288">
        <f>_xll.BDP("9128284A Govt","YLD_YTM_BID")</f>
        <v>0.17757739242579965</v>
      </c>
      <c r="E288" t="str">
        <f>_xll.BDP("9128284A Govt","MATURITY")</f>
        <v>2/28/2023</v>
      </c>
      <c r="F288" t="str">
        <f>_xll.BDP("9128284A Govt","MTY_TYP")</f>
        <v>NORMAL</v>
      </c>
      <c r="G288" t="str">
        <f>_xll.BDP("9128284A Govt","CRNCY")</f>
        <v>USD</v>
      </c>
      <c r="H288" t="str">
        <f>_xll.BDP("9128284A Govt","COUNTRY_FULL_NAME")</f>
        <v>UNITED STATES</v>
      </c>
      <c r="I288" t="str">
        <f>_xll.BDP("9128284A Govt","FIRST_CPN_DT")</f>
        <v>8/31/2018</v>
      </c>
      <c r="J288" t="str">
        <f>_xll.BDP("9128284A Govt","COUPON_FREQUENCY_DESCRIPTION")</f>
        <v>S/A</v>
      </c>
      <c r="K288" t="str">
        <f>_xll.BDP("9128284A Govt","CPN_TYP")</f>
        <v>FIXED</v>
      </c>
      <c r="L288" t="str">
        <f>_xll.BDP("9128284A Govt","ID_ISIN")</f>
        <v>US9128284A52</v>
      </c>
      <c r="M288">
        <v>43533000000</v>
      </c>
      <c r="N288">
        <v>43533000000</v>
      </c>
      <c r="O288" t="str">
        <f>_xll.BDP("9128284A Govt","ISSUE_DT")</f>
        <v>2/28/2018</v>
      </c>
      <c r="P288" t="str">
        <f>_xll.BDP("9128284A Govt","SECURITY_NAME")</f>
        <v>T 2 5/8 02/28/23</v>
      </c>
      <c r="Q288" t="str">
        <f>_xll.BDP("9128284A Govt","DAY_CNT_DES")</f>
        <v>ACT/ACT</v>
      </c>
      <c r="R288">
        <v>100</v>
      </c>
      <c r="S288" t="str">
        <f>_xll.BDP("9128284A Govt","ID_CUSIP")</f>
        <v>9128284A5</v>
      </c>
      <c r="T288" t="str">
        <f>_xll.BDP("9128284A Govt","IDX_RATIO")</f>
        <v>#N/A Field Not Applicable</v>
      </c>
    </row>
    <row r="289" spans="1:20" x14ac:dyDescent="0.25">
      <c r="A289" t="s">
        <v>14</v>
      </c>
      <c r="B289" t="str">
        <f>_xll.BDP("912810PW Govt","TICKER")</f>
        <v>T</v>
      </c>
      <c r="C289">
        <f>_xll.BDP("912810PW Govt","CPN")</f>
        <v>4.375</v>
      </c>
      <c r="D289">
        <f>_xll.BDP("912810PW Govt","YLD_YTM_BID")</f>
        <v>1.7891081592368838</v>
      </c>
      <c r="E289" t="str">
        <f>_xll.BDP("912810PW Govt","MATURITY")</f>
        <v>2/15/2038</v>
      </c>
      <c r="F289" t="str">
        <f>_xll.BDP("912810PW Govt","MTY_TYP")</f>
        <v>NORMAL</v>
      </c>
      <c r="G289" t="str">
        <f>_xll.BDP("912810PW Govt","CRNCY")</f>
        <v>USD</v>
      </c>
      <c r="H289" t="str">
        <f>_xll.BDP("912810PW Govt","COUNTRY_FULL_NAME")</f>
        <v>UNITED STATES</v>
      </c>
      <c r="I289" t="str">
        <f>_xll.BDP("912810PW Govt","FIRST_CPN_DT")</f>
        <v>8/15/2008</v>
      </c>
      <c r="J289" t="str">
        <f>_xll.BDP("912810PW Govt","COUPON_FREQUENCY_DESCRIPTION")</f>
        <v>S/A</v>
      </c>
      <c r="K289" t="str">
        <f>_xll.BDP("912810PW Govt","CPN_TYP")</f>
        <v>FIXED</v>
      </c>
      <c r="L289" t="str">
        <f>_xll.BDP("912810PW Govt","ID_ISIN")</f>
        <v>US912810PW27</v>
      </c>
      <c r="M289">
        <v>22525000000</v>
      </c>
      <c r="N289">
        <v>22525000000</v>
      </c>
      <c r="O289" t="str">
        <f>_xll.BDP("912810PW Govt","ISSUE_DT")</f>
        <v>2/15/2008</v>
      </c>
      <c r="P289" t="str">
        <f>_xll.BDP("912810PW Govt","SECURITY_NAME")</f>
        <v>T 4 3/8 02/15/38</v>
      </c>
      <c r="Q289" t="str">
        <f>_xll.BDP("912810PW Govt","DAY_CNT_DES")</f>
        <v>ACT/ACT</v>
      </c>
      <c r="R289">
        <v>100</v>
      </c>
      <c r="S289" t="str">
        <f>_xll.BDP("912810PW Govt","ID_CUSIP")</f>
        <v>912810PW2</v>
      </c>
      <c r="T289" t="str">
        <f>_xll.BDP("912810PW Govt","IDX_RATIO")</f>
        <v>#N/A Field Not Applicable</v>
      </c>
    </row>
    <row r="290" spans="1:20" x14ac:dyDescent="0.25">
      <c r="A290" t="s">
        <v>14</v>
      </c>
      <c r="B290" t="str">
        <f>_xll.BDP("9128285N Govt","TICKER")</f>
        <v>T</v>
      </c>
      <c r="C290">
        <f>_xll.BDP("9128285N Govt","CPN")</f>
        <v>2.875</v>
      </c>
      <c r="D290">
        <f>_xll.BDP("9128285N Govt","YLD_YTM_BID")</f>
        <v>0.81649148864180066</v>
      </c>
      <c r="E290" t="str">
        <f>_xll.BDP("9128285N Govt","MATURITY")</f>
        <v>11/30/2025</v>
      </c>
      <c r="F290" t="str">
        <f>_xll.BDP("9128285N Govt","MTY_TYP")</f>
        <v>NORMAL</v>
      </c>
      <c r="G290" t="str">
        <f>_xll.BDP("9128285N Govt","CRNCY")</f>
        <v>USD</v>
      </c>
      <c r="H290" t="str">
        <f>_xll.BDP("9128285N Govt","COUNTRY_FULL_NAME")</f>
        <v>UNITED STATES</v>
      </c>
      <c r="I290" t="str">
        <f>_xll.BDP("9128285N Govt","FIRST_CPN_DT")</f>
        <v>5/31/2019</v>
      </c>
      <c r="J290" t="str">
        <f>_xll.BDP("9128285N Govt","COUPON_FREQUENCY_DESCRIPTION")</f>
        <v>S/A</v>
      </c>
      <c r="K290" t="str">
        <f>_xll.BDP("9128285N Govt","CPN_TYP")</f>
        <v>FIXED</v>
      </c>
      <c r="L290" t="str">
        <f>_xll.BDP("9128285N Govt","ID_ISIN")</f>
        <v>US9128285N64</v>
      </c>
      <c r="M290">
        <v>34809000000</v>
      </c>
      <c r="N290">
        <v>34809000000</v>
      </c>
      <c r="O290" t="str">
        <f>_xll.BDP("9128285N Govt","ISSUE_DT")</f>
        <v>11/30/2018</v>
      </c>
      <c r="P290" t="str">
        <f>_xll.BDP("9128285N Govt","SECURITY_NAME")</f>
        <v>T 2 7/8 11/30/25</v>
      </c>
      <c r="Q290" t="str">
        <f>_xll.BDP("9128285N Govt","DAY_CNT_DES")</f>
        <v>ACT/ACT</v>
      </c>
      <c r="R290">
        <v>100</v>
      </c>
      <c r="S290" t="str">
        <f>_xll.BDP("9128285N Govt","ID_CUSIP")</f>
        <v>9128285N6</v>
      </c>
      <c r="T290" t="str">
        <f>_xll.BDP("9128285N Govt","IDX_RATIO")</f>
        <v>#N/A Field Not Applicable</v>
      </c>
    </row>
    <row r="291" spans="1:20" x14ac:dyDescent="0.25">
      <c r="A291" t="s">
        <v>14</v>
      </c>
      <c r="B291" t="str">
        <f>_xll.BDP("912810QN Govt","TICKER")</f>
        <v>T</v>
      </c>
      <c r="C291">
        <f>_xll.BDP("912810QN Govt","CPN")</f>
        <v>4.75</v>
      </c>
      <c r="D291">
        <f>_xll.BDP("912810QN Govt","YLD_YTM_BID")</f>
        <v>1.9136210334382266</v>
      </c>
      <c r="E291" t="str">
        <f>_xll.BDP("912810QN Govt","MATURITY")</f>
        <v>2/15/2041</v>
      </c>
      <c r="F291" t="str">
        <f>_xll.BDP("912810QN Govt","MTY_TYP")</f>
        <v>NORMAL</v>
      </c>
      <c r="G291" t="str">
        <f>_xll.BDP("912810QN Govt","CRNCY")</f>
        <v>USD</v>
      </c>
      <c r="H291" t="str">
        <f>_xll.BDP("912810QN Govt","COUNTRY_FULL_NAME")</f>
        <v>UNITED STATES</v>
      </c>
      <c r="I291" t="str">
        <f>_xll.BDP("912810QN Govt","FIRST_CPN_DT")</f>
        <v>8/15/2011</v>
      </c>
      <c r="J291" t="str">
        <f>_xll.BDP("912810QN Govt","COUPON_FREQUENCY_DESCRIPTION")</f>
        <v>S/A</v>
      </c>
      <c r="K291" t="str">
        <f>_xll.BDP("912810QN Govt","CPN_TYP")</f>
        <v>FIXED</v>
      </c>
      <c r="L291" t="str">
        <f>_xll.BDP("912810QN Govt","ID_ISIN")</f>
        <v>US912810QN19</v>
      </c>
      <c r="M291">
        <v>43005000000</v>
      </c>
      <c r="N291">
        <v>43005000000</v>
      </c>
      <c r="O291" t="str">
        <f>_xll.BDP("912810QN Govt","ISSUE_DT")</f>
        <v>2/15/2011</v>
      </c>
      <c r="P291" t="str">
        <f>_xll.BDP("912810QN Govt","SECURITY_NAME")</f>
        <v>T 4 3/4 02/15/41</v>
      </c>
      <c r="Q291" t="str">
        <f>_xll.BDP("912810QN Govt","DAY_CNT_DES")</f>
        <v>ACT/ACT</v>
      </c>
      <c r="R291">
        <v>100</v>
      </c>
      <c r="S291" t="str">
        <f>_xll.BDP("912810QN Govt","ID_CUSIP")</f>
        <v>912810QN1</v>
      </c>
      <c r="T291" t="str">
        <f>_xll.BDP("912810QN Govt","IDX_RATIO")</f>
        <v>#N/A Field Not Applicable</v>
      </c>
    </row>
    <row r="292" spans="1:20" x14ac:dyDescent="0.25">
      <c r="A292" t="s">
        <v>14</v>
      </c>
      <c r="B292" t="str">
        <f>_xll.BDP("912810FF Govt","TICKER")</f>
        <v>T</v>
      </c>
      <c r="C292">
        <f>_xll.BDP("912810FF Govt","CPN")</f>
        <v>5.25</v>
      </c>
      <c r="D292">
        <f>_xll.BDP("912810FF Govt","YLD_YTM_BID")</f>
        <v>1.2761718104018573</v>
      </c>
      <c r="E292" t="str">
        <f>_xll.BDP("912810FF Govt","MATURITY")</f>
        <v>11/15/2028</v>
      </c>
      <c r="F292" t="str">
        <f>_xll.BDP("912810FF Govt","MTY_TYP")</f>
        <v>NORMAL</v>
      </c>
      <c r="G292" t="str">
        <f>_xll.BDP("912810FF Govt","CRNCY")</f>
        <v>USD</v>
      </c>
      <c r="H292" t="str">
        <f>_xll.BDP("912810FF Govt","COUNTRY_FULL_NAME")</f>
        <v>UNITED STATES</v>
      </c>
      <c r="I292" t="str">
        <f>_xll.BDP("912810FF Govt","FIRST_CPN_DT")</f>
        <v>5/15/1999</v>
      </c>
      <c r="J292" t="str">
        <f>_xll.BDP("912810FF Govt","COUPON_FREQUENCY_DESCRIPTION")</f>
        <v>S/A</v>
      </c>
      <c r="K292" t="str">
        <f>_xll.BDP("912810FF Govt","CPN_TYP")</f>
        <v>FIXED</v>
      </c>
      <c r="L292" t="str">
        <f>_xll.BDP("912810FF Govt","ID_ISIN")</f>
        <v>US912810FF04</v>
      </c>
      <c r="M292">
        <v>10947000000</v>
      </c>
      <c r="N292">
        <v>10947000000</v>
      </c>
      <c r="O292" t="str">
        <f>_xll.BDP("912810FF Govt","ISSUE_DT")</f>
        <v>11/16/1998</v>
      </c>
      <c r="P292" t="str">
        <f>_xll.BDP("912810FF Govt","SECURITY_NAME")</f>
        <v>T 5 1/4 11/15/28</v>
      </c>
      <c r="Q292" t="str">
        <f>_xll.BDP("912810FF Govt","DAY_CNT_DES")</f>
        <v>ACT/ACT</v>
      </c>
      <c r="R292">
        <v>100</v>
      </c>
      <c r="S292" t="str">
        <f>_xll.BDP("912810FF Govt","ID_CUSIP")</f>
        <v>912810FF0</v>
      </c>
      <c r="T292" t="str">
        <f>_xll.BDP("912810FF Govt","IDX_RATIO")</f>
        <v>#N/A Field Not Applicable</v>
      </c>
    </row>
    <row r="293" spans="1:20" x14ac:dyDescent="0.25">
      <c r="A293" t="s">
        <v>14</v>
      </c>
      <c r="B293" t="str">
        <f>_xll.BDP("912810RN Govt","TICKER")</f>
        <v>T</v>
      </c>
      <c r="C293">
        <f>_xll.BDP("912810RN Govt","CPN")</f>
        <v>2.875</v>
      </c>
      <c r="D293">
        <f>_xll.BDP("912810RN Govt","YLD_YTM_BID")</f>
        <v>2.0769430653812737</v>
      </c>
      <c r="E293" t="str">
        <f>_xll.BDP("912810RN Govt","MATURITY")</f>
        <v>8/15/2045</v>
      </c>
      <c r="F293" t="str">
        <f>_xll.BDP("912810RN Govt","MTY_TYP")</f>
        <v>NORMAL</v>
      </c>
      <c r="G293" t="str">
        <f>_xll.BDP("912810RN Govt","CRNCY")</f>
        <v>USD</v>
      </c>
      <c r="H293" t="str">
        <f>_xll.BDP("912810RN Govt","COUNTRY_FULL_NAME")</f>
        <v>UNITED STATES</v>
      </c>
      <c r="I293" t="str">
        <f>_xll.BDP("912810RN Govt","FIRST_CPN_DT")</f>
        <v>2/15/2016</v>
      </c>
      <c r="J293" t="str">
        <f>_xll.BDP("912810RN Govt","COUPON_FREQUENCY_DESCRIPTION")</f>
        <v>S/A</v>
      </c>
      <c r="K293" t="str">
        <f>_xll.BDP("912810RN Govt","CPN_TYP")</f>
        <v>FIXED</v>
      </c>
      <c r="L293" t="str">
        <f>_xll.BDP("912810RN Govt","ID_ISIN")</f>
        <v>US912810RN00</v>
      </c>
      <c r="M293">
        <v>42321000000</v>
      </c>
      <c r="N293">
        <v>42321000000</v>
      </c>
      <c r="O293" t="str">
        <f>_xll.BDP("912810RN Govt","ISSUE_DT")</f>
        <v>8/17/2015</v>
      </c>
      <c r="P293" t="str">
        <f>_xll.BDP("912810RN Govt","SECURITY_NAME")</f>
        <v>T 2 7/8 08/15/45</v>
      </c>
      <c r="Q293" t="str">
        <f>_xll.BDP("912810RN Govt","DAY_CNT_DES")</f>
        <v>ACT/ACT</v>
      </c>
      <c r="R293">
        <v>100</v>
      </c>
      <c r="S293" t="str">
        <f>_xll.BDP("912810RN Govt","ID_CUSIP")</f>
        <v>912810RN0</v>
      </c>
      <c r="T293" t="str">
        <f>_xll.BDP("912810RN Govt","IDX_RATIO")</f>
        <v>#N/A Field Not Applicable</v>
      </c>
    </row>
    <row r="294" spans="1:20" x14ac:dyDescent="0.25">
      <c r="A294" t="s">
        <v>14</v>
      </c>
      <c r="B294" t="str">
        <f>_xll.BDP("9128284S Govt","TICKER")</f>
        <v>T</v>
      </c>
      <c r="C294">
        <f>_xll.BDP("9128284S Govt","CPN")</f>
        <v>2.75</v>
      </c>
      <c r="D294">
        <f>_xll.BDP("9128284S Govt","YLD_YTM_BID")</f>
        <v>0.22296713546603913</v>
      </c>
      <c r="E294" t="str">
        <f>_xll.BDP("9128284S Govt","MATURITY")</f>
        <v>5/31/2023</v>
      </c>
      <c r="F294" t="str">
        <f>_xll.BDP("9128284S Govt","MTY_TYP")</f>
        <v>NORMAL</v>
      </c>
      <c r="G294" t="str">
        <f>_xll.BDP("9128284S Govt","CRNCY")</f>
        <v>USD</v>
      </c>
      <c r="H294" t="str">
        <f>_xll.BDP("9128284S Govt","COUNTRY_FULL_NAME")</f>
        <v>UNITED STATES</v>
      </c>
      <c r="I294" t="str">
        <f>_xll.BDP("9128284S Govt","FIRST_CPN_DT")</f>
        <v>11/30/2018</v>
      </c>
      <c r="J294" t="str">
        <f>_xll.BDP("9128284S Govt","COUPON_FREQUENCY_DESCRIPTION")</f>
        <v>S/A</v>
      </c>
      <c r="K294" t="str">
        <f>_xll.BDP("9128284S Govt","CPN_TYP")</f>
        <v>FIXED</v>
      </c>
      <c r="L294" t="str">
        <f>_xll.BDP("9128284S Govt","ID_ISIN")</f>
        <v>US9128284S60</v>
      </c>
      <c r="M294">
        <v>42253000000</v>
      </c>
      <c r="N294">
        <v>42253000000</v>
      </c>
      <c r="O294" t="str">
        <f>_xll.BDP("9128284S Govt","ISSUE_DT")</f>
        <v>5/31/2018</v>
      </c>
      <c r="P294" t="str">
        <f>_xll.BDP("9128284S Govt","SECURITY_NAME")</f>
        <v>T 2 3/4 05/31/23</v>
      </c>
      <c r="Q294" t="str">
        <f>_xll.BDP("9128284S Govt","DAY_CNT_DES")</f>
        <v>ACT/ACT</v>
      </c>
      <c r="R294">
        <v>100</v>
      </c>
      <c r="S294" t="str">
        <f>_xll.BDP("9128284S Govt","ID_CUSIP")</f>
        <v>9128284S6</v>
      </c>
      <c r="T294" t="str">
        <f>_xll.BDP("9128284S Govt","IDX_RATIO")</f>
        <v>#N/A Field Not Applicable</v>
      </c>
    </row>
    <row r="295" spans="1:20" x14ac:dyDescent="0.25">
      <c r="A295" t="s">
        <v>14</v>
      </c>
      <c r="B295" t="str">
        <f>_xll.BDP("912810RE Govt","TICKER")</f>
        <v>T</v>
      </c>
      <c r="C295">
        <f>_xll.BDP("912810RE Govt","CPN")</f>
        <v>3.625</v>
      </c>
      <c r="D295">
        <f>_xll.BDP("912810RE Govt","YLD_YTM_BID")</f>
        <v>2.0421282963027019</v>
      </c>
      <c r="E295" t="str">
        <f>_xll.BDP("912810RE Govt","MATURITY")</f>
        <v>2/15/2044</v>
      </c>
      <c r="F295" t="str">
        <f>_xll.BDP("912810RE Govt","MTY_TYP")</f>
        <v>NORMAL</v>
      </c>
      <c r="G295" t="str">
        <f>_xll.BDP("912810RE Govt","CRNCY")</f>
        <v>USD</v>
      </c>
      <c r="H295" t="str">
        <f>_xll.BDP("912810RE Govt","COUNTRY_FULL_NAME")</f>
        <v>UNITED STATES</v>
      </c>
      <c r="I295" t="str">
        <f>_xll.BDP("912810RE Govt","FIRST_CPN_DT")</f>
        <v>8/15/2014</v>
      </c>
      <c r="J295" t="str">
        <f>_xll.BDP("912810RE Govt","COUPON_FREQUENCY_DESCRIPTION")</f>
        <v>S/A</v>
      </c>
      <c r="K295" t="str">
        <f>_xll.BDP("912810RE Govt","CPN_TYP")</f>
        <v>FIXED</v>
      </c>
      <c r="L295" t="str">
        <f>_xll.BDP("912810RE Govt","ID_ISIN")</f>
        <v>US912810RE01</v>
      </c>
      <c r="M295">
        <v>42000000000</v>
      </c>
      <c r="N295">
        <v>42000000000</v>
      </c>
      <c r="O295" t="str">
        <f>_xll.BDP("912810RE Govt","ISSUE_DT")</f>
        <v>2/18/2014</v>
      </c>
      <c r="P295" t="str">
        <f>_xll.BDP("912810RE Govt","SECURITY_NAME")</f>
        <v>T 3 5/8 02/15/44</v>
      </c>
      <c r="Q295" t="str">
        <f>_xll.BDP("912810RE Govt","DAY_CNT_DES")</f>
        <v>ACT/ACT</v>
      </c>
      <c r="R295">
        <v>100</v>
      </c>
      <c r="S295" t="str">
        <f>_xll.BDP("912810RE Govt","ID_CUSIP")</f>
        <v>912810RE0</v>
      </c>
      <c r="T295" t="str">
        <f>_xll.BDP("912810RE Govt","IDX_RATIO")</f>
        <v>#N/A Field Not Applicable</v>
      </c>
    </row>
    <row r="296" spans="1:20" x14ac:dyDescent="0.25">
      <c r="A296" t="s">
        <v>14</v>
      </c>
      <c r="B296" t="str">
        <f>_xll.BDP("912828W4 Govt","TICKER")</f>
        <v>T</v>
      </c>
      <c r="C296">
        <f>_xll.BDP("912828W4 Govt","CPN")</f>
        <v>2.125</v>
      </c>
      <c r="D296">
        <f>_xll.BDP("912828W4 Govt","YLD_YTM_BID")</f>
        <v>0.37433445289725303</v>
      </c>
      <c r="E296" t="str">
        <f>_xll.BDP("912828W4 Govt","MATURITY")</f>
        <v>2/29/2024</v>
      </c>
      <c r="F296" t="str">
        <f>_xll.BDP("912828W4 Govt","MTY_TYP")</f>
        <v>NORMAL</v>
      </c>
      <c r="G296" t="str">
        <f>_xll.BDP("912828W4 Govt","CRNCY")</f>
        <v>USD</v>
      </c>
      <c r="H296" t="str">
        <f>_xll.BDP("912828W4 Govt","COUNTRY_FULL_NAME")</f>
        <v>UNITED STATES</v>
      </c>
      <c r="I296" t="str">
        <f>_xll.BDP("912828W4 Govt","FIRST_CPN_DT")</f>
        <v>8/31/2017</v>
      </c>
      <c r="J296" t="str">
        <f>_xll.BDP("912828W4 Govt","COUPON_FREQUENCY_DESCRIPTION")</f>
        <v>S/A</v>
      </c>
      <c r="K296" t="str">
        <f>_xll.BDP("912828W4 Govt","CPN_TYP")</f>
        <v>FIXED</v>
      </c>
      <c r="L296" t="str">
        <f>_xll.BDP("912828W4 Govt","ID_ISIN")</f>
        <v>US912828W481</v>
      </c>
      <c r="M296">
        <v>31883000000</v>
      </c>
      <c r="N296">
        <v>31879000000</v>
      </c>
      <c r="O296" t="str">
        <f>_xll.BDP("912828W4 Govt","ISSUE_DT")</f>
        <v>2/28/2017</v>
      </c>
      <c r="P296" t="str">
        <f>_xll.BDP("912828W4 Govt","SECURITY_NAME")</f>
        <v>T 2 1/8 02/29/24</v>
      </c>
      <c r="Q296" t="str">
        <f>_xll.BDP("912828W4 Govt","DAY_CNT_DES")</f>
        <v>ACT/ACT</v>
      </c>
      <c r="R296">
        <v>100</v>
      </c>
      <c r="S296" t="str">
        <f>_xll.BDP("912828W4 Govt","ID_CUSIP")</f>
        <v>912828W48</v>
      </c>
      <c r="T296" t="str">
        <f>_xll.BDP("912828W4 Govt","IDX_RATIO")</f>
        <v>#N/A Field Not Applicable</v>
      </c>
    </row>
    <row r="297" spans="1:20" x14ac:dyDescent="0.25">
      <c r="A297" t="s">
        <v>14</v>
      </c>
      <c r="B297" t="str">
        <f>_xll.BDP("912828Y6 Govt","TICKER")</f>
        <v>T</v>
      </c>
      <c r="C297">
        <f>_xll.BDP("912828Y6 Govt","CPN")</f>
        <v>2.75</v>
      </c>
      <c r="D297">
        <f>_xll.BDP("912828Y6 Govt","YLD_YTM_BID")</f>
        <v>0.25013434658096895</v>
      </c>
      <c r="E297" t="str">
        <f>_xll.BDP("912828Y6 Govt","MATURITY")</f>
        <v>7/31/2023</v>
      </c>
      <c r="F297" t="str">
        <f>_xll.BDP("912828Y6 Govt","MTY_TYP")</f>
        <v>NORMAL</v>
      </c>
      <c r="G297" t="str">
        <f>_xll.BDP("912828Y6 Govt","CRNCY")</f>
        <v>USD</v>
      </c>
      <c r="H297" t="str">
        <f>_xll.BDP("912828Y6 Govt","COUNTRY_FULL_NAME")</f>
        <v>UNITED STATES</v>
      </c>
      <c r="I297" t="str">
        <f>_xll.BDP("912828Y6 Govt","FIRST_CPN_DT")</f>
        <v>1/31/2019</v>
      </c>
      <c r="J297" t="str">
        <f>_xll.BDP("912828Y6 Govt","COUPON_FREQUENCY_DESCRIPTION")</f>
        <v>S/A</v>
      </c>
      <c r="K297" t="str">
        <f>_xll.BDP("912828Y6 Govt","CPN_TYP")</f>
        <v>FIXED</v>
      </c>
      <c r="L297" t="str">
        <f>_xll.BDP("912828Y6 Govt","ID_ISIN")</f>
        <v>US912828Y610</v>
      </c>
      <c r="M297">
        <v>37955000000</v>
      </c>
      <c r="N297">
        <v>37955000000</v>
      </c>
      <c r="O297" t="str">
        <f>_xll.BDP("912828Y6 Govt","ISSUE_DT")</f>
        <v>7/31/2018</v>
      </c>
      <c r="P297" t="str">
        <f>_xll.BDP("912828Y6 Govt","SECURITY_NAME")</f>
        <v>T 2 3/4 07/31/23</v>
      </c>
      <c r="Q297" t="str">
        <f>_xll.BDP("912828Y6 Govt","DAY_CNT_DES")</f>
        <v>ACT/ACT</v>
      </c>
      <c r="R297">
        <v>100</v>
      </c>
      <c r="S297" t="str">
        <f>_xll.BDP("912828Y6 Govt","ID_CUSIP")</f>
        <v>912828Y61</v>
      </c>
      <c r="T297" t="str">
        <f>_xll.BDP("912828Y6 Govt","IDX_RATIO")</f>
        <v>#N/A Field Not Applicable</v>
      </c>
    </row>
    <row r="298" spans="1:20" x14ac:dyDescent="0.25">
      <c r="A298" t="s">
        <v>14</v>
      </c>
      <c r="B298" t="str">
        <f>_xll.BDP("912810EQ Govt","TICKER")</f>
        <v>T</v>
      </c>
      <c r="C298">
        <f>_xll.BDP("912810EQ Govt","CPN")</f>
        <v>6.25</v>
      </c>
      <c r="D298">
        <f>_xll.BDP("912810EQ Govt","YLD_YTM_BID")</f>
        <v>0.30601804090640633</v>
      </c>
      <c r="E298" t="str">
        <f>_xll.BDP("912810EQ Govt","MATURITY")</f>
        <v>8/15/2023</v>
      </c>
      <c r="F298" t="str">
        <f>_xll.BDP("912810EQ Govt","MTY_TYP")</f>
        <v>NORMAL</v>
      </c>
      <c r="G298" t="str">
        <f>_xll.BDP("912810EQ Govt","CRNCY")</f>
        <v>USD</v>
      </c>
      <c r="H298" t="str">
        <f>_xll.BDP("912810EQ Govt","COUNTRY_FULL_NAME")</f>
        <v>UNITED STATES</v>
      </c>
      <c r="I298" t="str">
        <f>_xll.BDP("912810EQ Govt","FIRST_CPN_DT")</f>
        <v>2/15/1994</v>
      </c>
      <c r="J298" t="str">
        <f>_xll.BDP("912810EQ Govt","COUPON_FREQUENCY_DESCRIPTION")</f>
        <v>S/A</v>
      </c>
      <c r="K298" t="str">
        <f>_xll.BDP("912810EQ Govt","CPN_TYP")</f>
        <v>FIXED</v>
      </c>
      <c r="L298" t="str">
        <f>_xll.BDP("912810EQ Govt","ID_ISIN")</f>
        <v>US912810EQ77</v>
      </c>
      <c r="M298">
        <v>22909000000</v>
      </c>
      <c r="N298">
        <v>22659000000</v>
      </c>
      <c r="O298" t="str">
        <f>_xll.BDP("912810EQ Govt","ISSUE_DT")</f>
        <v>8/16/1993</v>
      </c>
      <c r="P298" t="str">
        <f>_xll.BDP("912810EQ Govt","SECURITY_NAME")</f>
        <v>T 6 1/4 08/15/23</v>
      </c>
      <c r="Q298" t="str">
        <f>_xll.BDP("912810EQ Govt","DAY_CNT_DES")</f>
        <v>ACT/ACT</v>
      </c>
      <c r="R298">
        <v>100</v>
      </c>
      <c r="S298" t="str">
        <f>_xll.BDP("912810EQ Govt","ID_CUSIP")</f>
        <v>912810EQ7</v>
      </c>
      <c r="T298" t="str">
        <f>_xll.BDP("912810EQ Govt","IDX_RATIO")</f>
        <v>#N/A Field Not Applicable</v>
      </c>
    </row>
    <row r="299" spans="1:20" x14ac:dyDescent="0.25">
      <c r="A299" t="s">
        <v>14</v>
      </c>
      <c r="B299" t="str">
        <f>_xll.BDP("9128284L Govt","TICKER")</f>
        <v>T</v>
      </c>
      <c r="C299">
        <f>_xll.BDP("9128284L Govt","CPN")</f>
        <v>2.75</v>
      </c>
      <c r="D299">
        <f>_xll.BDP("9128284L Govt","YLD_YTM_BID")</f>
        <v>0.21073566694468984</v>
      </c>
      <c r="E299" t="str">
        <f>_xll.BDP("9128284L Govt","MATURITY")</f>
        <v>4/30/2023</v>
      </c>
      <c r="F299" t="str">
        <f>_xll.BDP("9128284L Govt","MTY_TYP")</f>
        <v>NORMAL</v>
      </c>
      <c r="G299" t="str">
        <f>_xll.BDP("9128284L Govt","CRNCY")</f>
        <v>USD</v>
      </c>
      <c r="H299" t="str">
        <f>_xll.BDP("9128284L Govt","COUNTRY_FULL_NAME")</f>
        <v>UNITED STATES</v>
      </c>
      <c r="I299" t="str">
        <f>_xll.BDP("9128284L Govt","FIRST_CPN_DT")</f>
        <v>10/31/2018</v>
      </c>
      <c r="J299" t="str">
        <f>_xll.BDP("9128284L Govt","COUPON_FREQUENCY_DESCRIPTION")</f>
        <v>S/A</v>
      </c>
      <c r="K299" t="str">
        <f>_xll.BDP("9128284L Govt","CPN_TYP")</f>
        <v>FIXED</v>
      </c>
      <c r="L299" t="str">
        <f>_xll.BDP("9128284L Govt","ID_ISIN")</f>
        <v>US9128284L18</v>
      </c>
      <c r="M299">
        <v>39466000000</v>
      </c>
      <c r="N299">
        <v>39466000000</v>
      </c>
      <c r="O299" t="str">
        <f>_xll.BDP("9128284L Govt","ISSUE_DT")</f>
        <v>4/30/2018</v>
      </c>
      <c r="P299" t="str">
        <f>_xll.BDP("9128284L Govt","SECURITY_NAME")</f>
        <v>T 2 3/4 04/30/23</v>
      </c>
      <c r="Q299" t="str">
        <f>_xll.BDP("9128284L Govt","DAY_CNT_DES")</f>
        <v>ACT/ACT</v>
      </c>
      <c r="R299">
        <v>100</v>
      </c>
      <c r="S299" t="str">
        <f>_xll.BDP("9128284L Govt","ID_CUSIP")</f>
        <v>9128284L1</v>
      </c>
      <c r="T299" t="str">
        <f>_xll.BDP("9128284L Govt","IDX_RATIO")</f>
        <v>#N/A Field Not Applicable</v>
      </c>
    </row>
    <row r="300" spans="1:20" x14ac:dyDescent="0.25">
      <c r="A300" t="s">
        <v>14</v>
      </c>
      <c r="B300" t="str">
        <f>_xll.BDP("912828X7 Govt","TICKER")</f>
        <v>T</v>
      </c>
      <c r="C300">
        <f>_xll.BDP("912828X7 Govt","CPN")</f>
        <v>2</v>
      </c>
      <c r="D300">
        <f>_xll.BDP("912828X7 Govt","YLD_YTM_BID")</f>
        <v>0.42297184847556624</v>
      </c>
      <c r="E300" t="str">
        <f>_xll.BDP("912828X7 Govt","MATURITY")</f>
        <v>4/30/2024</v>
      </c>
      <c r="F300" t="str">
        <f>_xll.BDP("912828X7 Govt","MTY_TYP")</f>
        <v>NORMAL</v>
      </c>
      <c r="G300" t="str">
        <f>_xll.BDP("912828X7 Govt","CRNCY")</f>
        <v>USD</v>
      </c>
      <c r="H300" t="str">
        <f>_xll.BDP("912828X7 Govt","COUNTRY_FULL_NAME")</f>
        <v>UNITED STATES</v>
      </c>
      <c r="I300" t="str">
        <f>_xll.BDP("912828X7 Govt","FIRST_CPN_DT")</f>
        <v>10/31/2017</v>
      </c>
      <c r="J300" t="str">
        <f>_xll.BDP("912828X7 Govt","COUPON_FREQUENCY_DESCRIPTION")</f>
        <v>S/A</v>
      </c>
      <c r="K300" t="str">
        <f>_xll.BDP("912828X7 Govt","CPN_TYP")</f>
        <v>FIXED</v>
      </c>
      <c r="L300" t="str">
        <f>_xll.BDP("912828X7 Govt","ID_ISIN")</f>
        <v>US912828X703</v>
      </c>
      <c r="M300">
        <v>31822000000</v>
      </c>
      <c r="N300">
        <v>31819000000</v>
      </c>
      <c r="O300" t="str">
        <f>_xll.BDP("912828X7 Govt","ISSUE_DT")</f>
        <v>5/1/2017</v>
      </c>
      <c r="P300" t="str">
        <f>_xll.BDP("912828X7 Govt","SECURITY_NAME")</f>
        <v>T 2 04/30/24</v>
      </c>
      <c r="Q300" t="str">
        <f>_xll.BDP("912828X7 Govt","DAY_CNT_DES")</f>
        <v>ACT/ACT</v>
      </c>
      <c r="R300">
        <v>100</v>
      </c>
      <c r="S300" t="str">
        <f>_xll.BDP("912828X7 Govt","ID_CUSIP")</f>
        <v>912828X70</v>
      </c>
      <c r="T300" t="str">
        <f>_xll.BDP("912828X7 Govt","IDX_RATIO")</f>
        <v>#N/A Field Not Applicable</v>
      </c>
    </row>
    <row r="301" spans="1:20" x14ac:dyDescent="0.25">
      <c r="A301" t="s">
        <v>14</v>
      </c>
      <c r="B301" t="str">
        <f>_xll.BDP("912828S9 Govt","TICKER")</f>
        <v>T</v>
      </c>
      <c r="C301">
        <f>_xll.BDP("912828S9 Govt","CPN")</f>
        <v>1.25</v>
      </c>
      <c r="D301">
        <f>_xll.BDP("912828S9 Govt","YLD_YTM_BID")</f>
        <v>0.24791891541800939</v>
      </c>
      <c r="E301" t="str">
        <f>_xll.BDP("912828S9 Govt","MATURITY")</f>
        <v>7/31/2023</v>
      </c>
      <c r="F301" t="str">
        <f>_xll.BDP("912828S9 Govt","MTY_TYP")</f>
        <v>NORMAL</v>
      </c>
      <c r="G301" t="str">
        <f>_xll.BDP("912828S9 Govt","CRNCY")</f>
        <v>USD</v>
      </c>
      <c r="H301" t="str">
        <f>_xll.BDP("912828S9 Govt","COUNTRY_FULL_NAME")</f>
        <v>UNITED STATES</v>
      </c>
      <c r="I301" t="str">
        <f>_xll.BDP("912828S9 Govt","FIRST_CPN_DT")</f>
        <v>1/31/2017</v>
      </c>
      <c r="J301" t="str">
        <f>_xll.BDP("912828S9 Govt","COUPON_FREQUENCY_DESCRIPTION")</f>
        <v>S/A</v>
      </c>
      <c r="K301" t="str">
        <f>_xll.BDP("912828S9 Govt","CPN_TYP")</f>
        <v>FIXED</v>
      </c>
      <c r="L301" t="str">
        <f>_xll.BDP("912828S9 Govt","ID_ISIN")</f>
        <v>US912828S927</v>
      </c>
      <c r="M301">
        <v>29955000000</v>
      </c>
      <c r="N301">
        <v>29955000000</v>
      </c>
      <c r="O301" t="str">
        <f>_xll.BDP("912828S9 Govt","ISSUE_DT")</f>
        <v>8/1/2016</v>
      </c>
      <c r="P301" t="str">
        <f>_xll.BDP("912828S9 Govt","SECURITY_NAME")</f>
        <v>T 1 1/4 07/31/23</v>
      </c>
      <c r="Q301" t="str">
        <f>_xll.BDP("912828S9 Govt","DAY_CNT_DES")</f>
        <v>ACT/ACT</v>
      </c>
      <c r="R301">
        <v>100</v>
      </c>
      <c r="S301" t="str">
        <f>_xll.BDP("912828S9 Govt","ID_CUSIP")</f>
        <v>912828S92</v>
      </c>
      <c r="T301" t="str">
        <f>_xll.BDP("912828S9 Govt","IDX_RATIO")</f>
        <v>#N/A Field Not Applicable</v>
      </c>
    </row>
    <row r="302" spans="1:20" x14ac:dyDescent="0.25">
      <c r="A302" t="s">
        <v>14</v>
      </c>
      <c r="B302" t="str">
        <f>_xll.BDP("912810QE Govt","TICKER")</f>
        <v>T</v>
      </c>
      <c r="C302">
        <f>_xll.BDP("912810QE Govt","CPN")</f>
        <v>4.625</v>
      </c>
      <c r="D302">
        <f>_xll.BDP("912810QE Govt","YLD_YTM_BID")</f>
        <v>1.8748951988516578</v>
      </c>
      <c r="E302" t="str">
        <f>_xll.BDP("912810QE Govt","MATURITY")</f>
        <v>2/15/2040</v>
      </c>
      <c r="F302" t="str">
        <f>_xll.BDP("912810QE Govt","MTY_TYP")</f>
        <v>NORMAL</v>
      </c>
      <c r="G302" t="str">
        <f>_xll.BDP("912810QE Govt","CRNCY")</f>
        <v>USD</v>
      </c>
      <c r="H302" t="str">
        <f>_xll.BDP("912810QE Govt","COUNTRY_FULL_NAME")</f>
        <v>UNITED STATES</v>
      </c>
      <c r="I302" t="str">
        <f>_xll.BDP("912810QE Govt","FIRST_CPN_DT")</f>
        <v>8/15/2010</v>
      </c>
      <c r="J302" t="str">
        <f>_xll.BDP("912810QE Govt","COUPON_FREQUENCY_DESCRIPTION")</f>
        <v>S/A</v>
      </c>
      <c r="K302" t="str">
        <f>_xll.BDP("912810QE Govt","CPN_TYP")</f>
        <v>FIXED</v>
      </c>
      <c r="L302" t="str">
        <f>_xll.BDP("912810QE Govt","ID_ISIN")</f>
        <v>US912810QE10</v>
      </c>
      <c r="M302">
        <v>44902000000</v>
      </c>
      <c r="N302">
        <v>44902000000</v>
      </c>
      <c r="O302" t="str">
        <f>_xll.BDP("912810QE Govt","ISSUE_DT")</f>
        <v>2/16/2010</v>
      </c>
      <c r="P302" t="str">
        <f>_xll.BDP("912810QE Govt","SECURITY_NAME")</f>
        <v>T 4 5/8 02/15/40</v>
      </c>
      <c r="Q302" t="str">
        <f>_xll.BDP("912810QE Govt","DAY_CNT_DES")</f>
        <v>ACT/ACT</v>
      </c>
      <c r="R302">
        <v>100</v>
      </c>
      <c r="S302" t="str">
        <f>_xll.BDP("912810QE Govt","ID_CUSIP")</f>
        <v>912810QE1</v>
      </c>
      <c r="T302" t="str">
        <f>_xll.BDP("912810QE Govt","IDX_RATIO")</f>
        <v>#N/A Field Not Applicable</v>
      </c>
    </row>
    <row r="303" spans="1:20" x14ac:dyDescent="0.25">
      <c r="A303" t="s">
        <v>14</v>
      </c>
      <c r="B303" t="str">
        <f>_xll.BDP("912810QS Govt","TICKER")</f>
        <v>T</v>
      </c>
      <c r="C303">
        <f>_xll.BDP("912810QS Govt","CPN")</f>
        <v>3.75</v>
      </c>
      <c r="D303">
        <f>_xll.BDP("912810QS Govt","YLD_YTM_BID")</f>
        <v>1.9648087616318726</v>
      </c>
      <c r="E303" t="str">
        <f>_xll.BDP("912810QS Govt","MATURITY")</f>
        <v>8/15/2041</v>
      </c>
      <c r="F303" t="str">
        <f>_xll.BDP("912810QS Govt","MTY_TYP")</f>
        <v>NORMAL</v>
      </c>
      <c r="G303" t="str">
        <f>_xll.BDP("912810QS Govt","CRNCY")</f>
        <v>USD</v>
      </c>
      <c r="H303" t="str">
        <f>_xll.BDP("912810QS Govt","COUNTRY_FULL_NAME")</f>
        <v>UNITED STATES</v>
      </c>
      <c r="I303" t="str">
        <f>_xll.BDP("912810QS Govt","FIRST_CPN_DT")</f>
        <v>2/15/2012</v>
      </c>
      <c r="J303" t="str">
        <f>_xll.BDP("912810QS Govt","COUPON_FREQUENCY_DESCRIPTION")</f>
        <v>S/A</v>
      </c>
      <c r="K303" t="str">
        <f>_xll.BDP("912810QS Govt","CPN_TYP")</f>
        <v>FIXED</v>
      </c>
      <c r="L303" t="str">
        <f>_xll.BDP("912810QS Govt","ID_ISIN")</f>
        <v>US912810QS06</v>
      </c>
      <c r="M303">
        <v>42489000000</v>
      </c>
      <c r="N303">
        <v>42489000000</v>
      </c>
      <c r="O303" t="str">
        <f>_xll.BDP("912810QS Govt","ISSUE_DT")</f>
        <v>8/15/2011</v>
      </c>
      <c r="P303" t="str">
        <f>_xll.BDP("912810QS Govt","SECURITY_NAME")</f>
        <v>T 3 3/4 08/15/41</v>
      </c>
      <c r="Q303" t="str">
        <f>_xll.BDP("912810QS Govt","DAY_CNT_DES")</f>
        <v>ACT/ACT</v>
      </c>
      <c r="R303">
        <v>100</v>
      </c>
      <c r="S303" t="str">
        <f>_xll.BDP("912810QS Govt","ID_CUSIP")</f>
        <v>912810QS0</v>
      </c>
      <c r="T303" t="str">
        <f>_xll.BDP("912810QS Govt","IDX_RATIO")</f>
        <v>#N/A Field Not Applicable</v>
      </c>
    </row>
    <row r="304" spans="1:20" x14ac:dyDescent="0.25">
      <c r="A304" t="s">
        <v>14</v>
      </c>
      <c r="B304" t="str">
        <f>_xll.BDP("912810EM Govt","TICKER")</f>
        <v>T</v>
      </c>
      <c r="C304">
        <f>_xll.BDP("912810EM Govt","CPN")</f>
        <v>7.25</v>
      </c>
      <c r="D304">
        <f>_xll.BDP("912810EM Govt","YLD_YTM_BID")</f>
        <v>0.28063752806723274</v>
      </c>
      <c r="E304" t="str">
        <f>_xll.BDP("912810EM Govt","MATURITY")</f>
        <v>8/15/2022</v>
      </c>
      <c r="F304" t="str">
        <f>_xll.BDP("912810EM Govt","MTY_TYP")</f>
        <v>NORMAL</v>
      </c>
      <c r="G304" t="str">
        <f>_xll.BDP("912810EM Govt","CRNCY")</f>
        <v>USD</v>
      </c>
      <c r="H304" t="str">
        <f>_xll.BDP("912810EM Govt","COUNTRY_FULL_NAME")</f>
        <v>UNITED STATES</v>
      </c>
      <c r="I304" t="str">
        <f>_xll.BDP("912810EM Govt","FIRST_CPN_DT")</f>
        <v>2/15/1993</v>
      </c>
      <c r="J304" t="str">
        <f>_xll.BDP("912810EM Govt","COUPON_FREQUENCY_DESCRIPTION")</f>
        <v>S/A</v>
      </c>
      <c r="K304" t="str">
        <f>_xll.BDP("912810EM Govt","CPN_TYP")</f>
        <v>FIXED</v>
      </c>
      <c r="L304" t="str">
        <f>_xll.BDP("912810EM Govt","ID_ISIN")</f>
        <v>US912810EM63</v>
      </c>
      <c r="M304">
        <v>10353000000</v>
      </c>
      <c r="N304">
        <v>10128000000</v>
      </c>
      <c r="O304" t="str">
        <f>_xll.BDP("912810EM Govt","ISSUE_DT")</f>
        <v>8/17/1992</v>
      </c>
      <c r="P304" t="str">
        <f>_xll.BDP("912810EM Govt","SECURITY_NAME")</f>
        <v>T 7 1/4 08/15/22</v>
      </c>
      <c r="Q304" t="str">
        <f>_xll.BDP("912810EM Govt","DAY_CNT_DES")</f>
        <v>ACT/ACT</v>
      </c>
      <c r="R304">
        <v>100</v>
      </c>
      <c r="S304" t="str">
        <f>_xll.BDP("912810EM Govt","ID_CUSIP")</f>
        <v>912810EM6</v>
      </c>
      <c r="T304" t="str">
        <f>_xll.BDP("912810EM Govt","IDX_RATIO")</f>
        <v>#N/A Field Not Applicable</v>
      </c>
    </row>
    <row r="305" spans="1:20" x14ac:dyDescent="0.25">
      <c r="A305" t="s">
        <v>14</v>
      </c>
      <c r="B305" t="str">
        <f>_xll.BDP("912828S3 Govt","TICKER")</f>
        <v>T</v>
      </c>
      <c r="C305">
        <f>_xll.BDP("912828S3 Govt","CPN")</f>
        <v>1.375</v>
      </c>
      <c r="D305">
        <f>_xll.BDP("912828S3 Govt","YLD_YTM_BID")</f>
        <v>0.23190222136811581</v>
      </c>
      <c r="E305" t="str">
        <f>_xll.BDP("912828S3 Govt","MATURITY")</f>
        <v>6/30/2023</v>
      </c>
      <c r="F305" t="str">
        <f>_xll.BDP("912828S3 Govt","MTY_TYP")</f>
        <v>NORMAL</v>
      </c>
      <c r="G305" t="str">
        <f>_xll.BDP("912828S3 Govt","CRNCY")</f>
        <v>USD</v>
      </c>
      <c r="H305" t="str">
        <f>_xll.BDP("912828S3 Govt","COUNTRY_FULL_NAME")</f>
        <v>UNITED STATES</v>
      </c>
      <c r="I305" t="str">
        <f>_xll.BDP("912828S3 Govt","FIRST_CPN_DT")</f>
        <v>12/31/2016</v>
      </c>
      <c r="J305" t="str">
        <f>_xll.BDP("912828S3 Govt","COUPON_FREQUENCY_DESCRIPTION")</f>
        <v>S/A</v>
      </c>
      <c r="K305" t="str">
        <f>_xll.BDP("912828S3 Govt","CPN_TYP")</f>
        <v>FIXED</v>
      </c>
      <c r="L305" t="str">
        <f>_xll.BDP("912828S3 Govt","ID_ISIN")</f>
        <v>US912828S356</v>
      </c>
      <c r="M305">
        <v>32085000000</v>
      </c>
      <c r="N305">
        <v>32085000000</v>
      </c>
      <c r="O305" t="str">
        <f>_xll.BDP("912828S3 Govt","ISSUE_DT")</f>
        <v>6/30/2016</v>
      </c>
      <c r="P305" t="str">
        <f>_xll.BDP("912828S3 Govt","SECURITY_NAME")</f>
        <v>T 1 3/8 06/30/23</v>
      </c>
      <c r="Q305" t="str">
        <f>_xll.BDP("912828S3 Govt","DAY_CNT_DES")</f>
        <v>ACT/ACT</v>
      </c>
      <c r="R305">
        <v>100</v>
      </c>
      <c r="S305" t="str">
        <f>_xll.BDP("912828S3 Govt","ID_CUSIP")</f>
        <v>912828S35</v>
      </c>
      <c r="T305" t="str">
        <f>_xll.BDP("912828S3 Govt","IDX_RATIO")</f>
        <v>#N/A Field Not Applicable</v>
      </c>
    </row>
    <row r="306" spans="1:20" x14ac:dyDescent="0.25">
      <c r="A306" t="s">
        <v>14</v>
      </c>
      <c r="B306" t="str">
        <f>_xll.BDP("9128287B Govt","TICKER")</f>
        <v>T</v>
      </c>
      <c r="C306">
        <f>_xll.BDP("9128287B Govt","CPN")</f>
        <v>1.875</v>
      </c>
      <c r="D306">
        <f>_xll.BDP("9128287B Govt","YLD_YTM_BID")</f>
        <v>0.93136610753616522</v>
      </c>
      <c r="E306" t="str">
        <f>_xll.BDP("9128287B Govt","MATURITY")</f>
        <v>6/30/2026</v>
      </c>
      <c r="F306" t="str">
        <f>_xll.BDP("9128287B Govt","MTY_TYP")</f>
        <v>NORMAL</v>
      </c>
      <c r="G306" t="str">
        <f>_xll.BDP("9128287B Govt","CRNCY")</f>
        <v>USD</v>
      </c>
      <c r="H306" t="str">
        <f>_xll.BDP("9128287B Govt","COUNTRY_FULL_NAME")</f>
        <v>UNITED STATES</v>
      </c>
      <c r="I306" t="str">
        <f>_xll.BDP("9128287B Govt","FIRST_CPN_DT")</f>
        <v>12/31/2019</v>
      </c>
      <c r="J306" t="str">
        <f>_xll.BDP("9128287B Govt","COUPON_FREQUENCY_DESCRIPTION")</f>
        <v>S/A</v>
      </c>
      <c r="K306" t="str">
        <f>_xll.BDP("9128287B Govt","CPN_TYP")</f>
        <v>FIXED</v>
      </c>
      <c r="L306" t="str">
        <f>_xll.BDP("9128287B Govt","ID_ISIN")</f>
        <v>US9128287B09</v>
      </c>
      <c r="M306">
        <v>33828000000</v>
      </c>
      <c r="N306">
        <v>33828000000</v>
      </c>
      <c r="O306" t="str">
        <f>_xll.BDP("9128287B Govt","ISSUE_DT")</f>
        <v>7/1/2019</v>
      </c>
      <c r="P306" t="str">
        <f>_xll.BDP("9128287B Govt","SECURITY_NAME")</f>
        <v>T 1 7/8 06/30/26</v>
      </c>
      <c r="Q306" t="str">
        <f>_xll.BDP("9128287B Govt","DAY_CNT_DES")</f>
        <v>ACT/ACT</v>
      </c>
      <c r="R306">
        <v>100</v>
      </c>
      <c r="S306" t="str">
        <f>_xll.BDP("9128287B Govt","ID_CUSIP")</f>
        <v>9128287B0</v>
      </c>
      <c r="T306" t="str">
        <f>_xll.BDP("9128287B Govt","IDX_RATIO")</f>
        <v>#N/A Field Not Applicable</v>
      </c>
    </row>
    <row r="307" spans="1:20" x14ac:dyDescent="0.25">
      <c r="A307" t="s">
        <v>14</v>
      </c>
      <c r="B307" t="str">
        <f>_xll.BDP("912828V8 Govt","TICKER")</f>
        <v>T</v>
      </c>
      <c r="C307">
        <f>_xll.BDP("912828V8 Govt","CPN")</f>
        <v>2.25</v>
      </c>
      <c r="D307">
        <f>_xll.BDP("912828V8 Govt","YLD_YTM_BID")</f>
        <v>0.35304557792358693</v>
      </c>
      <c r="E307" t="str">
        <f>_xll.BDP("912828V8 Govt","MATURITY")</f>
        <v>1/31/2024</v>
      </c>
      <c r="F307" t="str">
        <f>_xll.BDP("912828V8 Govt","MTY_TYP")</f>
        <v>NORMAL</v>
      </c>
      <c r="G307" t="str">
        <f>_xll.BDP("912828V8 Govt","CRNCY")</f>
        <v>USD</v>
      </c>
      <c r="H307" t="str">
        <f>_xll.BDP("912828V8 Govt","COUNTRY_FULL_NAME")</f>
        <v>UNITED STATES</v>
      </c>
      <c r="I307" t="str">
        <f>_xll.BDP("912828V8 Govt","FIRST_CPN_DT")</f>
        <v>7/31/2017</v>
      </c>
      <c r="J307" t="str">
        <f>_xll.BDP("912828V8 Govt","COUPON_FREQUENCY_DESCRIPTION")</f>
        <v>S/A</v>
      </c>
      <c r="K307" t="str">
        <f>_xll.BDP("912828V8 Govt","CPN_TYP")</f>
        <v>FIXED</v>
      </c>
      <c r="L307" t="str">
        <f>_xll.BDP("912828V8 Govt","ID_ISIN")</f>
        <v>US912828V806</v>
      </c>
      <c r="M307">
        <v>29776000000</v>
      </c>
      <c r="N307">
        <v>29776000000</v>
      </c>
      <c r="O307" t="str">
        <f>_xll.BDP("912828V8 Govt","ISSUE_DT")</f>
        <v>1/31/2017</v>
      </c>
      <c r="P307" t="str">
        <f>_xll.BDP("912828V8 Govt","SECURITY_NAME")</f>
        <v>T 2 1/4 01/31/24</v>
      </c>
      <c r="Q307" t="str">
        <f>_xll.BDP("912828V8 Govt","DAY_CNT_DES")</f>
        <v>ACT/ACT</v>
      </c>
      <c r="R307">
        <v>100</v>
      </c>
      <c r="S307" t="str">
        <f>_xll.BDP("912828V8 Govt","ID_CUSIP")</f>
        <v>912828V80</v>
      </c>
      <c r="T307" t="str">
        <f>_xll.BDP("912828V8 Govt","IDX_RATIO")</f>
        <v>#N/A Field Not Applicable</v>
      </c>
    </row>
    <row r="308" spans="1:20" x14ac:dyDescent="0.25">
      <c r="A308" t="s">
        <v>14</v>
      </c>
      <c r="B308" t="str">
        <f>_xll.BDP("912828J4 Govt","TICKER")</f>
        <v>T</v>
      </c>
      <c r="C308">
        <f>_xll.BDP("912828J4 Govt","CPN")</f>
        <v>1.75</v>
      </c>
      <c r="D308">
        <f>_xll.BDP("912828J4 Govt","YLD_YTM_BID")</f>
        <v>6.2347318680781839E-2</v>
      </c>
      <c r="E308" t="str">
        <f>_xll.BDP("912828J4 Govt","MATURITY")</f>
        <v>2/28/2022</v>
      </c>
      <c r="F308" t="str">
        <f>_xll.BDP("912828J4 Govt","MTY_TYP")</f>
        <v>NORMAL</v>
      </c>
      <c r="G308" t="str">
        <f>_xll.BDP("912828J4 Govt","CRNCY")</f>
        <v>USD</v>
      </c>
      <c r="H308" t="str">
        <f>_xll.BDP("912828J4 Govt","COUNTRY_FULL_NAME")</f>
        <v>UNITED STATES</v>
      </c>
      <c r="I308" t="str">
        <f>_xll.BDP("912828J4 Govt","FIRST_CPN_DT")</f>
        <v>8/31/2015</v>
      </c>
      <c r="J308" t="str">
        <f>_xll.BDP("912828J4 Govt","COUPON_FREQUENCY_DESCRIPTION")</f>
        <v>S/A</v>
      </c>
      <c r="K308" t="str">
        <f>_xll.BDP("912828J4 Govt","CPN_TYP")</f>
        <v>FIXED</v>
      </c>
      <c r="L308" t="str">
        <f>_xll.BDP("912828J4 Govt","ID_ISIN")</f>
        <v>US912828J439</v>
      </c>
      <c r="M308">
        <v>29000000000</v>
      </c>
      <c r="N308">
        <v>29000000000</v>
      </c>
      <c r="O308" t="str">
        <f>_xll.BDP("912828J4 Govt","ISSUE_DT")</f>
        <v>3/2/2015</v>
      </c>
      <c r="P308" t="str">
        <f>_xll.BDP("912828J4 Govt","SECURITY_NAME")</f>
        <v>T 1 3/4 02/28/22</v>
      </c>
      <c r="Q308" t="str">
        <f>_xll.BDP("912828J4 Govt","DAY_CNT_DES")</f>
        <v>ACT/ACT</v>
      </c>
      <c r="R308">
        <v>100</v>
      </c>
      <c r="S308" t="str">
        <f>_xll.BDP("912828J4 Govt","ID_CUSIP")</f>
        <v>912828J43</v>
      </c>
      <c r="T308" t="str">
        <f>_xll.BDP("912828J4 Govt","IDX_RATIO")</f>
        <v>#N/A Field Not Applicable</v>
      </c>
    </row>
    <row r="309" spans="1:20" x14ac:dyDescent="0.25">
      <c r="A309" t="s">
        <v>14</v>
      </c>
      <c r="B309" t="str">
        <f>_xll.BDP("912828P7 Govt","TICKER")</f>
        <v>T</v>
      </c>
      <c r="C309">
        <f>_xll.BDP("912828P7 Govt","CPN")</f>
        <v>1.5</v>
      </c>
      <c r="D309">
        <f>_xll.BDP("912828P7 Govt","YLD_YTM_BID")</f>
        <v>0.17573127147299514</v>
      </c>
      <c r="E309" t="str">
        <f>_xll.BDP("912828P7 Govt","MATURITY")</f>
        <v>2/28/2023</v>
      </c>
      <c r="F309" t="str">
        <f>_xll.BDP("912828P7 Govt","MTY_TYP")</f>
        <v>NORMAL</v>
      </c>
      <c r="G309" t="str">
        <f>_xll.BDP("912828P7 Govt","CRNCY")</f>
        <v>USD</v>
      </c>
      <c r="H309" t="str">
        <f>_xll.BDP("912828P7 Govt","COUNTRY_FULL_NAME")</f>
        <v>UNITED STATES</v>
      </c>
      <c r="I309" t="str">
        <f>_xll.BDP("912828P7 Govt","FIRST_CPN_DT")</f>
        <v>8/31/2016</v>
      </c>
      <c r="J309" t="str">
        <f>_xll.BDP("912828P7 Govt","COUPON_FREQUENCY_DESCRIPTION")</f>
        <v>S/A</v>
      </c>
      <c r="K309" t="str">
        <f>_xll.BDP("912828P7 Govt","CPN_TYP")</f>
        <v>FIXED</v>
      </c>
      <c r="L309" t="str">
        <f>_xll.BDP("912828P7 Govt","ID_ISIN")</f>
        <v>US912828P790</v>
      </c>
      <c r="M309">
        <v>37384000000</v>
      </c>
      <c r="N309">
        <v>37376000000</v>
      </c>
      <c r="O309" t="str">
        <f>_xll.BDP("912828P7 Govt","ISSUE_DT")</f>
        <v>2/29/2016</v>
      </c>
      <c r="P309" t="str">
        <f>_xll.BDP("912828P7 Govt","SECURITY_NAME")</f>
        <v>T 1 1/2 02/28/23</v>
      </c>
      <c r="Q309" t="str">
        <f>_xll.BDP("912828P7 Govt","DAY_CNT_DES")</f>
        <v>ACT/ACT</v>
      </c>
      <c r="R309">
        <v>100</v>
      </c>
      <c r="S309" t="str">
        <f>_xll.BDP("912828P7 Govt","ID_CUSIP")</f>
        <v>912828P79</v>
      </c>
      <c r="T309" t="str">
        <f>_xll.BDP("912828P7 Govt","IDX_RATIO")</f>
        <v>#N/A Field Not Applicable</v>
      </c>
    </row>
    <row r="310" spans="1:20" x14ac:dyDescent="0.25">
      <c r="A310" t="s">
        <v>14</v>
      </c>
      <c r="B310" t="str">
        <f>_xll.BDP("912810QZ Govt","TICKER")</f>
        <v>T</v>
      </c>
      <c r="C310">
        <f>_xll.BDP("912810QZ Govt","CPN")</f>
        <v>3.125</v>
      </c>
      <c r="D310">
        <f>_xll.BDP("912810QZ Govt","YLD_YTM_BID")</f>
        <v>2.0353421550939381</v>
      </c>
      <c r="E310" t="str">
        <f>_xll.BDP("912810QZ Govt","MATURITY")</f>
        <v>2/15/2043</v>
      </c>
      <c r="F310" t="str">
        <f>_xll.BDP("912810QZ Govt","MTY_TYP")</f>
        <v>NORMAL</v>
      </c>
      <c r="G310" t="str">
        <f>_xll.BDP("912810QZ Govt","CRNCY")</f>
        <v>USD</v>
      </c>
      <c r="H310" t="str">
        <f>_xll.BDP("912810QZ Govt","COUNTRY_FULL_NAME")</f>
        <v>UNITED STATES</v>
      </c>
      <c r="I310" t="str">
        <f>_xll.BDP("912810QZ Govt","FIRST_CPN_DT")</f>
        <v>8/15/2013</v>
      </c>
      <c r="J310" t="str">
        <f>_xll.BDP("912810QZ Govt","COUPON_FREQUENCY_DESCRIPTION")</f>
        <v>S/A</v>
      </c>
      <c r="K310" t="str">
        <f>_xll.BDP("912810QZ Govt","CPN_TYP")</f>
        <v>FIXED</v>
      </c>
      <c r="L310" t="str">
        <f>_xll.BDP("912810QZ Govt","ID_ISIN")</f>
        <v>US912810QZ49</v>
      </c>
      <c r="M310">
        <v>42000000000</v>
      </c>
      <c r="N310">
        <v>42000000000</v>
      </c>
      <c r="O310" t="str">
        <f>_xll.BDP("912810QZ Govt","ISSUE_DT")</f>
        <v>2/15/2013</v>
      </c>
      <c r="P310" t="str">
        <f>_xll.BDP("912810QZ Govt","SECURITY_NAME")</f>
        <v>T 3 1/8 02/15/43</v>
      </c>
      <c r="Q310" t="str">
        <f>_xll.BDP("912810QZ Govt","DAY_CNT_DES")</f>
        <v>ACT/ACT</v>
      </c>
      <c r="R310">
        <v>100</v>
      </c>
      <c r="S310" t="str">
        <f>_xll.BDP("912810QZ Govt","ID_CUSIP")</f>
        <v>912810QZ4</v>
      </c>
      <c r="T310" t="str">
        <f>_xll.BDP("912810QZ Govt","IDX_RATIO")</f>
        <v>#N/A Field Not Applicable</v>
      </c>
    </row>
    <row r="311" spans="1:20" x14ac:dyDescent="0.25">
      <c r="A311" t="s">
        <v>14</v>
      </c>
      <c r="B311" t="str">
        <f>_xll.BDP("912810QD Govt","TICKER")</f>
        <v>T</v>
      </c>
      <c r="C311">
        <f>_xll.BDP("912810QD Govt","CPN")</f>
        <v>4.375</v>
      </c>
      <c r="D311">
        <f>_xll.BDP("912810QD Govt","YLD_YTM_BID")</f>
        <v>1.8775364784114523</v>
      </c>
      <c r="E311" t="str">
        <f>_xll.BDP("912810QD Govt","MATURITY")</f>
        <v>11/15/2039</v>
      </c>
      <c r="F311" t="str">
        <f>_xll.BDP("912810QD Govt","MTY_TYP")</f>
        <v>NORMAL</v>
      </c>
      <c r="G311" t="str">
        <f>_xll.BDP("912810QD Govt","CRNCY")</f>
        <v>USD</v>
      </c>
      <c r="H311" t="str">
        <f>_xll.BDP("912810QD Govt","COUNTRY_FULL_NAME")</f>
        <v>UNITED STATES</v>
      </c>
      <c r="I311" t="str">
        <f>_xll.BDP("912810QD Govt","FIRST_CPN_DT")</f>
        <v>5/15/2010</v>
      </c>
      <c r="J311" t="str">
        <f>_xll.BDP("912810QD Govt","COUPON_FREQUENCY_DESCRIPTION")</f>
        <v>S/A</v>
      </c>
      <c r="K311" t="str">
        <f>_xll.BDP("912810QD Govt","CPN_TYP")</f>
        <v>FIXED</v>
      </c>
      <c r="L311" t="str">
        <f>_xll.BDP("912810QD Govt","ID_ISIN")</f>
        <v>US912810QD37</v>
      </c>
      <c r="M311">
        <v>44564000000</v>
      </c>
      <c r="N311">
        <v>44564000000</v>
      </c>
      <c r="O311" t="str">
        <f>_xll.BDP("912810QD Govt","ISSUE_DT")</f>
        <v>11/16/2009</v>
      </c>
      <c r="P311" t="str">
        <f>_xll.BDP("912810QD Govt","SECURITY_NAME")</f>
        <v>T 4 3/8 11/15/39</v>
      </c>
      <c r="Q311" t="str">
        <f>_xll.BDP("912810QD Govt","DAY_CNT_DES")</f>
        <v>ACT/ACT</v>
      </c>
      <c r="R311">
        <v>100</v>
      </c>
      <c r="S311" t="str">
        <f>_xll.BDP("912810QD Govt","ID_CUSIP")</f>
        <v>912810QD3</v>
      </c>
      <c r="T311" t="str">
        <f>_xll.BDP("912810QD Govt","IDX_RATIO")</f>
        <v>#N/A Field Not Applicable</v>
      </c>
    </row>
    <row r="312" spans="1:20" x14ac:dyDescent="0.25">
      <c r="A312" t="s">
        <v>14</v>
      </c>
      <c r="B312" t="str">
        <f>_xll.BDP("912810ES Govt","TICKER")</f>
        <v>T</v>
      </c>
      <c r="C312">
        <f>_xll.BDP("912810ES Govt","CPN")</f>
        <v>7.5</v>
      </c>
      <c r="D312">
        <f>_xll.BDP("912810ES Govt","YLD_YTM_BID")</f>
        <v>0.54807017134656122</v>
      </c>
      <c r="E312" t="str">
        <f>_xll.BDP("912810ES Govt","MATURITY")</f>
        <v>11/15/2024</v>
      </c>
      <c r="F312" t="str">
        <f>_xll.BDP("912810ES Govt","MTY_TYP")</f>
        <v>NORMAL</v>
      </c>
      <c r="G312" t="str">
        <f>_xll.BDP("912810ES Govt","CRNCY")</f>
        <v>USD</v>
      </c>
      <c r="H312" t="str">
        <f>_xll.BDP("912810ES Govt","COUNTRY_FULL_NAME")</f>
        <v>UNITED STATES</v>
      </c>
      <c r="I312" t="str">
        <f>_xll.BDP("912810ES Govt","FIRST_CPN_DT")</f>
        <v>11/15/1994</v>
      </c>
      <c r="J312" t="str">
        <f>_xll.BDP("912810ES Govt","COUPON_FREQUENCY_DESCRIPTION")</f>
        <v>S/A</v>
      </c>
      <c r="K312" t="str">
        <f>_xll.BDP("912810ES Govt","CPN_TYP")</f>
        <v>FIXED</v>
      </c>
      <c r="L312" t="str">
        <f>_xll.BDP("912810ES Govt","ID_ISIN")</f>
        <v>US912810ES34</v>
      </c>
      <c r="M312">
        <v>11470000000</v>
      </c>
      <c r="N312">
        <v>9604000000</v>
      </c>
      <c r="O312" t="str">
        <f>_xll.BDP("912810ES Govt","ISSUE_DT")</f>
        <v>8/15/1994</v>
      </c>
      <c r="P312" t="str">
        <f>_xll.BDP("912810ES Govt","SECURITY_NAME")</f>
        <v>T 7 1/2 11/15/24</v>
      </c>
      <c r="Q312" t="str">
        <f>_xll.BDP("912810ES Govt","DAY_CNT_DES")</f>
        <v>ACT/ACT</v>
      </c>
      <c r="R312">
        <v>100</v>
      </c>
      <c r="S312" t="str">
        <f>_xll.BDP("912810ES Govt","ID_CUSIP")</f>
        <v>912810ES3</v>
      </c>
      <c r="T312" t="str">
        <f>_xll.BDP("912810ES Govt","IDX_RATIO")</f>
        <v>#N/A Field Not Applicable</v>
      </c>
    </row>
    <row r="313" spans="1:20" x14ac:dyDescent="0.25">
      <c r="A313" t="s">
        <v>14</v>
      </c>
      <c r="B313" t="str">
        <f>_xll.BDP("912810ET Govt","TICKER")</f>
        <v>T</v>
      </c>
      <c r="C313">
        <f>_xll.BDP("912810ET Govt","CPN")</f>
        <v>7.625</v>
      </c>
      <c r="D313">
        <f>_xll.BDP("912810ET Govt","YLD_YTM_BID")</f>
        <v>0.61520078138823953</v>
      </c>
      <c r="E313" t="str">
        <f>_xll.BDP("912810ET Govt","MATURITY")</f>
        <v>2/15/2025</v>
      </c>
      <c r="F313" t="str">
        <f>_xll.BDP("912810ET Govt","MTY_TYP")</f>
        <v>NORMAL</v>
      </c>
      <c r="G313" t="str">
        <f>_xll.BDP("912810ET Govt","CRNCY")</f>
        <v>USD</v>
      </c>
      <c r="H313" t="str">
        <f>_xll.BDP("912810ET Govt","COUNTRY_FULL_NAME")</f>
        <v>UNITED STATES</v>
      </c>
      <c r="I313" t="str">
        <f>_xll.BDP("912810ET Govt","FIRST_CPN_DT")</f>
        <v>8/15/1995</v>
      </c>
      <c r="J313" t="str">
        <f>_xll.BDP("912810ET Govt","COUPON_FREQUENCY_DESCRIPTION")</f>
        <v>S/A</v>
      </c>
      <c r="K313" t="str">
        <f>_xll.BDP("912810ET Govt","CPN_TYP")</f>
        <v>FIXED</v>
      </c>
      <c r="L313" t="str">
        <f>_xll.BDP("912810ET Govt","ID_ISIN")</f>
        <v>US912810ET17</v>
      </c>
      <c r="M313">
        <v>11725000000</v>
      </c>
      <c r="N313">
        <v>9509000000</v>
      </c>
      <c r="O313" t="str">
        <f>_xll.BDP("912810ET Govt","ISSUE_DT")</f>
        <v>2/15/1995</v>
      </c>
      <c r="P313" t="str">
        <f>_xll.BDP("912810ET Govt","SECURITY_NAME")</f>
        <v>T 7 5/8 02/15/25</v>
      </c>
      <c r="Q313" t="str">
        <f>_xll.BDP("912810ET Govt","DAY_CNT_DES")</f>
        <v>ACT/ACT</v>
      </c>
      <c r="R313">
        <v>100</v>
      </c>
      <c r="S313" t="str">
        <f>_xll.BDP("912810ET Govt","ID_CUSIP")</f>
        <v>912810ET1</v>
      </c>
      <c r="T313" t="str">
        <f>_xll.BDP("912810ET Govt","IDX_RATIO")</f>
        <v>#N/A Field Not Applicable</v>
      </c>
    </row>
    <row r="314" spans="1:20" x14ac:dyDescent="0.25">
      <c r="A314" t="s">
        <v>14</v>
      </c>
      <c r="B314" t="str">
        <f>_xll.BDP("912810FA Govt","TICKER")</f>
        <v>T</v>
      </c>
      <c r="C314">
        <f>_xll.BDP("912810FA Govt","CPN")</f>
        <v>6.375</v>
      </c>
      <c r="D314">
        <f>_xll.BDP("912810FA Govt","YLD_YTM_BID")</f>
        <v>1.1007455018369352</v>
      </c>
      <c r="E314" t="str">
        <f>_xll.BDP("912810FA Govt","MATURITY")</f>
        <v>8/15/2027</v>
      </c>
      <c r="F314" t="str">
        <f>_xll.BDP("912810FA Govt","MTY_TYP")</f>
        <v>NORMAL</v>
      </c>
      <c r="G314" t="str">
        <f>_xll.BDP("912810FA Govt","CRNCY")</f>
        <v>USD</v>
      </c>
      <c r="H314" t="str">
        <f>_xll.BDP("912810FA Govt","COUNTRY_FULL_NAME")</f>
        <v>UNITED STATES</v>
      </c>
      <c r="I314" t="str">
        <f>_xll.BDP("912810FA Govt","FIRST_CPN_DT")</f>
        <v>2/15/1998</v>
      </c>
      <c r="J314" t="str">
        <f>_xll.BDP("912810FA Govt","COUPON_FREQUENCY_DESCRIPTION")</f>
        <v>S/A</v>
      </c>
      <c r="K314" t="str">
        <f>_xll.BDP("912810FA Govt","CPN_TYP")</f>
        <v>FIXED</v>
      </c>
      <c r="L314" t="str">
        <f>_xll.BDP("912810FA Govt","ID_ISIN")</f>
        <v>US912810FA17</v>
      </c>
      <c r="M314">
        <v>10736000000</v>
      </c>
      <c r="N314">
        <v>9197000000</v>
      </c>
      <c r="O314" t="str">
        <f>_xll.BDP("912810FA Govt","ISSUE_DT")</f>
        <v>8/15/1997</v>
      </c>
      <c r="P314" t="str">
        <f>_xll.BDP("912810FA Govt","SECURITY_NAME")</f>
        <v>T 6 3/8 08/15/27</v>
      </c>
      <c r="Q314" t="str">
        <f>_xll.BDP("912810FA Govt","DAY_CNT_DES")</f>
        <v>ACT/ACT</v>
      </c>
      <c r="R314">
        <v>100</v>
      </c>
      <c r="S314" t="str">
        <f>_xll.BDP("912810FA Govt","ID_CUSIP")</f>
        <v>912810FA1</v>
      </c>
      <c r="T314" t="str">
        <f>_xll.BDP("912810FA Govt","IDX_RATIO")</f>
        <v>#N/A Field Not Applicable</v>
      </c>
    </row>
    <row r="315" spans="1:20" x14ac:dyDescent="0.25">
      <c r="A315" t="s">
        <v>14</v>
      </c>
      <c r="B315" t="str">
        <f>_xll.BDP("912810QQ Govt","TICKER")</f>
        <v>T</v>
      </c>
      <c r="C315">
        <f>_xll.BDP("912810QQ Govt","CPN")</f>
        <v>4.375</v>
      </c>
      <c r="D315">
        <f>_xll.BDP("912810QQ Govt","YLD_YTM_BID")</f>
        <v>1.934982133547718</v>
      </c>
      <c r="E315" t="str">
        <f>_xll.BDP("912810QQ Govt","MATURITY")</f>
        <v>5/15/2041</v>
      </c>
      <c r="F315" t="str">
        <f>_xll.BDP("912810QQ Govt","MTY_TYP")</f>
        <v>NORMAL</v>
      </c>
      <c r="G315" t="str">
        <f>_xll.BDP("912810QQ Govt","CRNCY")</f>
        <v>USD</v>
      </c>
      <c r="H315" t="str">
        <f>_xll.BDP("912810QQ Govt","COUNTRY_FULL_NAME")</f>
        <v>UNITED STATES</v>
      </c>
      <c r="I315" t="str">
        <f>_xll.BDP("912810QQ Govt","FIRST_CPN_DT")</f>
        <v>11/15/2011</v>
      </c>
      <c r="J315" t="str">
        <f>_xll.BDP("912810QQ Govt","COUPON_FREQUENCY_DESCRIPTION")</f>
        <v>S/A</v>
      </c>
      <c r="K315" t="str">
        <f>_xll.BDP("912810QQ Govt","CPN_TYP")</f>
        <v>FIXED</v>
      </c>
      <c r="L315" t="str">
        <f>_xll.BDP("912810QQ Govt","ID_ISIN")</f>
        <v>US912810QQ40</v>
      </c>
      <c r="M315">
        <v>41996000000</v>
      </c>
      <c r="N315">
        <v>41996000000</v>
      </c>
      <c r="O315" t="str">
        <f>_xll.BDP("912810QQ Govt","ISSUE_DT")</f>
        <v>5/16/2011</v>
      </c>
      <c r="P315" t="str">
        <f>_xll.BDP("912810QQ Govt","SECURITY_NAME")</f>
        <v>T 4 3/8 05/15/41</v>
      </c>
      <c r="Q315" t="str">
        <f>_xll.BDP("912810QQ Govt","DAY_CNT_DES")</f>
        <v>ACT/ACT</v>
      </c>
      <c r="R315">
        <v>100</v>
      </c>
      <c r="S315" t="str">
        <f>_xll.BDP("912810QQ Govt","ID_CUSIP")</f>
        <v>912810QQ4</v>
      </c>
      <c r="T315" t="str">
        <f>_xll.BDP("912810QQ Govt","IDX_RATIO")</f>
        <v>#N/A Field Not Applicable</v>
      </c>
    </row>
    <row r="316" spans="1:20" x14ac:dyDescent="0.25">
      <c r="A316" t="s">
        <v>14</v>
      </c>
      <c r="B316" t="str">
        <f>_xll.BDP("912810QH Govt","TICKER")</f>
        <v>T</v>
      </c>
      <c r="C316">
        <f>_xll.BDP("912810QH Govt","CPN")</f>
        <v>4.375</v>
      </c>
      <c r="D316">
        <f>_xll.BDP("912810QH Govt","YLD_YTM_BID")</f>
        <v>1.8958919073502907</v>
      </c>
      <c r="E316" t="str">
        <f>_xll.BDP("912810QH Govt","MATURITY")</f>
        <v>5/15/2040</v>
      </c>
      <c r="F316" t="str">
        <f>_xll.BDP("912810QH Govt","MTY_TYP")</f>
        <v>NORMAL</v>
      </c>
      <c r="G316" t="str">
        <f>_xll.BDP("912810QH Govt","CRNCY")</f>
        <v>USD</v>
      </c>
      <c r="H316" t="str">
        <f>_xll.BDP("912810QH Govt","COUNTRY_FULL_NAME")</f>
        <v>UNITED STATES</v>
      </c>
      <c r="I316" t="str">
        <f>_xll.BDP("912810QH Govt","FIRST_CPN_DT")</f>
        <v>11/15/2010</v>
      </c>
      <c r="J316" t="str">
        <f>_xll.BDP("912810QH Govt","COUPON_FREQUENCY_DESCRIPTION")</f>
        <v>S/A</v>
      </c>
      <c r="K316" t="str">
        <f>_xll.BDP("912810QH Govt","CPN_TYP")</f>
        <v>FIXED</v>
      </c>
      <c r="L316" t="str">
        <f>_xll.BDP("912810QH Govt","ID_ISIN")</f>
        <v>US912810QH41</v>
      </c>
      <c r="M316">
        <v>43473000000</v>
      </c>
      <c r="N316">
        <v>43473000000</v>
      </c>
      <c r="O316" t="str">
        <f>_xll.BDP("912810QH Govt","ISSUE_DT")</f>
        <v>5/17/2010</v>
      </c>
      <c r="P316" t="str">
        <f>_xll.BDP("912810QH Govt","SECURITY_NAME")</f>
        <v>T 4 3/8 05/15/40</v>
      </c>
      <c r="Q316" t="str">
        <f>_xll.BDP("912810QH Govt","DAY_CNT_DES")</f>
        <v>ACT/ACT</v>
      </c>
      <c r="R316">
        <v>100</v>
      </c>
      <c r="S316" t="str">
        <f>_xll.BDP("912810QH Govt","ID_CUSIP")</f>
        <v>912810QH4</v>
      </c>
      <c r="T316" t="str">
        <f>_xll.BDP("912810QH Govt","IDX_RATIO")</f>
        <v>#N/A Field Not Applicable</v>
      </c>
    </row>
    <row r="317" spans="1:20" x14ac:dyDescent="0.25">
      <c r="A317" t="s">
        <v>14</v>
      </c>
      <c r="B317" t="str">
        <f>_xll.BDP("912810EP Govt","TICKER")</f>
        <v>T</v>
      </c>
      <c r="C317">
        <f>_xll.BDP("912810EP Govt","CPN")</f>
        <v>7.125</v>
      </c>
      <c r="D317">
        <f>_xll.BDP("912810EP Govt","YLD_YTM_BID")</f>
        <v>0.27339105071736447</v>
      </c>
      <c r="E317" t="str">
        <f>_xll.BDP("912810EP Govt","MATURITY")</f>
        <v>2/15/2023</v>
      </c>
      <c r="F317" t="str">
        <f>_xll.BDP("912810EP Govt","MTY_TYP")</f>
        <v>NORMAL</v>
      </c>
      <c r="G317" t="str">
        <f>_xll.BDP("912810EP Govt","CRNCY")</f>
        <v>USD</v>
      </c>
      <c r="H317" t="str">
        <f>_xll.BDP("912810EP Govt","COUNTRY_FULL_NAME")</f>
        <v>UNITED STATES</v>
      </c>
      <c r="I317" t="str">
        <f>_xll.BDP("912810EP Govt","FIRST_CPN_DT")</f>
        <v>8/15/1993</v>
      </c>
      <c r="J317" t="str">
        <f>_xll.BDP("912810EP Govt","COUPON_FREQUENCY_DESCRIPTION")</f>
        <v>S/A</v>
      </c>
      <c r="K317" t="str">
        <f>_xll.BDP("912810EP Govt","CPN_TYP")</f>
        <v>FIXED</v>
      </c>
      <c r="L317" t="str">
        <f>_xll.BDP("912810EP Govt","ID_ISIN")</f>
        <v>US912810EP94</v>
      </c>
      <c r="M317">
        <v>18374000000</v>
      </c>
      <c r="N317">
        <v>15782000000</v>
      </c>
      <c r="O317" t="str">
        <f>_xll.BDP("912810EP Govt","ISSUE_DT")</f>
        <v>2/16/1993</v>
      </c>
      <c r="P317" t="str">
        <f>_xll.BDP("912810EP Govt","SECURITY_NAME")</f>
        <v>T 7 1/8 02/15/23</v>
      </c>
      <c r="Q317" t="str">
        <f>_xll.BDP("912810EP Govt","DAY_CNT_DES")</f>
        <v>ACT/ACT</v>
      </c>
      <c r="R317">
        <v>100</v>
      </c>
      <c r="S317" t="str">
        <f>_xll.BDP("912810EP Govt","ID_CUSIP")</f>
        <v>912810EP9</v>
      </c>
      <c r="T317" t="str">
        <f>_xll.BDP("912810EP Govt","IDX_RATIO")</f>
        <v>#N/A Field Not Applicable</v>
      </c>
    </row>
    <row r="318" spans="1:20" x14ac:dyDescent="0.25">
      <c r="A318" t="s">
        <v>14</v>
      </c>
      <c r="B318" t="str">
        <f>_xll.BDP("912810QC Govt","TICKER")</f>
        <v>T</v>
      </c>
      <c r="C318">
        <f>_xll.BDP("912810QC Govt","CPN")</f>
        <v>4.5</v>
      </c>
      <c r="D318">
        <f>_xll.BDP("912810QC Govt","YLD_YTM_BID")</f>
        <v>1.8560329724967464</v>
      </c>
      <c r="E318" t="str">
        <f>_xll.BDP("912810QC Govt","MATURITY")</f>
        <v>8/15/2039</v>
      </c>
      <c r="F318" t="str">
        <f>_xll.BDP("912810QC Govt","MTY_TYP")</f>
        <v>NORMAL</v>
      </c>
      <c r="G318" t="str">
        <f>_xll.BDP("912810QC Govt","CRNCY")</f>
        <v>USD</v>
      </c>
      <c r="H318" t="str">
        <f>_xll.BDP("912810QC Govt","COUNTRY_FULL_NAME")</f>
        <v>UNITED STATES</v>
      </c>
      <c r="I318" t="str">
        <f>_xll.BDP("912810QC Govt","FIRST_CPN_DT")</f>
        <v>2/15/2010</v>
      </c>
      <c r="J318" t="str">
        <f>_xll.BDP("912810QC Govt","COUPON_FREQUENCY_DESCRIPTION")</f>
        <v>S/A</v>
      </c>
      <c r="K318" t="str">
        <f>_xll.BDP("912810QC Govt","CPN_TYP")</f>
        <v>FIXED</v>
      </c>
      <c r="L318" t="str">
        <f>_xll.BDP("912810QC Govt","ID_ISIN")</f>
        <v>US912810QC53</v>
      </c>
      <c r="M318">
        <v>41431000000</v>
      </c>
      <c r="N318">
        <v>41431000000</v>
      </c>
      <c r="O318" t="str">
        <f>_xll.BDP("912810QC Govt","ISSUE_DT")</f>
        <v>8/17/2009</v>
      </c>
      <c r="P318" t="str">
        <f>_xll.BDP("912810QC Govt","SECURITY_NAME")</f>
        <v>T 4 1/2 08/15/39</v>
      </c>
      <c r="Q318" t="str">
        <f>_xll.BDP("912810QC Govt","DAY_CNT_DES")</f>
        <v>ACT/ACT</v>
      </c>
      <c r="R318">
        <v>100</v>
      </c>
      <c r="S318" t="str">
        <f>_xll.BDP("912810QC Govt","ID_CUSIP")</f>
        <v>912810QC5</v>
      </c>
      <c r="T318" t="str">
        <f>_xll.BDP("912810QC Govt","IDX_RATIO")</f>
        <v>#N/A Field Not Applicable</v>
      </c>
    </row>
    <row r="319" spans="1:20" x14ac:dyDescent="0.25">
      <c r="A319" t="s">
        <v>14</v>
      </c>
      <c r="B319" t="str">
        <f>_xll.BDP("912810EN Govt","TICKER")</f>
        <v>T</v>
      </c>
      <c r="C319">
        <f>_xll.BDP("912810EN Govt","CPN")</f>
        <v>7.625</v>
      </c>
      <c r="D319">
        <f>_xll.BDP("912810EN Govt","YLD_YTM_BID")</f>
        <v>0.25303506857780456</v>
      </c>
      <c r="E319" t="str">
        <f>_xll.BDP("912810EN Govt","MATURITY")</f>
        <v>11/15/2022</v>
      </c>
      <c r="F319" t="str">
        <f>_xll.BDP("912810EN Govt","MTY_TYP")</f>
        <v>NORMAL</v>
      </c>
      <c r="G319" t="str">
        <f>_xll.BDP("912810EN Govt","CRNCY")</f>
        <v>USD</v>
      </c>
      <c r="H319" t="str">
        <f>_xll.BDP("912810EN Govt","COUNTRY_FULL_NAME")</f>
        <v>UNITED STATES</v>
      </c>
      <c r="I319" t="str">
        <f>_xll.BDP("912810EN Govt","FIRST_CPN_DT")</f>
        <v>5/15/1993</v>
      </c>
      <c r="J319" t="str">
        <f>_xll.BDP("912810EN Govt","COUPON_FREQUENCY_DESCRIPTION")</f>
        <v>S/A</v>
      </c>
      <c r="K319" t="str">
        <f>_xll.BDP("912810EN Govt","CPN_TYP")</f>
        <v>FIXED</v>
      </c>
      <c r="L319" t="str">
        <f>_xll.BDP("912810EN Govt","ID_ISIN")</f>
        <v>US912810EN47</v>
      </c>
      <c r="M319">
        <v>10700000000</v>
      </c>
      <c r="N319">
        <v>7424000000</v>
      </c>
      <c r="O319" t="str">
        <f>_xll.BDP("912810EN Govt","ISSUE_DT")</f>
        <v>11/16/1992</v>
      </c>
      <c r="P319" t="str">
        <f>_xll.BDP("912810EN Govt","SECURITY_NAME")</f>
        <v>T 7 5/8 11/15/22</v>
      </c>
      <c r="Q319" t="str">
        <f>_xll.BDP("912810EN Govt","DAY_CNT_DES")</f>
        <v>ACT/ACT</v>
      </c>
      <c r="R319">
        <v>100</v>
      </c>
      <c r="S319" t="str">
        <f>_xll.BDP("912810EN Govt","ID_CUSIP")</f>
        <v>912810EN4</v>
      </c>
      <c r="T319" t="str">
        <f>_xll.BDP("912810EN Govt","IDX_RATIO")</f>
        <v>#N/A Field Not Applicable</v>
      </c>
    </row>
    <row r="320" spans="1:20" x14ac:dyDescent="0.25">
      <c r="A320" t="s">
        <v>14</v>
      </c>
      <c r="B320" t="str">
        <f>_xll.BDP("912810FB Govt","TICKER")</f>
        <v>T</v>
      </c>
      <c r="C320">
        <f>_xll.BDP("912810FB Govt","CPN")</f>
        <v>6.125</v>
      </c>
      <c r="D320">
        <f>_xll.BDP("912810FB Govt","YLD_YTM_BID")</f>
        <v>1.1430831845296086</v>
      </c>
      <c r="E320" t="str">
        <f>_xll.BDP("912810FB Govt","MATURITY")</f>
        <v>11/15/2027</v>
      </c>
      <c r="F320" t="str">
        <f>_xll.BDP("912810FB Govt","MTY_TYP")</f>
        <v>NORMAL</v>
      </c>
      <c r="G320" t="str">
        <f>_xll.BDP("912810FB Govt","CRNCY")</f>
        <v>USD</v>
      </c>
      <c r="H320" t="str">
        <f>_xll.BDP("912810FB Govt","COUNTRY_FULL_NAME")</f>
        <v>UNITED STATES</v>
      </c>
      <c r="I320" t="str">
        <f>_xll.BDP("912810FB Govt","FIRST_CPN_DT")</f>
        <v>5/15/1998</v>
      </c>
      <c r="J320" t="str">
        <f>_xll.BDP("912810FB Govt","COUPON_FREQUENCY_DESCRIPTION")</f>
        <v>S/A</v>
      </c>
      <c r="K320" t="str">
        <f>_xll.BDP("912810FB Govt","CPN_TYP")</f>
        <v>FIXED</v>
      </c>
      <c r="L320" t="str">
        <f>_xll.BDP("912810FB Govt","ID_ISIN")</f>
        <v>US912810FB99</v>
      </c>
      <c r="M320">
        <v>22519000000</v>
      </c>
      <c r="N320">
        <v>22021000000</v>
      </c>
      <c r="O320" t="str">
        <f>_xll.BDP("912810FB Govt","ISSUE_DT")</f>
        <v>11/17/1997</v>
      </c>
      <c r="P320" t="str">
        <f>_xll.BDP("912810FB Govt","SECURITY_NAME")</f>
        <v>T 6 1/8 11/15/27</v>
      </c>
      <c r="Q320" t="str">
        <f>_xll.BDP("912810FB Govt","DAY_CNT_DES")</f>
        <v>ACT/ACT</v>
      </c>
      <c r="R320">
        <v>100</v>
      </c>
      <c r="S320" t="str">
        <f>_xll.BDP("912810FB Govt","ID_CUSIP")</f>
        <v>912810FB9</v>
      </c>
      <c r="T320" t="str">
        <f>_xll.BDP("912810FB Govt","IDX_RATIO")</f>
        <v>#N/A Field Not Applicable</v>
      </c>
    </row>
    <row r="321" spans="1:20" x14ac:dyDescent="0.25">
      <c r="A321" t="s">
        <v>14</v>
      </c>
      <c r="B321" t="str">
        <f>_xll.BDP("912810QL Govt","TICKER")</f>
        <v>T</v>
      </c>
      <c r="C321">
        <f>_xll.BDP("912810QL Govt","CPN")</f>
        <v>4.25</v>
      </c>
      <c r="D321">
        <f>_xll.BDP("912810QL Govt","YLD_YTM_BID")</f>
        <v>1.9229932915956032</v>
      </c>
      <c r="E321" t="str">
        <f>_xll.BDP("912810QL Govt","MATURITY")</f>
        <v>11/15/2040</v>
      </c>
      <c r="F321" t="str">
        <f>_xll.BDP("912810QL Govt","MTY_TYP")</f>
        <v>NORMAL</v>
      </c>
      <c r="G321" t="str">
        <f>_xll.BDP("912810QL Govt","CRNCY")</f>
        <v>USD</v>
      </c>
      <c r="H321" t="str">
        <f>_xll.BDP("912810QL Govt","COUNTRY_FULL_NAME")</f>
        <v>UNITED STATES</v>
      </c>
      <c r="I321" t="str">
        <f>_xll.BDP("912810QL Govt","FIRST_CPN_DT")</f>
        <v>5/15/2011</v>
      </c>
      <c r="J321" t="str">
        <f>_xll.BDP("912810QL Govt","COUPON_FREQUENCY_DESCRIPTION")</f>
        <v>S/A</v>
      </c>
      <c r="K321" t="str">
        <f>_xll.BDP("912810QL Govt","CPN_TYP")</f>
        <v>FIXED</v>
      </c>
      <c r="L321" t="str">
        <f>_xll.BDP("912810QL Govt","ID_ISIN")</f>
        <v>US912810QL52</v>
      </c>
      <c r="M321">
        <v>42903000000</v>
      </c>
      <c r="N321">
        <v>42903000000</v>
      </c>
      <c r="O321" t="str">
        <f>_xll.BDP("912810QL Govt","ISSUE_DT")</f>
        <v>11/15/2010</v>
      </c>
      <c r="P321" t="str">
        <f>_xll.BDP("912810QL Govt","SECURITY_NAME")</f>
        <v>T 4 1/4 11/15/40</v>
      </c>
      <c r="Q321" t="str">
        <f>_xll.BDP("912810QL Govt","DAY_CNT_DES")</f>
        <v>ACT/ACT</v>
      </c>
      <c r="R321">
        <v>100</v>
      </c>
      <c r="S321" t="str">
        <f>_xll.BDP("912810QL Govt","ID_CUSIP")</f>
        <v>912810QL5</v>
      </c>
      <c r="T321" t="str">
        <f>_xll.BDP("912810QL Govt","IDX_RATIO")</f>
        <v>#N/A Field Not Applicable</v>
      </c>
    </row>
    <row r="322" spans="1:20" x14ac:dyDescent="0.25">
      <c r="A322" t="s">
        <v>14</v>
      </c>
      <c r="B322" t="str">
        <f>_xll.BDP("9128286S Govt","TICKER")</f>
        <v>T</v>
      </c>
      <c r="C322">
        <f>_xll.BDP("9128286S Govt","CPN")</f>
        <v>2.375</v>
      </c>
      <c r="D322">
        <f>_xll.BDP("9128286S Govt","YLD_YTM_BID")</f>
        <v>0.90344494984317902</v>
      </c>
      <c r="E322" t="str">
        <f>_xll.BDP("9128286S Govt","MATURITY")</f>
        <v>4/30/2026</v>
      </c>
      <c r="F322" t="str">
        <f>_xll.BDP("9128286S Govt","MTY_TYP")</f>
        <v>NORMAL</v>
      </c>
      <c r="G322" t="str">
        <f>_xll.BDP("9128286S Govt","CRNCY")</f>
        <v>USD</v>
      </c>
      <c r="H322" t="str">
        <f>_xll.BDP("9128286S Govt","COUNTRY_FULL_NAME")</f>
        <v>UNITED STATES</v>
      </c>
      <c r="I322" t="str">
        <f>_xll.BDP("9128286S Govt","FIRST_CPN_DT")</f>
        <v>10/31/2019</v>
      </c>
      <c r="J322" t="str">
        <f>_xll.BDP("9128286S Govt","COUPON_FREQUENCY_DESCRIPTION")</f>
        <v>S/A</v>
      </c>
      <c r="K322" t="str">
        <f>_xll.BDP("9128286S Govt","CPN_TYP")</f>
        <v>FIXED</v>
      </c>
      <c r="L322" t="str">
        <f>_xll.BDP("9128286S Govt","ID_ISIN")</f>
        <v>US9128286S43</v>
      </c>
      <c r="M322">
        <v>32408000000</v>
      </c>
      <c r="N322">
        <v>32408000000</v>
      </c>
      <c r="O322" t="str">
        <f>_xll.BDP("9128286S Govt","ISSUE_DT")</f>
        <v>4/30/2019</v>
      </c>
      <c r="P322" t="str">
        <f>_xll.BDP("9128286S Govt","SECURITY_NAME")</f>
        <v>T 2 3/8 04/30/26</v>
      </c>
      <c r="Q322" t="str">
        <f>_xll.BDP("9128286S Govt","DAY_CNT_DES")</f>
        <v>ACT/ACT</v>
      </c>
      <c r="R322">
        <v>100</v>
      </c>
      <c r="S322" t="str">
        <f>_xll.BDP("9128286S Govt","ID_CUSIP")</f>
        <v>9128286S4</v>
      </c>
      <c r="T322" t="str">
        <f>_xll.BDP("9128286S Govt","IDX_RATIO")</f>
        <v>#N/A Field Not Applicable</v>
      </c>
    </row>
    <row r="323" spans="1:20" x14ac:dyDescent="0.25">
      <c r="A323" t="s">
        <v>14</v>
      </c>
      <c r="B323" t="str">
        <f>_xll.BDP("912810EZ Govt","TICKER")</f>
        <v>T</v>
      </c>
      <c r="C323">
        <f>_xll.BDP("912810EZ Govt","CPN")</f>
        <v>6.625</v>
      </c>
      <c r="D323">
        <f>_xll.BDP("912810EZ Govt","YLD_YTM_BID")</f>
        <v>1.0263223978125251</v>
      </c>
      <c r="E323" t="str">
        <f>_xll.BDP("912810EZ Govt","MATURITY")</f>
        <v>2/15/2027</v>
      </c>
      <c r="F323" t="str">
        <f>_xll.BDP("912810EZ Govt","MTY_TYP")</f>
        <v>NORMAL</v>
      </c>
      <c r="G323" t="str">
        <f>_xll.BDP("912810EZ Govt","CRNCY")</f>
        <v>USD</v>
      </c>
      <c r="H323" t="str">
        <f>_xll.BDP("912810EZ Govt","COUNTRY_FULL_NAME")</f>
        <v>UNITED STATES</v>
      </c>
      <c r="I323" t="str">
        <f>_xll.BDP("912810EZ Govt","FIRST_CPN_DT")</f>
        <v>8/15/1997</v>
      </c>
      <c r="J323" t="str">
        <f>_xll.BDP("912810EZ Govt","COUPON_FREQUENCY_DESCRIPTION")</f>
        <v>S/A</v>
      </c>
      <c r="K323" t="str">
        <f>_xll.BDP("912810EZ Govt","CPN_TYP")</f>
        <v>FIXED</v>
      </c>
      <c r="L323" t="str">
        <f>_xll.BDP("912810EZ Govt","ID_ISIN")</f>
        <v>US912810EZ76</v>
      </c>
      <c r="M323">
        <v>10456000000</v>
      </c>
      <c r="N323">
        <v>9522000000</v>
      </c>
      <c r="O323" t="str">
        <f>_xll.BDP("912810EZ Govt","ISSUE_DT")</f>
        <v>2/18/1997</v>
      </c>
      <c r="P323" t="str">
        <f>_xll.BDP("912810EZ Govt","SECURITY_NAME")</f>
        <v>T 6 5/8 02/15/27</v>
      </c>
      <c r="Q323" t="str">
        <f>_xll.BDP("912810EZ Govt","DAY_CNT_DES")</f>
        <v>ACT/ACT</v>
      </c>
      <c r="R323">
        <v>100</v>
      </c>
      <c r="S323" t="str">
        <f>_xll.BDP("912810EZ Govt","ID_CUSIP")</f>
        <v>912810EZ7</v>
      </c>
      <c r="T323" t="str">
        <f>_xll.BDP("912810EZ Govt","IDX_RATIO")</f>
        <v>#N/A Field Not Applicable</v>
      </c>
    </row>
    <row r="324" spans="1:20" x14ac:dyDescent="0.25">
      <c r="A324" t="s">
        <v>14</v>
      </c>
      <c r="B324" t="str">
        <f>_xll.BDP("912810EX Govt","TICKER")</f>
        <v>T</v>
      </c>
      <c r="C324">
        <f>_xll.BDP("912810EX Govt","CPN")</f>
        <v>6.75</v>
      </c>
      <c r="D324">
        <f>_xll.BDP("912810EX Govt","YLD_YTM_BID")</f>
        <v>0.95965165286517606</v>
      </c>
      <c r="E324" t="str">
        <f>_xll.BDP("912810EX Govt","MATURITY")</f>
        <v>8/15/2026</v>
      </c>
      <c r="F324" t="str">
        <f>_xll.BDP("912810EX Govt","MTY_TYP")</f>
        <v>NORMAL</v>
      </c>
      <c r="G324" t="str">
        <f>_xll.BDP("912810EX Govt","CRNCY")</f>
        <v>USD</v>
      </c>
      <c r="H324" t="str">
        <f>_xll.BDP("912810EX Govt","COUNTRY_FULL_NAME")</f>
        <v>UNITED STATES</v>
      </c>
      <c r="I324" t="str">
        <f>_xll.BDP("912810EX Govt","FIRST_CPN_DT")</f>
        <v>2/15/1997</v>
      </c>
      <c r="J324" t="str">
        <f>_xll.BDP("912810EX Govt","COUPON_FREQUENCY_DESCRIPTION")</f>
        <v>S/A</v>
      </c>
      <c r="K324" t="str">
        <f>_xll.BDP("912810EX Govt","CPN_TYP")</f>
        <v>FIXED</v>
      </c>
      <c r="L324" t="str">
        <f>_xll.BDP("912810EX Govt","ID_ISIN")</f>
        <v>US912810EX29</v>
      </c>
      <c r="M324">
        <v>10894000000</v>
      </c>
      <c r="N324">
        <v>8810000000</v>
      </c>
      <c r="O324" t="str">
        <f>_xll.BDP("912810EX Govt","ISSUE_DT")</f>
        <v>8/15/1996</v>
      </c>
      <c r="P324" t="str">
        <f>_xll.BDP("912810EX Govt","SECURITY_NAME")</f>
        <v>T 6 3/4 08/15/26</v>
      </c>
      <c r="Q324" t="str">
        <f>_xll.BDP("912810EX Govt","DAY_CNT_DES")</f>
        <v>ACT/ACT</v>
      </c>
      <c r="R324">
        <v>100</v>
      </c>
      <c r="S324" t="str">
        <f>_xll.BDP("912810EX Govt","ID_CUSIP")</f>
        <v>912810EX2</v>
      </c>
      <c r="T324" t="str">
        <f>_xll.BDP("912810EX Govt","IDX_RATIO")</f>
        <v>#N/A Field Not Applicable</v>
      </c>
    </row>
    <row r="325" spans="1:20" x14ac:dyDescent="0.25">
      <c r="A325" t="s">
        <v>14</v>
      </c>
      <c r="B325" t="str">
        <f>_xll.BDP("912828CC Govt","TICKER")</f>
        <v>T</v>
      </c>
      <c r="C325">
        <f>_xll.BDP("912828CC Govt","CPN")</f>
        <v>2.625</v>
      </c>
      <c r="D325" t="str">
        <f>_xll.BDP("912828CC Govt","YLD_YTM_BID")</f>
        <v>#N/A N/A</v>
      </c>
      <c r="E325" t="str">
        <f>_xll.BDP("912828CC Govt","MATURITY")</f>
        <v>3/15/2009</v>
      </c>
      <c r="F325" t="str">
        <f>_xll.BDP("912828CC Govt","MTY_TYP")</f>
        <v>NORMAL</v>
      </c>
      <c r="G325" t="str">
        <f>_xll.BDP("912828CC Govt","CRNCY")</f>
        <v>USD</v>
      </c>
      <c r="H325" t="str">
        <f>_xll.BDP("912828CC Govt","COUNTRY_FULL_NAME")</f>
        <v>UNITED STATES</v>
      </c>
      <c r="I325" t="str">
        <f>_xll.BDP("912828CC Govt","FIRST_CPN_DT")</f>
        <v>9/15/2004</v>
      </c>
      <c r="J325" t="str">
        <f>_xll.BDP("912828CC Govt","COUPON_FREQUENCY_DESCRIPTION")</f>
        <v>S/A</v>
      </c>
      <c r="K325" t="str">
        <f>_xll.BDP("912828CC Govt","CPN_TYP")</f>
        <v>FIXED</v>
      </c>
      <c r="L325" t="str">
        <f>_xll.BDP("912828CC Govt","ID_ISIN")</f>
        <v>US912828CC26</v>
      </c>
      <c r="M325">
        <v>16001000000</v>
      </c>
      <c r="N325">
        <v>0</v>
      </c>
      <c r="O325" t="str">
        <f>_xll.BDP("912828CC Govt","ISSUE_DT")</f>
        <v>3/15/2004</v>
      </c>
      <c r="P325" t="str">
        <f>_xll.BDP("912828CC Govt","SECURITY_NAME")</f>
        <v>T 2 5/8 03/15/09</v>
      </c>
      <c r="Q325" t="str">
        <f>_xll.BDP("912828CC Govt","DAY_CNT_DES")</f>
        <v>ACT/ACT</v>
      </c>
      <c r="R325">
        <v>100</v>
      </c>
      <c r="S325" t="str">
        <f>_xll.BDP("912828CC Govt","ID_CUSIP")</f>
        <v>912828CC2</v>
      </c>
      <c r="T325" t="str">
        <f>_xll.BDP("912828CC Govt","IDX_RATIO")</f>
        <v>#N/A Field Not Applicable</v>
      </c>
    </row>
    <row r="326" spans="1:20" x14ac:dyDescent="0.25">
      <c r="A326" t="s">
        <v>14</v>
      </c>
      <c r="B326" t="str">
        <f>_xll.BDP("912810EV Govt","TICKER")</f>
        <v>T</v>
      </c>
      <c r="C326">
        <f>_xll.BDP("912810EV Govt","CPN")</f>
        <v>6.875</v>
      </c>
      <c r="D326">
        <f>_xll.BDP("912810EV Govt","YLD_YTM_BID")</f>
        <v>0.7521755763465432</v>
      </c>
      <c r="E326" t="str">
        <f>_xll.BDP("912810EV Govt","MATURITY")</f>
        <v>8/15/2025</v>
      </c>
      <c r="F326" t="str">
        <f>_xll.BDP("912810EV Govt","MTY_TYP")</f>
        <v>NORMAL</v>
      </c>
      <c r="G326" t="str">
        <f>_xll.BDP("912810EV Govt","CRNCY")</f>
        <v>USD</v>
      </c>
      <c r="H326" t="str">
        <f>_xll.BDP("912810EV Govt","COUNTRY_FULL_NAME")</f>
        <v>UNITED STATES</v>
      </c>
      <c r="I326" t="str">
        <f>_xll.BDP("912810EV Govt","FIRST_CPN_DT")</f>
        <v>2/15/1996</v>
      </c>
      <c r="J326" t="str">
        <f>_xll.BDP("912810EV Govt","COUPON_FREQUENCY_DESCRIPTION")</f>
        <v>S/A</v>
      </c>
      <c r="K326" t="str">
        <f>_xll.BDP("912810EV Govt","CPN_TYP")</f>
        <v>FIXED</v>
      </c>
      <c r="L326" t="str">
        <f>_xll.BDP("912810EV Govt","ID_ISIN")</f>
        <v>US912810EV62</v>
      </c>
      <c r="M326">
        <v>12602000000</v>
      </c>
      <c r="N326">
        <v>11187000000</v>
      </c>
      <c r="O326" t="str">
        <f>_xll.BDP("912810EV Govt","ISSUE_DT")</f>
        <v>8/15/1995</v>
      </c>
      <c r="P326" t="str">
        <f>_xll.BDP("912810EV Govt","SECURITY_NAME")</f>
        <v>T 6 7/8 08/15/25</v>
      </c>
      <c r="Q326" t="str">
        <f>_xll.BDP("912810EV Govt","DAY_CNT_DES")</f>
        <v>ACT/ACT</v>
      </c>
      <c r="R326">
        <v>100</v>
      </c>
      <c r="S326" t="str">
        <f>_xll.BDP("912810EV Govt","ID_CUSIP")</f>
        <v>912810EV6</v>
      </c>
      <c r="T326" t="str">
        <f>_xll.BDP("912810EV Govt","IDX_RATIO")</f>
        <v>#N/A Field Not Applicable</v>
      </c>
    </row>
    <row r="327" spans="1:20" x14ac:dyDescent="0.25">
      <c r="A327" t="s">
        <v>14</v>
      </c>
      <c r="B327" t="str">
        <f>_xll.BDP("912828L3 Govt","TICKER")</f>
        <v>T</v>
      </c>
      <c r="C327">
        <f>_xll.BDP("912828L3 Govt","CPN")</f>
        <v>1.375</v>
      </c>
      <c r="D327" t="str">
        <f>_xll.BDP("912828L3 Govt","YLD_YTM_BID")</f>
        <v>#N/A N/A</v>
      </c>
      <c r="E327" t="str">
        <f>_xll.BDP("912828L3 Govt","MATURITY")</f>
        <v>8/31/2020</v>
      </c>
      <c r="F327" t="str">
        <f>_xll.BDP("912828L3 Govt","MTY_TYP")</f>
        <v>NORMAL</v>
      </c>
      <c r="G327" t="str">
        <f>_xll.BDP("912828L3 Govt","CRNCY")</f>
        <v>USD</v>
      </c>
      <c r="H327" t="str">
        <f>_xll.BDP("912828L3 Govt","COUNTRY_FULL_NAME")</f>
        <v>UNITED STATES</v>
      </c>
      <c r="I327" t="str">
        <f>_xll.BDP("912828L3 Govt","FIRST_CPN_DT")</f>
        <v>2/29/2016</v>
      </c>
      <c r="J327" t="str">
        <f>_xll.BDP("912828L3 Govt","COUPON_FREQUENCY_DESCRIPTION")</f>
        <v>S/A</v>
      </c>
      <c r="K327" t="str">
        <f>_xll.BDP("912828L3 Govt","CPN_TYP")</f>
        <v>FIXED</v>
      </c>
      <c r="L327" t="str">
        <f>_xll.BDP("912828L3 Govt","ID_ISIN")</f>
        <v>US912828L328</v>
      </c>
      <c r="M327">
        <v>35000000000</v>
      </c>
      <c r="N327">
        <v>0</v>
      </c>
      <c r="O327" t="str">
        <f>_xll.BDP("912828L3 Govt","ISSUE_DT")</f>
        <v>8/31/2015</v>
      </c>
      <c r="P327" t="str">
        <f>_xll.BDP("912828L3 Govt","SECURITY_NAME")</f>
        <v>T 1 3/8 08/31/20</v>
      </c>
      <c r="Q327" t="str">
        <f>_xll.BDP("912828L3 Govt","DAY_CNT_DES")</f>
        <v>ACT/ACT</v>
      </c>
      <c r="R327">
        <v>100</v>
      </c>
      <c r="S327" t="str">
        <f>_xll.BDP("912828L3 Govt","ID_CUSIP")</f>
        <v>912828L32</v>
      </c>
      <c r="T327" t="str">
        <f>_xll.BDP("912828L3 Govt","IDX_RATIO")</f>
        <v>#N/A Field Not Applicable</v>
      </c>
    </row>
    <row r="328" spans="1:20" x14ac:dyDescent="0.25">
      <c r="A328" t="s">
        <v>14</v>
      </c>
      <c r="B328" t="str">
        <f>_xll.BDP("912810EY Govt","TICKER")</f>
        <v>T</v>
      </c>
      <c r="C328">
        <f>_xll.BDP("912810EY Govt","CPN")</f>
        <v>6.5</v>
      </c>
      <c r="D328">
        <f>_xll.BDP("912810EY Govt","YLD_YTM_BID")</f>
        <v>0.98705230668528865</v>
      </c>
      <c r="E328" t="str">
        <f>_xll.BDP("912810EY Govt","MATURITY")</f>
        <v>11/15/2026</v>
      </c>
      <c r="F328" t="str">
        <f>_xll.BDP("912810EY Govt","MTY_TYP")</f>
        <v>NORMAL</v>
      </c>
      <c r="G328" t="str">
        <f>_xll.BDP("912810EY Govt","CRNCY")</f>
        <v>USD</v>
      </c>
      <c r="H328" t="str">
        <f>_xll.BDP("912810EY Govt","COUNTRY_FULL_NAME")</f>
        <v>UNITED STATES</v>
      </c>
      <c r="I328" t="str">
        <f>_xll.BDP("912810EY Govt","FIRST_CPN_DT")</f>
        <v>5/15/1997</v>
      </c>
      <c r="J328" t="str">
        <f>_xll.BDP("912810EY Govt","COUPON_FREQUENCY_DESCRIPTION")</f>
        <v>S/A</v>
      </c>
      <c r="K328" t="str">
        <f>_xll.BDP("912810EY Govt","CPN_TYP")</f>
        <v>FIXED</v>
      </c>
      <c r="L328" t="str">
        <f>_xll.BDP("912810EY Govt","ID_ISIN")</f>
        <v>US912810EY02</v>
      </c>
      <c r="M328">
        <v>11493000000</v>
      </c>
      <c r="N328">
        <v>10860000000</v>
      </c>
      <c r="O328" t="str">
        <f>_xll.BDP("912810EY Govt","ISSUE_DT")</f>
        <v>11/15/1996</v>
      </c>
      <c r="P328" t="str">
        <f>_xll.BDP("912810EY Govt","SECURITY_NAME")</f>
        <v>T 6 1/2 11/15/26</v>
      </c>
      <c r="Q328" t="str">
        <f>_xll.BDP("912810EY Govt","DAY_CNT_DES")</f>
        <v>ACT/ACT</v>
      </c>
      <c r="R328">
        <v>100</v>
      </c>
      <c r="S328" t="str">
        <f>_xll.BDP("912810EY Govt","ID_CUSIP")</f>
        <v>912810EY0</v>
      </c>
      <c r="T328" t="str">
        <f>_xll.BDP("912810EY Govt","IDX_RATIO")</f>
        <v>#N/A Field Not Applicable</v>
      </c>
    </row>
    <row r="329" spans="1:20" x14ac:dyDescent="0.25">
      <c r="A329" t="s">
        <v>14</v>
      </c>
      <c r="B329" t="str">
        <f>_xll.BDP("9128287F Govt","TICKER")</f>
        <v>T</v>
      </c>
      <c r="C329">
        <f>_xll.BDP("9128287F Govt","CPN")</f>
        <v>1.75</v>
      </c>
      <c r="D329" t="str">
        <f>_xll.BDP("9128287F Govt","YLD_YTM_BID")</f>
        <v>#N/A N/A</v>
      </c>
      <c r="E329" t="str">
        <f>_xll.BDP("9128287F Govt","MATURITY")</f>
        <v>7/31/2021</v>
      </c>
      <c r="F329" t="str">
        <f>_xll.BDP("9128287F Govt","MTY_TYP")</f>
        <v>NORMAL</v>
      </c>
      <c r="G329" t="str">
        <f>_xll.BDP("9128287F Govt","CRNCY")</f>
        <v>USD</v>
      </c>
      <c r="H329" t="str">
        <f>_xll.BDP("9128287F Govt","COUNTRY_FULL_NAME")</f>
        <v>UNITED STATES</v>
      </c>
      <c r="I329" t="str">
        <f>_xll.BDP("9128287F Govt","FIRST_CPN_DT")</f>
        <v>1/31/2020</v>
      </c>
      <c r="J329" t="str">
        <f>_xll.BDP("9128287F Govt","COUPON_FREQUENCY_DESCRIPTION")</f>
        <v>S/A</v>
      </c>
      <c r="K329" t="str">
        <f>_xll.BDP("9128287F Govt","CPN_TYP")</f>
        <v>FIXED</v>
      </c>
      <c r="L329" t="str">
        <f>_xll.BDP("9128287F Govt","ID_ISIN")</f>
        <v>US9128287F13</v>
      </c>
      <c r="M329">
        <v>41587000000</v>
      </c>
      <c r="N329">
        <v>0</v>
      </c>
      <c r="O329" t="str">
        <f>_xll.BDP("9128287F Govt","ISSUE_DT")</f>
        <v>7/31/2019</v>
      </c>
      <c r="P329" t="str">
        <f>_xll.BDP("9128287F Govt","SECURITY_NAME")</f>
        <v>T 1 3/4 07/31/21</v>
      </c>
      <c r="Q329" t="str">
        <f>_xll.BDP("9128287F Govt","DAY_CNT_DES")</f>
        <v>ACT/ACT</v>
      </c>
      <c r="R329">
        <v>100</v>
      </c>
      <c r="S329" t="str">
        <f>_xll.BDP("9128287F Govt","ID_CUSIP")</f>
        <v>9128287F1</v>
      </c>
      <c r="T329" t="str">
        <f>_xll.BDP("9128287F Govt","IDX_RATIO")</f>
        <v>#N/A Field Not Applicable</v>
      </c>
    </row>
    <row r="330" spans="1:20" x14ac:dyDescent="0.25">
      <c r="A330" t="s">
        <v>14</v>
      </c>
      <c r="B330" t="str">
        <f>_xll.BDP("9128282T Govt","TICKER")</f>
        <v>T</v>
      </c>
      <c r="C330">
        <f>_xll.BDP("9128282T Govt","CPN")</f>
        <v>1.25</v>
      </c>
      <c r="D330" t="str">
        <f>_xll.BDP("9128282T Govt","YLD_YTM_BID")</f>
        <v>#N/A N/A</v>
      </c>
      <c r="E330" t="str">
        <f>_xll.BDP("9128282T Govt","MATURITY")</f>
        <v>8/31/2019</v>
      </c>
      <c r="F330" t="str">
        <f>_xll.BDP("9128282T Govt","MTY_TYP")</f>
        <v>NORMAL</v>
      </c>
      <c r="G330" t="str">
        <f>_xll.BDP("9128282T Govt","CRNCY")</f>
        <v>USD</v>
      </c>
      <c r="H330" t="str">
        <f>_xll.BDP("9128282T Govt","COUNTRY_FULL_NAME")</f>
        <v>UNITED STATES</v>
      </c>
      <c r="I330" t="str">
        <f>_xll.BDP("9128282T Govt","FIRST_CPN_DT")</f>
        <v>2/28/2018</v>
      </c>
      <c r="J330" t="str">
        <f>_xll.BDP("9128282T Govt","COUPON_FREQUENCY_DESCRIPTION")</f>
        <v>S/A</v>
      </c>
      <c r="K330" t="str">
        <f>_xll.BDP("9128282T Govt","CPN_TYP")</f>
        <v>FIXED</v>
      </c>
      <c r="L330" t="str">
        <f>_xll.BDP("9128282T Govt","ID_ISIN")</f>
        <v>US9128282T61</v>
      </c>
      <c r="M330">
        <v>26814000000</v>
      </c>
      <c r="N330">
        <v>0</v>
      </c>
      <c r="O330" t="str">
        <f>_xll.BDP("9128282T Govt","ISSUE_DT")</f>
        <v>8/31/2017</v>
      </c>
      <c r="P330" t="str">
        <f>_xll.BDP("9128282T Govt","SECURITY_NAME")</f>
        <v>T 1 1/4 08/31/19</v>
      </c>
      <c r="Q330" t="str">
        <f>_xll.BDP("9128282T Govt","DAY_CNT_DES")</f>
        <v>ACT/ACT</v>
      </c>
      <c r="R330">
        <v>100</v>
      </c>
      <c r="S330" t="str">
        <f>_xll.BDP("9128282T Govt","ID_CUSIP")</f>
        <v>9128282T6</v>
      </c>
      <c r="T330" t="str">
        <f>_xll.BDP("9128282T Govt","IDX_RATIO")</f>
        <v>#N/A Field Not Applicable</v>
      </c>
    </row>
    <row r="331" spans="1:20" x14ac:dyDescent="0.25">
      <c r="A331" t="s">
        <v>14</v>
      </c>
      <c r="B331" t="str">
        <f>_xll.BDP("912828CB Govt","TICKER")</f>
        <v>T</v>
      </c>
      <c r="C331">
        <f>_xll.BDP("912828CB Govt","CPN")</f>
        <v>1.625</v>
      </c>
      <c r="D331" t="str">
        <f>_xll.BDP("912828CB Govt","YLD_YTM_BID")</f>
        <v>#N/A N/A</v>
      </c>
      <c r="E331" t="str">
        <f>_xll.BDP("912828CB Govt","MATURITY")</f>
        <v>2/28/2006</v>
      </c>
      <c r="F331" t="str">
        <f>_xll.BDP("912828CB Govt","MTY_TYP")</f>
        <v>NORMAL</v>
      </c>
      <c r="G331" t="str">
        <f>_xll.BDP("912828CB Govt","CRNCY")</f>
        <v>USD</v>
      </c>
      <c r="H331" t="str">
        <f>_xll.BDP("912828CB Govt","COUNTRY_FULL_NAME")</f>
        <v>UNITED STATES</v>
      </c>
      <c r="I331" t="str">
        <f>_xll.BDP("912828CB Govt","FIRST_CPN_DT")</f>
        <v>8/31/2004</v>
      </c>
      <c r="J331" t="str">
        <f>_xll.BDP("912828CB Govt","COUPON_FREQUENCY_DESCRIPTION")</f>
        <v>S/A</v>
      </c>
      <c r="K331" t="str">
        <f>_xll.BDP("912828CB Govt","CPN_TYP")</f>
        <v>FIXED</v>
      </c>
      <c r="L331" t="str">
        <f>_xll.BDP("912828CB Govt","ID_ISIN")</f>
        <v>US912828CB43</v>
      </c>
      <c r="M331">
        <v>34002000000</v>
      </c>
      <c r="N331">
        <v>0</v>
      </c>
      <c r="O331" t="str">
        <f>_xll.BDP("912828CB Govt","ISSUE_DT")</f>
        <v>3/1/2004</v>
      </c>
      <c r="P331" t="str">
        <f>_xll.BDP("912828CB Govt","SECURITY_NAME")</f>
        <v>T 1 5/8 02/28/06</v>
      </c>
      <c r="Q331" t="str">
        <f>_xll.BDP("912828CB Govt","DAY_CNT_DES")</f>
        <v>ACT/ACT</v>
      </c>
      <c r="R331">
        <v>100</v>
      </c>
      <c r="S331" t="str">
        <f>_xll.BDP("912828CB Govt","ID_CUSIP")</f>
        <v>912828CB4</v>
      </c>
      <c r="T331" t="str">
        <f>_xll.BDP("912828CB Govt","IDX_RATIO")</f>
        <v>#N/A Field Not Applicable</v>
      </c>
    </row>
    <row r="332" spans="1:20" x14ac:dyDescent="0.25">
      <c r="A332" t="s">
        <v>14</v>
      </c>
      <c r="B332" t="str">
        <f>_xll.BDP("912828D7 Govt","TICKER")</f>
        <v>T</v>
      </c>
      <c r="C332">
        <f>_xll.BDP("912828D7 Govt","CPN")</f>
        <v>2</v>
      </c>
      <c r="D332" t="str">
        <f>_xll.BDP("912828D7 Govt","YLD_YTM_BID")</f>
        <v>#N/A N/A</v>
      </c>
      <c r="E332" t="str">
        <f>_xll.BDP("912828D7 Govt","MATURITY")</f>
        <v>8/31/2021</v>
      </c>
      <c r="F332" t="str">
        <f>_xll.BDP("912828D7 Govt","MTY_TYP")</f>
        <v>NORMAL</v>
      </c>
      <c r="G332" t="str">
        <f>_xll.BDP("912828D7 Govt","CRNCY")</f>
        <v>USD</v>
      </c>
      <c r="H332" t="str">
        <f>_xll.BDP("912828D7 Govt","COUNTRY_FULL_NAME")</f>
        <v>UNITED STATES</v>
      </c>
      <c r="I332" t="str">
        <f>_xll.BDP("912828D7 Govt","FIRST_CPN_DT")</f>
        <v>2/28/2015</v>
      </c>
      <c r="J332" t="str">
        <f>_xll.BDP("912828D7 Govt","COUPON_FREQUENCY_DESCRIPTION")</f>
        <v>S/A</v>
      </c>
      <c r="K332" t="str">
        <f>_xll.BDP("912828D7 Govt","CPN_TYP")</f>
        <v>FIXED</v>
      </c>
      <c r="L332" t="str">
        <f>_xll.BDP("912828D7 Govt","ID_ISIN")</f>
        <v>US912828D721</v>
      </c>
      <c r="M332">
        <v>29002000000</v>
      </c>
      <c r="N332">
        <v>0</v>
      </c>
      <c r="O332" t="str">
        <f>_xll.BDP("912828D7 Govt","ISSUE_DT")</f>
        <v>9/2/2014</v>
      </c>
      <c r="P332" t="str">
        <f>_xll.BDP("912828D7 Govt","SECURITY_NAME")</f>
        <v>T 2 08/31/21</v>
      </c>
      <c r="Q332" t="str">
        <f>_xll.BDP("912828D7 Govt","DAY_CNT_DES")</f>
        <v>ACT/ACT</v>
      </c>
      <c r="R332">
        <v>100</v>
      </c>
      <c r="S332" t="str">
        <f>_xll.BDP("912828D7 Govt","ID_CUSIP")</f>
        <v>912828D72</v>
      </c>
      <c r="T332" t="str">
        <f>_xll.BDP("912828D7 Govt","IDX_RATIO")</f>
        <v>#N/A Field Not Applicable</v>
      </c>
    </row>
    <row r="333" spans="1:20" x14ac:dyDescent="0.25">
      <c r="A333" t="s">
        <v>14</v>
      </c>
      <c r="B333" t="str">
        <f>_xll.BDP("912828RC Govt","TICKER")</f>
        <v>T</v>
      </c>
      <c r="C333">
        <f>_xll.BDP("912828RC Govt","CPN")</f>
        <v>2.125</v>
      </c>
      <c r="D333" t="str">
        <f>_xll.BDP("912828RC Govt","YLD_YTM_BID")</f>
        <v>#N/A N/A</v>
      </c>
      <c r="E333" t="str">
        <f>_xll.BDP("912828RC Govt","MATURITY")</f>
        <v>8/15/2021</v>
      </c>
      <c r="F333" t="str">
        <f>_xll.BDP("912828RC Govt","MTY_TYP")</f>
        <v>NORMAL</v>
      </c>
      <c r="G333" t="str">
        <f>_xll.BDP("912828RC Govt","CRNCY")</f>
        <v>USD</v>
      </c>
      <c r="H333" t="str">
        <f>_xll.BDP("912828RC Govt","COUNTRY_FULL_NAME")</f>
        <v>UNITED STATES</v>
      </c>
      <c r="I333" t="str">
        <f>_xll.BDP("912828RC Govt","FIRST_CPN_DT")</f>
        <v>2/15/2012</v>
      </c>
      <c r="J333" t="str">
        <f>_xll.BDP("912828RC Govt","COUPON_FREQUENCY_DESCRIPTION")</f>
        <v>S/A</v>
      </c>
      <c r="K333" t="str">
        <f>_xll.BDP("912828RC Govt","CPN_TYP")</f>
        <v>FIXED</v>
      </c>
      <c r="L333" t="str">
        <f>_xll.BDP("912828RC Govt","ID_ISIN")</f>
        <v>US912828RC60</v>
      </c>
      <c r="M333">
        <v>66735000000</v>
      </c>
      <c r="N333">
        <v>0</v>
      </c>
      <c r="O333" t="str">
        <f>_xll.BDP("912828RC Govt","ISSUE_DT")</f>
        <v>8/15/2011</v>
      </c>
      <c r="P333" t="str">
        <f>_xll.BDP("912828RC Govt","SECURITY_NAME")</f>
        <v>T 2 1/8 08/15/21</v>
      </c>
      <c r="Q333" t="str">
        <f>_xll.BDP("912828RC Govt","DAY_CNT_DES")</f>
        <v>ACT/ACT</v>
      </c>
      <c r="R333">
        <v>100</v>
      </c>
      <c r="S333" t="str">
        <f>_xll.BDP("912828RC Govt","ID_CUSIP")</f>
        <v>912828RC6</v>
      </c>
      <c r="T333" t="str">
        <f>_xll.BDP("912828RC Govt","IDX_RATIO")</f>
        <v>#N/A Field Not Applicable</v>
      </c>
    </row>
    <row r="334" spans="1:20" x14ac:dyDescent="0.25">
      <c r="A334" t="s">
        <v>14</v>
      </c>
      <c r="B334" t="str">
        <f>_xll.BDP("912828QN Govt","TICKER")</f>
        <v>T</v>
      </c>
      <c r="C334">
        <f>_xll.BDP("912828QN Govt","CPN")</f>
        <v>3.125</v>
      </c>
      <c r="D334" t="str">
        <f>_xll.BDP("912828QN Govt","YLD_YTM_BID")</f>
        <v>#N/A N/A</v>
      </c>
      <c r="E334" t="str">
        <f>_xll.BDP("912828QN Govt","MATURITY")</f>
        <v>5/15/2021</v>
      </c>
      <c r="F334" t="str">
        <f>_xll.BDP("912828QN Govt","MTY_TYP")</f>
        <v>NORMAL</v>
      </c>
      <c r="G334" t="str">
        <f>_xll.BDP("912828QN Govt","CRNCY")</f>
        <v>USD</v>
      </c>
      <c r="H334" t="str">
        <f>_xll.BDP("912828QN Govt","COUNTRY_FULL_NAME")</f>
        <v>UNITED STATES</v>
      </c>
      <c r="I334" t="str">
        <f>_xll.BDP("912828QN Govt","FIRST_CPN_DT")</f>
        <v>11/15/2011</v>
      </c>
      <c r="J334" t="str">
        <f>_xll.BDP("912828QN Govt","COUPON_FREQUENCY_DESCRIPTION")</f>
        <v>S/A</v>
      </c>
      <c r="K334" t="str">
        <f>_xll.BDP("912828QN Govt","CPN_TYP")</f>
        <v>FIXED</v>
      </c>
      <c r="L334" t="str">
        <f>_xll.BDP("912828QN Govt","ID_ISIN")</f>
        <v>US912828QN35</v>
      </c>
      <c r="M334">
        <v>65998000000</v>
      </c>
      <c r="N334">
        <v>0</v>
      </c>
      <c r="O334" t="str">
        <f>_xll.BDP("912828QN Govt","ISSUE_DT")</f>
        <v>5/16/2011</v>
      </c>
      <c r="P334" t="str">
        <f>_xll.BDP("912828QN Govt","SECURITY_NAME")</f>
        <v>T 3 1/8 05/15/21</v>
      </c>
      <c r="Q334" t="str">
        <f>_xll.BDP("912828QN Govt","DAY_CNT_DES")</f>
        <v>ACT/ACT</v>
      </c>
      <c r="R334">
        <v>100</v>
      </c>
      <c r="S334" t="str">
        <f>_xll.BDP("912828QN Govt","ID_CUSIP")</f>
        <v>912828QN3</v>
      </c>
      <c r="T334" t="str">
        <f>_xll.BDP("912828QN Govt","IDX_RATIO")</f>
        <v>#N/A Field Not Applicable</v>
      </c>
    </row>
    <row r="335" spans="1:20" x14ac:dyDescent="0.25">
      <c r="A335" t="s">
        <v>14</v>
      </c>
      <c r="B335" t="str">
        <f>_xll.BDP("912828YC Govt","TICKER")</f>
        <v>T</v>
      </c>
      <c r="C335">
        <f>_xll.BDP("912828YC Govt","CPN")</f>
        <v>1.5</v>
      </c>
      <c r="D335" t="str">
        <f>_xll.BDP("912828YC Govt","YLD_YTM_BID")</f>
        <v>#N/A N/A</v>
      </c>
      <c r="E335" t="str">
        <f>_xll.BDP("912828YC Govt","MATURITY")</f>
        <v>8/31/2021</v>
      </c>
      <c r="F335" t="str">
        <f>_xll.BDP("912828YC Govt","MTY_TYP")</f>
        <v>NORMAL</v>
      </c>
      <c r="G335" t="str">
        <f>_xll.BDP("912828YC Govt","CRNCY")</f>
        <v>USD</v>
      </c>
      <c r="H335" t="str">
        <f>_xll.BDP("912828YC Govt","COUNTRY_FULL_NAME")</f>
        <v>UNITED STATES</v>
      </c>
      <c r="I335" t="str">
        <f>_xll.BDP("912828YC Govt","FIRST_CPN_DT")</f>
        <v>2/29/2020</v>
      </c>
      <c r="J335" t="str">
        <f>_xll.BDP("912828YC Govt","COUPON_FREQUENCY_DESCRIPTION")</f>
        <v>S/A</v>
      </c>
      <c r="K335" t="str">
        <f>_xll.BDP("912828YC Govt","CPN_TYP")</f>
        <v>FIXED</v>
      </c>
      <c r="L335" t="str">
        <f>_xll.BDP("912828YC Govt","ID_ISIN")</f>
        <v>US912828YC87</v>
      </c>
      <c r="M335">
        <v>45194000000</v>
      </c>
      <c r="N335">
        <v>0</v>
      </c>
      <c r="O335" t="str">
        <f>_xll.BDP("912828YC Govt","ISSUE_DT")</f>
        <v>9/3/2019</v>
      </c>
      <c r="P335" t="str">
        <f>_xll.BDP("912828YC Govt","SECURITY_NAME")</f>
        <v>T 1 1/2 08/31/21</v>
      </c>
      <c r="Q335" t="str">
        <f>_xll.BDP("912828YC Govt","DAY_CNT_DES")</f>
        <v>ACT/ACT</v>
      </c>
      <c r="R335">
        <v>100</v>
      </c>
      <c r="S335" t="str">
        <f>_xll.BDP("912828YC Govt","ID_CUSIP")</f>
        <v>912828YC8</v>
      </c>
      <c r="T335" t="str">
        <f>_xll.BDP("912828YC Govt","IDX_RATIO")</f>
        <v>#N/A Field Not Applicable</v>
      </c>
    </row>
    <row r="336" spans="1:20" x14ac:dyDescent="0.25">
      <c r="A336" t="s">
        <v>14</v>
      </c>
      <c r="B336" t="str">
        <f>_xll.BDP("912828Y2 Govt","TICKER")</f>
        <v>T</v>
      </c>
      <c r="C336">
        <f>_xll.BDP("912828Y2 Govt","CPN")</f>
        <v>2.625</v>
      </c>
      <c r="D336" t="str">
        <f>_xll.BDP("912828Y2 Govt","YLD_YTM_BID")</f>
        <v>#N/A N/A</v>
      </c>
      <c r="E336" t="str">
        <f>_xll.BDP("912828Y2 Govt","MATURITY")</f>
        <v>7/15/2021</v>
      </c>
      <c r="F336" t="str">
        <f>_xll.BDP("912828Y2 Govt","MTY_TYP")</f>
        <v>NORMAL</v>
      </c>
      <c r="G336" t="str">
        <f>_xll.BDP("912828Y2 Govt","CRNCY")</f>
        <v>USD</v>
      </c>
      <c r="H336" t="str">
        <f>_xll.BDP("912828Y2 Govt","COUNTRY_FULL_NAME")</f>
        <v>UNITED STATES</v>
      </c>
      <c r="I336" t="str">
        <f>_xll.BDP("912828Y2 Govt","FIRST_CPN_DT")</f>
        <v>1/15/2019</v>
      </c>
      <c r="J336" t="str">
        <f>_xll.BDP("912828Y2 Govt","COUPON_FREQUENCY_DESCRIPTION")</f>
        <v>S/A</v>
      </c>
      <c r="K336" t="str">
        <f>_xll.BDP("912828Y2 Govt","CPN_TYP")</f>
        <v>FIXED</v>
      </c>
      <c r="L336" t="str">
        <f>_xll.BDP("912828Y2 Govt","ID_ISIN")</f>
        <v>US912828Y206</v>
      </c>
      <c r="M336">
        <v>33128000000</v>
      </c>
      <c r="N336">
        <v>0</v>
      </c>
      <c r="O336" t="str">
        <f>_xll.BDP("912828Y2 Govt","ISSUE_DT")</f>
        <v>7/16/2018</v>
      </c>
      <c r="P336" t="str">
        <f>_xll.BDP("912828Y2 Govt","SECURITY_NAME")</f>
        <v>T 2 5/8 07/15/21</v>
      </c>
      <c r="Q336" t="str">
        <f>_xll.BDP("912828Y2 Govt","DAY_CNT_DES")</f>
        <v>ACT/ACT</v>
      </c>
      <c r="R336">
        <v>100</v>
      </c>
      <c r="S336" t="str">
        <f>_xll.BDP("912828Y2 Govt","ID_CUSIP")</f>
        <v>912828Y20</v>
      </c>
      <c r="T336" t="str">
        <f>_xll.BDP("912828Y2 Govt","IDX_RATIO")</f>
        <v>#N/A Field Not Applicable</v>
      </c>
    </row>
    <row r="337" spans="1:20" x14ac:dyDescent="0.25">
      <c r="A337" t="s">
        <v>14</v>
      </c>
      <c r="B337" t="str">
        <f>_xll.BDP("912828CA Govt","TICKER")</f>
        <v>T</v>
      </c>
      <c r="C337">
        <f>_xll.BDP("912828CA Govt","CPN")</f>
        <v>4</v>
      </c>
      <c r="D337" t="str">
        <f>_xll.BDP("912828CA Govt","YLD_YTM_BID")</f>
        <v>#N/A N/A</v>
      </c>
      <c r="E337" t="str">
        <f>_xll.BDP("912828CA Govt","MATURITY")</f>
        <v>2/15/2014</v>
      </c>
      <c r="F337" t="str">
        <f>_xll.BDP("912828CA Govt","MTY_TYP")</f>
        <v>NORMAL</v>
      </c>
      <c r="G337" t="str">
        <f>_xll.BDP("912828CA Govt","CRNCY")</f>
        <v>USD</v>
      </c>
      <c r="H337" t="str">
        <f>_xll.BDP("912828CA Govt","COUNTRY_FULL_NAME")</f>
        <v>UNITED STATES</v>
      </c>
      <c r="I337" t="str">
        <f>_xll.BDP("912828CA Govt","FIRST_CPN_DT")</f>
        <v>8/15/2004</v>
      </c>
      <c r="J337" t="str">
        <f>_xll.BDP("912828CA Govt","COUPON_FREQUENCY_DESCRIPTION")</f>
        <v>S/A</v>
      </c>
      <c r="K337" t="str">
        <f>_xll.BDP("912828CA Govt","CPN_TYP")</f>
        <v>FIXED</v>
      </c>
      <c r="L337" t="str">
        <f>_xll.BDP("912828CA Govt","ID_ISIN")</f>
        <v>US912828CA69</v>
      </c>
      <c r="M337">
        <v>28081000000</v>
      </c>
      <c r="N337">
        <v>0</v>
      </c>
      <c r="O337" t="str">
        <f>_xll.BDP("912828CA Govt","ISSUE_DT")</f>
        <v>2/17/2004</v>
      </c>
      <c r="P337" t="str">
        <f>_xll.BDP("912828CA Govt","SECURITY_NAME")</f>
        <v>T 4 02/15/14</v>
      </c>
      <c r="Q337" t="str">
        <f>_xll.BDP("912828CA Govt","DAY_CNT_DES")</f>
        <v>ACT/ACT</v>
      </c>
      <c r="R337">
        <v>100</v>
      </c>
      <c r="S337" t="str">
        <f>_xll.BDP("912828CA Govt","ID_CUSIP")</f>
        <v>912828CA6</v>
      </c>
      <c r="T337" t="str">
        <f>_xll.BDP("912828CA Govt","IDX_RATIO")</f>
        <v>#N/A Field Not Applicable</v>
      </c>
    </row>
    <row r="338" spans="1:20" x14ac:dyDescent="0.25">
      <c r="A338" t="s">
        <v>14</v>
      </c>
      <c r="B338" t="str">
        <f>_xll.BDP("912828WN Govt","TICKER")</f>
        <v>T</v>
      </c>
      <c r="C338">
        <f>_xll.BDP("912828WN Govt","CPN")</f>
        <v>2</v>
      </c>
      <c r="D338" t="str">
        <f>_xll.BDP("912828WN Govt","YLD_YTM_BID")</f>
        <v>#N/A N/A</v>
      </c>
      <c r="E338" t="str">
        <f>_xll.BDP("912828WN Govt","MATURITY")</f>
        <v>5/31/2021</v>
      </c>
      <c r="F338" t="str">
        <f>_xll.BDP("912828WN Govt","MTY_TYP")</f>
        <v>NORMAL</v>
      </c>
      <c r="G338" t="str">
        <f>_xll.BDP("912828WN Govt","CRNCY")</f>
        <v>USD</v>
      </c>
      <c r="H338" t="str">
        <f>_xll.BDP("912828WN Govt","COUNTRY_FULL_NAME")</f>
        <v>UNITED STATES</v>
      </c>
      <c r="I338" t="str">
        <f>_xll.BDP("912828WN Govt","FIRST_CPN_DT")</f>
        <v>11/30/2014</v>
      </c>
      <c r="J338" t="str">
        <f>_xll.BDP("912828WN Govt","COUPON_FREQUENCY_DESCRIPTION")</f>
        <v>S/A</v>
      </c>
      <c r="K338" t="str">
        <f>_xll.BDP("912828WN Govt","CPN_TYP")</f>
        <v>FIXED</v>
      </c>
      <c r="L338" t="str">
        <f>_xll.BDP("912828WN Govt","ID_ISIN")</f>
        <v>US912828WN60</v>
      </c>
      <c r="M338">
        <v>29011000000</v>
      </c>
      <c r="N338">
        <v>0</v>
      </c>
      <c r="O338" t="str">
        <f>_xll.BDP("912828WN Govt","ISSUE_DT")</f>
        <v>6/2/2014</v>
      </c>
      <c r="P338" t="str">
        <f>_xll.BDP("912828WN Govt","SECURITY_NAME")</f>
        <v>T 2 05/31/21</v>
      </c>
      <c r="Q338" t="str">
        <f>_xll.BDP("912828WN Govt","DAY_CNT_DES")</f>
        <v>ACT/ACT</v>
      </c>
      <c r="R338">
        <v>100</v>
      </c>
      <c r="S338" t="str">
        <f>_xll.BDP("912828WN Govt","ID_CUSIP")</f>
        <v>912828WN6</v>
      </c>
      <c r="T338" t="str">
        <f>_xll.BDP("912828WN Govt","IDX_RATIO")</f>
        <v>#N/A Field Not Applicable</v>
      </c>
    </row>
    <row r="339" spans="1:20" x14ac:dyDescent="0.25">
      <c r="A339" t="s">
        <v>14</v>
      </c>
      <c r="B339" t="str">
        <f>_xll.BDP("9128287A Govt","TICKER")</f>
        <v>T</v>
      </c>
      <c r="C339">
        <f>_xll.BDP("9128287A Govt","CPN")</f>
        <v>1.625</v>
      </c>
      <c r="D339" t="str">
        <f>_xll.BDP("9128287A Govt","YLD_YTM_BID")</f>
        <v>#N/A N/A</v>
      </c>
      <c r="E339" t="str">
        <f>_xll.BDP("9128287A Govt","MATURITY")</f>
        <v>6/30/2021</v>
      </c>
      <c r="F339" t="str">
        <f>_xll.BDP("9128287A Govt","MTY_TYP")</f>
        <v>NORMAL</v>
      </c>
      <c r="G339" t="str">
        <f>_xll.BDP("9128287A Govt","CRNCY")</f>
        <v>USD</v>
      </c>
      <c r="H339" t="str">
        <f>_xll.BDP("9128287A Govt","COUNTRY_FULL_NAME")</f>
        <v>UNITED STATES</v>
      </c>
      <c r="I339" t="str">
        <f>_xll.BDP("9128287A Govt","FIRST_CPN_DT")</f>
        <v>12/31/2019</v>
      </c>
      <c r="J339" t="str">
        <f>_xll.BDP("9128287A Govt","COUPON_FREQUENCY_DESCRIPTION")</f>
        <v>S/A</v>
      </c>
      <c r="K339" t="str">
        <f>_xll.BDP("9128287A Govt","CPN_TYP")</f>
        <v>FIXED</v>
      </c>
      <c r="L339" t="str">
        <f>_xll.BDP("9128287A Govt","ID_ISIN")</f>
        <v>US9128287A26</v>
      </c>
      <c r="M339">
        <v>42287000000</v>
      </c>
      <c r="N339">
        <v>0</v>
      </c>
      <c r="O339" t="str">
        <f>_xll.BDP("9128287A Govt","ISSUE_DT")</f>
        <v>7/1/2019</v>
      </c>
      <c r="P339" t="str">
        <f>_xll.BDP("9128287A Govt","SECURITY_NAME")</f>
        <v>T 1 5/8 06/30/21</v>
      </c>
      <c r="Q339" t="str">
        <f>_xll.BDP("9128287A Govt","DAY_CNT_DES")</f>
        <v>ACT/ACT</v>
      </c>
      <c r="R339">
        <v>100</v>
      </c>
      <c r="S339" t="str">
        <f>_xll.BDP("9128287A Govt","ID_CUSIP")</f>
        <v>9128287A2</v>
      </c>
      <c r="T339" t="str">
        <f>_xll.BDP("9128287A Govt","IDX_RATIO")</f>
        <v>#N/A Field Not Applicable</v>
      </c>
    </row>
    <row r="340" spans="1:20" x14ac:dyDescent="0.25">
      <c r="A340" t="s">
        <v>14</v>
      </c>
      <c r="B340" t="str">
        <f>_xll.BDP("912828WW Govt","TICKER")</f>
        <v>T</v>
      </c>
      <c r="C340">
        <f>_xll.BDP("912828WW Govt","CPN")</f>
        <v>1.625</v>
      </c>
      <c r="D340" t="str">
        <f>_xll.BDP("912828WW Govt","YLD_YTM_BID")</f>
        <v>#N/A N/A</v>
      </c>
      <c r="E340" t="str">
        <f>_xll.BDP("912828WW Govt","MATURITY")</f>
        <v>7/31/2019</v>
      </c>
      <c r="F340" t="str">
        <f>_xll.BDP("912828WW Govt","MTY_TYP")</f>
        <v>NORMAL</v>
      </c>
      <c r="G340" t="str">
        <f>_xll.BDP("912828WW Govt","CRNCY")</f>
        <v>USD</v>
      </c>
      <c r="H340" t="str">
        <f>_xll.BDP("912828WW Govt","COUNTRY_FULL_NAME")</f>
        <v>UNITED STATES</v>
      </c>
      <c r="I340" t="str">
        <f>_xll.BDP("912828WW Govt","FIRST_CPN_DT")</f>
        <v>1/31/2015</v>
      </c>
      <c r="J340" t="str">
        <f>_xll.BDP("912828WW Govt","COUPON_FREQUENCY_DESCRIPTION")</f>
        <v>S/A</v>
      </c>
      <c r="K340" t="str">
        <f>_xll.BDP("912828WW Govt","CPN_TYP")</f>
        <v>FIXED</v>
      </c>
      <c r="L340" t="str">
        <f>_xll.BDP("912828WW Govt","ID_ISIN")</f>
        <v>US912828WW69</v>
      </c>
      <c r="M340">
        <v>35011000000</v>
      </c>
      <c r="N340">
        <v>0</v>
      </c>
      <c r="O340" t="str">
        <f>_xll.BDP("912828WW Govt","ISSUE_DT")</f>
        <v>7/31/2014</v>
      </c>
      <c r="P340" t="str">
        <f>_xll.BDP("912828WW Govt","SECURITY_NAME")</f>
        <v>T 1 5/8 07/31/19</v>
      </c>
      <c r="Q340" t="str">
        <f>_xll.BDP("912828WW Govt","DAY_CNT_DES")</f>
        <v>ACT/ACT</v>
      </c>
      <c r="R340">
        <v>100</v>
      </c>
      <c r="S340" t="str">
        <f>_xll.BDP("912828WW Govt","ID_CUSIP")</f>
        <v>912828WW6</v>
      </c>
      <c r="T340" t="str">
        <f>_xll.BDP("912828WW Govt","IDX_RATIO")</f>
        <v>#N/A Field Not Applicable</v>
      </c>
    </row>
    <row r="341" spans="1:20" x14ac:dyDescent="0.25">
      <c r="A341" t="s">
        <v>14</v>
      </c>
      <c r="B341" t="str">
        <f>_xll.BDP("912828WR Govt","TICKER")</f>
        <v>T</v>
      </c>
      <c r="C341">
        <f>_xll.BDP("912828WR Govt","CPN")</f>
        <v>2.125</v>
      </c>
      <c r="D341" t="str">
        <f>_xll.BDP("912828WR Govt","YLD_YTM_BID")</f>
        <v>#N/A N/A</v>
      </c>
      <c r="E341" t="str">
        <f>_xll.BDP("912828WR Govt","MATURITY")</f>
        <v>6/30/2021</v>
      </c>
      <c r="F341" t="str">
        <f>_xll.BDP("912828WR Govt","MTY_TYP")</f>
        <v>NORMAL</v>
      </c>
      <c r="G341" t="str">
        <f>_xll.BDP("912828WR Govt","CRNCY")</f>
        <v>USD</v>
      </c>
      <c r="H341" t="str">
        <f>_xll.BDP("912828WR Govt","COUNTRY_FULL_NAME")</f>
        <v>UNITED STATES</v>
      </c>
      <c r="I341" t="str">
        <f>_xll.BDP("912828WR Govt","FIRST_CPN_DT")</f>
        <v>12/31/2014</v>
      </c>
      <c r="J341" t="str">
        <f>_xll.BDP("912828WR Govt","COUPON_FREQUENCY_DESCRIPTION")</f>
        <v>S/A</v>
      </c>
      <c r="K341" t="str">
        <f>_xll.BDP("912828WR Govt","CPN_TYP")</f>
        <v>FIXED</v>
      </c>
      <c r="L341" t="str">
        <f>_xll.BDP("912828WR Govt","ID_ISIN")</f>
        <v>US912828WR74</v>
      </c>
      <c r="M341">
        <v>29000000000</v>
      </c>
      <c r="N341">
        <v>0</v>
      </c>
      <c r="O341" t="str">
        <f>_xll.BDP("912828WR Govt","ISSUE_DT")</f>
        <v>6/30/2014</v>
      </c>
      <c r="P341" t="str">
        <f>_xll.BDP("912828WR Govt","SECURITY_NAME")</f>
        <v>T 2 1/8 06/30/21</v>
      </c>
      <c r="Q341" t="str">
        <f>_xll.BDP("912828WR Govt","DAY_CNT_DES")</f>
        <v>ACT/ACT</v>
      </c>
      <c r="R341">
        <v>100</v>
      </c>
      <c r="S341" t="str">
        <f>_xll.BDP("912828WR Govt","ID_CUSIP")</f>
        <v>912828WR7</v>
      </c>
      <c r="T341" t="str">
        <f>_xll.BDP("912828WR Govt","IDX_RATIO")</f>
        <v>#N/A Field Not Applicable</v>
      </c>
    </row>
    <row r="342" spans="1:20" x14ac:dyDescent="0.25">
      <c r="A342" t="s">
        <v>14</v>
      </c>
      <c r="B342" t="str">
        <f>_xll.BDP("912828C5 Govt","TICKER")</f>
        <v>T</v>
      </c>
      <c r="C342">
        <f>_xll.BDP("912828C5 Govt","CPN")</f>
        <v>2.25</v>
      </c>
      <c r="D342" t="str">
        <f>_xll.BDP("912828C5 Govt","YLD_YTM_BID")</f>
        <v>#N/A N/A</v>
      </c>
      <c r="E342" t="str">
        <f>_xll.BDP("912828C5 Govt","MATURITY")</f>
        <v>3/31/2021</v>
      </c>
      <c r="F342" t="str">
        <f>_xll.BDP("912828C5 Govt","MTY_TYP")</f>
        <v>NORMAL</v>
      </c>
      <c r="G342" t="str">
        <f>_xll.BDP("912828C5 Govt","CRNCY")</f>
        <v>USD</v>
      </c>
      <c r="H342" t="str">
        <f>_xll.BDP("912828C5 Govt","COUNTRY_FULL_NAME")</f>
        <v>UNITED STATES</v>
      </c>
      <c r="I342" t="str">
        <f>_xll.BDP("912828C5 Govt","FIRST_CPN_DT")</f>
        <v>9/30/2014</v>
      </c>
      <c r="J342" t="str">
        <f>_xll.BDP("912828C5 Govt","COUPON_FREQUENCY_DESCRIPTION")</f>
        <v>S/A</v>
      </c>
      <c r="K342" t="str">
        <f>_xll.BDP("912828C5 Govt","CPN_TYP")</f>
        <v>FIXED</v>
      </c>
      <c r="L342" t="str">
        <f>_xll.BDP("912828C5 Govt","ID_ISIN")</f>
        <v>US912828C574</v>
      </c>
      <c r="M342">
        <v>69000000000</v>
      </c>
      <c r="N342">
        <v>0</v>
      </c>
      <c r="O342" t="str">
        <f>_xll.BDP("912828C5 Govt","ISSUE_DT")</f>
        <v>3/31/2014</v>
      </c>
      <c r="P342" t="str">
        <f>_xll.BDP("912828C5 Govt","SECURITY_NAME")</f>
        <v>T 2 1/4 03/31/21</v>
      </c>
      <c r="Q342" t="str">
        <f>_xll.BDP("912828C5 Govt","DAY_CNT_DES")</f>
        <v>ACT/ACT</v>
      </c>
      <c r="R342">
        <v>100</v>
      </c>
      <c r="S342" t="str">
        <f>_xll.BDP("912828C5 Govt","ID_CUSIP")</f>
        <v>912828C57</v>
      </c>
      <c r="T342" t="str">
        <f>_xll.BDP("912828C5 Govt","IDX_RATIO")</f>
        <v>#N/A Field Not Applicable</v>
      </c>
    </row>
    <row r="343" spans="1:20" x14ac:dyDescent="0.25">
      <c r="A343" t="s">
        <v>14</v>
      </c>
      <c r="B343" t="str">
        <f>_xll.BDP("912828N8 Govt","TICKER")</f>
        <v>T</v>
      </c>
      <c r="C343">
        <f>_xll.BDP("912828N8 Govt","CPN")</f>
        <v>1.375</v>
      </c>
      <c r="D343" t="str">
        <f>_xll.BDP("912828N8 Govt","YLD_YTM_BID")</f>
        <v>#N/A N/A</v>
      </c>
      <c r="E343" t="str">
        <f>_xll.BDP("912828N8 Govt","MATURITY")</f>
        <v>1/31/2021</v>
      </c>
      <c r="F343" t="str">
        <f>_xll.BDP("912828N8 Govt","MTY_TYP")</f>
        <v>NORMAL</v>
      </c>
      <c r="G343" t="str">
        <f>_xll.BDP("912828N8 Govt","CRNCY")</f>
        <v>USD</v>
      </c>
      <c r="H343" t="str">
        <f>_xll.BDP("912828N8 Govt","COUNTRY_FULL_NAME")</f>
        <v>UNITED STATES</v>
      </c>
      <c r="I343" t="str">
        <f>_xll.BDP("912828N8 Govt","FIRST_CPN_DT")</f>
        <v>7/31/2016</v>
      </c>
      <c r="J343" t="str">
        <f>_xll.BDP("912828N8 Govt","COUPON_FREQUENCY_DESCRIPTION")</f>
        <v>S/A</v>
      </c>
      <c r="K343" t="str">
        <f>_xll.BDP("912828N8 Govt","CPN_TYP")</f>
        <v>FIXED</v>
      </c>
      <c r="L343" t="str">
        <f>_xll.BDP("912828N8 Govt","ID_ISIN")</f>
        <v>US912828N894</v>
      </c>
      <c r="M343">
        <v>35637000000</v>
      </c>
      <c r="N343">
        <v>0</v>
      </c>
      <c r="O343" t="str">
        <f>_xll.BDP("912828N8 Govt","ISSUE_DT")</f>
        <v>2/1/2016</v>
      </c>
      <c r="P343" t="str">
        <f>_xll.BDP("912828N8 Govt","SECURITY_NAME")</f>
        <v>T 1 3/8 01/31/21</v>
      </c>
      <c r="Q343" t="str">
        <f>_xll.BDP("912828N8 Govt","DAY_CNT_DES")</f>
        <v>ACT/ACT</v>
      </c>
      <c r="R343">
        <v>100</v>
      </c>
      <c r="S343" t="str">
        <f>_xll.BDP("912828N8 Govt","ID_CUSIP")</f>
        <v>912828N89</v>
      </c>
      <c r="T343" t="str">
        <f>_xll.BDP("912828N8 Govt","IDX_RATIO")</f>
        <v>#N/A Field Not Applicable</v>
      </c>
    </row>
    <row r="344" spans="1:20" x14ac:dyDescent="0.25">
      <c r="A344" t="s">
        <v>14</v>
      </c>
      <c r="B344" t="str">
        <f>_xll.BDP("9128284T Govt","TICKER")</f>
        <v>T</v>
      </c>
      <c r="C344">
        <f>_xll.BDP("9128284T Govt","CPN")</f>
        <v>2.625</v>
      </c>
      <c r="D344" t="str">
        <f>_xll.BDP("9128284T Govt","YLD_YTM_BID")</f>
        <v>#N/A N/A</v>
      </c>
      <c r="E344" t="str">
        <f>_xll.BDP("9128284T Govt","MATURITY")</f>
        <v>6/15/2021</v>
      </c>
      <c r="F344" t="str">
        <f>_xll.BDP("9128284T Govt","MTY_TYP")</f>
        <v>NORMAL</v>
      </c>
      <c r="G344" t="str">
        <f>_xll.BDP("9128284T Govt","CRNCY")</f>
        <v>USD</v>
      </c>
      <c r="H344" t="str">
        <f>_xll.BDP("9128284T Govt","COUNTRY_FULL_NAME")</f>
        <v>UNITED STATES</v>
      </c>
      <c r="I344" t="str">
        <f>_xll.BDP("9128284T Govt","FIRST_CPN_DT")</f>
        <v>12/15/2018</v>
      </c>
      <c r="J344" t="str">
        <f>_xll.BDP("9128284T Govt","COUPON_FREQUENCY_DESCRIPTION")</f>
        <v>S/A</v>
      </c>
      <c r="K344" t="str">
        <f>_xll.BDP("9128284T Govt","CPN_TYP")</f>
        <v>FIXED</v>
      </c>
      <c r="L344" t="str">
        <f>_xll.BDP("9128284T Govt","ID_ISIN")</f>
        <v>US9128284T44</v>
      </c>
      <c r="M344">
        <v>32000000000</v>
      </c>
      <c r="N344">
        <v>0</v>
      </c>
      <c r="O344" t="str">
        <f>_xll.BDP("9128284T Govt","ISSUE_DT")</f>
        <v>6/15/2018</v>
      </c>
      <c r="P344" t="str">
        <f>_xll.BDP("9128284T Govt","SECURITY_NAME")</f>
        <v>T 2 5/8 06/15/21</v>
      </c>
      <c r="Q344" t="str">
        <f>_xll.BDP("9128284T Govt","DAY_CNT_DES")</f>
        <v>ACT/ACT</v>
      </c>
      <c r="R344">
        <v>100</v>
      </c>
      <c r="S344" t="str">
        <f>_xll.BDP("9128284T Govt","ID_CUSIP")</f>
        <v>9128284T4</v>
      </c>
      <c r="T344" t="str">
        <f>_xll.BDP("9128284T Govt","IDX_RATIO")</f>
        <v>#N/A Field Not Applicable</v>
      </c>
    </row>
    <row r="345" spans="1:20" x14ac:dyDescent="0.25">
      <c r="A345" t="s">
        <v>14</v>
      </c>
      <c r="B345" t="str">
        <f>_xll.BDP("9128282F Govt","TICKER")</f>
        <v>T</v>
      </c>
      <c r="C345">
        <f>_xll.BDP("9128282F Govt","CPN")</f>
        <v>1.125</v>
      </c>
      <c r="D345" t="str">
        <f>_xll.BDP("9128282F Govt","YLD_YTM_BID")</f>
        <v>#N/A N/A</v>
      </c>
      <c r="E345" t="str">
        <f>_xll.BDP("9128282F Govt","MATURITY")</f>
        <v>8/31/2021</v>
      </c>
      <c r="F345" t="str">
        <f>_xll.BDP("9128282F Govt","MTY_TYP")</f>
        <v>NORMAL</v>
      </c>
      <c r="G345" t="str">
        <f>_xll.BDP("9128282F Govt","CRNCY")</f>
        <v>USD</v>
      </c>
      <c r="H345" t="str">
        <f>_xll.BDP("9128282F Govt","COUNTRY_FULL_NAME")</f>
        <v>UNITED STATES</v>
      </c>
      <c r="I345" t="str">
        <f>_xll.BDP("9128282F Govt","FIRST_CPN_DT")</f>
        <v>2/28/2017</v>
      </c>
      <c r="J345" t="str">
        <f>_xll.BDP("9128282F Govt","COUPON_FREQUENCY_DESCRIPTION")</f>
        <v>S/A</v>
      </c>
      <c r="K345" t="str">
        <f>_xll.BDP("9128282F Govt","CPN_TYP")</f>
        <v>FIXED</v>
      </c>
      <c r="L345" t="str">
        <f>_xll.BDP("9128282F Govt","ID_ISIN")</f>
        <v>US9128282F67</v>
      </c>
      <c r="M345">
        <v>36326000000</v>
      </c>
      <c r="N345">
        <v>0</v>
      </c>
      <c r="O345" t="str">
        <f>_xll.BDP("9128282F Govt","ISSUE_DT")</f>
        <v>8/31/2016</v>
      </c>
      <c r="P345" t="str">
        <f>_xll.BDP("9128282F Govt","SECURITY_NAME")</f>
        <v>T 1 1/8 08/31/21</v>
      </c>
      <c r="Q345" t="str">
        <f>_xll.BDP("9128282F Govt","DAY_CNT_DES")</f>
        <v>ACT/ACT</v>
      </c>
      <c r="R345">
        <v>100</v>
      </c>
      <c r="S345" t="str">
        <f>_xll.BDP("9128282F Govt","ID_CUSIP")</f>
        <v>9128282F6</v>
      </c>
      <c r="T345" t="str">
        <f>_xll.BDP("9128282F Govt","IDX_RATIO")</f>
        <v>#N/A Field Not Applicable</v>
      </c>
    </row>
    <row r="346" spans="1:20" x14ac:dyDescent="0.25">
      <c r="A346" t="s">
        <v>14</v>
      </c>
      <c r="B346" t="str">
        <f>_xll.BDP("912828S7 Govt","TICKER")</f>
        <v>T</v>
      </c>
      <c r="C346">
        <f>_xll.BDP("912828S7 Govt","CPN")</f>
        <v>1.125</v>
      </c>
      <c r="D346" t="str">
        <f>_xll.BDP("912828S7 Govt","YLD_YTM_BID")</f>
        <v>#N/A N/A</v>
      </c>
      <c r="E346" t="str">
        <f>_xll.BDP("912828S7 Govt","MATURITY")</f>
        <v>7/31/2021</v>
      </c>
      <c r="F346" t="str">
        <f>_xll.BDP("912828S7 Govt","MTY_TYP")</f>
        <v>NORMAL</v>
      </c>
      <c r="G346" t="str">
        <f>_xll.BDP("912828S7 Govt","CRNCY")</f>
        <v>USD</v>
      </c>
      <c r="H346" t="str">
        <f>_xll.BDP("912828S7 Govt","COUNTRY_FULL_NAME")</f>
        <v>UNITED STATES</v>
      </c>
      <c r="I346" t="str">
        <f>_xll.BDP("912828S7 Govt","FIRST_CPN_DT")</f>
        <v>1/31/2017</v>
      </c>
      <c r="J346" t="str">
        <f>_xll.BDP("912828S7 Govt","COUPON_FREQUENCY_DESCRIPTION")</f>
        <v>S/A</v>
      </c>
      <c r="K346" t="str">
        <f>_xll.BDP("912828S7 Govt","CPN_TYP")</f>
        <v>FIXED</v>
      </c>
      <c r="L346" t="str">
        <f>_xll.BDP("912828S7 Govt","ID_ISIN")</f>
        <v>US912828S760</v>
      </c>
      <c r="M346">
        <v>36374000000</v>
      </c>
      <c r="N346">
        <v>0</v>
      </c>
      <c r="O346" t="str">
        <f>_xll.BDP("912828S7 Govt","ISSUE_DT")</f>
        <v>8/1/2016</v>
      </c>
      <c r="P346" t="str">
        <f>_xll.BDP("912828S7 Govt","SECURITY_NAME")</f>
        <v>T 1 1/8 07/31/21</v>
      </c>
      <c r="Q346" t="str">
        <f>_xll.BDP("912828S7 Govt","DAY_CNT_DES")</f>
        <v>ACT/ACT</v>
      </c>
      <c r="R346">
        <v>100</v>
      </c>
      <c r="S346" t="str">
        <f>_xll.BDP("912828S7 Govt","ID_CUSIP")</f>
        <v>912828S76</v>
      </c>
      <c r="T346" t="str">
        <f>_xll.BDP("912828S7 Govt","IDX_RATIO")</f>
        <v>#N/A Field Not Applicable</v>
      </c>
    </row>
    <row r="347" spans="1:20" x14ac:dyDescent="0.25">
      <c r="A347" t="s">
        <v>14</v>
      </c>
      <c r="B347" t="str">
        <f>_xll.BDP("9128284W Govt","TICKER")</f>
        <v>T</v>
      </c>
      <c r="C347">
        <f>_xll.BDP("9128284W Govt","CPN")</f>
        <v>2.75</v>
      </c>
      <c r="D347" t="str">
        <f>_xll.BDP("9128284W Govt","YLD_YTM_BID")</f>
        <v>#N/A N/A</v>
      </c>
      <c r="E347" t="str">
        <f>_xll.BDP("9128284W Govt","MATURITY")</f>
        <v>8/15/2021</v>
      </c>
      <c r="F347" t="str">
        <f>_xll.BDP("9128284W Govt","MTY_TYP")</f>
        <v>NORMAL</v>
      </c>
      <c r="G347" t="str">
        <f>_xll.BDP("9128284W Govt","CRNCY")</f>
        <v>USD</v>
      </c>
      <c r="H347" t="str">
        <f>_xll.BDP("9128284W Govt","COUNTRY_FULL_NAME")</f>
        <v>UNITED STATES</v>
      </c>
      <c r="I347" t="str">
        <f>_xll.BDP("9128284W Govt","FIRST_CPN_DT")</f>
        <v>2/15/2019</v>
      </c>
      <c r="J347" t="str">
        <f>_xll.BDP("9128284W Govt","COUPON_FREQUENCY_DESCRIPTION")</f>
        <v>S/A</v>
      </c>
      <c r="K347" t="str">
        <f>_xll.BDP("9128284W Govt","CPN_TYP")</f>
        <v>FIXED</v>
      </c>
      <c r="L347" t="str">
        <f>_xll.BDP("9128284W Govt","ID_ISIN")</f>
        <v>US9128284W72</v>
      </c>
      <c r="M347">
        <v>38571000000</v>
      </c>
      <c r="N347">
        <v>0</v>
      </c>
      <c r="O347" t="str">
        <f>_xll.BDP("9128284W Govt","ISSUE_DT")</f>
        <v>8/15/2018</v>
      </c>
      <c r="P347" t="str">
        <f>_xll.BDP("9128284W Govt","SECURITY_NAME")</f>
        <v>T 2 3/4 08/15/21</v>
      </c>
      <c r="Q347" t="str">
        <f>_xll.BDP("9128284W Govt","DAY_CNT_DES")</f>
        <v>ACT/ACT</v>
      </c>
      <c r="R347">
        <v>100</v>
      </c>
      <c r="S347" t="str">
        <f>_xll.BDP("9128284W Govt","ID_CUSIP")</f>
        <v>9128284W7</v>
      </c>
      <c r="T347" t="str">
        <f>_xll.BDP("9128284W Govt","IDX_RATIO")</f>
        <v>#N/A Field Not Applicable</v>
      </c>
    </row>
    <row r="348" spans="1:20" x14ac:dyDescent="0.25">
      <c r="A348" t="s">
        <v>14</v>
      </c>
      <c r="B348" t="str">
        <f>_xll.BDP("9128286D Govt","TICKER")</f>
        <v>T</v>
      </c>
      <c r="C348">
        <f>_xll.BDP("9128286D Govt","CPN")</f>
        <v>2.5</v>
      </c>
      <c r="D348" t="str">
        <f>_xll.BDP("9128286D Govt","YLD_YTM_BID")</f>
        <v>#N/A N/A</v>
      </c>
      <c r="E348" t="str">
        <f>_xll.BDP("9128286D Govt","MATURITY")</f>
        <v>2/28/2021</v>
      </c>
      <c r="F348" t="str">
        <f>_xll.BDP("9128286D Govt","MTY_TYP")</f>
        <v>NORMAL</v>
      </c>
      <c r="G348" t="str">
        <f>_xll.BDP("9128286D Govt","CRNCY")</f>
        <v>USD</v>
      </c>
      <c r="H348" t="str">
        <f>_xll.BDP("9128286D Govt","COUNTRY_FULL_NAME")</f>
        <v>UNITED STATES</v>
      </c>
      <c r="I348" t="str">
        <f>_xll.BDP("9128286D Govt","FIRST_CPN_DT")</f>
        <v>8/31/2019</v>
      </c>
      <c r="J348" t="str">
        <f>_xll.BDP("9128286D Govt","COUPON_FREQUENCY_DESCRIPTION")</f>
        <v>S/A</v>
      </c>
      <c r="K348" t="str">
        <f>_xll.BDP("9128286D Govt","CPN_TYP")</f>
        <v>FIXED</v>
      </c>
      <c r="L348" t="str">
        <f>_xll.BDP("9128286D Govt","ID_ISIN")</f>
        <v>US9128286D73</v>
      </c>
      <c r="M348">
        <v>41924000000</v>
      </c>
      <c r="N348">
        <v>0</v>
      </c>
      <c r="O348" t="str">
        <f>_xll.BDP("9128286D Govt","ISSUE_DT")</f>
        <v>2/28/2019</v>
      </c>
      <c r="P348" t="str">
        <f>_xll.BDP("9128286D Govt","SECURITY_NAME")</f>
        <v>T 2 1/2 02/28/21</v>
      </c>
      <c r="Q348" t="str">
        <f>_xll.BDP("9128286D Govt","DAY_CNT_DES")</f>
        <v>ACT/ACT</v>
      </c>
      <c r="R348">
        <v>100</v>
      </c>
      <c r="S348" t="str">
        <f>_xll.BDP("9128286D Govt","ID_CUSIP")</f>
        <v>9128286D7</v>
      </c>
      <c r="T348" t="str">
        <f>_xll.BDP("9128286D Govt","IDX_RATIO")</f>
        <v>#N/A Field Not Applicable</v>
      </c>
    </row>
    <row r="349" spans="1:20" x14ac:dyDescent="0.25">
      <c r="A349" t="s">
        <v>14</v>
      </c>
      <c r="B349" t="str">
        <f>_xll.BDP("912828C6 Govt","TICKER")</f>
        <v>T</v>
      </c>
      <c r="C349">
        <f>_xll.BDP("912828C6 Govt","CPN")</f>
        <v>1.625</v>
      </c>
      <c r="D349" t="str">
        <f>_xll.BDP("912828C6 Govt","YLD_YTM_BID")</f>
        <v>#N/A N/A</v>
      </c>
      <c r="E349" t="str">
        <f>_xll.BDP("912828C6 Govt","MATURITY")</f>
        <v>3/31/2019</v>
      </c>
      <c r="F349" t="str">
        <f>_xll.BDP("912828C6 Govt","MTY_TYP")</f>
        <v>NORMAL</v>
      </c>
      <c r="G349" t="str">
        <f>_xll.BDP("912828C6 Govt","CRNCY")</f>
        <v>USD</v>
      </c>
      <c r="H349" t="str">
        <f>_xll.BDP("912828C6 Govt","COUNTRY_FULL_NAME")</f>
        <v>UNITED STATES</v>
      </c>
      <c r="I349" t="str">
        <f>_xll.BDP("912828C6 Govt","FIRST_CPN_DT")</f>
        <v>9/30/2014</v>
      </c>
      <c r="J349" t="str">
        <f>_xll.BDP("912828C6 Govt","COUPON_FREQUENCY_DESCRIPTION")</f>
        <v>S/A</v>
      </c>
      <c r="K349" t="str">
        <f>_xll.BDP("912828C6 Govt","CPN_TYP")</f>
        <v>FIXED</v>
      </c>
      <c r="L349" t="str">
        <f>_xll.BDP("912828C6 Govt","ID_ISIN")</f>
        <v>US912828C657</v>
      </c>
      <c r="M349">
        <v>35000000000</v>
      </c>
      <c r="N349">
        <v>0</v>
      </c>
      <c r="O349" t="str">
        <f>_xll.BDP("912828C6 Govt","ISSUE_DT")</f>
        <v>3/31/2014</v>
      </c>
      <c r="P349" t="str">
        <f>_xll.BDP("912828C6 Govt","SECURITY_NAME")</f>
        <v>T 1 5/8 03/31/19</v>
      </c>
      <c r="Q349" t="str">
        <f>_xll.BDP("912828C6 Govt","DAY_CNT_DES")</f>
        <v>ACT/ACT</v>
      </c>
      <c r="R349">
        <v>100</v>
      </c>
      <c r="S349" t="str">
        <f>_xll.BDP("912828C6 Govt","ID_CUSIP")</f>
        <v>912828C65</v>
      </c>
      <c r="T349" t="str">
        <f>_xll.BDP("912828C6 Govt","IDX_RATIO")</f>
        <v>#N/A Field Not Applicable</v>
      </c>
    </row>
    <row r="350" spans="1:20" x14ac:dyDescent="0.25">
      <c r="A350" t="s">
        <v>14</v>
      </c>
      <c r="B350" t="str">
        <f>_xll.BDP("9128283L Govt","TICKER")</f>
        <v>T</v>
      </c>
      <c r="C350">
        <f>_xll.BDP("9128283L Govt","CPN")</f>
        <v>1.875</v>
      </c>
      <c r="D350" t="str">
        <f>_xll.BDP("9128283L Govt","YLD_YTM_BID")</f>
        <v>#N/A N/A</v>
      </c>
      <c r="E350" t="str">
        <f>_xll.BDP("9128283L Govt","MATURITY")</f>
        <v>12/15/2020</v>
      </c>
      <c r="F350" t="str">
        <f>_xll.BDP("9128283L Govt","MTY_TYP")</f>
        <v>NORMAL</v>
      </c>
      <c r="G350" t="str">
        <f>_xll.BDP("9128283L Govt","CRNCY")</f>
        <v>USD</v>
      </c>
      <c r="H350" t="str">
        <f>_xll.BDP("9128283L Govt","COUNTRY_FULL_NAME")</f>
        <v>UNITED STATES</v>
      </c>
      <c r="I350" t="str">
        <f>_xll.BDP("9128283L Govt","FIRST_CPN_DT")</f>
        <v>6/15/2018</v>
      </c>
      <c r="J350" t="str">
        <f>_xll.BDP("9128283L Govt","COUPON_FREQUENCY_DESCRIPTION")</f>
        <v>S/A</v>
      </c>
      <c r="K350" t="str">
        <f>_xll.BDP("9128283L Govt","CPN_TYP")</f>
        <v>FIXED</v>
      </c>
      <c r="L350" t="str">
        <f>_xll.BDP("9128283L Govt","ID_ISIN")</f>
        <v>US9128283L27</v>
      </c>
      <c r="M350">
        <v>24000000000</v>
      </c>
      <c r="N350">
        <v>0</v>
      </c>
      <c r="O350" t="str">
        <f>_xll.BDP("9128283L Govt","ISSUE_DT")</f>
        <v>12/15/2017</v>
      </c>
      <c r="P350" t="str">
        <f>_xll.BDP("9128283L Govt","SECURITY_NAME")</f>
        <v>T 1 7/8 12/15/20</v>
      </c>
      <c r="Q350" t="str">
        <f>_xll.BDP("9128283L Govt","DAY_CNT_DES")</f>
        <v>ACT/ACT</v>
      </c>
      <c r="R350">
        <v>100</v>
      </c>
      <c r="S350" t="str">
        <f>_xll.BDP("9128283L Govt","ID_CUSIP")</f>
        <v>9128283L2</v>
      </c>
      <c r="T350" t="str">
        <f>_xll.BDP("9128283L Govt","IDX_RATIO")</f>
        <v>#N/A Field Not Applicable</v>
      </c>
    </row>
    <row r="351" spans="1:20" x14ac:dyDescent="0.25">
      <c r="A351" t="s">
        <v>14</v>
      </c>
      <c r="B351" t="str">
        <f>_xll.BDP("912828NT Govt","TICKER")</f>
        <v>T</v>
      </c>
      <c r="C351">
        <f>_xll.BDP("912828NT Govt","CPN")</f>
        <v>2.625</v>
      </c>
      <c r="D351" t="str">
        <f>_xll.BDP("912828NT Govt","YLD_YTM_BID")</f>
        <v>#N/A N/A</v>
      </c>
      <c r="E351" t="str">
        <f>_xll.BDP("912828NT Govt","MATURITY")</f>
        <v>8/15/2020</v>
      </c>
      <c r="F351" t="str">
        <f>_xll.BDP("912828NT Govt","MTY_TYP")</f>
        <v>NORMAL</v>
      </c>
      <c r="G351" t="str">
        <f>_xll.BDP("912828NT Govt","CRNCY")</f>
        <v>USD</v>
      </c>
      <c r="H351" t="str">
        <f>_xll.BDP("912828NT Govt","COUNTRY_FULL_NAME")</f>
        <v>UNITED STATES</v>
      </c>
      <c r="I351" t="str">
        <f>_xll.BDP("912828NT Govt","FIRST_CPN_DT")</f>
        <v>2/15/2011</v>
      </c>
      <c r="J351" t="str">
        <f>_xll.BDP("912828NT Govt","COUPON_FREQUENCY_DESCRIPTION")</f>
        <v>S/A</v>
      </c>
      <c r="K351" t="str">
        <f>_xll.BDP("912828NT Govt","CPN_TYP")</f>
        <v>FIXED</v>
      </c>
      <c r="L351" t="str">
        <f>_xll.BDP("912828NT Govt","ID_ISIN")</f>
        <v>US912828NT32</v>
      </c>
      <c r="M351">
        <v>67850000000</v>
      </c>
      <c r="N351">
        <v>0</v>
      </c>
      <c r="O351" t="str">
        <f>_xll.BDP("912828NT Govt","ISSUE_DT")</f>
        <v>8/16/2010</v>
      </c>
      <c r="P351" t="str">
        <f>_xll.BDP("912828NT Govt","SECURITY_NAME")</f>
        <v>T 2 5/8 08/15/20</v>
      </c>
      <c r="Q351" t="str">
        <f>_xll.BDP("912828NT Govt","DAY_CNT_DES")</f>
        <v>ACT/ACT</v>
      </c>
      <c r="R351">
        <v>100</v>
      </c>
      <c r="S351" t="str">
        <f>_xll.BDP("912828NT Govt","ID_CUSIP")</f>
        <v>912828NT3</v>
      </c>
      <c r="T351" t="str">
        <f>_xll.BDP("912828NT Govt","IDX_RATIO")</f>
        <v>#N/A Field Not Applicable</v>
      </c>
    </row>
    <row r="352" spans="1:20" x14ac:dyDescent="0.25">
      <c r="A352" t="s">
        <v>14</v>
      </c>
      <c r="B352" t="str">
        <f>_xll.BDP("912828DC Govt","TICKER")</f>
        <v>T</v>
      </c>
      <c r="C352">
        <f>_xll.BDP("912828DC Govt","CPN")</f>
        <v>4.25</v>
      </c>
      <c r="D352" t="str">
        <f>_xll.BDP("912828DC Govt","YLD_YTM_BID")</f>
        <v>#N/A N/A</v>
      </c>
      <c r="E352" t="str">
        <f>_xll.BDP("912828DC Govt","MATURITY")</f>
        <v>11/15/2014</v>
      </c>
      <c r="F352" t="str">
        <f>_xll.BDP("912828DC Govt","MTY_TYP")</f>
        <v>NORMAL</v>
      </c>
      <c r="G352" t="str">
        <f>_xll.BDP("912828DC Govt","CRNCY")</f>
        <v>USD</v>
      </c>
      <c r="H352" t="str">
        <f>_xll.BDP("912828DC Govt","COUNTRY_FULL_NAME")</f>
        <v>UNITED STATES</v>
      </c>
      <c r="I352" t="str">
        <f>_xll.BDP("912828DC Govt","FIRST_CPN_DT")</f>
        <v>5/15/2005</v>
      </c>
      <c r="J352" t="str">
        <f>_xll.BDP("912828DC Govt","COUPON_FREQUENCY_DESCRIPTION")</f>
        <v>S/A</v>
      </c>
      <c r="K352" t="str">
        <f>_xll.BDP("912828DC Govt","CPN_TYP")</f>
        <v>FIXED</v>
      </c>
      <c r="L352" t="str">
        <f>_xll.BDP("912828DC Govt","ID_ISIN")</f>
        <v>US912828DC17</v>
      </c>
      <c r="M352">
        <v>25473000000</v>
      </c>
      <c r="N352">
        <v>0</v>
      </c>
      <c r="O352" t="str">
        <f>_xll.BDP("912828DC Govt","ISSUE_DT")</f>
        <v>11/15/2004</v>
      </c>
      <c r="P352" t="str">
        <f>_xll.BDP("912828DC Govt","SECURITY_NAME")</f>
        <v>T 4 1/4 11/15/14</v>
      </c>
      <c r="Q352" t="str">
        <f>_xll.BDP("912828DC Govt","DAY_CNT_DES")</f>
        <v>ACT/ACT</v>
      </c>
      <c r="R352">
        <v>100</v>
      </c>
      <c r="S352" t="str">
        <f>_xll.BDP("912828DC Govt","ID_CUSIP")</f>
        <v>912828DC1</v>
      </c>
      <c r="T352" t="str">
        <f>_xll.BDP("912828DC Govt","IDX_RATIO")</f>
        <v>#N/A Field Not Applicable</v>
      </c>
    </row>
    <row r="353" spans="1:20" x14ac:dyDescent="0.25">
      <c r="A353" t="s">
        <v>14</v>
      </c>
      <c r="B353" t="str">
        <f>_xll.BDP("912828LY Govt","TICKER")</f>
        <v>T</v>
      </c>
      <c r="C353">
        <f>_xll.BDP("912828LY Govt","CPN")</f>
        <v>3.375</v>
      </c>
      <c r="D353" t="str">
        <f>_xll.BDP("912828LY Govt","YLD_YTM_BID")</f>
        <v>#N/A N/A</v>
      </c>
      <c r="E353" t="str">
        <f>_xll.BDP("912828LY Govt","MATURITY")</f>
        <v>11/15/2019</v>
      </c>
      <c r="F353" t="str">
        <f>_xll.BDP("912828LY Govt","MTY_TYP")</f>
        <v>NORMAL</v>
      </c>
      <c r="G353" t="str">
        <f>_xll.BDP("912828LY Govt","CRNCY")</f>
        <v>USD</v>
      </c>
      <c r="H353" t="str">
        <f>_xll.BDP("912828LY Govt","COUNTRY_FULL_NAME")</f>
        <v>UNITED STATES</v>
      </c>
      <c r="I353" t="str">
        <f>_xll.BDP("912828LY Govt","FIRST_CPN_DT")</f>
        <v>5/15/2010</v>
      </c>
      <c r="J353" t="str">
        <f>_xll.BDP("912828LY Govt","COUPON_FREQUENCY_DESCRIPTION")</f>
        <v>S/A</v>
      </c>
      <c r="K353" t="str">
        <f>_xll.BDP("912828LY Govt","CPN_TYP")</f>
        <v>FIXED</v>
      </c>
      <c r="L353" t="str">
        <f>_xll.BDP("912828LY Govt","ID_ISIN")</f>
        <v>US912828LY45</v>
      </c>
      <c r="M353">
        <v>71037000000</v>
      </c>
      <c r="N353">
        <v>0</v>
      </c>
      <c r="O353" t="str">
        <f>_xll.BDP("912828LY Govt","ISSUE_DT")</f>
        <v>11/16/2009</v>
      </c>
      <c r="P353" t="str">
        <f>_xll.BDP("912828LY Govt","SECURITY_NAME")</f>
        <v>T 3 3/8 11/15/19</v>
      </c>
      <c r="Q353" t="str">
        <f>_xll.BDP("912828LY Govt","DAY_CNT_DES")</f>
        <v>ACT/ACT</v>
      </c>
      <c r="R353">
        <v>100</v>
      </c>
      <c r="S353" t="str">
        <f>_xll.BDP("912828LY Govt","ID_CUSIP")</f>
        <v>912828LY4</v>
      </c>
      <c r="T353" t="str">
        <f>_xll.BDP("912828LY Govt","IDX_RATIO")</f>
        <v>#N/A Field Not Applicable</v>
      </c>
    </row>
    <row r="354" spans="1:20" x14ac:dyDescent="0.25">
      <c r="A354" t="s">
        <v>14</v>
      </c>
      <c r="B354" t="str">
        <f>_xll.BDP("9128277B Govt","TICKER")</f>
        <v>T</v>
      </c>
      <c r="C354">
        <f>_xll.BDP("9128277B Govt","CPN")</f>
        <v>5</v>
      </c>
      <c r="D354" t="str">
        <f>_xll.BDP("9128277B Govt","YLD_YTM_BID")</f>
        <v>#N/A N/A</v>
      </c>
      <c r="E354" t="str">
        <f>_xll.BDP("9128277B Govt","MATURITY")</f>
        <v>8/15/2011</v>
      </c>
      <c r="F354" t="str">
        <f>_xll.BDP("9128277B Govt","MTY_TYP")</f>
        <v>NORMAL</v>
      </c>
      <c r="G354" t="str">
        <f>_xll.BDP("9128277B Govt","CRNCY")</f>
        <v>USD</v>
      </c>
      <c r="H354" t="str">
        <f>_xll.BDP("9128277B Govt","COUNTRY_FULL_NAME")</f>
        <v>UNITED STATES</v>
      </c>
      <c r="I354" t="str">
        <f>_xll.BDP("9128277B Govt","FIRST_CPN_DT")</f>
        <v>2/15/2002</v>
      </c>
      <c r="J354" t="str">
        <f>_xll.BDP("9128277B Govt","COUPON_FREQUENCY_DESCRIPTION")</f>
        <v>S/A</v>
      </c>
      <c r="K354" t="str">
        <f>_xll.BDP("9128277B Govt","CPN_TYP")</f>
        <v>FIXED</v>
      </c>
      <c r="L354" t="str">
        <f>_xll.BDP("9128277B Govt","ID_ISIN")</f>
        <v>US9128277B27</v>
      </c>
      <c r="M354">
        <v>26635000000</v>
      </c>
      <c r="N354">
        <v>0</v>
      </c>
      <c r="O354" t="str">
        <f>_xll.BDP("9128277B Govt","ISSUE_DT")</f>
        <v>8/15/2001</v>
      </c>
      <c r="P354" t="str">
        <f>_xll.BDP("9128277B Govt","SECURITY_NAME")</f>
        <v>T 5 08/15/11</v>
      </c>
      <c r="Q354" t="str">
        <f>_xll.BDP("9128277B Govt","DAY_CNT_DES")</f>
        <v>ACT/ACT</v>
      </c>
      <c r="R354">
        <v>100</v>
      </c>
      <c r="S354" t="str">
        <f>_xll.BDP("9128277B Govt","ID_CUSIP")</f>
        <v>9128277B2</v>
      </c>
      <c r="T354" t="str">
        <f>_xll.BDP("9128277B Govt","IDX_RATIO")</f>
        <v>#N/A Field Not Applicable</v>
      </c>
    </row>
    <row r="355" spans="1:20" x14ac:dyDescent="0.25">
      <c r="A355" t="s">
        <v>14</v>
      </c>
      <c r="B355" t="str">
        <f>_xll.BDP("912828PX Govt","TICKER")</f>
        <v>T</v>
      </c>
      <c r="C355">
        <f>_xll.BDP("912828PX Govt","CPN")</f>
        <v>3.625</v>
      </c>
      <c r="D355" t="str">
        <f>_xll.BDP("912828PX Govt","YLD_YTM_BID")</f>
        <v>#N/A N/A</v>
      </c>
      <c r="E355" t="str">
        <f>_xll.BDP("912828PX Govt","MATURITY")</f>
        <v>2/15/2021</v>
      </c>
      <c r="F355" t="str">
        <f>_xll.BDP("912828PX Govt","MTY_TYP")</f>
        <v>NORMAL</v>
      </c>
      <c r="G355" t="str">
        <f>_xll.BDP("912828PX Govt","CRNCY")</f>
        <v>USD</v>
      </c>
      <c r="H355" t="str">
        <f>_xll.BDP("912828PX Govt","COUNTRY_FULL_NAME")</f>
        <v>UNITED STATES</v>
      </c>
      <c r="I355" t="str">
        <f>_xll.BDP("912828PX Govt","FIRST_CPN_DT")</f>
        <v>8/15/2011</v>
      </c>
      <c r="J355" t="str">
        <f>_xll.BDP("912828PX Govt","COUPON_FREQUENCY_DESCRIPTION")</f>
        <v>S/A</v>
      </c>
      <c r="K355" t="str">
        <f>_xll.BDP("912828PX Govt","CPN_TYP")</f>
        <v>FIXED</v>
      </c>
      <c r="L355" t="str">
        <f>_xll.BDP("912828PX Govt","ID_ISIN")</f>
        <v>US912828PX26</v>
      </c>
      <c r="M355">
        <v>67585000000</v>
      </c>
      <c r="N355">
        <v>0</v>
      </c>
      <c r="O355" t="str">
        <f>_xll.BDP("912828PX Govt","ISSUE_DT")</f>
        <v>2/15/2011</v>
      </c>
      <c r="P355" t="str">
        <f>_xll.BDP("912828PX Govt","SECURITY_NAME")</f>
        <v>T 3 5/8 02/15/21</v>
      </c>
      <c r="Q355" t="str">
        <f>_xll.BDP("912828PX Govt","DAY_CNT_DES")</f>
        <v>ACT/ACT</v>
      </c>
      <c r="R355">
        <v>100</v>
      </c>
      <c r="S355" t="str">
        <f>_xll.BDP("912828PX Govt","ID_CUSIP")</f>
        <v>912828PX2</v>
      </c>
      <c r="T355" t="str">
        <f>_xll.BDP("912828PX Govt","IDX_RATIO")</f>
        <v>#N/A Field Not Applicable</v>
      </c>
    </row>
    <row r="356" spans="1:20" x14ac:dyDescent="0.25">
      <c r="A356" t="s">
        <v>14</v>
      </c>
      <c r="B356" t="str">
        <f>_xll.BDP("912828HZ Govt","TICKER")</f>
        <v>T</v>
      </c>
      <c r="C356">
        <f>_xll.BDP("912828HZ Govt","CPN")</f>
        <v>3.875</v>
      </c>
      <c r="D356" t="str">
        <f>_xll.BDP("912828HZ Govt","YLD_YTM_BID")</f>
        <v>#N/A N/A</v>
      </c>
      <c r="E356" t="str">
        <f>_xll.BDP("912828HZ Govt","MATURITY")</f>
        <v>5/15/2018</v>
      </c>
      <c r="F356" t="str">
        <f>_xll.BDP("912828HZ Govt","MTY_TYP")</f>
        <v>NORMAL</v>
      </c>
      <c r="G356" t="str">
        <f>_xll.BDP("912828HZ Govt","CRNCY")</f>
        <v>USD</v>
      </c>
      <c r="H356" t="str">
        <f>_xll.BDP("912828HZ Govt","COUNTRY_FULL_NAME")</f>
        <v>UNITED STATES</v>
      </c>
      <c r="I356" t="str">
        <f>_xll.BDP("912828HZ Govt","FIRST_CPN_DT")</f>
        <v>11/15/2008</v>
      </c>
      <c r="J356" t="str">
        <f>_xll.BDP("912828HZ Govt","COUPON_FREQUENCY_DESCRIPTION")</f>
        <v>S/A</v>
      </c>
      <c r="K356" t="str">
        <f>_xll.BDP("912828HZ Govt","CPN_TYP")</f>
        <v>FIXED</v>
      </c>
      <c r="L356" t="str">
        <f>_xll.BDP("912828HZ Govt","ID_ISIN")</f>
        <v>US912828HZ65</v>
      </c>
      <c r="M356">
        <v>34078000000</v>
      </c>
      <c r="N356">
        <v>0</v>
      </c>
      <c r="O356" t="str">
        <f>_xll.BDP("912828HZ Govt","ISSUE_DT")</f>
        <v>5/15/2008</v>
      </c>
      <c r="P356" t="str">
        <f>_xll.BDP("912828HZ Govt","SECURITY_NAME")</f>
        <v>T 3 7/8 05/15/18</v>
      </c>
      <c r="Q356" t="str">
        <f>_xll.BDP("912828HZ Govt","DAY_CNT_DES")</f>
        <v>ACT/ACT</v>
      </c>
      <c r="R356">
        <v>100</v>
      </c>
      <c r="S356" t="str">
        <f>_xll.BDP("912828HZ Govt","ID_CUSIP")</f>
        <v>912828HZ6</v>
      </c>
      <c r="T356" t="str">
        <f>_xll.BDP("912828HZ Govt","IDX_RATIO")</f>
        <v>#N/A Field Not Applicable</v>
      </c>
    </row>
    <row r="357" spans="1:20" x14ac:dyDescent="0.25">
      <c r="A357" t="s">
        <v>14</v>
      </c>
      <c r="B357" t="str">
        <f>_xll.BDP("912810EK Govt","TICKER")</f>
        <v>T</v>
      </c>
      <c r="C357">
        <f>_xll.BDP("912810EK Govt","CPN")</f>
        <v>8.125</v>
      </c>
      <c r="D357" t="str">
        <f>_xll.BDP("912810EK Govt","YLD_YTM_BID")</f>
        <v>#N/A N/A</v>
      </c>
      <c r="E357" t="str">
        <f>_xll.BDP("912810EK Govt","MATURITY")</f>
        <v>8/15/2021</v>
      </c>
      <c r="F357" t="str">
        <f>_xll.BDP("912810EK Govt","MTY_TYP")</f>
        <v>NORMAL</v>
      </c>
      <c r="G357" t="str">
        <f>_xll.BDP("912810EK Govt","CRNCY")</f>
        <v>USD</v>
      </c>
      <c r="H357" t="str">
        <f>_xll.BDP("912810EK Govt","COUNTRY_FULL_NAME")</f>
        <v>UNITED STATES</v>
      </c>
      <c r="I357" t="str">
        <f>_xll.BDP("912810EK Govt","FIRST_CPN_DT")</f>
        <v>2/15/1992</v>
      </c>
      <c r="J357" t="str">
        <f>_xll.BDP("912810EK Govt","COUPON_FREQUENCY_DESCRIPTION")</f>
        <v>S/A</v>
      </c>
      <c r="K357" t="str">
        <f>_xll.BDP("912810EK Govt","CPN_TYP")</f>
        <v>FIXED</v>
      </c>
      <c r="L357" t="str">
        <f>_xll.BDP("912810EK Govt","ID_ISIN")</f>
        <v>US912810EK08</v>
      </c>
      <c r="M357">
        <v>12163000000</v>
      </c>
      <c r="N357">
        <v>0</v>
      </c>
      <c r="O357" t="str">
        <f>_xll.BDP("912810EK Govt","ISSUE_DT")</f>
        <v>8/15/1991</v>
      </c>
      <c r="P357" t="str">
        <f>_xll.BDP("912810EK Govt","SECURITY_NAME")</f>
        <v>T 8 1/8 08/15/21</v>
      </c>
      <c r="Q357" t="str">
        <f>_xll.BDP("912810EK Govt","DAY_CNT_DES")</f>
        <v>ACT/ACT</v>
      </c>
      <c r="R357">
        <v>100</v>
      </c>
      <c r="S357" t="str">
        <f>_xll.BDP("912810EK Govt","ID_CUSIP")</f>
        <v>912810EK0</v>
      </c>
      <c r="T357" t="str">
        <f>_xll.BDP("912810EK Govt","IDX_RATIO")</f>
        <v>#N/A Field Not Applicable</v>
      </c>
    </row>
    <row r="358" spans="1:20" x14ac:dyDescent="0.25">
      <c r="A358" t="s">
        <v>14</v>
      </c>
      <c r="B358" t="str">
        <f>_xll.BDP("912828L9 Govt","TICKER")</f>
        <v>T</v>
      </c>
      <c r="C358">
        <f>_xll.BDP("912828L9 Govt","CPN")</f>
        <v>1.375</v>
      </c>
      <c r="D358" t="str">
        <f>_xll.BDP("912828L9 Govt","YLD_YTM_BID")</f>
        <v>#N/A N/A</v>
      </c>
      <c r="E358" t="str">
        <f>_xll.BDP("912828L9 Govt","MATURITY")</f>
        <v>10/31/2020</v>
      </c>
      <c r="F358" t="str">
        <f>_xll.BDP("912828L9 Govt","MTY_TYP")</f>
        <v>NORMAL</v>
      </c>
      <c r="G358" t="str">
        <f>_xll.BDP("912828L9 Govt","CRNCY")</f>
        <v>USD</v>
      </c>
      <c r="H358" t="str">
        <f>_xll.BDP("912828L9 Govt","COUNTRY_FULL_NAME")</f>
        <v>UNITED STATES</v>
      </c>
      <c r="I358" t="str">
        <f>_xll.BDP("912828L9 Govt","FIRST_CPN_DT")</f>
        <v>4/30/2016</v>
      </c>
      <c r="J358" t="str">
        <f>_xll.BDP("912828L9 Govt","COUPON_FREQUENCY_DESCRIPTION")</f>
        <v>S/A</v>
      </c>
      <c r="K358" t="str">
        <f>_xll.BDP("912828L9 Govt","CPN_TYP")</f>
        <v>FIXED</v>
      </c>
      <c r="L358" t="str">
        <f>_xll.BDP("912828L9 Govt","ID_ISIN")</f>
        <v>US912828L997</v>
      </c>
      <c r="M358">
        <v>35000000000</v>
      </c>
      <c r="N358">
        <v>0</v>
      </c>
      <c r="O358" t="str">
        <f>_xll.BDP("912828L9 Govt","ISSUE_DT")</f>
        <v>11/2/2015</v>
      </c>
      <c r="P358" t="str">
        <f>_xll.BDP("912828L9 Govt","SECURITY_NAME")</f>
        <v>T 1 3/8 10/31/20</v>
      </c>
      <c r="Q358" t="str">
        <f>_xll.BDP("912828L9 Govt","DAY_CNT_DES")</f>
        <v>ACT/ACT</v>
      </c>
      <c r="R358">
        <v>100</v>
      </c>
      <c r="S358" t="str">
        <f>_xll.BDP("912828L9 Govt","ID_CUSIP")</f>
        <v>912828L99</v>
      </c>
      <c r="T358" t="str">
        <f>_xll.BDP("912828L9 Govt","IDX_RATIO")</f>
        <v>#N/A Field Not Applicable</v>
      </c>
    </row>
    <row r="359" spans="1:20" x14ac:dyDescent="0.25">
      <c r="A359" t="s">
        <v>14</v>
      </c>
      <c r="B359" t="str">
        <f>_xll.BDP("912828WY Govt","TICKER")</f>
        <v>T</v>
      </c>
      <c r="C359">
        <f>_xll.BDP("912828WY Govt","CPN")</f>
        <v>2.25</v>
      </c>
      <c r="D359" t="str">
        <f>_xll.BDP("912828WY Govt","YLD_YTM_BID")</f>
        <v>#N/A N/A</v>
      </c>
      <c r="E359" t="str">
        <f>_xll.BDP("912828WY Govt","MATURITY")</f>
        <v>7/31/2021</v>
      </c>
      <c r="F359" t="str">
        <f>_xll.BDP("912828WY Govt","MTY_TYP")</f>
        <v>NORMAL</v>
      </c>
      <c r="G359" t="str">
        <f>_xll.BDP("912828WY Govt","CRNCY")</f>
        <v>USD</v>
      </c>
      <c r="H359" t="str">
        <f>_xll.BDP("912828WY Govt","COUNTRY_FULL_NAME")</f>
        <v>UNITED STATES</v>
      </c>
      <c r="I359" t="str">
        <f>_xll.BDP("912828WY Govt","FIRST_CPN_DT")</f>
        <v>1/31/2015</v>
      </c>
      <c r="J359" t="str">
        <f>_xll.BDP("912828WY Govt","COUPON_FREQUENCY_DESCRIPTION")</f>
        <v>S/A</v>
      </c>
      <c r="K359" t="str">
        <f>_xll.BDP("912828WY Govt","CPN_TYP")</f>
        <v>FIXED</v>
      </c>
      <c r="L359" t="str">
        <f>_xll.BDP("912828WY Govt","ID_ISIN")</f>
        <v>US912828WY26</v>
      </c>
      <c r="M359">
        <v>29009000000</v>
      </c>
      <c r="N359">
        <v>0</v>
      </c>
      <c r="O359" t="str">
        <f>_xll.BDP("912828WY Govt","ISSUE_DT")</f>
        <v>7/31/2014</v>
      </c>
      <c r="P359" t="str">
        <f>_xll.BDP("912828WY Govt","SECURITY_NAME")</f>
        <v>T 2 1/4 07/31/21</v>
      </c>
      <c r="Q359" t="str">
        <f>_xll.BDP("912828WY Govt","DAY_CNT_DES")</f>
        <v>ACT/ACT</v>
      </c>
      <c r="R359">
        <v>100</v>
      </c>
      <c r="S359" t="str">
        <f>_xll.BDP("912828WY Govt","ID_CUSIP")</f>
        <v>912828WY2</v>
      </c>
      <c r="T359" t="str">
        <f>_xll.BDP("912828WY Govt","IDX_RATIO")</f>
        <v>#N/A Field Not Applicable</v>
      </c>
    </row>
    <row r="360" spans="1:20" x14ac:dyDescent="0.25">
      <c r="A360" t="s">
        <v>14</v>
      </c>
      <c r="B360" t="str">
        <f>_xll.BDP("912828SH Govt","TICKER")</f>
        <v>T</v>
      </c>
      <c r="C360">
        <f>_xll.BDP("912828SH Govt","CPN")</f>
        <v>1.375</v>
      </c>
      <c r="D360" t="str">
        <f>_xll.BDP("912828SH Govt","YLD_YTM_BID")</f>
        <v>#N/A N/A</v>
      </c>
      <c r="E360" t="str">
        <f>_xll.BDP("912828SH Govt","MATURITY")</f>
        <v>2/28/2019</v>
      </c>
      <c r="F360" t="str">
        <f>_xll.BDP("912828SH Govt","MTY_TYP")</f>
        <v>NORMAL</v>
      </c>
      <c r="G360" t="str">
        <f>_xll.BDP("912828SH Govt","CRNCY")</f>
        <v>USD</v>
      </c>
      <c r="H360" t="str">
        <f>_xll.BDP("912828SH Govt","COUNTRY_FULL_NAME")</f>
        <v>UNITED STATES</v>
      </c>
      <c r="I360" t="str">
        <f>_xll.BDP("912828SH Govt","FIRST_CPN_DT")</f>
        <v>8/31/2012</v>
      </c>
      <c r="J360" t="str">
        <f>_xll.BDP("912828SH Govt","COUPON_FREQUENCY_DESCRIPTION")</f>
        <v>S/A</v>
      </c>
      <c r="K360" t="str">
        <f>_xll.BDP("912828SH Govt","CPN_TYP")</f>
        <v>FIXED</v>
      </c>
      <c r="L360" t="str">
        <f>_xll.BDP("912828SH Govt","ID_ISIN")</f>
        <v>US912828SH49</v>
      </c>
      <c r="M360">
        <v>29407000000</v>
      </c>
      <c r="N360">
        <v>0</v>
      </c>
      <c r="O360" t="str">
        <f>_xll.BDP("912828SH Govt","ISSUE_DT")</f>
        <v>2/29/2012</v>
      </c>
      <c r="P360" t="str">
        <f>_xll.BDP("912828SH Govt","SECURITY_NAME")</f>
        <v>T 1 3/8 02/28/19</v>
      </c>
      <c r="Q360" t="str">
        <f>_xll.BDP("912828SH Govt","DAY_CNT_DES")</f>
        <v>ACT/ACT</v>
      </c>
      <c r="R360">
        <v>100</v>
      </c>
      <c r="S360" t="str">
        <f>_xll.BDP("912828SH Govt","ID_CUSIP")</f>
        <v>912828SH4</v>
      </c>
      <c r="T360" t="str">
        <f>_xll.BDP("912828SH Govt","IDX_RATIO")</f>
        <v>#N/A Field Not Applicable</v>
      </c>
    </row>
    <row r="361" spans="1:20" x14ac:dyDescent="0.25">
      <c r="A361" t="s">
        <v>14</v>
      </c>
      <c r="B361" t="str">
        <f>_xll.BDP("912828TW Govt","TICKER")</f>
        <v>T</v>
      </c>
      <c r="C361">
        <f>_xll.BDP("912828TW Govt","CPN")</f>
        <v>0.75</v>
      </c>
      <c r="D361" t="str">
        <f>_xll.BDP("912828TW Govt","YLD_YTM_BID")</f>
        <v>#N/A N/A</v>
      </c>
      <c r="E361" t="str">
        <f>_xll.BDP("912828TW Govt","MATURITY")</f>
        <v>10/31/2017</v>
      </c>
      <c r="F361" t="str">
        <f>_xll.BDP("912828TW Govt","MTY_TYP")</f>
        <v>NORMAL</v>
      </c>
      <c r="G361" t="str">
        <f>_xll.BDP("912828TW Govt","CRNCY")</f>
        <v>USD</v>
      </c>
      <c r="H361" t="str">
        <f>_xll.BDP("912828TW Govt","COUNTRY_FULL_NAME")</f>
        <v>UNITED STATES</v>
      </c>
      <c r="I361" t="str">
        <f>_xll.BDP("912828TW Govt","FIRST_CPN_DT")</f>
        <v>4/30/2013</v>
      </c>
      <c r="J361" t="str">
        <f>_xll.BDP("912828TW Govt","COUPON_FREQUENCY_DESCRIPTION")</f>
        <v>S/A</v>
      </c>
      <c r="K361" t="str">
        <f>_xll.BDP("912828TW Govt","CPN_TYP")</f>
        <v>FIXED</v>
      </c>
      <c r="L361" t="str">
        <f>_xll.BDP("912828TW Govt","ID_ISIN")</f>
        <v>US912828TW07</v>
      </c>
      <c r="M361">
        <v>60999000000</v>
      </c>
      <c r="N361">
        <v>0</v>
      </c>
      <c r="O361" t="str">
        <f>_xll.BDP("912828TW Govt","ISSUE_DT")</f>
        <v>10/31/2012</v>
      </c>
      <c r="P361" t="str">
        <f>_xll.BDP("912828TW Govt","SECURITY_NAME")</f>
        <v>T 0 3/4 10/31/17</v>
      </c>
      <c r="Q361" t="str">
        <f>_xll.BDP("912828TW Govt","DAY_CNT_DES")</f>
        <v>ACT/ACT</v>
      </c>
      <c r="R361">
        <v>100</v>
      </c>
      <c r="S361" t="str">
        <f>_xll.BDP("912828TW Govt","ID_CUSIP")</f>
        <v>912828TW0</v>
      </c>
      <c r="T361" t="str">
        <f>_xll.BDP("912828TW Govt","IDX_RATIO")</f>
        <v>#N/A Field Not Applicable</v>
      </c>
    </row>
    <row r="362" spans="1:20" x14ac:dyDescent="0.25">
      <c r="A362" t="s">
        <v>14</v>
      </c>
      <c r="B362" t="str">
        <f>_xll.BDP("9128282V Govt","TICKER")</f>
        <v>T</v>
      </c>
      <c r="C362">
        <f>_xll.BDP("9128282V Govt","CPN")</f>
        <v>1.375</v>
      </c>
      <c r="D362" t="str">
        <f>_xll.BDP("9128282V Govt","YLD_YTM_BID")</f>
        <v>#N/A N/A</v>
      </c>
      <c r="E362" t="str">
        <f>_xll.BDP("9128282V Govt","MATURITY")</f>
        <v>9/15/2020</v>
      </c>
      <c r="F362" t="str">
        <f>_xll.BDP("9128282V Govt","MTY_TYP")</f>
        <v>NORMAL</v>
      </c>
      <c r="G362" t="str">
        <f>_xll.BDP("9128282V Govt","CRNCY")</f>
        <v>USD</v>
      </c>
      <c r="H362" t="str">
        <f>_xll.BDP("9128282V Govt","COUNTRY_FULL_NAME")</f>
        <v>UNITED STATES</v>
      </c>
      <c r="I362" t="str">
        <f>_xll.BDP("9128282V Govt","FIRST_CPN_DT")</f>
        <v>3/15/2018</v>
      </c>
      <c r="J362" t="str">
        <f>_xll.BDP("9128282V Govt","COUPON_FREQUENCY_DESCRIPTION")</f>
        <v>S/A</v>
      </c>
      <c r="K362" t="str">
        <f>_xll.BDP("9128282V Govt","CPN_TYP")</f>
        <v>FIXED</v>
      </c>
      <c r="L362" t="str">
        <f>_xll.BDP("9128282V Govt","ID_ISIN")</f>
        <v>US9128282V18</v>
      </c>
      <c r="M362">
        <v>24000000000</v>
      </c>
      <c r="N362">
        <v>0</v>
      </c>
      <c r="O362" t="str">
        <f>_xll.BDP("9128282V Govt","ISSUE_DT")</f>
        <v>9/15/2017</v>
      </c>
      <c r="P362" t="str">
        <f>_xll.BDP("9128282V Govt","SECURITY_NAME")</f>
        <v>T 1 3/8 09/15/20</v>
      </c>
      <c r="Q362" t="str">
        <f>_xll.BDP("9128282V Govt","DAY_CNT_DES")</f>
        <v>ACT/ACT</v>
      </c>
      <c r="R362">
        <v>100</v>
      </c>
      <c r="S362" t="str">
        <f>_xll.BDP("9128282V Govt","ID_CUSIP")</f>
        <v>9128282V1</v>
      </c>
      <c r="T362" t="str">
        <f>_xll.BDP("9128282V Govt","IDX_RATIO")</f>
        <v>#N/A Field Not Applicable</v>
      </c>
    </row>
    <row r="363" spans="1:20" x14ac:dyDescent="0.25">
      <c r="A363" t="s">
        <v>14</v>
      </c>
      <c r="B363" t="str">
        <f>_xll.BDP("912828W9 Govt","TICKER")</f>
        <v>T</v>
      </c>
      <c r="C363">
        <f>_xll.BDP("912828W9 Govt","CPN")</f>
        <v>1.25</v>
      </c>
      <c r="D363" t="str">
        <f>_xll.BDP("912828W9 Govt","YLD_YTM_BID")</f>
        <v>#N/A N/A</v>
      </c>
      <c r="E363" t="str">
        <f>_xll.BDP("912828W9 Govt","MATURITY")</f>
        <v>3/31/2019</v>
      </c>
      <c r="F363" t="str">
        <f>_xll.BDP("912828W9 Govt","MTY_TYP")</f>
        <v>NORMAL</v>
      </c>
      <c r="G363" t="str">
        <f>_xll.BDP("912828W9 Govt","CRNCY")</f>
        <v>USD</v>
      </c>
      <c r="H363" t="str">
        <f>_xll.BDP("912828W9 Govt","COUNTRY_FULL_NAME")</f>
        <v>UNITED STATES</v>
      </c>
      <c r="I363" t="str">
        <f>_xll.BDP("912828W9 Govt","FIRST_CPN_DT")</f>
        <v>9/30/2017</v>
      </c>
      <c r="J363" t="str">
        <f>_xll.BDP("912828W9 Govt","COUPON_FREQUENCY_DESCRIPTION")</f>
        <v>S/A</v>
      </c>
      <c r="K363" t="str">
        <f>_xll.BDP("912828W9 Govt","CPN_TYP")</f>
        <v>FIXED</v>
      </c>
      <c r="L363" t="str">
        <f>_xll.BDP("912828W9 Govt","ID_ISIN")</f>
        <v>US912828W978</v>
      </c>
      <c r="M363">
        <v>29148000000</v>
      </c>
      <c r="N363">
        <v>0</v>
      </c>
      <c r="O363" t="str">
        <f>_xll.BDP("912828W9 Govt","ISSUE_DT")</f>
        <v>3/31/2017</v>
      </c>
      <c r="P363" t="str">
        <f>_xll.BDP("912828W9 Govt","SECURITY_NAME")</f>
        <v>T 1 1/4 03/31/19</v>
      </c>
      <c r="Q363" t="str">
        <f>_xll.BDP("912828W9 Govt","DAY_CNT_DES")</f>
        <v>ACT/ACT</v>
      </c>
      <c r="R363">
        <v>100</v>
      </c>
      <c r="S363" t="str">
        <f>_xll.BDP("912828W9 Govt","ID_CUSIP")</f>
        <v>912828W97</v>
      </c>
      <c r="T363" t="str">
        <f>_xll.BDP("912828W9 Govt","IDX_RATIO")</f>
        <v>#N/A Field Not Applicable</v>
      </c>
    </row>
    <row r="364" spans="1:20" x14ac:dyDescent="0.25">
      <c r="A364" t="s">
        <v>14</v>
      </c>
      <c r="B364" t="str">
        <f>_xll.BDP("912828KD Govt","TICKER")</f>
        <v>T</v>
      </c>
      <c r="C364">
        <f>_xll.BDP("912828KD Govt","CPN")</f>
        <v>2.75</v>
      </c>
      <c r="D364" t="str">
        <f>_xll.BDP("912828KD Govt","YLD_YTM_BID")</f>
        <v>#N/A N/A</v>
      </c>
      <c r="E364" t="str">
        <f>_xll.BDP("912828KD Govt","MATURITY")</f>
        <v>2/15/2019</v>
      </c>
      <c r="F364" t="str">
        <f>_xll.BDP("912828KD Govt","MTY_TYP")</f>
        <v>NORMAL</v>
      </c>
      <c r="G364" t="str">
        <f>_xll.BDP("912828KD Govt","CRNCY")</f>
        <v>USD</v>
      </c>
      <c r="H364" t="str">
        <f>_xll.BDP("912828KD Govt","COUNTRY_FULL_NAME")</f>
        <v>UNITED STATES</v>
      </c>
      <c r="I364" t="str">
        <f>_xll.BDP("912828KD Govt","FIRST_CPN_DT")</f>
        <v>8/15/2009</v>
      </c>
      <c r="J364" t="str">
        <f>_xll.BDP("912828KD Govt","COUPON_FREQUENCY_DESCRIPTION")</f>
        <v>S/A</v>
      </c>
      <c r="K364" t="str">
        <f>_xll.BDP("912828KD Govt","CPN_TYP")</f>
        <v>FIXED</v>
      </c>
      <c r="L364" t="str">
        <f>_xll.BDP("912828KD Govt","ID_ISIN")</f>
        <v>US912828KD17</v>
      </c>
      <c r="M364">
        <v>58677000000</v>
      </c>
      <c r="N364">
        <v>0</v>
      </c>
      <c r="O364" t="str">
        <f>_xll.BDP("912828KD Govt","ISSUE_DT")</f>
        <v>2/17/2009</v>
      </c>
      <c r="P364" t="str">
        <f>_xll.BDP("912828KD Govt","SECURITY_NAME")</f>
        <v>T 2 3/4 02/15/19</v>
      </c>
      <c r="Q364" t="str">
        <f>_xll.BDP("912828KD Govt","DAY_CNT_DES")</f>
        <v>ACT/ACT</v>
      </c>
      <c r="R364">
        <v>100</v>
      </c>
      <c r="S364" t="str">
        <f>_xll.BDP("912828KD Govt","ID_CUSIP")</f>
        <v>912828KD1</v>
      </c>
      <c r="T364" t="str">
        <f>_xll.BDP("912828KD Govt","IDX_RATIO")</f>
        <v>#N/A Field Not Applicable</v>
      </c>
    </row>
    <row r="365" spans="1:20" x14ac:dyDescent="0.25">
      <c r="A365" t="s">
        <v>14</v>
      </c>
      <c r="B365" t="str">
        <f>_xll.BDP("912828PC Govt","TICKER")</f>
        <v>T</v>
      </c>
      <c r="C365">
        <f>_xll.BDP("912828PC Govt","CPN")</f>
        <v>2.625</v>
      </c>
      <c r="D365" t="str">
        <f>_xll.BDP("912828PC Govt","YLD_YTM_BID")</f>
        <v>#N/A N/A</v>
      </c>
      <c r="E365" t="str">
        <f>_xll.BDP("912828PC Govt","MATURITY")</f>
        <v>11/15/2020</v>
      </c>
      <c r="F365" t="str">
        <f>_xll.BDP("912828PC Govt","MTY_TYP")</f>
        <v>NORMAL</v>
      </c>
      <c r="G365" t="str">
        <f>_xll.BDP("912828PC Govt","CRNCY")</f>
        <v>USD</v>
      </c>
      <c r="H365" t="str">
        <f>_xll.BDP("912828PC Govt","COUNTRY_FULL_NAME")</f>
        <v>UNITED STATES</v>
      </c>
      <c r="I365" t="str">
        <f>_xll.BDP("912828PC Govt","FIRST_CPN_DT")</f>
        <v>5/15/2011</v>
      </c>
      <c r="J365" t="str">
        <f>_xll.BDP("912828PC Govt","COUPON_FREQUENCY_DESCRIPTION")</f>
        <v>S/A</v>
      </c>
      <c r="K365" t="str">
        <f>_xll.BDP("912828PC Govt","CPN_TYP")</f>
        <v>FIXED</v>
      </c>
      <c r="L365" t="str">
        <f>_xll.BDP("912828PC Govt","ID_ISIN")</f>
        <v>US912828PC88</v>
      </c>
      <c r="M365">
        <v>67410000000</v>
      </c>
      <c r="N365">
        <v>0</v>
      </c>
      <c r="O365" t="str">
        <f>_xll.BDP("912828PC Govt","ISSUE_DT")</f>
        <v>11/15/2010</v>
      </c>
      <c r="P365" t="str">
        <f>_xll.BDP("912828PC Govt","SECURITY_NAME")</f>
        <v>T 2 5/8 11/15/20</v>
      </c>
      <c r="Q365" t="str">
        <f>_xll.BDP("912828PC Govt","DAY_CNT_DES")</f>
        <v>ACT/ACT</v>
      </c>
      <c r="R365">
        <v>100</v>
      </c>
      <c r="S365" t="str">
        <f>_xll.BDP("912828PC Govt","ID_CUSIP")</f>
        <v>912828PC8</v>
      </c>
      <c r="T365" t="str">
        <f>_xll.BDP("912828PC Govt","IDX_RATIO")</f>
        <v>#N/A Field Not Applicable</v>
      </c>
    </row>
    <row r="366" spans="1:20" x14ac:dyDescent="0.25">
      <c r="A366" t="s">
        <v>14</v>
      </c>
      <c r="B366" t="str">
        <f>_xll.BDP("9128283N Govt","TICKER")</f>
        <v>T</v>
      </c>
      <c r="C366">
        <f>_xll.BDP("9128283N Govt","CPN")</f>
        <v>1.875</v>
      </c>
      <c r="D366" t="str">
        <f>_xll.BDP("9128283N Govt","YLD_YTM_BID")</f>
        <v>#N/A N/A</v>
      </c>
      <c r="E366" t="str">
        <f>_xll.BDP("9128283N Govt","MATURITY")</f>
        <v>12/31/2019</v>
      </c>
      <c r="F366" t="str">
        <f>_xll.BDP("9128283N Govt","MTY_TYP")</f>
        <v>NORMAL</v>
      </c>
      <c r="G366" t="str">
        <f>_xll.BDP("9128283N Govt","CRNCY")</f>
        <v>USD</v>
      </c>
      <c r="H366" t="str">
        <f>_xll.BDP("9128283N Govt","COUNTRY_FULL_NAME")</f>
        <v>UNITED STATES</v>
      </c>
      <c r="I366" t="str">
        <f>_xll.BDP("9128283N Govt","FIRST_CPN_DT")</f>
        <v>6/30/2018</v>
      </c>
      <c r="J366" t="str">
        <f>_xll.BDP("9128283N Govt","COUPON_FREQUENCY_DESCRIPTION")</f>
        <v>S/A</v>
      </c>
      <c r="K366" t="str">
        <f>_xll.BDP("9128283N Govt","CPN_TYP")</f>
        <v>FIXED</v>
      </c>
      <c r="L366" t="str">
        <f>_xll.BDP("9128283N Govt","ID_ISIN")</f>
        <v>US9128283N82</v>
      </c>
      <c r="M366">
        <v>29393000000</v>
      </c>
      <c r="N366">
        <v>0</v>
      </c>
      <c r="O366" t="str">
        <f>_xll.BDP("9128283N Govt","ISSUE_DT")</f>
        <v>1/2/2018</v>
      </c>
      <c r="P366" t="str">
        <f>_xll.BDP("9128283N Govt","SECURITY_NAME")</f>
        <v>T 1 7/8 12/31/19</v>
      </c>
      <c r="Q366" t="str">
        <f>_xll.BDP("9128283N Govt","DAY_CNT_DES")</f>
        <v>ACT/ACT</v>
      </c>
      <c r="R366">
        <v>100</v>
      </c>
      <c r="S366" t="str">
        <f>_xll.BDP("9128283N Govt","ID_CUSIP")</f>
        <v>9128283N8</v>
      </c>
      <c r="T366" t="str">
        <f>_xll.BDP("9128283N Govt","IDX_RATIO")</f>
        <v>#N/A Field Not Applicable</v>
      </c>
    </row>
    <row r="367" spans="1:20" x14ac:dyDescent="0.25">
      <c r="A367" t="s">
        <v>14</v>
      </c>
      <c r="B367" t="str">
        <f>_xll.BDP("9128284P Govt","TICKER")</f>
        <v>T</v>
      </c>
      <c r="C367">
        <f>_xll.BDP("9128284P Govt","CPN")</f>
        <v>2.625</v>
      </c>
      <c r="D367" t="str">
        <f>_xll.BDP("9128284P Govt","YLD_YTM_BID")</f>
        <v>#N/A N/A</v>
      </c>
      <c r="E367" t="str">
        <f>_xll.BDP("9128284P Govt","MATURITY")</f>
        <v>5/15/2021</v>
      </c>
      <c r="F367" t="str">
        <f>_xll.BDP("9128284P Govt","MTY_TYP")</f>
        <v>NORMAL</v>
      </c>
      <c r="G367" t="str">
        <f>_xll.BDP("9128284P Govt","CRNCY")</f>
        <v>USD</v>
      </c>
      <c r="H367" t="str">
        <f>_xll.BDP("9128284P Govt","COUNTRY_FULL_NAME")</f>
        <v>UNITED STATES</v>
      </c>
      <c r="I367" t="str">
        <f>_xll.BDP("9128284P Govt","FIRST_CPN_DT")</f>
        <v>11/15/2018</v>
      </c>
      <c r="J367" t="str">
        <f>_xll.BDP("9128284P Govt","COUPON_FREQUENCY_DESCRIPTION")</f>
        <v>S/A</v>
      </c>
      <c r="K367" t="str">
        <f>_xll.BDP("9128284P Govt","CPN_TYP")</f>
        <v>FIXED</v>
      </c>
      <c r="L367" t="str">
        <f>_xll.BDP("9128284P Govt","ID_ISIN")</f>
        <v>US9128284P22</v>
      </c>
      <c r="M367">
        <v>38472000000</v>
      </c>
      <c r="N367">
        <v>0</v>
      </c>
      <c r="O367" t="str">
        <f>_xll.BDP("9128284P Govt","ISSUE_DT")</f>
        <v>5/15/2018</v>
      </c>
      <c r="P367" t="str">
        <f>_xll.BDP("9128284P Govt","SECURITY_NAME")</f>
        <v>T 2 5/8 05/15/21</v>
      </c>
      <c r="Q367" t="str">
        <f>_xll.BDP("9128284P Govt","DAY_CNT_DES")</f>
        <v>ACT/ACT</v>
      </c>
      <c r="R367">
        <v>100</v>
      </c>
      <c r="S367" t="str">
        <f>_xll.BDP("9128284P Govt","ID_CUSIP")</f>
        <v>9128284P2</v>
      </c>
      <c r="T367" t="str">
        <f>_xll.BDP("9128284P Govt","IDX_RATIO")</f>
        <v>#N/A Field Not Applicable</v>
      </c>
    </row>
    <row r="368" spans="1:20" x14ac:dyDescent="0.25">
      <c r="A368" t="s">
        <v>14</v>
      </c>
      <c r="B368" t="str">
        <f>_xll.BDP("9128285G Govt","TICKER")</f>
        <v>T</v>
      </c>
      <c r="C368">
        <f>_xll.BDP("9128285G Govt","CPN")</f>
        <v>2.875</v>
      </c>
      <c r="D368" t="str">
        <f>_xll.BDP("9128285G Govt","YLD_YTM_BID")</f>
        <v>#N/A N/A</v>
      </c>
      <c r="E368" t="str">
        <f>_xll.BDP("9128285G Govt","MATURITY")</f>
        <v>10/31/2020</v>
      </c>
      <c r="F368" t="str">
        <f>_xll.BDP("9128285G Govt","MTY_TYP")</f>
        <v>NORMAL</v>
      </c>
      <c r="G368" t="str">
        <f>_xll.BDP("9128285G Govt","CRNCY")</f>
        <v>USD</v>
      </c>
      <c r="H368" t="str">
        <f>_xll.BDP("9128285G Govt","COUNTRY_FULL_NAME")</f>
        <v>UNITED STATES</v>
      </c>
      <c r="I368" t="str">
        <f>_xll.BDP("9128285G Govt","FIRST_CPN_DT")</f>
        <v>4/30/2019</v>
      </c>
      <c r="J368" t="str">
        <f>_xll.BDP("9128285G Govt","COUPON_FREQUENCY_DESCRIPTION")</f>
        <v>S/A</v>
      </c>
      <c r="K368" t="str">
        <f>_xll.BDP("9128285G Govt","CPN_TYP")</f>
        <v>FIXED</v>
      </c>
      <c r="L368" t="str">
        <f>_xll.BDP("9128285G Govt","ID_ISIN")</f>
        <v>US9128285G14</v>
      </c>
      <c r="M368">
        <v>37995000000</v>
      </c>
      <c r="N368">
        <v>0</v>
      </c>
      <c r="O368" t="str">
        <f>_xll.BDP("9128285G Govt","ISSUE_DT")</f>
        <v>10/31/2018</v>
      </c>
      <c r="P368" t="str">
        <f>_xll.BDP("9128285G Govt","SECURITY_NAME")</f>
        <v>T 2 7/8 10/31/20</v>
      </c>
      <c r="Q368" t="str">
        <f>_xll.BDP("9128285G Govt","DAY_CNT_DES")</f>
        <v>ACT/ACT</v>
      </c>
      <c r="R368">
        <v>100</v>
      </c>
      <c r="S368" t="str">
        <f>_xll.BDP("9128285G Govt","ID_CUSIP")</f>
        <v>9128285G1</v>
      </c>
      <c r="T368" t="str">
        <f>_xll.BDP("9128285G Govt","IDX_RATIO")</f>
        <v>#N/A Field Not Applicable</v>
      </c>
    </row>
    <row r="369" spans="1:20" x14ac:dyDescent="0.25">
      <c r="A369" t="s">
        <v>14</v>
      </c>
      <c r="B369" t="str">
        <f>_xll.BDP("912828K8 Govt","TICKER")</f>
        <v>T</v>
      </c>
      <c r="C369">
        <f>_xll.BDP("912828K8 Govt","CPN")</f>
        <v>1</v>
      </c>
      <c r="D369" t="str">
        <f>_xll.BDP("912828K8 Govt","YLD_YTM_BID")</f>
        <v>#N/A N/A</v>
      </c>
      <c r="E369" t="str">
        <f>_xll.BDP("912828K8 Govt","MATURITY")</f>
        <v>8/15/2018</v>
      </c>
      <c r="F369" t="str">
        <f>_xll.BDP("912828K8 Govt","MTY_TYP")</f>
        <v>NORMAL</v>
      </c>
      <c r="G369" t="str">
        <f>_xll.BDP("912828K8 Govt","CRNCY")</f>
        <v>USD</v>
      </c>
      <c r="H369" t="str">
        <f>_xll.BDP("912828K8 Govt","COUNTRY_FULL_NAME")</f>
        <v>UNITED STATES</v>
      </c>
      <c r="I369" t="str">
        <f>_xll.BDP("912828K8 Govt","FIRST_CPN_DT")</f>
        <v>2/15/2016</v>
      </c>
      <c r="J369" t="str">
        <f>_xll.BDP("912828K8 Govt","COUPON_FREQUENCY_DESCRIPTION")</f>
        <v>S/A</v>
      </c>
      <c r="K369" t="str">
        <f>_xll.BDP("912828K8 Govt","CPN_TYP")</f>
        <v>FIXED</v>
      </c>
      <c r="L369" t="str">
        <f>_xll.BDP("912828K8 Govt","ID_ISIN")</f>
        <v>US912828K825</v>
      </c>
      <c r="M369">
        <v>24482000000</v>
      </c>
      <c r="N369">
        <v>0</v>
      </c>
      <c r="O369" t="str">
        <f>_xll.BDP("912828K8 Govt","ISSUE_DT")</f>
        <v>8/17/2015</v>
      </c>
      <c r="P369" t="str">
        <f>_xll.BDP("912828K8 Govt","SECURITY_NAME")</f>
        <v>T 1 08/15/18</v>
      </c>
      <c r="Q369" t="str">
        <f>_xll.BDP("912828K8 Govt","DAY_CNT_DES")</f>
        <v>ACT/ACT</v>
      </c>
      <c r="R369">
        <v>100</v>
      </c>
      <c r="S369" t="str">
        <f>_xll.BDP("912828K8 Govt","ID_CUSIP")</f>
        <v>912828K82</v>
      </c>
      <c r="T369" t="str">
        <f>_xll.BDP("912828K8 Govt","IDX_RATIO")</f>
        <v>#N/A Field Not Applicable</v>
      </c>
    </row>
    <row r="370" spans="1:20" x14ac:dyDescent="0.25">
      <c r="A370" t="s">
        <v>14</v>
      </c>
      <c r="B370" t="str">
        <f>_xll.BDP("912828WG Govt","TICKER")</f>
        <v>T</v>
      </c>
      <c r="C370">
        <f>_xll.BDP("912828WG Govt","CPN")</f>
        <v>2.25</v>
      </c>
      <c r="D370" t="str">
        <f>_xll.BDP("912828WG Govt","YLD_YTM_BID")</f>
        <v>#N/A N/A</v>
      </c>
      <c r="E370" t="str">
        <f>_xll.BDP("912828WG Govt","MATURITY")</f>
        <v>4/30/2021</v>
      </c>
      <c r="F370" t="str">
        <f>_xll.BDP("912828WG Govt","MTY_TYP")</f>
        <v>NORMAL</v>
      </c>
      <c r="G370" t="str">
        <f>_xll.BDP("912828WG Govt","CRNCY")</f>
        <v>USD</v>
      </c>
      <c r="H370" t="str">
        <f>_xll.BDP("912828WG Govt","COUNTRY_FULL_NAME")</f>
        <v>UNITED STATES</v>
      </c>
      <c r="I370" t="str">
        <f>_xll.BDP("912828WG Govt","FIRST_CPN_DT")</f>
        <v>10/31/2014</v>
      </c>
      <c r="J370" t="str">
        <f>_xll.BDP("912828WG Govt","COUPON_FREQUENCY_DESCRIPTION")</f>
        <v>S/A</v>
      </c>
      <c r="K370" t="str">
        <f>_xll.BDP("912828WG Govt","CPN_TYP")</f>
        <v>FIXED</v>
      </c>
      <c r="L370" t="str">
        <f>_xll.BDP("912828WG Govt","ID_ISIN")</f>
        <v>US912828WG10</v>
      </c>
      <c r="M370">
        <v>69510000000</v>
      </c>
      <c r="N370">
        <v>0</v>
      </c>
      <c r="O370" t="str">
        <f>_xll.BDP("912828WG Govt","ISSUE_DT")</f>
        <v>4/30/2014</v>
      </c>
      <c r="P370" t="str">
        <f>_xll.BDP("912828WG Govt","SECURITY_NAME")</f>
        <v>T 2 1/4 04/30/21</v>
      </c>
      <c r="Q370" t="str">
        <f>_xll.BDP("912828WG Govt","DAY_CNT_DES")</f>
        <v>ACT/ACT</v>
      </c>
      <c r="R370">
        <v>100</v>
      </c>
      <c r="S370" t="str">
        <f>_xll.BDP("912828WG Govt","ID_CUSIP")</f>
        <v>912828WG1</v>
      </c>
      <c r="T370" t="str">
        <f>_xll.BDP("912828WG Govt","IDX_RATIO")</f>
        <v>#N/A Field Not Applicable</v>
      </c>
    </row>
    <row r="371" spans="1:20" x14ac:dyDescent="0.25">
      <c r="A371" t="s">
        <v>14</v>
      </c>
      <c r="B371" t="str">
        <f>_xll.BDP("912828B9 Govt","TICKER")</f>
        <v>T</v>
      </c>
      <c r="C371">
        <f>_xll.BDP("912828B9 Govt","CPN")</f>
        <v>2</v>
      </c>
      <c r="D371" t="str">
        <f>_xll.BDP("912828B9 Govt","YLD_YTM_BID")</f>
        <v>#N/A N/A</v>
      </c>
      <c r="E371" t="str">
        <f>_xll.BDP("912828B9 Govt","MATURITY")</f>
        <v>2/28/2021</v>
      </c>
      <c r="F371" t="str">
        <f>_xll.BDP("912828B9 Govt","MTY_TYP")</f>
        <v>NORMAL</v>
      </c>
      <c r="G371" t="str">
        <f>_xll.BDP("912828B9 Govt","CRNCY")</f>
        <v>USD</v>
      </c>
      <c r="H371" t="str">
        <f>_xll.BDP("912828B9 Govt","COUNTRY_FULL_NAME")</f>
        <v>UNITED STATES</v>
      </c>
      <c r="I371" t="str">
        <f>_xll.BDP("912828B9 Govt","FIRST_CPN_DT")</f>
        <v>8/31/2014</v>
      </c>
      <c r="J371" t="str">
        <f>_xll.BDP("912828B9 Govt","COUPON_FREQUENCY_DESCRIPTION")</f>
        <v>S/A</v>
      </c>
      <c r="K371" t="str">
        <f>_xll.BDP("912828B9 Govt","CPN_TYP")</f>
        <v>FIXED</v>
      </c>
      <c r="L371" t="str">
        <f>_xll.BDP("912828B9 Govt","ID_ISIN")</f>
        <v>US912828B907</v>
      </c>
      <c r="M371">
        <v>29082000000</v>
      </c>
      <c r="N371">
        <v>0</v>
      </c>
      <c r="O371" t="str">
        <f>_xll.BDP("912828B9 Govt","ISSUE_DT")</f>
        <v>2/28/2014</v>
      </c>
      <c r="P371" t="str">
        <f>_xll.BDP("912828B9 Govt","SECURITY_NAME")</f>
        <v>T 2 02/28/21</v>
      </c>
      <c r="Q371" t="str">
        <f>_xll.BDP("912828B9 Govt","DAY_CNT_DES")</f>
        <v>ACT/ACT</v>
      </c>
      <c r="R371">
        <v>100</v>
      </c>
      <c r="S371" t="str">
        <f>_xll.BDP("912828B9 Govt","ID_CUSIP")</f>
        <v>912828B90</v>
      </c>
      <c r="T371" t="str">
        <f>_xll.BDP("912828B9 Govt","IDX_RATIO")</f>
        <v>#N/A Field Not Applicable</v>
      </c>
    </row>
    <row r="372" spans="1:20" x14ac:dyDescent="0.25">
      <c r="A372" t="s">
        <v>14</v>
      </c>
      <c r="B372" t="str">
        <f>_xll.BDP("9128285X Govt","TICKER")</f>
        <v>T</v>
      </c>
      <c r="C372">
        <f>_xll.BDP("9128285X Govt","CPN")</f>
        <v>2.5</v>
      </c>
      <c r="D372" t="str">
        <f>_xll.BDP("9128285X Govt","YLD_YTM_BID")</f>
        <v>#N/A N/A</v>
      </c>
      <c r="E372" t="str">
        <f>_xll.BDP("9128285X Govt","MATURITY")</f>
        <v>1/31/2021</v>
      </c>
      <c r="F372" t="str">
        <f>_xll.BDP("9128285X Govt","MTY_TYP")</f>
        <v>NORMAL</v>
      </c>
      <c r="G372" t="str">
        <f>_xll.BDP("9128285X Govt","CRNCY")</f>
        <v>USD</v>
      </c>
      <c r="H372" t="str">
        <f>_xll.BDP("9128285X Govt","COUNTRY_FULL_NAME")</f>
        <v>UNITED STATES</v>
      </c>
      <c r="I372" t="str">
        <f>_xll.BDP("9128285X Govt","FIRST_CPN_DT")</f>
        <v>7/31/2019</v>
      </c>
      <c r="J372" t="str">
        <f>_xll.BDP("9128285X Govt","COUPON_FREQUENCY_DESCRIPTION")</f>
        <v>S/A</v>
      </c>
      <c r="K372" t="str">
        <f>_xll.BDP("9128285X Govt","CPN_TYP")</f>
        <v>FIXED</v>
      </c>
      <c r="L372" t="str">
        <f>_xll.BDP("9128285X Govt","ID_ISIN")</f>
        <v>US9128285X47</v>
      </c>
      <c r="M372">
        <v>39999000000</v>
      </c>
      <c r="N372">
        <v>0</v>
      </c>
      <c r="O372" t="str">
        <f>_xll.BDP("9128285X Govt","ISSUE_DT")</f>
        <v>1/31/2019</v>
      </c>
      <c r="P372" t="str">
        <f>_xll.BDP("9128285X Govt","SECURITY_NAME")</f>
        <v>T 2 1/2 01/31/21</v>
      </c>
      <c r="Q372" t="str">
        <f>_xll.BDP("9128285X Govt","DAY_CNT_DES")</f>
        <v>ACT/ACT</v>
      </c>
      <c r="R372">
        <v>100</v>
      </c>
      <c r="S372" t="str">
        <f>_xll.BDP("9128285X Govt","ID_CUSIP")</f>
        <v>9128285X4</v>
      </c>
      <c r="T372" t="str">
        <f>_xll.BDP("9128285X Govt","IDX_RATIO")</f>
        <v>#N/A Field Not Applicable</v>
      </c>
    </row>
    <row r="373" spans="1:20" x14ac:dyDescent="0.25">
      <c r="A373" t="s">
        <v>14</v>
      </c>
      <c r="B373" t="str">
        <f>_xll.BDP("9128282B Govt","TICKER")</f>
        <v>T</v>
      </c>
      <c r="C373">
        <f>_xll.BDP("9128282B Govt","CPN")</f>
        <v>0.75</v>
      </c>
      <c r="D373" t="str">
        <f>_xll.BDP("9128282B Govt","YLD_YTM_BID")</f>
        <v>#N/A N/A</v>
      </c>
      <c r="E373" t="str">
        <f>_xll.BDP("9128282B Govt","MATURITY")</f>
        <v>8/15/2019</v>
      </c>
      <c r="F373" t="str">
        <f>_xll.BDP("9128282B Govt","MTY_TYP")</f>
        <v>NORMAL</v>
      </c>
      <c r="G373" t="str">
        <f>_xll.BDP("9128282B Govt","CRNCY")</f>
        <v>USD</v>
      </c>
      <c r="H373" t="str">
        <f>_xll.BDP("9128282B Govt","COUNTRY_FULL_NAME")</f>
        <v>UNITED STATES</v>
      </c>
      <c r="I373" t="str">
        <f>_xll.BDP("9128282B Govt","FIRST_CPN_DT")</f>
        <v>2/15/2017</v>
      </c>
      <c r="J373" t="str">
        <f>_xll.BDP("9128282B Govt","COUPON_FREQUENCY_DESCRIPTION")</f>
        <v>S/A</v>
      </c>
      <c r="K373" t="str">
        <f>_xll.BDP("9128282B Govt","CPN_TYP")</f>
        <v>FIXED</v>
      </c>
      <c r="L373" t="str">
        <f>_xll.BDP("9128282B Govt","ID_ISIN")</f>
        <v>US9128282B53</v>
      </c>
      <c r="M373">
        <v>26458000000</v>
      </c>
      <c r="N373">
        <v>0</v>
      </c>
      <c r="O373" t="str">
        <f>_xll.BDP("9128282B Govt","ISSUE_DT")</f>
        <v>8/15/2016</v>
      </c>
      <c r="P373" t="str">
        <f>_xll.BDP("9128282B Govt","SECURITY_NAME")</f>
        <v>T 0 3/4 08/15/19</v>
      </c>
      <c r="Q373" t="str">
        <f>_xll.BDP("9128282B Govt","DAY_CNT_DES")</f>
        <v>ACT/ACT</v>
      </c>
      <c r="R373">
        <v>100</v>
      </c>
      <c r="S373" t="str">
        <f>_xll.BDP("9128282B Govt","ID_CUSIP")</f>
        <v>9128282B5</v>
      </c>
      <c r="T373" t="str">
        <f>_xll.BDP("9128282B Govt","IDX_RATIO")</f>
        <v>#N/A Field Not Applicable</v>
      </c>
    </row>
    <row r="374" spans="1:20" x14ac:dyDescent="0.25">
      <c r="A374" t="s">
        <v>14</v>
      </c>
      <c r="B374" t="str">
        <f>_xll.BDP("912828RX Govt","TICKER")</f>
        <v>T</v>
      </c>
      <c r="C374">
        <f>_xll.BDP("912828RX Govt","CPN")</f>
        <v>0.875</v>
      </c>
      <c r="D374" t="str">
        <f>_xll.BDP("912828RX Govt","YLD_YTM_BID")</f>
        <v>#N/A N/A</v>
      </c>
      <c r="E374" t="str">
        <f>_xll.BDP("912828RX Govt","MATURITY")</f>
        <v>12/31/2016</v>
      </c>
      <c r="F374" t="str">
        <f>_xll.BDP("912828RX Govt","MTY_TYP")</f>
        <v>NORMAL</v>
      </c>
      <c r="G374" t="str">
        <f>_xll.BDP("912828RX Govt","CRNCY")</f>
        <v>USD</v>
      </c>
      <c r="H374" t="str">
        <f>_xll.BDP("912828RX Govt","COUNTRY_FULL_NAME")</f>
        <v>UNITED STATES</v>
      </c>
      <c r="I374" t="str">
        <f>_xll.BDP("912828RX Govt","FIRST_CPN_DT")</f>
        <v>6/30/2012</v>
      </c>
      <c r="J374" t="str">
        <f>_xll.BDP("912828RX Govt","COUPON_FREQUENCY_DESCRIPTION")</f>
        <v>S/A</v>
      </c>
      <c r="K374" t="str">
        <f>_xll.BDP("912828RX Govt","CPN_TYP")</f>
        <v>FIXED</v>
      </c>
      <c r="L374" t="str">
        <f>_xll.BDP("912828RX Govt","ID_ISIN")</f>
        <v>US912828RX08</v>
      </c>
      <c r="M374">
        <v>36133000000</v>
      </c>
      <c r="N374">
        <v>0</v>
      </c>
      <c r="O374" t="str">
        <f>_xll.BDP("912828RX Govt","ISSUE_DT")</f>
        <v>1/3/2012</v>
      </c>
      <c r="P374" t="str">
        <f>_xll.BDP("912828RX Govt","SECURITY_NAME")</f>
        <v>T 0 7/8 12/31/16</v>
      </c>
      <c r="Q374" t="str">
        <f>_xll.BDP("912828RX Govt","DAY_CNT_DES")</f>
        <v>ACT/ACT</v>
      </c>
      <c r="R374">
        <v>100</v>
      </c>
      <c r="S374" t="str">
        <f>_xll.BDP("912828RX Govt","ID_CUSIP")</f>
        <v>912828RX0</v>
      </c>
      <c r="T374" t="str">
        <f>_xll.BDP("912828RX Govt","IDX_RATIO")</f>
        <v>#N/A Field Not Applicable</v>
      </c>
    </row>
    <row r="375" spans="1:20" x14ac:dyDescent="0.25">
      <c r="A375" t="s">
        <v>14</v>
      </c>
      <c r="B375" t="str">
        <f>_xll.BDP("9128283Q Govt","TICKER")</f>
        <v>T</v>
      </c>
      <c r="C375">
        <f>_xll.BDP("9128283Q Govt","CPN")</f>
        <v>2</v>
      </c>
      <c r="D375" t="str">
        <f>_xll.BDP("9128283Q Govt","YLD_YTM_BID")</f>
        <v>#N/A N/A</v>
      </c>
      <c r="E375" t="str">
        <f>_xll.BDP("9128283Q Govt","MATURITY")</f>
        <v>1/15/2021</v>
      </c>
      <c r="F375" t="str">
        <f>_xll.BDP("9128283Q Govt","MTY_TYP")</f>
        <v>NORMAL</v>
      </c>
      <c r="G375" t="str">
        <f>_xll.BDP("9128283Q Govt","CRNCY")</f>
        <v>USD</v>
      </c>
      <c r="H375" t="str">
        <f>_xll.BDP("9128283Q Govt","COUNTRY_FULL_NAME")</f>
        <v>UNITED STATES</v>
      </c>
      <c r="I375" t="str">
        <f>_xll.BDP("9128283Q Govt","FIRST_CPN_DT")</f>
        <v>7/15/2018</v>
      </c>
      <c r="J375" t="str">
        <f>_xll.BDP("9128283Q Govt","COUPON_FREQUENCY_DESCRIPTION")</f>
        <v>S/A</v>
      </c>
      <c r="K375" t="str">
        <f>_xll.BDP("9128283Q Govt","CPN_TYP")</f>
        <v>FIXED</v>
      </c>
      <c r="L375" t="str">
        <f>_xll.BDP("9128283Q Govt","ID_ISIN")</f>
        <v>US9128283Q14</v>
      </c>
      <c r="M375">
        <v>24813000000</v>
      </c>
      <c r="N375">
        <v>0</v>
      </c>
      <c r="O375" t="str">
        <f>_xll.BDP("9128283Q Govt","ISSUE_DT")</f>
        <v>1/16/2018</v>
      </c>
      <c r="P375" t="str">
        <f>_xll.BDP("9128283Q Govt","SECURITY_NAME")</f>
        <v>T 2 01/15/21</v>
      </c>
      <c r="Q375" t="str">
        <f>_xll.BDP("9128283Q Govt","DAY_CNT_DES")</f>
        <v>ACT/ACT</v>
      </c>
      <c r="R375">
        <v>100</v>
      </c>
      <c r="S375" t="str">
        <f>_xll.BDP("9128283Q Govt","ID_CUSIP")</f>
        <v>9128283Q1</v>
      </c>
      <c r="T375" t="str">
        <f>_xll.BDP("9128283Q Govt","IDX_RATIO")</f>
        <v>#N/A Field Not Applicable</v>
      </c>
    </row>
    <row r="376" spans="1:20" x14ac:dyDescent="0.25">
      <c r="A376" t="s">
        <v>14</v>
      </c>
      <c r="B376" t="str">
        <f>_xll.BDP("9128284Y Govt","TICKER")</f>
        <v>T</v>
      </c>
      <c r="C376">
        <f>_xll.BDP("9128284Y Govt","CPN")</f>
        <v>2.625</v>
      </c>
      <c r="D376" t="str">
        <f>_xll.BDP("9128284Y Govt","YLD_YTM_BID")</f>
        <v>#N/A N/A</v>
      </c>
      <c r="E376" t="str">
        <f>_xll.BDP("9128284Y Govt","MATURITY")</f>
        <v>8/31/2020</v>
      </c>
      <c r="F376" t="str">
        <f>_xll.BDP("9128284Y Govt","MTY_TYP")</f>
        <v>NORMAL</v>
      </c>
      <c r="G376" t="str">
        <f>_xll.BDP("9128284Y Govt","CRNCY")</f>
        <v>USD</v>
      </c>
      <c r="H376" t="str">
        <f>_xll.BDP("9128284Y Govt","COUNTRY_FULL_NAME")</f>
        <v>UNITED STATES</v>
      </c>
      <c r="I376" t="str">
        <f>_xll.BDP("9128284Y Govt","FIRST_CPN_DT")</f>
        <v>2/28/2019</v>
      </c>
      <c r="J376" t="str">
        <f>_xll.BDP("9128284Y Govt","COUPON_FREQUENCY_DESCRIPTION")</f>
        <v>S/A</v>
      </c>
      <c r="K376" t="str">
        <f>_xll.BDP("9128284Y Govt","CPN_TYP")</f>
        <v>FIXED</v>
      </c>
      <c r="L376" t="str">
        <f>_xll.BDP("9128284Y Govt","ID_ISIN")</f>
        <v>US9128284Y39</v>
      </c>
      <c r="M376">
        <v>38531000000</v>
      </c>
      <c r="N376">
        <v>0</v>
      </c>
      <c r="O376" t="str">
        <f>_xll.BDP("9128284Y Govt","ISSUE_DT")</f>
        <v>8/31/2018</v>
      </c>
      <c r="P376" t="str">
        <f>_xll.BDP("9128284Y Govt","SECURITY_NAME")</f>
        <v>T 2 5/8 08/31/20</v>
      </c>
      <c r="Q376" t="str">
        <f>_xll.BDP("9128284Y Govt","DAY_CNT_DES")</f>
        <v>ACT/ACT</v>
      </c>
      <c r="R376">
        <v>100</v>
      </c>
      <c r="S376" t="str">
        <f>_xll.BDP("9128284Y Govt","ID_CUSIP")</f>
        <v>9128284Y3</v>
      </c>
      <c r="T376" t="str">
        <f>_xll.BDP("9128284Y Govt","IDX_RATIO")</f>
        <v>#N/A Field Not Applicable</v>
      </c>
    </row>
    <row r="377" spans="1:20" x14ac:dyDescent="0.25">
      <c r="A377" t="s">
        <v>14</v>
      </c>
      <c r="B377" t="str">
        <f>_xll.BDP("912828XA Govt","TICKER")</f>
        <v>T</v>
      </c>
      <c r="C377">
        <f>_xll.BDP("912828XA Govt","CPN")</f>
        <v>1</v>
      </c>
      <c r="D377" t="str">
        <f>_xll.BDP("912828XA Govt","YLD_YTM_BID")</f>
        <v>#N/A N/A</v>
      </c>
      <c r="E377" t="str">
        <f>_xll.BDP("912828XA Govt","MATURITY")</f>
        <v>5/15/2018</v>
      </c>
      <c r="F377" t="str">
        <f>_xll.BDP("912828XA Govt","MTY_TYP")</f>
        <v>NORMAL</v>
      </c>
      <c r="G377" t="str">
        <f>_xll.BDP("912828XA Govt","CRNCY")</f>
        <v>USD</v>
      </c>
      <c r="H377" t="str">
        <f>_xll.BDP("912828XA Govt","COUNTRY_FULL_NAME")</f>
        <v>UNITED STATES</v>
      </c>
      <c r="I377" t="str">
        <f>_xll.BDP("912828XA Govt","FIRST_CPN_DT")</f>
        <v>11/15/2015</v>
      </c>
      <c r="J377" t="str">
        <f>_xll.BDP("912828XA Govt","COUPON_FREQUENCY_DESCRIPTION")</f>
        <v>S/A</v>
      </c>
      <c r="K377" t="str">
        <f>_xll.BDP("912828XA Govt","CPN_TYP")</f>
        <v>FIXED</v>
      </c>
      <c r="L377" t="str">
        <f>_xll.BDP("912828XA Govt","ID_ISIN")</f>
        <v>US912828XA31</v>
      </c>
      <c r="M377">
        <v>24543000000</v>
      </c>
      <c r="N377">
        <v>0</v>
      </c>
      <c r="O377" t="str">
        <f>_xll.BDP("912828XA Govt","ISSUE_DT")</f>
        <v>5/15/2015</v>
      </c>
      <c r="P377" t="str">
        <f>_xll.BDP("912828XA Govt","SECURITY_NAME")</f>
        <v>T 1 05/15/18</v>
      </c>
      <c r="Q377" t="str">
        <f>_xll.BDP("912828XA Govt","DAY_CNT_DES")</f>
        <v>ACT/ACT</v>
      </c>
      <c r="R377">
        <v>100</v>
      </c>
      <c r="S377" t="str">
        <f>_xll.BDP("912828XA Govt","ID_CUSIP")</f>
        <v>912828XA3</v>
      </c>
      <c r="T377" t="str">
        <f>_xll.BDP("912828XA Govt","IDX_RATIO")</f>
        <v>#N/A Field Not Applicable</v>
      </c>
    </row>
    <row r="378" spans="1:20" x14ac:dyDescent="0.25">
      <c r="A378" t="s">
        <v>14</v>
      </c>
      <c r="B378" t="str">
        <f>_xll.BDP("912828Q7 Govt","TICKER")</f>
        <v>T</v>
      </c>
      <c r="C378">
        <f>_xll.BDP("912828Q7 Govt","CPN")</f>
        <v>1.375</v>
      </c>
      <c r="D378" t="str">
        <f>_xll.BDP("912828Q7 Govt","YLD_YTM_BID")</f>
        <v>#N/A N/A</v>
      </c>
      <c r="E378" t="str">
        <f>_xll.BDP("912828Q7 Govt","MATURITY")</f>
        <v>4/30/2021</v>
      </c>
      <c r="F378" t="str">
        <f>_xll.BDP("912828Q7 Govt","MTY_TYP")</f>
        <v>NORMAL</v>
      </c>
      <c r="G378" t="str">
        <f>_xll.BDP("912828Q7 Govt","CRNCY")</f>
        <v>USD</v>
      </c>
      <c r="H378" t="str">
        <f>_xll.BDP("912828Q7 Govt","COUNTRY_FULL_NAME")</f>
        <v>UNITED STATES</v>
      </c>
      <c r="I378" t="str">
        <f>_xll.BDP("912828Q7 Govt","FIRST_CPN_DT")</f>
        <v>10/31/2016</v>
      </c>
      <c r="J378" t="str">
        <f>_xll.BDP("912828Q7 Govt","COUPON_FREQUENCY_DESCRIPTION")</f>
        <v>S/A</v>
      </c>
      <c r="K378" t="str">
        <f>_xll.BDP("912828Q7 Govt","CPN_TYP")</f>
        <v>FIXED</v>
      </c>
      <c r="L378" t="str">
        <f>_xll.BDP("912828Q7 Govt","ID_ISIN")</f>
        <v>US912828Q780</v>
      </c>
      <c r="M378">
        <v>43035000000</v>
      </c>
      <c r="N378">
        <v>0</v>
      </c>
      <c r="O378" t="str">
        <f>_xll.BDP("912828Q7 Govt","ISSUE_DT")</f>
        <v>5/2/2016</v>
      </c>
      <c r="P378" t="str">
        <f>_xll.BDP("912828Q7 Govt","SECURITY_NAME")</f>
        <v>T 1 3/8 04/30/21</v>
      </c>
      <c r="Q378" t="str">
        <f>_xll.BDP("912828Q7 Govt","DAY_CNT_DES")</f>
        <v>ACT/ACT</v>
      </c>
      <c r="R378">
        <v>100</v>
      </c>
      <c r="S378" t="str">
        <f>_xll.BDP("912828Q7 Govt","ID_CUSIP")</f>
        <v>912828Q78</v>
      </c>
      <c r="T378" t="str">
        <f>_xll.BDP("912828Q7 Govt","IDX_RATIO")</f>
        <v>#N/A Field Not Applicable</v>
      </c>
    </row>
    <row r="379" spans="1:20" x14ac:dyDescent="0.25">
      <c r="A379" t="s">
        <v>14</v>
      </c>
      <c r="B379" t="str">
        <f>_xll.BDP("912828GM Govt","TICKER")</f>
        <v>T</v>
      </c>
      <c r="C379">
        <f>_xll.BDP("912828GM Govt","CPN")</f>
        <v>4.5</v>
      </c>
      <c r="D379" t="str">
        <f>_xll.BDP("912828GM Govt","YLD_YTM_BID")</f>
        <v>#N/A N/A</v>
      </c>
      <c r="E379" t="str">
        <f>_xll.BDP("912828GM Govt","MATURITY")</f>
        <v>3/31/2012</v>
      </c>
      <c r="F379" t="str">
        <f>_xll.BDP("912828GM Govt","MTY_TYP")</f>
        <v>NORMAL</v>
      </c>
      <c r="G379" t="str">
        <f>_xll.BDP("912828GM Govt","CRNCY")</f>
        <v>USD</v>
      </c>
      <c r="H379" t="str">
        <f>_xll.BDP("912828GM Govt","COUNTRY_FULL_NAME")</f>
        <v>UNITED STATES</v>
      </c>
      <c r="I379" t="str">
        <f>_xll.BDP("912828GM Govt","FIRST_CPN_DT")</f>
        <v>9/30/2007</v>
      </c>
      <c r="J379" t="str">
        <f>_xll.BDP("912828GM Govt","COUPON_FREQUENCY_DESCRIPTION")</f>
        <v>S/A</v>
      </c>
      <c r="K379" t="str">
        <f>_xll.BDP("912828GM Govt","CPN_TYP")</f>
        <v>FIXED</v>
      </c>
      <c r="L379" t="str">
        <f>_xll.BDP("912828GM Govt","ID_ISIN")</f>
        <v>US912828GM61</v>
      </c>
      <c r="M379">
        <v>16354000000</v>
      </c>
      <c r="N379">
        <v>0</v>
      </c>
      <c r="O379" t="str">
        <f>_xll.BDP("912828GM Govt","ISSUE_DT")</f>
        <v>4/2/2007</v>
      </c>
      <c r="P379" t="str">
        <f>_xll.BDP("912828GM Govt","SECURITY_NAME")</f>
        <v>T 4 1/2 03/31/12</v>
      </c>
      <c r="Q379" t="str">
        <f>_xll.BDP("912828GM Govt","DAY_CNT_DES")</f>
        <v>ACT/ACT</v>
      </c>
      <c r="R379">
        <v>100</v>
      </c>
      <c r="S379" t="str">
        <f>_xll.BDP("912828GM Govt","ID_CUSIP")</f>
        <v>912828GM6</v>
      </c>
      <c r="T379" t="str">
        <f>_xll.BDP("912828GM Govt","IDX_RATIO")</f>
        <v>#N/A Field Not Applicable</v>
      </c>
    </row>
    <row r="380" spans="1:20" x14ac:dyDescent="0.25">
      <c r="A380" t="s">
        <v>14</v>
      </c>
      <c r="B380" t="str">
        <f>_xll.BDP("9128283G Govt","TICKER")</f>
        <v>T</v>
      </c>
      <c r="C380">
        <f>_xll.BDP("9128283G Govt","CPN")</f>
        <v>1.75</v>
      </c>
      <c r="D380" t="str">
        <f>_xll.BDP("9128283G Govt","YLD_YTM_BID")</f>
        <v>#N/A N/A</v>
      </c>
      <c r="E380" t="str">
        <f>_xll.BDP("9128283G Govt","MATURITY")</f>
        <v>11/15/2020</v>
      </c>
      <c r="F380" t="str">
        <f>_xll.BDP("9128283G Govt","MTY_TYP")</f>
        <v>NORMAL</v>
      </c>
      <c r="G380" t="str">
        <f>_xll.BDP("9128283G Govt","CRNCY")</f>
        <v>USD</v>
      </c>
      <c r="H380" t="str">
        <f>_xll.BDP("9128283G Govt","COUNTRY_FULL_NAME")</f>
        <v>UNITED STATES</v>
      </c>
      <c r="I380" t="str">
        <f>_xll.BDP("9128283G Govt","FIRST_CPN_DT")</f>
        <v>5/15/2018</v>
      </c>
      <c r="J380" t="str">
        <f>_xll.BDP("9128283G Govt","COUPON_FREQUENCY_DESCRIPTION")</f>
        <v>S/A</v>
      </c>
      <c r="K380" t="str">
        <f>_xll.BDP("9128283G Govt","CPN_TYP")</f>
        <v>FIXED</v>
      </c>
      <c r="L380" t="str">
        <f>_xll.BDP("9128283G Govt","ID_ISIN")</f>
        <v>US9128283G32</v>
      </c>
      <c r="M380">
        <v>26918000000</v>
      </c>
      <c r="N380">
        <v>0</v>
      </c>
      <c r="O380" t="str">
        <f>_xll.BDP("9128283G Govt","ISSUE_DT")</f>
        <v>11/15/2017</v>
      </c>
      <c r="P380" t="str">
        <f>_xll.BDP("9128283G Govt","SECURITY_NAME")</f>
        <v>T 1 3/4 11/15/20</v>
      </c>
      <c r="Q380" t="str">
        <f>_xll.BDP("9128283G Govt","DAY_CNT_DES")</f>
        <v>ACT/ACT</v>
      </c>
      <c r="R380">
        <v>100</v>
      </c>
      <c r="S380" t="str">
        <f>_xll.BDP("9128283G Govt","ID_CUSIP")</f>
        <v>9128283G3</v>
      </c>
      <c r="T380" t="str">
        <f>_xll.BDP("9128283G Govt","IDX_RATIO")</f>
        <v>#N/A Field Not Applicable</v>
      </c>
    </row>
    <row r="381" spans="1:20" x14ac:dyDescent="0.25">
      <c r="A381" t="s">
        <v>14</v>
      </c>
      <c r="B381" t="str">
        <f>_xll.BDP("9128284J Govt","TICKER")</f>
        <v>T</v>
      </c>
      <c r="C381">
        <f>_xll.BDP("9128284J Govt","CPN")</f>
        <v>2.375</v>
      </c>
      <c r="D381" t="str">
        <f>_xll.BDP("9128284J Govt","YLD_YTM_BID")</f>
        <v>#N/A N/A</v>
      </c>
      <c r="E381" t="str">
        <f>_xll.BDP("9128284J Govt","MATURITY")</f>
        <v>4/30/2020</v>
      </c>
      <c r="F381" t="str">
        <f>_xll.BDP("9128284J Govt","MTY_TYP")</f>
        <v>NORMAL</v>
      </c>
      <c r="G381" t="str">
        <f>_xll.BDP("9128284J Govt","CRNCY")</f>
        <v>USD</v>
      </c>
      <c r="H381" t="str">
        <f>_xll.BDP("9128284J Govt","COUNTRY_FULL_NAME")</f>
        <v>UNITED STATES</v>
      </c>
      <c r="I381" t="str">
        <f>_xll.BDP("9128284J Govt","FIRST_CPN_DT")</f>
        <v>10/31/2018</v>
      </c>
      <c r="J381" t="str">
        <f>_xll.BDP("9128284J Govt","COUPON_FREQUENCY_DESCRIPTION")</f>
        <v>S/A</v>
      </c>
      <c r="K381" t="str">
        <f>_xll.BDP("9128284J Govt","CPN_TYP")</f>
        <v>FIXED</v>
      </c>
      <c r="L381" t="str">
        <f>_xll.BDP("9128284J Govt","ID_ISIN")</f>
        <v>US9128284J61</v>
      </c>
      <c r="M381">
        <v>36080000000</v>
      </c>
      <c r="N381">
        <v>0</v>
      </c>
      <c r="O381" t="str">
        <f>_xll.BDP("9128284J Govt","ISSUE_DT")</f>
        <v>4/30/2018</v>
      </c>
      <c r="P381" t="str">
        <f>_xll.BDP("9128284J Govt","SECURITY_NAME")</f>
        <v>T 2 3/8 04/30/20</v>
      </c>
      <c r="Q381" t="str">
        <f>_xll.BDP("9128284J Govt","DAY_CNT_DES")</f>
        <v>ACT/ACT</v>
      </c>
      <c r="R381">
        <v>100</v>
      </c>
      <c r="S381" t="str">
        <f>_xll.BDP("9128284J Govt","ID_CUSIP")</f>
        <v>9128284J6</v>
      </c>
      <c r="T381" t="str">
        <f>_xll.BDP("9128284J Govt","IDX_RATIO")</f>
        <v>#N/A Field Not Applicable</v>
      </c>
    </row>
    <row r="382" spans="1:20" x14ac:dyDescent="0.25">
      <c r="A382" t="s">
        <v>14</v>
      </c>
      <c r="B382" t="str">
        <f>_xll.BDP("912828NV Govt","TICKER")</f>
        <v>T</v>
      </c>
      <c r="C382">
        <f>_xll.BDP("912828NV Govt","CPN")</f>
        <v>1.25</v>
      </c>
      <c r="D382" t="str">
        <f>_xll.BDP("912828NV Govt","YLD_YTM_BID")</f>
        <v>#N/A N/A</v>
      </c>
      <c r="E382" t="str">
        <f>_xll.BDP("912828NV Govt","MATURITY")</f>
        <v>8/31/2015</v>
      </c>
      <c r="F382" t="str">
        <f>_xll.BDP("912828NV Govt","MTY_TYP")</f>
        <v>NORMAL</v>
      </c>
      <c r="G382" t="str">
        <f>_xll.BDP("912828NV Govt","CRNCY")</f>
        <v>USD</v>
      </c>
      <c r="H382" t="str">
        <f>_xll.BDP("912828NV Govt","COUNTRY_FULL_NAME")</f>
        <v>UNITED STATES</v>
      </c>
      <c r="I382" t="str">
        <f>_xll.BDP("912828NV Govt","FIRST_CPN_DT")</f>
        <v>2/28/2011</v>
      </c>
      <c r="J382" t="str">
        <f>_xll.BDP("912828NV Govt","COUPON_FREQUENCY_DESCRIPTION")</f>
        <v>S/A</v>
      </c>
      <c r="K382" t="str">
        <f>_xll.BDP("912828NV Govt","CPN_TYP")</f>
        <v>FIXED</v>
      </c>
      <c r="L382" t="str">
        <f>_xll.BDP("912828NV Govt","ID_ISIN")</f>
        <v>US912828NV87</v>
      </c>
      <c r="M382">
        <v>36881000000</v>
      </c>
      <c r="N382">
        <v>0</v>
      </c>
      <c r="O382" t="str">
        <f>_xll.BDP("912828NV Govt","ISSUE_DT")</f>
        <v>8/31/2010</v>
      </c>
      <c r="P382" t="str">
        <f>_xll.BDP("912828NV Govt","SECURITY_NAME")</f>
        <v>T 1 1/4 08/31/15</v>
      </c>
      <c r="Q382" t="str">
        <f>_xll.BDP("912828NV Govt","DAY_CNT_DES")</f>
        <v>ACT/ACT</v>
      </c>
      <c r="R382">
        <v>100</v>
      </c>
      <c r="S382" t="str">
        <f>_xll.BDP("912828NV Govt","ID_CUSIP")</f>
        <v>912828NV8</v>
      </c>
      <c r="T382" t="str">
        <f>_xll.BDP("912828NV Govt","IDX_RATIO")</f>
        <v>#N/A Field Not Applicable</v>
      </c>
    </row>
    <row r="383" spans="1:20" x14ac:dyDescent="0.25">
      <c r="A383" t="s">
        <v>14</v>
      </c>
      <c r="B383" t="str">
        <f>_xll.BDP("912828R7 Govt","TICKER")</f>
        <v>T</v>
      </c>
      <c r="C383">
        <f>_xll.BDP("912828R7 Govt","CPN")</f>
        <v>1.375</v>
      </c>
      <c r="D383" t="str">
        <f>_xll.BDP("912828R7 Govt","YLD_YTM_BID")</f>
        <v>#N/A N/A</v>
      </c>
      <c r="E383" t="str">
        <f>_xll.BDP("912828R7 Govt","MATURITY")</f>
        <v>5/31/2021</v>
      </c>
      <c r="F383" t="str">
        <f>_xll.BDP("912828R7 Govt","MTY_TYP")</f>
        <v>NORMAL</v>
      </c>
      <c r="G383" t="str">
        <f>_xll.BDP("912828R7 Govt","CRNCY")</f>
        <v>USD</v>
      </c>
      <c r="H383" t="str">
        <f>_xll.BDP("912828R7 Govt","COUNTRY_FULL_NAME")</f>
        <v>UNITED STATES</v>
      </c>
      <c r="I383" t="str">
        <f>_xll.BDP("912828R7 Govt","FIRST_CPN_DT")</f>
        <v>11/30/2016</v>
      </c>
      <c r="J383" t="str">
        <f>_xll.BDP("912828R7 Govt","COUPON_FREQUENCY_DESCRIPTION")</f>
        <v>S/A</v>
      </c>
      <c r="K383" t="str">
        <f>_xll.BDP("912828R7 Govt","CPN_TYP")</f>
        <v>FIXED</v>
      </c>
      <c r="L383" t="str">
        <f>_xll.BDP("912828R7 Govt","ID_ISIN")</f>
        <v>US912828R770</v>
      </c>
      <c r="M383">
        <v>42671000000</v>
      </c>
      <c r="N383">
        <v>0</v>
      </c>
      <c r="O383" t="str">
        <f>_xll.BDP("912828R7 Govt","ISSUE_DT")</f>
        <v>5/31/2016</v>
      </c>
      <c r="P383" t="str">
        <f>_xll.BDP("912828R7 Govt","SECURITY_NAME")</f>
        <v>T 1 3/8 05/31/21</v>
      </c>
      <c r="Q383" t="str">
        <f>_xll.BDP("912828R7 Govt","DAY_CNT_DES")</f>
        <v>ACT/ACT</v>
      </c>
      <c r="R383">
        <v>100</v>
      </c>
      <c r="S383" t="str">
        <f>_xll.BDP("912828R7 Govt","ID_CUSIP")</f>
        <v>912828R77</v>
      </c>
      <c r="T383" t="str">
        <f>_xll.BDP("912828R7 Govt","IDX_RATIO")</f>
        <v>#N/A Field Not Applicable</v>
      </c>
    </row>
    <row r="384" spans="1:20" x14ac:dyDescent="0.25">
      <c r="A384" t="s">
        <v>14</v>
      </c>
      <c r="B384" t="str">
        <f>_xll.BDP("912828CD Govt","TICKER")</f>
        <v>T</v>
      </c>
      <c r="C384">
        <f>_xll.BDP("912828CD Govt","CPN")</f>
        <v>1.5</v>
      </c>
      <c r="D384" t="str">
        <f>_xll.BDP("912828CD Govt","YLD_YTM_BID")</f>
        <v>#N/A N/A</v>
      </c>
      <c r="E384" t="str">
        <f>_xll.BDP("912828CD Govt","MATURITY")</f>
        <v>3/31/2006</v>
      </c>
      <c r="F384" t="str">
        <f>_xll.BDP("912828CD Govt","MTY_TYP")</f>
        <v>NORMAL</v>
      </c>
      <c r="G384" t="str">
        <f>_xll.BDP("912828CD Govt","CRNCY")</f>
        <v>USD</v>
      </c>
      <c r="H384" t="str">
        <f>_xll.BDP("912828CD Govt","COUNTRY_FULL_NAME")</f>
        <v>UNITED STATES</v>
      </c>
      <c r="I384" t="str">
        <f>_xll.BDP("912828CD Govt","FIRST_CPN_DT")</f>
        <v>9/30/2004</v>
      </c>
      <c r="J384" t="str">
        <f>_xll.BDP("912828CD Govt","COUPON_FREQUENCY_DESCRIPTION")</f>
        <v>S/A</v>
      </c>
      <c r="K384" t="str">
        <f>_xll.BDP("912828CD Govt","CPN_TYP")</f>
        <v>FIXED</v>
      </c>
      <c r="L384" t="str">
        <f>_xll.BDP("912828CD Govt","ID_ISIN")</f>
        <v>US912828CD09</v>
      </c>
      <c r="M384">
        <v>34339000000</v>
      </c>
      <c r="N384">
        <v>0</v>
      </c>
      <c r="O384" t="str">
        <f>_xll.BDP("912828CD Govt","ISSUE_DT")</f>
        <v>3/31/2004</v>
      </c>
      <c r="P384" t="str">
        <f>_xll.BDP("912828CD Govt","SECURITY_NAME")</f>
        <v>T 1 1/2 03/31/06</v>
      </c>
      <c r="Q384" t="str">
        <f>_xll.BDP("912828CD Govt","DAY_CNT_DES")</f>
        <v>ACT/ACT</v>
      </c>
      <c r="R384">
        <v>100</v>
      </c>
      <c r="S384" t="str">
        <f>_xll.BDP("912828CD Govt","ID_CUSIP")</f>
        <v>912828CD0</v>
      </c>
      <c r="T384" t="str">
        <f>_xll.BDP("912828CD Govt","IDX_RATIO")</f>
        <v>#N/A Field Not Applicable</v>
      </c>
    </row>
    <row r="385" spans="1:20" x14ac:dyDescent="0.25">
      <c r="A385" t="s">
        <v>14</v>
      </c>
      <c r="B385" t="str">
        <f>_xll.BDP("912828TC Govt","TICKER")</f>
        <v>T</v>
      </c>
      <c r="C385">
        <f>_xll.BDP("912828TC Govt","CPN")</f>
        <v>1</v>
      </c>
      <c r="D385" t="str">
        <f>_xll.BDP("912828TC Govt","YLD_YTM_BID")</f>
        <v>#N/A N/A</v>
      </c>
      <c r="E385" t="str">
        <f>_xll.BDP("912828TC Govt","MATURITY")</f>
        <v>6/30/2019</v>
      </c>
      <c r="F385" t="str">
        <f>_xll.BDP("912828TC Govt","MTY_TYP")</f>
        <v>NORMAL</v>
      </c>
      <c r="G385" t="str">
        <f>_xll.BDP("912828TC Govt","CRNCY")</f>
        <v>USD</v>
      </c>
      <c r="H385" t="str">
        <f>_xll.BDP("912828TC Govt","COUNTRY_FULL_NAME")</f>
        <v>UNITED STATES</v>
      </c>
      <c r="I385" t="str">
        <f>_xll.BDP("912828TC Govt","FIRST_CPN_DT")</f>
        <v>12/31/2012</v>
      </c>
      <c r="J385" t="str">
        <f>_xll.BDP("912828TC Govt","COUPON_FREQUENCY_DESCRIPTION")</f>
        <v>S/A</v>
      </c>
      <c r="K385" t="str">
        <f>_xll.BDP("912828TC Govt","CPN_TYP")</f>
        <v>FIXED</v>
      </c>
      <c r="L385" t="str">
        <f>_xll.BDP("912828TC Govt","ID_ISIN")</f>
        <v>US912828TC43</v>
      </c>
      <c r="M385">
        <v>29296000000</v>
      </c>
      <c r="N385">
        <v>0</v>
      </c>
      <c r="O385" t="str">
        <f>_xll.BDP("912828TC Govt","ISSUE_DT")</f>
        <v>7/2/2012</v>
      </c>
      <c r="P385" t="str">
        <f>_xll.BDP("912828TC Govt","SECURITY_NAME")</f>
        <v>T 1 06/30/19</v>
      </c>
      <c r="Q385" t="str">
        <f>_xll.BDP("912828TC Govt","DAY_CNT_DES")</f>
        <v>ACT/ACT</v>
      </c>
      <c r="R385">
        <v>100</v>
      </c>
      <c r="S385" t="str">
        <f>_xll.BDP("912828TC Govt","ID_CUSIP")</f>
        <v>912828TC4</v>
      </c>
      <c r="T385" t="str">
        <f>_xll.BDP("912828TC Govt","IDX_RATIO")</f>
        <v>#N/A Field Not Applicable</v>
      </c>
    </row>
    <row r="386" spans="1:20" x14ac:dyDescent="0.25">
      <c r="A386" t="s">
        <v>14</v>
      </c>
      <c r="B386" t="str">
        <f>_xll.BDP("912828MP Govt","TICKER")</f>
        <v>T</v>
      </c>
      <c r="C386">
        <f>_xll.BDP("912828MP Govt","CPN")</f>
        <v>3.625</v>
      </c>
      <c r="D386" t="str">
        <f>_xll.BDP("912828MP Govt","YLD_YTM_BID")</f>
        <v>#N/A N/A</v>
      </c>
      <c r="E386" t="str">
        <f>_xll.BDP("912828MP Govt","MATURITY")</f>
        <v>2/15/2020</v>
      </c>
      <c r="F386" t="str">
        <f>_xll.BDP("912828MP Govt","MTY_TYP")</f>
        <v>NORMAL</v>
      </c>
      <c r="G386" t="str">
        <f>_xll.BDP("912828MP Govt","CRNCY")</f>
        <v>USD</v>
      </c>
      <c r="H386" t="str">
        <f>_xll.BDP("912828MP Govt","COUNTRY_FULL_NAME")</f>
        <v>UNITED STATES</v>
      </c>
      <c r="I386" t="str">
        <f>_xll.BDP("912828MP Govt","FIRST_CPN_DT")</f>
        <v>8/15/2010</v>
      </c>
      <c r="J386" t="str">
        <f>_xll.BDP("912828MP Govt","COUPON_FREQUENCY_DESCRIPTION")</f>
        <v>S/A</v>
      </c>
      <c r="K386" t="str">
        <f>_xll.BDP("912828MP Govt","CPN_TYP")</f>
        <v>FIXED</v>
      </c>
      <c r="L386" t="str">
        <f>_xll.BDP("912828MP Govt","ID_ISIN")</f>
        <v>US912828MP29</v>
      </c>
      <c r="M386">
        <v>71595000000</v>
      </c>
      <c r="N386">
        <v>0</v>
      </c>
      <c r="O386" t="str">
        <f>_xll.BDP("912828MP Govt","ISSUE_DT")</f>
        <v>2/16/2010</v>
      </c>
      <c r="P386" t="str">
        <f>_xll.BDP("912828MP Govt","SECURITY_NAME")</f>
        <v>T 3 5/8 02/15/20</v>
      </c>
      <c r="Q386" t="str">
        <f>_xll.BDP("912828MP Govt","DAY_CNT_DES")</f>
        <v>ACT/ACT</v>
      </c>
      <c r="R386">
        <v>100</v>
      </c>
      <c r="S386" t="str">
        <f>_xll.BDP("912828MP Govt","ID_CUSIP")</f>
        <v>912828MP2</v>
      </c>
      <c r="T386" t="str">
        <f>_xll.BDP("912828MP Govt","IDX_RATIO")</f>
        <v>#N/A Field Not Applicable</v>
      </c>
    </row>
    <row r="387" spans="1:20" x14ac:dyDescent="0.25">
      <c r="A387" t="s">
        <v>14</v>
      </c>
      <c r="B387" t="str">
        <f>_xll.BDP("912828UA Govt","TICKER")</f>
        <v>T</v>
      </c>
      <c r="C387">
        <f>_xll.BDP("912828UA Govt","CPN")</f>
        <v>0.625</v>
      </c>
      <c r="D387" t="str">
        <f>_xll.BDP("912828UA Govt","YLD_YTM_BID")</f>
        <v>#N/A N/A</v>
      </c>
      <c r="E387" t="str">
        <f>_xll.BDP("912828UA Govt","MATURITY")</f>
        <v>11/30/2017</v>
      </c>
      <c r="F387" t="str">
        <f>_xll.BDP("912828UA Govt","MTY_TYP")</f>
        <v>NORMAL</v>
      </c>
      <c r="G387" t="str">
        <f>_xll.BDP("912828UA Govt","CRNCY")</f>
        <v>USD</v>
      </c>
      <c r="H387" t="str">
        <f>_xll.BDP("912828UA Govt","COUNTRY_FULL_NAME")</f>
        <v>UNITED STATES</v>
      </c>
      <c r="I387" t="str">
        <f>_xll.BDP("912828UA Govt","FIRST_CPN_DT")</f>
        <v>5/31/2013</v>
      </c>
      <c r="J387" t="str">
        <f>_xll.BDP("912828UA Govt","COUPON_FREQUENCY_DESCRIPTION")</f>
        <v>S/A</v>
      </c>
      <c r="K387" t="str">
        <f>_xll.BDP("912828UA Govt","CPN_TYP")</f>
        <v>FIXED</v>
      </c>
      <c r="L387" t="str">
        <f>_xll.BDP("912828UA Govt","ID_ISIN")</f>
        <v>US912828UA67</v>
      </c>
      <c r="M387">
        <v>35000000000</v>
      </c>
      <c r="N387">
        <v>0</v>
      </c>
      <c r="O387" t="str">
        <f>_xll.BDP("912828UA Govt","ISSUE_DT")</f>
        <v>11/30/2012</v>
      </c>
      <c r="P387" t="str">
        <f>_xll.BDP("912828UA Govt","SECURITY_NAME")</f>
        <v>T 0 5/8 11/30/17</v>
      </c>
      <c r="Q387" t="str">
        <f>_xll.BDP("912828UA Govt","DAY_CNT_DES")</f>
        <v>ACT/ACT</v>
      </c>
      <c r="R387">
        <v>100</v>
      </c>
      <c r="S387" t="str">
        <f>_xll.BDP("912828UA Govt","ID_CUSIP")</f>
        <v>912828UA6</v>
      </c>
      <c r="T387" t="str">
        <f>_xll.BDP("912828UA Govt","IDX_RATIO")</f>
        <v>#N/A Field Not Applicable</v>
      </c>
    </row>
    <row r="388" spans="1:20" x14ac:dyDescent="0.25">
      <c r="A388" t="s">
        <v>14</v>
      </c>
      <c r="B388" t="str">
        <f>_xll.BDP("912828NB Govt","TICKER")</f>
        <v>T</v>
      </c>
      <c r="C388">
        <f>_xll.BDP("912828NB Govt","CPN")</f>
        <v>1</v>
      </c>
      <c r="D388" t="str">
        <f>_xll.BDP("912828NB Govt","YLD_YTM_BID")</f>
        <v>#N/A N/A</v>
      </c>
      <c r="E388" t="str">
        <f>_xll.BDP("912828NB Govt","MATURITY")</f>
        <v>4/30/2012</v>
      </c>
      <c r="F388" t="str">
        <f>_xll.BDP("912828NB Govt","MTY_TYP")</f>
        <v>NORMAL</v>
      </c>
      <c r="G388" t="str">
        <f>_xll.BDP("912828NB Govt","CRNCY")</f>
        <v>USD</v>
      </c>
      <c r="H388" t="str">
        <f>_xll.BDP("912828NB Govt","COUNTRY_FULL_NAME")</f>
        <v>UNITED STATES</v>
      </c>
      <c r="I388" t="str">
        <f>_xll.BDP("912828NB Govt","FIRST_CPN_DT")</f>
        <v>10/31/2010</v>
      </c>
      <c r="J388" t="str">
        <f>_xll.BDP("912828NB Govt","COUPON_FREQUENCY_DESCRIPTION")</f>
        <v>S/A</v>
      </c>
      <c r="K388" t="str">
        <f>_xll.BDP("912828NB Govt","CPN_TYP")</f>
        <v>FIXED</v>
      </c>
      <c r="L388" t="str">
        <f>_xll.BDP("912828NB Govt","ID_ISIN")</f>
        <v>US912828NB24</v>
      </c>
      <c r="M388">
        <v>44938000000</v>
      </c>
      <c r="N388">
        <v>0</v>
      </c>
      <c r="O388" t="str">
        <f>_xll.BDP("912828NB Govt","ISSUE_DT")</f>
        <v>4/30/2010</v>
      </c>
      <c r="P388" t="str">
        <f>_xll.BDP("912828NB Govt","SECURITY_NAME")</f>
        <v>T 1 04/30/12</v>
      </c>
      <c r="Q388" t="str">
        <f>_xll.BDP("912828NB Govt","DAY_CNT_DES")</f>
        <v>ACT/ACT</v>
      </c>
      <c r="R388">
        <v>100</v>
      </c>
      <c r="S388" t="str">
        <f>_xll.BDP("912828NB Govt","ID_CUSIP")</f>
        <v>912828NB2</v>
      </c>
      <c r="T388" t="str">
        <f>_xll.BDP("912828NB Govt","IDX_RATIO")</f>
        <v>#N/A Field Not Applicable</v>
      </c>
    </row>
    <row r="389" spans="1:20" x14ac:dyDescent="0.25">
      <c r="A389" t="s">
        <v>14</v>
      </c>
      <c r="B389" t="str">
        <f>_xll.BDP("912828P8 Govt","TICKER")</f>
        <v>T</v>
      </c>
      <c r="C389">
        <f>_xll.BDP("912828P8 Govt","CPN")</f>
        <v>1.125</v>
      </c>
      <c r="D389" t="str">
        <f>_xll.BDP("912828P8 Govt","YLD_YTM_BID")</f>
        <v>#N/A N/A</v>
      </c>
      <c r="E389" t="str">
        <f>_xll.BDP("912828P8 Govt","MATURITY")</f>
        <v>2/28/2021</v>
      </c>
      <c r="F389" t="str">
        <f>_xll.BDP("912828P8 Govt","MTY_TYP")</f>
        <v>NORMAL</v>
      </c>
      <c r="G389" t="str">
        <f>_xll.BDP("912828P8 Govt","CRNCY")</f>
        <v>USD</v>
      </c>
      <c r="H389" t="str">
        <f>_xll.BDP("912828P8 Govt","COUNTRY_FULL_NAME")</f>
        <v>UNITED STATES</v>
      </c>
      <c r="I389" t="str">
        <f>_xll.BDP("912828P8 Govt","FIRST_CPN_DT")</f>
        <v>8/31/2016</v>
      </c>
      <c r="J389" t="str">
        <f>_xll.BDP("912828P8 Govt","COUPON_FREQUENCY_DESCRIPTION")</f>
        <v>S/A</v>
      </c>
      <c r="K389" t="str">
        <f>_xll.BDP("912828P8 Govt","CPN_TYP")</f>
        <v>FIXED</v>
      </c>
      <c r="L389" t="str">
        <f>_xll.BDP("912828P8 Govt","ID_ISIN")</f>
        <v>US912828P873</v>
      </c>
      <c r="M389">
        <v>45395000000</v>
      </c>
      <c r="N389">
        <v>0</v>
      </c>
      <c r="O389" t="str">
        <f>_xll.BDP("912828P8 Govt","ISSUE_DT")</f>
        <v>2/29/2016</v>
      </c>
      <c r="P389" t="str">
        <f>_xll.BDP("912828P8 Govt","SECURITY_NAME")</f>
        <v>T 1 1/8 02/28/21</v>
      </c>
      <c r="Q389" t="str">
        <f>_xll.BDP("912828P8 Govt","DAY_CNT_DES")</f>
        <v>ACT/ACT</v>
      </c>
      <c r="R389">
        <v>100</v>
      </c>
      <c r="S389" t="str">
        <f>_xll.BDP("912828P8 Govt","ID_CUSIP")</f>
        <v>912828P87</v>
      </c>
      <c r="T389" t="str">
        <f>_xll.BDP("912828P8 Govt","IDX_RATIO")</f>
        <v>#N/A Field Not Applicable</v>
      </c>
    </row>
    <row r="390" spans="1:20" x14ac:dyDescent="0.25">
      <c r="A390" t="s">
        <v>14</v>
      </c>
      <c r="B390" t="str">
        <f>_xll.BDP("9128284G Govt","TICKER")</f>
        <v>T</v>
      </c>
      <c r="C390">
        <f>_xll.BDP("9128284G Govt","CPN")</f>
        <v>2.375</v>
      </c>
      <c r="D390" t="str">
        <f>_xll.BDP("9128284G Govt","YLD_YTM_BID")</f>
        <v>#N/A N/A</v>
      </c>
      <c r="E390" t="str">
        <f>_xll.BDP("9128284G Govt","MATURITY")</f>
        <v>4/15/2021</v>
      </c>
      <c r="F390" t="str">
        <f>_xll.BDP("9128284G Govt","MTY_TYP")</f>
        <v>NORMAL</v>
      </c>
      <c r="G390" t="str">
        <f>_xll.BDP("9128284G Govt","CRNCY")</f>
        <v>USD</v>
      </c>
      <c r="H390" t="str">
        <f>_xll.BDP("9128284G Govt","COUNTRY_FULL_NAME")</f>
        <v>UNITED STATES</v>
      </c>
      <c r="I390" t="str">
        <f>_xll.BDP("9128284G Govt","FIRST_CPN_DT")</f>
        <v>10/15/2018</v>
      </c>
      <c r="J390" t="str">
        <f>_xll.BDP("9128284G Govt","COUPON_FREQUENCY_DESCRIPTION")</f>
        <v>S/A</v>
      </c>
      <c r="K390" t="str">
        <f>_xll.BDP("9128284G Govt","CPN_TYP")</f>
        <v>FIXED</v>
      </c>
      <c r="L390" t="str">
        <f>_xll.BDP("9128284G Govt","ID_ISIN")</f>
        <v>US9128284G23</v>
      </c>
      <c r="M390">
        <v>30051000000</v>
      </c>
      <c r="N390">
        <v>0</v>
      </c>
      <c r="O390" t="str">
        <f>_xll.BDP("9128284G Govt","ISSUE_DT")</f>
        <v>4/16/2018</v>
      </c>
      <c r="P390" t="str">
        <f>_xll.BDP("9128284G Govt","SECURITY_NAME")</f>
        <v>T 2 3/8 04/15/21</v>
      </c>
      <c r="Q390" t="str">
        <f>_xll.BDP("9128284G Govt","DAY_CNT_DES")</f>
        <v>ACT/ACT</v>
      </c>
      <c r="R390">
        <v>100</v>
      </c>
      <c r="S390" t="str">
        <f>_xll.BDP("9128284G Govt","ID_CUSIP")</f>
        <v>9128284G2</v>
      </c>
      <c r="T390" t="str">
        <f>_xll.BDP("9128284G Govt","IDX_RATIO")</f>
        <v>#N/A Field Not Applicable</v>
      </c>
    </row>
    <row r="391" spans="1:20" x14ac:dyDescent="0.25">
      <c r="A391" t="s">
        <v>14</v>
      </c>
      <c r="B391" t="str">
        <f>_xll.BDP("912828S2 Govt","TICKER")</f>
        <v>T</v>
      </c>
      <c r="C391">
        <f>_xll.BDP("912828S2 Govt","CPN")</f>
        <v>1.125</v>
      </c>
      <c r="D391" t="str">
        <f>_xll.BDP("912828S2 Govt","YLD_YTM_BID")</f>
        <v>#N/A N/A</v>
      </c>
      <c r="E391" t="str">
        <f>_xll.BDP("912828S2 Govt","MATURITY")</f>
        <v>6/30/2021</v>
      </c>
      <c r="F391" t="str">
        <f>_xll.BDP("912828S2 Govt","MTY_TYP")</f>
        <v>NORMAL</v>
      </c>
      <c r="G391" t="str">
        <f>_xll.BDP("912828S2 Govt","CRNCY")</f>
        <v>USD</v>
      </c>
      <c r="H391" t="str">
        <f>_xll.BDP("912828S2 Govt","COUNTRY_FULL_NAME")</f>
        <v>UNITED STATES</v>
      </c>
      <c r="I391" t="str">
        <f>_xll.BDP("912828S2 Govt","FIRST_CPN_DT")</f>
        <v>12/31/2016</v>
      </c>
      <c r="J391" t="str">
        <f>_xll.BDP("912828S2 Govt","COUPON_FREQUENCY_DESCRIPTION")</f>
        <v>S/A</v>
      </c>
      <c r="K391" t="str">
        <f>_xll.BDP("912828S2 Govt","CPN_TYP")</f>
        <v>FIXED</v>
      </c>
      <c r="L391" t="str">
        <f>_xll.BDP("912828S2 Govt","ID_ISIN")</f>
        <v>US912828S273</v>
      </c>
      <c r="M391">
        <v>38960000000</v>
      </c>
      <c r="N391">
        <v>0</v>
      </c>
      <c r="O391" t="str">
        <f>_xll.BDP("912828S2 Govt","ISSUE_DT")</f>
        <v>6/30/2016</v>
      </c>
      <c r="P391" t="str">
        <f>_xll.BDP("912828S2 Govt","SECURITY_NAME")</f>
        <v>T 1 1/8 06/30/21</v>
      </c>
      <c r="Q391" t="str">
        <f>_xll.BDP("912828S2 Govt","DAY_CNT_DES")</f>
        <v>ACT/ACT</v>
      </c>
      <c r="R391">
        <v>100</v>
      </c>
      <c r="S391" t="str">
        <f>_xll.BDP("912828S2 Govt","ID_CUSIP")</f>
        <v>912828S27</v>
      </c>
      <c r="T391" t="str">
        <f>_xll.BDP("912828S2 Govt","IDX_RATIO")</f>
        <v>#N/A Field Not Applicable</v>
      </c>
    </row>
    <row r="392" spans="1:20" x14ac:dyDescent="0.25">
      <c r="A392" t="s">
        <v>14</v>
      </c>
      <c r="B392" t="str">
        <f>_xll.BDP("912827KW Govt","TICKER")</f>
        <v>T</v>
      </c>
      <c r="C392">
        <f>_xll.BDP("912827KW Govt","CPN")</f>
        <v>8.875</v>
      </c>
      <c r="D392" t="str">
        <f>_xll.BDP("912827KW Govt","YLD_YTM_BID")</f>
        <v>#N/A N/A</v>
      </c>
      <c r="E392" t="str">
        <f>_xll.BDP("912827KW Govt","MATURITY")</f>
        <v>7/31/1982</v>
      </c>
      <c r="F392" t="str">
        <f>_xll.BDP("912827KW Govt","MTY_TYP")</f>
        <v>NORMAL</v>
      </c>
      <c r="G392" t="str">
        <f>_xll.BDP("912827KW Govt","CRNCY")</f>
        <v>USD</v>
      </c>
      <c r="H392" t="str">
        <f>_xll.BDP("912827KW Govt","COUNTRY_FULL_NAME")</f>
        <v>UNITED STATES</v>
      </c>
      <c r="I392" t="str">
        <f>_xll.BDP("912827KW Govt","FIRST_CPN_DT")</f>
        <v>1/31/1981</v>
      </c>
      <c r="J392" t="str">
        <f>_xll.BDP("912827KW Govt","COUPON_FREQUENCY_DESCRIPTION")</f>
        <v>S/A</v>
      </c>
      <c r="K392" t="str">
        <f>_xll.BDP("912827KW Govt","CPN_TYP")</f>
        <v>FIXED</v>
      </c>
      <c r="L392" t="str">
        <f>_xll.BDP("912827KW Govt","ID_ISIN")</f>
        <v>US912827KW15</v>
      </c>
      <c r="N392">
        <v>0</v>
      </c>
      <c r="O392" t="str">
        <f>_xll.BDP("912827KW Govt","ISSUE_DT")</f>
        <v>7/31/1980</v>
      </c>
      <c r="P392" t="str">
        <f>_xll.BDP("912827KW Govt","SECURITY_NAME")</f>
        <v>T 8 7/8 07/31/82</v>
      </c>
      <c r="Q392" t="str">
        <f>_xll.BDP("912827KW Govt","DAY_CNT_DES")</f>
        <v>ACT/ACT</v>
      </c>
      <c r="R392">
        <v>100</v>
      </c>
      <c r="S392" t="str">
        <f>_xll.BDP("912827KW Govt","ID_CUSIP")</f>
        <v>912827KW1</v>
      </c>
      <c r="T392" t="str">
        <f>_xll.BDP("912827KW Govt","IDX_RATIO")</f>
        <v>#N/A Field Not Applicable</v>
      </c>
    </row>
    <row r="393" spans="1:20" x14ac:dyDescent="0.25">
      <c r="A393" t="s">
        <v>14</v>
      </c>
      <c r="B393" t="str">
        <f>_xll.BDP("912828CJ Govt","TICKER")</f>
        <v>T</v>
      </c>
      <c r="C393">
        <f>_xll.BDP("912828CJ Govt","CPN")</f>
        <v>4.75</v>
      </c>
      <c r="D393" t="str">
        <f>_xll.BDP("912828CJ Govt","YLD_YTM_BID")</f>
        <v>#N/A N/A</v>
      </c>
      <c r="E393" t="str">
        <f>_xll.BDP("912828CJ Govt","MATURITY")</f>
        <v>5/15/2014</v>
      </c>
      <c r="F393" t="str">
        <f>_xll.BDP("912828CJ Govt","MTY_TYP")</f>
        <v>NORMAL</v>
      </c>
      <c r="G393" t="str">
        <f>_xll.BDP("912828CJ Govt","CRNCY")</f>
        <v>USD</v>
      </c>
      <c r="H393" t="str">
        <f>_xll.BDP("912828CJ Govt","COUNTRY_FULL_NAME")</f>
        <v>UNITED STATES</v>
      </c>
      <c r="I393" t="str">
        <f>_xll.BDP("912828CJ Govt","FIRST_CPN_DT")</f>
        <v>11/15/2004</v>
      </c>
      <c r="J393" t="str">
        <f>_xll.BDP("912828CJ Govt","COUPON_FREQUENCY_DESCRIPTION")</f>
        <v>S/A</v>
      </c>
      <c r="K393" t="str">
        <f>_xll.BDP("912828CJ Govt","CPN_TYP")</f>
        <v>FIXED</v>
      </c>
      <c r="L393" t="str">
        <f>_xll.BDP("912828CJ Govt","ID_ISIN")</f>
        <v>US912828CJ78</v>
      </c>
      <c r="M393">
        <v>27303000000</v>
      </c>
      <c r="N393">
        <v>0</v>
      </c>
      <c r="O393" t="str">
        <f>_xll.BDP("912828CJ Govt","ISSUE_DT")</f>
        <v>5/17/2004</v>
      </c>
      <c r="P393" t="str">
        <f>_xll.BDP("912828CJ Govt","SECURITY_NAME")</f>
        <v>T 4 3/4 05/15/14</v>
      </c>
      <c r="Q393" t="str">
        <f>_xll.BDP("912828CJ Govt","DAY_CNT_DES")</f>
        <v>ACT/ACT</v>
      </c>
      <c r="R393">
        <v>100</v>
      </c>
      <c r="S393" t="str">
        <f>_xll.BDP("912828CJ Govt","ID_CUSIP")</f>
        <v>912828CJ7</v>
      </c>
      <c r="T393" t="str">
        <f>_xll.BDP("912828CJ Govt","IDX_RATIO")</f>
        <v>#N/A Field Not Applicable</v>
      </c>
    </row>
    <row r="394" spans="1:20" x14ac:dyDescent="0.25">
      <c r="A394" t="s">
        <v>14</v>
      </c>
      <c r="B394" t="str">
        <f>_xll.BDP("912828FY Govt","TICKER")</f>
        <v>T</v>
      </c>
      <c r="C394">
        <f>_xll.BDP("912828FY Govt","CPN")</f>
        <v>4.625</v>
      </c>
      <c r="D394" t="str">
        <f>_xll.BDP("912828FY Govt","YLD_YTM_BID")</f>
        <v>#N/A N/A</v>
      </c>
      <c r="E394" t="str">
        <f>_xll.BDP("912828FY Govt","MATURITY")</f>
        <v>11/15/2016</v>
      </c>
      <c r="F394" t="str">
        <f>_xll.BDP("912828FY Govt","MTY_TYP")</f>
        <v>NORMAL</v>
      </c>
      <c r="G394" t="str">
        <f>_xll.BDP("912828FY Govt","CRNCY")</f>
        <v>USD</v>
      </c>
      <c r="H394" t="str">
        <f>_xll.BDP("912828FY Govt","COUNTRY_FULL_NAME")</f>
        <v>UNITED STATES</v>
      </c>
      <c r="I394" t="str">
        <f>_xll.BDP("912828FY Govt","FIRST_CPN_DT")</f>
        <v>5/15/2007</v>
      </c>
      <c r="J394" t="str">
        <f>_xll.BDP("912828FY Govt","COUPON_FREQUENCY_DESCRIPTION")</f>
        <v>S/A</v>
      </c>
      <c r="K394" t="str">
        <f>_xll.BDP("912828FY Govt","CPN_TYP")</f>
        <v>FIXED</v>
      </c>
      <c r="L394" t="str">
        <f>_xll.BDP("912828FY Govt","ID_ISIN")</f>
        <v>US912828FY19</v>
      </c>
      <c r="M394">
        <v>23294000000</v>
      </c>
      <c r="N394">
        <v>0</v>
      </c>
      <c r="O394" t="str">
        <f>_xll.BDP("912828FY Govt","ISSUE_DT")</f>
        <v>11/15/2006</v>
      </c>
      <c r="P394" t="str">
        <f>_xll.BDP("912828FY Govt","SECURITY_NAME")</f>
        <v>T 4 5/8 11/15/16</v>
      </c>
      <c r="Q394" t="str">
        <f>_xll.BDP("912828FY Govt","DAY_CNT_DES")</f>
        <v>ACT/ACT</v>
      </c>
      <c r="R394">
        <v>100</v>
      </c>
      <c r="S394" t="str">
        <f>_xll.BDP("912828FY Govt","ID_CUSIP")</f>
        <v>912828FY1</v>
      </c>
      <c r="T394" t="str">
        <f>_xll.BDP("912828FY Govt","IDX_RATIO")</f>
        <v>#N/A Field Not Applicable</v>
      </c>
    </row>
    <row r="395" spans="1:20" x14ac:dyDescent="0.25">
      <c r="A395" t="s">
        <v>14</v>
      </c>
      <c r="B395" t="str">
        <f>_xll.BDP("9128283Y Govt","TICKER")</f>
        <v>T</v>
      </c>
      <c r="C395">
        <f>_xll.BDP("9128283Y Govt","CPN")</f>
        <v>2.25</v>
      </c>
      <c r="D395" t="str">
        <f>_xll.BDP("9128283Y Govt","YLD_YTM_BID")</f>
        <v>#N/A N/A</v>
      </c>
      <c r="E395" t="str">
        <f>_xll.BDP("9128283Y Govt","MATURITY")</f>
        <v>2/29/2020</v>
      </c>
      <c r="F395" t="str">
        <f>_xll.BDP("9128283Y Govt","MTY_TYP")</f>
        <v>NORMAL</v>
      </c>
      <c r="G395" t="str">
        <f>_xll.BDP("9128283Y Govt","CRNCY")</f>
        <v>USD</v>
      </c>
      <c r="H395" t="str">
        <f>_xll.BDP("9128283Y Govt","COUNTRY_FULL_NAME")</f>
        <v>UNITED STATES</v>
      </c>
      <c r="I395" t="str">
        <f>_xll.BDP("9128283Y Govt","FIRST_CPN_DT")</f>
        <v>8/31/2018</v>
      </c>
      <c r="J395" t="str">
        <f>_xll.BDP("9128283Y Govt","COUPON_FREQUENCY_DESCRIPTION")</f>
        <v>S/A</v>
      </c>
      <c r="K395" t="str">
        <f>_xll.BDP("9128283Y Govt","CPN_TYP")</f>
        <v>FIXED</v>
      </c>
      <c r="L395" t="str">
        <f>_xll.BDP("9128283Y Govt","ID_ISIN")</f>
        <v>US9128283Y48</v>
      </c>
      <c r="M395">
        <v>34825000000</v>
      </c>
      <c r="N395">
        <v>0</v>
      </c>
      <c r="O395" t="str">
        <f>_xll.BDP("9128283Y Govt","ISSUE_DT")</f>
        <v>2/28/2018</v>
      </c>
      <c r="P395" t="str">
        <f>_xll.BDP("9128283Y Govt","SECURITY_NAME")</f>
        <v>T 2 1/4 02/29/20</v>
      </c>
      <c r="Q395" t="str">
        <f>_xll.BDP("9128283Y Govt","DAY_CNT_DES")</f>
        <v>ACT/ACT</v>
      </c>
      <c r="R395">
        <v>100</v>
      </c>
      <c r="S395" t="str">
        <f>_xll.BDP("9128283Y Govt","ID_CUSIP")</f>
        <v>9128283Y4</v>
      </c>
      <c r="T395" t="str">
        <f>_xll.BDP("9128283Y Govt","IDX_RATIO")</f>
        <v>#N/A Field Not Applicable</v>
      </c>
    </row>
    <row r="396" spans="1:20" x14ac:dyDescent="0.25">
      <c r="A396" t="s">
        <v>14</v>
      </c>
      <c r="B396" t="str">
        <f>_xll.BDP("912828JR Govt","TICKER")</f>
        <v>T</v>
      </c>
      <c r="C396">
        <f>_xll.BDP("912828JR Govt","CPN")</f>
        <v>3.75</v>
      </c>
      <c r="D396" t="str">
        <f>_xll.BDP("912828JR Govt","YLD_YTM_BID")</f>
        <v>#N/A N/A</v>
      </c>
      <c r="E396" t="str">
        <f>_xll.BDP("912828JR Govt","MATURITY")</f>
        <v>11/15/2018</v>
      </c>
      <c r="F396" t="str">
        <f>_xll.BDP("912828JR Govt","MTY_TYP")</f>
        <v>NORMAL</v>
      </c>
      <c r="G396" t="str">
        <f>_xll.BDP("912828JR Govt","CRNCY")</f>
        <v>USD</v>
      </c>
      <c r="H396" t="str">
        <f>_xll.BDP("912828JR Govt","COUNTRY_FULL_NAME")</f>
        <v>UNITED STATES</v>
      </c>
      <c r="I396" t="str">
        <f>_xll.BDP("912828JR Govt","FIRST_CPN_DT")</f>
        <v>5/15/2009</v>
      </c>
      <c r="J396" t="str">
        <f>_xll.BDP("912828JR Govt","COUPON_FREQUENCY_DESCRIPTION")</f>
        <v>S/A</v>
      </c>
      <c r="K396" t="str">
        <f>_xll.BDP("912828JR Govt","CPN_TYP")</f>
        <v>FIXED</v>
      </c>
      <c r="L396" t="str">
        <f>_xll.BDP("912828JR Govt","ID_ISIN")</f>
        <v>US912828JR22</v>
      </c>
      <c r="M396">
        <v>57351000000</v>
      </c>
      <c r="N396">
        <v>0</v>
      </c>
      <c r="O396" t="str">
        <f>_xll.BDP("912828JR Govt","ISSUE_DT")</f>
        <v>11/17/2008</v>
      </c>
      <c r="P396" t="str">
        <f>_xll.BDP("912828JR Govt","SECURITY_NAME")</f>
        <v>T 3 3/4 11/15/18</v>
      </c>
      <c r="Q396" t="str">
        <f>_xll.BDP("912828JR Govt","DAY_CNT_DES")</f>
        <v>ACT/ACT</v>
      </c>
      <c r="R396">
        <v>100</v>
      </c>
      <c r="S396" t="str">
        <f>_xll.BDP("912828JR Govt","ID_CUSIP")</f>
        <v>912828JR2</v>
      </c>
      <c r="T396" t="str">
        <f>_xll.BDP("912828JR Govt","IDX_RATIO")</f>
        <v>#N/A Field Not Applicable</v>
      </c>
    </row>
    <row r="397" spans="1:20" x14ac:dyDescent="0.25">
      <c r="A397" t="s">
        <v>14</v>
      </c>
      <c r="B397" t="str">
        <f>_xll.BDP("912828EX Govt","TICKER")</f>
        <v>T</v>
      </c>
      <c r="C397">
        <f>_xll.BDP("912828EX Govt","CPN")</f>
        <v>4.5</v>
      </c>
      <c r="D397" t="str">
        <f>_xll.BDP("912828EX Govt","YLD_YTM_BID")</f>
        <v>#N/A N/A</v>
      </c>
      <c r="E397" t="str">
        <f>_xll.BDP("912828EX Govt","MATURITY")</f>
        <v>2/28/2011</v>
      </c>
      <c r="F397" t="str">
        <f>_xll.BDP("912828EX Govt","MTY_TYP")</f>
        <v>NORMAL</v>
      </c>
      <c r="G397" t="str">
        <f>_xll.BDP("912828EX Govt","CRNCY")</f>
        <v>USD</v>
      </c>
      <c r="H397" t="str">
        <f>_xll.BDP("912828EX Govt","COUNTRY_FULL_NAME")</f>
        <v>UNITED STATES</v>
      </c>
      <c r="I397" t="str">
        <f>_xll.BDP("912828EX Govt","FIRST_CPN_DT")</f>
        <v>8/31/2006</v>
      </c>
      <c r="J397" t="str">
        <f>_xll.BDP("912828EX Govt","COUPON_FREQUENCY_DESCRIPTION")</f>
        <v>S/A</v>
      </c>
      <c r="K397" t="str">
        <f>_xll.BDP("912828EX Govt","CPN_TYP")</f>
        <v>FIXED</v>
      </c>
      <c r="L397" t="str">
        <f>_xll.BDP("912828EX Govt","ID_ISIN")</f>
        <v>US912828EX45</v>
      </c>
      <c r="M397">
        <v>17500000000</v>
      </c>
      <c r="N397">
        <v>0</v>
      </c>
      <c r="O397" t="str">
        <f>_xll.BDP("912828EX Govt","ISSUE_DT")</f>
        <v>2/28/2006</v>
      </c>
      <c r="P397" t="str">
        <f>_xll.BDP("912828EX Govt","SECURITY_NAME")</f>
        <v>T 4 1/2 02/28/11</v>
      </c>
      <c r="Q397" t="str">
        <f>_xll.BDP("912828EX Govt","DAY_CNT_DES")</f>
        <v>ACT/ACT</v>
      </c>
      <c r="R397">
        <v>100</v>
      </c>
      <c r="S397" t="str">
        <f>_xll.BDP("912828EX Govt","ID_CUSIP")</f>
        <v>912828EX4</v>
      </c>
      <c r="T397" t="str">
        <f>_xll.BDP("912828EX Govt","IDX_RATIO")</f>
        <v>#N/A Field Not Applicable</v>
      </c>
    </row>
    <row r="398" spans="1:20" x14ac:dyDescent="0.25">
      <c r="A398" t="s">
        <v>14</v>
      </c>
      <c r="B398" t="str">
        <f>_xll.BDP("912828KB Govt","TICKER")</f>
        <v>T</v>
      </c>
      <c r="C398">
        <f>_xll.BDP("912828KB Govt","CPN")</f>
        <v>1.125</v>
      </c>
      <c r="D398" t="str">
        <f>_xll.BDP("912828KB Govt","YLD_YTM_BID")</f>
        <v>#N/A N/A</v>
      </c>
      <c r="E398" t="str">
        <f>_xll.BDP("912828KB Govt","MATURITY")</f>
        <v>1/15/2012</v>
      </c>
      <c r="F398" t="str">
        <f>_xll.BDP("912828KB Govt","MTY_TYP")</f>
        <v>NORMAL</v>
      </c>
      <c r="G398" t="str">
        <f>_xll.BDP("912828KB Govt","CRNCY")</f>
        <v>USD</v>
      </c>
      <c r="H398" t="str">
        <f>_xll.BDP("912828KB Govt","COUNTRY_FULL_NAME")</f>
        <v>UNITED STATES</v>
      </c>
      <c r="I398" t="str">
        <f>_xll.BDP("912828KB Govt","FIRST_CPN_DT")</f>
        <v>7/15/2009</v>
      </c>
      <c r="J398" t="str">
        <f>_xll.BDP("912828KB Govt","COUPON_FREQUENCY_DESCRIPTION")</f>
        <v>S/A</v>
      </c>
      <c r="K398" t="str">
        <f>_xll.BDP("912828KB Govt","CPN_TYP")</f>
        <v>FIXED</v>
      </c>
      <c r="L398" t="str">
        <f>_xll.BDP("912828KB Govt","ID_ISIN")</f>
        <v>US912828KB50</v>
      </c>
      <c r="M398">
        <v>32484000000</v>
      </c>
      <c r="N398">
        <v>0</v>
      </c>
      <c r="O398" t="str">
        <f>_xll.BDP("912828KB Govt","ISSUE_DT")</f>
        <v>1/15/2009</v>
      </c>
      <c r="P398" t="str">
        <f>_xll.BDP("912828KB Govt","SECURITY_NAME")</f>
        <v>T 1 1/8 01/15/12</v>
      </c>
      <c r="Q398" t="str">
        <f>_xll.BDP("912828KB Govt","DAY_CNT_DES")</f>
        <v>ACT/ACT</v>
      </c>
      <c r="R398">
        <v>100</v>
      </c>
      <c r="S398" t="str">
        <f>_xll.BDP("912828KB Govt","ID_CUSIP")</f>
        <v>912828KB5</v>
      </c>
      <c r="T398" t="str">
        <f>_xll.BDP("912828KB Govt","IDX_RATIO")</f>
        <v>#N/A Field Not Applicable</v>
      </c>
    </row>
    <row r="399" spans="1:20" x14ac:dyDescent="0.25">
      <c r="A399" t="s">
        <v>14</v>
      </c>
      <c r="B399" t="str">
        <f>_xll.BDP("912810DJ Govt","TICKER")</f>
        <v>T</v>
      </c>
      <c r="C399">
        <f>_xll.BDP("912810DJ Govt","CPN")</f>
        <v>13.25</v>
      </c>
      <c r="D399" t="str">
        <f>_xll.BDP("912810DJ Govt","YLD_YTM_BID")</f>
        <v>#N/A N/A</v>
      </c>
      <c r="E399" t="str">
        <f>_xll.BDP("912810DJ Govt","MATURITY")</f>
        <v>5/15/2014</v>
      </c>
      <c r="F399" t="str">
        <f>_xll.BDP("912810DJ Govt","MTY_TYP")</f>
        <v>CALLABLE</v>
      </c>
      <c r="G399" t="str">
        <f>_xll.BDP("912810DJ Govt","CRNCY")</f>
        <v>USD</v>
      </c>
      <c r="H399" t="str">
        <f>_xll.BDP("912810DJ Govt","COUNTRY_FULL_NAME")</f>
        <v>UNITED STATES</v>
      </c>
      <c r="I399" t="str">
        <f>_xll.BDP("912810DJ Govt","FIRST_CPN_DT")</f>
        <v>11/15/1984</v>
      </c>
      <c r="J399" t="str">
        <f>_xll.BDP("912810DJ Govt","COUPON_FREQUENCY_DESCRIPTION")</f>
        <v>S/A</v>
      </c>
      <c r="K399" t="str">
        <f>_xll.BDP("912810DJ Govt","CPN_TYP")</f>
        <v>FIXED</v>
      </c>
      <c r="L399" t="str">
        <f>_xll.BDP("912810DJ Govt","ID_ISIN")</f>
        <v>US912810DJ44</v>
      </c>
      <c r="M399">
        <v>5007000000</v>
      </c>
      <c r="N399">
        <v>0</v>
      </c>
      <c r="O399" t="str">
        <f>_xll.BDP("912810DJ Govt","ISSUE_DT")</f>
        <v>5/15/1984</v>
      </c>
      <c r="P399" t="str">
        <f>_xll.BDP("912810DJ Govt","SECURITY_NAME")</f>
        <v>T 13 1/4 05/15/14</v>
      </c>
      <c r="Q399" t="str">
        <f>_xll.BDP("912810DJ Govt","DAY_CNT_DES")</f>
        <v>ACT/ACT</v>
      </c>
      <c r="R399">
        <v>100</v>
      </c>
      <c r="S399" t="str">
        <f>_xll.BDP("912810DJ Govt","ID_CUSIP")</f>
        <v>912810DJ4</v>
      </c>
      <c r="T399" t="str">
        <f>_xll.BDP("912810DJ Govt","IDX_RATIO")</f>
        <v>#N/A Field Not Applicable</v>
      </c>
    </row>
    <row r="400" spans="1:20" x14ac:dyDescent="0.25">
      <c r="A400" t="s">
        <v>14</v>
      </c>
      <c r="B400" t="str">
        <f>_xll.BDP("912810EH Govt","TICKER")</f>
        <v>T</v>
      </c>
      <c r="C400">
        <f>_xll.BDP("912810EH Govt","CPN")</f>
        <v>7.875</v>
      </c>
      <c r="D400" t="str">
        <f>_xll.BDP("912810EH Govt","YLD_YTM_BID")</f>
        <v>#N/A N/A</v>
      </c>
      <c r="E400" t="str">
        <f>_xll.BDP("912810EH Govt","MATURITY")</f>
        <v>2/15/2021</v>
      </c>
      <c r="F400" t="str">
        <f>_xll.BDP("912810EH Govt","MTY_TYP")</f>
        <v>NORMAL</v>
      </c>
      <c r="G400" t="str">
        <f>_xll.BDP("912810EH Govt","CRNCY")</f>
        <v>USD</v>
      </c>
      <c r="H400" t="str">
        <f>_xll.BDP("912810EH Govt","COUNTRY_FULL_NAME")</f>
        <v>UNITED STATES</v>
      </c>
      <c r="I400" t="str">
        <f>_xll.BDP("912810EH Govt","FIRST_CPN_DT")</f>
        <v>8/15/1991</v>
      </c>
      <c r="J400" t="str">
        <f>_xll.BDP("912810EH Govt","COUPON_FREQUENCY_DESCRIPTION")</f>
        <v>S/A</v>
      </c>
      <c r="K400" t="str">
        <f>_xll.BDP("912810EH Govt","CPN_TYP")</f>
        <v>FIXED</v>
      </c>
      <c r="L400" t="str">
        <f>_xll.BDP("912810EH Govt","ID_ISIN")</f>
        <v>US912810EH78</v>
      </c>
      <c r="M400">
        <v>11113000000</v>
      </c>
      <c r="N400">
        <v>0</v>
      </c>
      <c r="O400" t="str">
        <f>_xll.BDP("912810EH Govt","ISSUE_DT")</f>
        <v>2/15/1991</v>
      </c>
      <c r="P400" t="str">
        <f>_xll.BDP("912810EH Govt","SECURITY_NAME")</f>
        <v>T 7 7/8 02/15/21</v>
      </c>
      <c r="Q400" t="str">
        <f>_xll.BDP("912810EH Govt","DAY_CNT_DES")</f>
        <v>ACT/ACT</v>
      </c>
      <c r="R400">
        <v>100</v>
      </c>
      <c r="S400" t="str">
        <f>_xll.BDP("912810EH Govt","ID_CUSIP")</f>
        <v>912810EH7</v>
      </c>
      <c r="T400" t="str">
        <f>_xll.BDP("912810EH Govt","IDX_RATIO")</f>
        <v>#N/A Field Not Applicable</v>
      </c>
    </row>
    <row r="401" spans="1:20" x14ac:dyDescent="0.25">
      <c r="A401" t="s">
        <v>14</v>
      </c>
      <c r="B401" t="str">
        <f>_xll.BDP("912828QL Govt","TICKER")</f>
        <v>T</v>
      </c>
      <c r="C401">
        <f>_xll.BDP("912828QL Govt","CPN")</f>
        <v>0.75</v>
      </c>
      <c r="D401" t="str">
        <f>_xll.BDP("912828QL Govt","YLD_YTM_BID")</f>
        <v>#N/A N/A</v>
      </c>
      <c r="E401" t="str">
        <f>_xll.BDP("912828QL Govt","MATURITY")</f>
        <v>3/31/2013</v>
      </c>
      <c r="F401" t="str">
        <f>_xll.BDP("912828QL Govt","MTY_TYP")</f>
        <v>NORMAL</v>
      </c>
      <c r="G401" t="str">
        <f>_xll.BDP("912828QL Govt","CRNCY")</f>
        <v>USD</v>
      </c>
      <c r="H401" t="str">
        <f>_xll.BDP("912828QL Govt","COUNTRY_FULL_NAME")</f>
        <v>UNITED STATES</v>
      </c>
      <c r="I401" t="str">
        <f>_xll.BDP("912828QL Govt","FIRST_CPN_DT")</f>
        <v>9/30/2011</v>
      </c>
      <c r="J401" t="str">
        <f>_xll.BDP("912828QL Govt","COUPON_FREQUENCY_DESCRIPTION")</f>
        <v>S/A</v>
      </c>
      <c r="K401" t="str">
        <f>_xll.BDP("912828QL Govt","CPN_TYP")</f>
        <v>FIXED</v>
      </c>
      <c r="L401" t="str">
        <f>_xll.BDP("912828QL Govt","ID_ISIN")</f>
        <v>US912828QL78</v>
      </c>
      <c r="M401">
        <v>36570000000</v>
      </c>
      <c r="N401">
        <v>0</v>
      </c>
      <c r="O401" t="str">
        <f>_xll.BDP("912828QL Govt","ISSUE_DT")</f>
        <v>3/31/2011</v>
      </c>
      <c r="P401" t="str">
        <f>_xll.BDP("912828QL Govt","SECURITY_NAME")</f>
        <v>T 0 3/4 03/31/13</v>
      </c>
      <c r="Q401" t="str">
        <f>_xll.BDP("912828QL Govt","DAY_CNT_DES")</f>
        <v>ACT/ACT</v>
      </c>
      <c r="R401">
        <v>100</v>
      </c>
      <c r="S401" t="str">
        <f>_xll.BDP("912828QL Govt","ID_CUSIP")</f>
        <v>912828QL7</v>
      </c>
      <c r="T401" t="str">
        <f>_xll.BDP("912828QL Govt","IDX_RATIO")</f>
        <v>#N/A Field Not Applicable</v>
      </c>
    </row>
    <row r="402" spans="1:20" x14ac:dyDescent="0.25">
      <c r="A402" t="s">
        <v>14</v>
      </c>
      <c r="B402" t="str">
        <f>_xll.BDP("912828TR Govt","TICKER")</f>
        <v>T</v>
      </c>
      <c r="C402">
        <f>_xll.BDP("912828TR Govt","CPN")</f>
        <v>1</v>
      </c>
      <c r="D402" t="str">
        <f>_xll.BDP("912828TR Govt","YLD_YTM_BID")</f>
        <v>#N/A N/A</v>
      </c>
      <c r="E402" t="str">
        <f>_xll.BDP("912828TR Govt","MATURITY")</f>
        <v>9/30/2019</v>
      </c>
      <c r="F402" t="str">
        <f>_xll.BDP("912828TR Govt","MTY_TYP")</f>
        <v>NORMAL</v>
      </c>
      <c r="G402" t="str">
        <f>_xll.BDP("912828TR Govt","CRNCY")</f>
        <v>USD</v>
      </c>
      <c r="H402" t="str">
        <f>_xll.BDP("912828TR Govt","COUNTRY_FULL_NAME")</f>
        <v>UNITED STATES</v>
      </c>
      <c r="I402" t="str">
        <f>_xll.BDP("912828TR Govt","FIRST_CPN_DT")</f>
        <v>3/31/2013</v>
      </c>
      <c r="J402" t="str">
        <f>_xll.BDP("912828TR Govt","COUPON_FREQUENCY_DESCRIPTION")</f>
        <v>S/A</v>
      </c>
      <c r="K402" t="str">
        <f>_xll.BDP("912828TR Govt","CPN_TYP")</f>
        <v>FIXED</v>
      </c>
      <c r="L402" t="str">
        <f>_xll.BDP("912828TR Govt","ID_ISIN")</f>
        <v>US912828TR12</v>
      </c>
      <c r="M402">
        <v>29000000000</v>
      </c>
      <c r="N402">
        <v>0</v>
      </c>
      <c r="O402" t="str">
        <f>_xll.BDP("912828TR Govt","ISSUE_DT")</f>
        <v>10/1/2012</v>
      </c>
      <c r="P402" t="str">
        <f>_xll.BDP("912828TR Govt","SECURITY_NAME")</f>
        <v>T 1 09/30/19</v>
      </c>
      <c r="Q402" t="str">
        <f>_xll.BDP("912828TR Govt","DAY_CNT_DES")</f>
        <v>ACT/ACT</v>
      </c>
      <c r="R402">
        <v>100</v>
      </c>
      <c r="S402" t="str">
        <f>_xll.BDP("912828TR Govt","ID_CUSIP")</f>
        <v>912828TR1</v>
      </c>
      <c r="T402" t="str">
        <f>_xll.BDP("912828TR Govt","IDX_RATIO")</f>
        <v>#N/A Field Not Applicable</v>
      </c>
    </row>
    <row r="403" spans="1:20" x14ac:dyDescent="0.25">
      <c r="A403" t="s">
        <v>14</v>
      </c>
      <c r="B403" t="str">
        <f>_xll.BDP("912828J5 Govt","TICKER")</f>
        <v>T</v>
      </c>
      <c r="C403">
        <f>_xll.BDP("912828J5 Govt","CPN")</f>
        <v>1.375</v>
      </c>
      <c r="D403" t="str">
        <f>_xll.BDP("912828J5 Govt","YLD_YTM_BID")</f>
        <v>#N/A N/A</v>
      </c>
      <c r="E403" t="str">
        <f>_xll.BDP("912828J5 Govt","MATURITY")</f>
        <v>2/29/2020</v>
      </c>
      <c r="F403" t="str">
        <f>_xll.BDP("912828J5 Govt","MTY_TYP")</f>
        <v>NORMAL</v>
      </c>
      <c r="G403" t="str">
        <f>_xll.BDP("912828J5 Govt","CRNCY")</f>
        <v>USD</v>
      </c>
      <c r="H403" t="str">
        <f>_xll.BDP("912828J5 Govt","COUNTRY_FULL_NAME")</f>
        <v>UNITED STATES</v>
      </c>
      <c r="I403" t="str">
        <f>_xll.BDP("912828J5 Govt","FIRST_CPN_DT")</f>
        <v>8/31/2015</v>
      </c>
      <c r="J403" t="str">
        <f>_xll.BDP("912828J5 Govt","COUPON_FREQUENCY_DESCRIPTION")</f>
        <v>S/A</v>
      </c>
      <c r="K403" t="str">
        <f>_xll.BDP("912828J5 Govt","CPN_TYP")</f>
        <v>FIXED</v>
      </c>
      <c r="L403" t="str">
        <f>_xll.BDP("912828J5 Govt","ID_ISIN")</f>
        <v>US912828J504</v>
      </c>
      <c r="M403">
        <v>34999000000</v>
      </c>
      <c r="N403">
        <v>0</v>
      </c>
      <c r="O403" t="str">
        <f>_xll.BDP("912828J5 Govt","ISSUE_DT")</f>
        <v>3/2/2015</v>
      </c>
      <c r="P403" t="str">
        <f>_xll.BDP("912828J5 Govt","SECURITY_NAME")</f>
        <v>T 1 3/8 02/29/20</v>
      </c>
      <c r="Q403" t="str">
        <f>_xll.BDP("912828J5 Govt","DAY_CNT_DES")</f>
        <v>ACT/ACT</v>
      </c>
      <c r="R403">
        <v>100</v>
      </c>
      <c r="S403" t="str">
        <f>_xll.BDP("912828J5 Govt","ID_CUSIP")</f>
        <v>912828J50</v>
      </c>
      <c r="T403" t="str">
        <f>_xll.BDP("912828J5 Govt","IDX_RATIO")</f>
        <v>#N/A Field Not Applicable</v>
      </c>
    </row>
    <row r="404" spans="1:20" x14ac:dyDescent="0.25">
      <c r="A404" t="s">
        <v>14</v>
      </c>
      <c r="B404" t="str">
        <f>_xll.BDP("912828SU Govt","TICKER")</f>
        <v>T</v>
      </c>
      <c r="C404">
        <f>_xll.BDP("912828SU Govt","CPN")</f>
        <v>0.25</v>
      </c>
      <c r="D404" t="str">
        <f>_xll.BDP("912828SU Govt","YLD_YTM_BID")</f>
        <v>#N/A N/A</v>
      </c>
      <c r="E404" t="str">
        <f>_xll.BDP("912828SU Govt","MATURITY")</f>
        <v>5/15/2015</v>
      </c>
      <c r="F404" t="str">
        <f>_xll.BDP("912828SU Govt","MTY_TYP")</f>
        <v>NORMAL</v>
      </c>
      <c r="G404" t="str">
        <f>_xll.BDP("912828SU Govt","CRNCY")</f>
        <v>USD</v>
      </c>
      <c r="H404" t="str">
        <f>_xll.BDP("912828SU Govt","COUNTRY_FULL_NAME")</f>
        <v>UNITED STATES</v>
      </c>
      <c r="I404" t="str">
        <f>_xll.BDP("912828SU Govt","FIRST_CPN_DT")</f>
        <v>11/15/2012</v>
      </c>
      <c r="J404" t="str">
        <f>_xll.BDP("912828SU Govt","COUPON_FREQUENCY_DESCRIPTION")</f>
        <v>S/A</v>
      </c>
      <c r="K404" t="str">
        <f>_xll.BDP("912828SU Govt","CPN_TYP")</f>
        <v>FIXED</v>
      </c>
      <c r="L404" t="str">
        <f>_xll.BDP("912828SU Govt","ID_ISIN")</f>
        <v>US912828SU59</v>
      </c>
      <c r="M404">
        <v>34002000000</v>
      </c>
      <c r="N404">
        <v>0</v>
      </c>
      <c r="O404" t="str">
        <f>_xll.BDP("912828SU Govt","ISSUE_DT")</f>
        <v>5/15/2012</v>
      </c>
      <c r="P404" t="str">
        <f>_xll.BDP("912828SU Govt","SECURITY_NAME")</f>
        <v>T 0 1/4 05/15/15</v>
      </c>
      <c r="Q404" t="str">
        <f>_xll.BDP("912828SU Govt","DAY_CNT_DES")</f>
        <v>ACT/ACT</v>
      </c>
      <c r="R404">
        <v>100</v>
      </c>
      <c r="S404" t="str">
        <f>_xll.BDP("912828SU Govt","ID_CUSIP")</f>
        <v>912828SU5</v>
      </c>
      <c r="T404" t="str">
        <f>_xll.BDP("912828SU Govt","IDX_RATIO")</f>
        <v>#N/A Field Not Applicable</v>
      </c>
    </row>
    <row r="405" spans="1:20" x14ac:dyDescent="0.25">
      <c r="A405" t="s">
        <v>14</v>
      </c>
      <c r="B405" t="str">
        <f>_xll.BDP("912810CP Govt","TICKER")</f>
        <v>T</v>
      </c>
      <c r="C405">
        <f>_xll.BDP("912810CP Govt","CPN")</f>
        <v>10</v>
      </c>
      <c r="D405" t="str">
        <f>_xll.BDP("912810CP Govt","YLD_YTM_BID")</f>
        <v>#N/A N/A</v>
      </c>
      <c r="E405" t="str">
        <f>_xll.BDP("912810CP Govt","MATURITY")</f>
        <v>5/15/2010</v>
      </c>
      <c r="F405" t="str">
        <f>_xll.BDP("912810CP Govt","MTY_TYP")</f>
        <v>CALLABLE</v>
      </c>
      <c r="G405" t="str">
        <f>_xll.BDP("912810CP Govt","CRNCY")</f>
        <v>USD</v>
      </c>
      <c r="H405" t="str">
        <f>_xll.BDP("912810CP Govt","COUNTRY_FULL_NAME")</f>
        <v>UNITED STATES</v>
      </c>
      <c r="I405" t="str">
        <f>_xll.BDP("912810CP Govt","FIRST_CPN_DT")</f>
        <v>11/15/1980</v>
      </c>
      <c r="J405" t="str">
        <f>_xll.BDP("912810CP Govt","COUPON_FREQUENCY_DESCRIPTION")</f>
        <v>S/A</v>
      </c>
      <c r="K405" t="str">
        <f>_xll.BDP("912810CP Govt","CPN_TYP")</f>
        <v>FIXED</v>
      </c>
      <c r="L405" t="str">
        <f>_xll.BDP("912810CP Govt","ID_ISIN")</f>
        <v>US912810CP13</v>
      </c>
      <c r="M405">
        <v>2987000000</v>
      </c>
      <c r="N405">
        <v>0</v>
      </c>
      <c r="O405" t="str">
        <f>_xll.BDP("912810CP Govt","ISSUE_DT")</f>
        <v>5/15/1980</v>
      </c>
      <c r="P405" t="str">
        <f>_xll.BDP("912810CP Govt","SECURITY_NAME")</f>
        <v>T 10 05/15/10</v>
      </c>
      <c r="Q405" t="str">
        <f>_xll.BDP("912810CP Govt","DAY_CNT_DES")</f>
        <v>ACT/ACT</v>
      </c>
      <c r="R405">
        <v>100</v>
      </c>
      <c r="S405" t="str">
        <f>_xll.BDP("912810CP Govt","ID_CUSIP")</f>
        <v>912810CP1</v>
      </c>
      <c r="T405" t="str">
        <f>_xll.BDP("912810CP Govt","IDX_RATIO")</f>
        <v>#N/A Field Not Applicable</v>
      </c>
    </row>
    <row r="406" spans="1:20" x14ac:dyDescent="0.25">
      <c r="A406" t="s">
        <v>14</v>
      </c>
      <c r="B406" t="str">
        <f>_xll.BDP("912828F3 Govt","TICKER")</f>
        <v>T</v>
      </c>
      <c r="C406">
        <f>_xll.BDP("912828F3 Govt","CPN")</f>
        <v>1.75</v>
      </c>
      <c r="D406" t="str">
        <f>_xll.BDP("912828F3 Govt","YLD_YTM_BID")</f>
        <v>#N/A N/A</v>
      </c>
      <c r="E406" t="str">
        <f>_xll.BDP("912828F3 Govt","MATURITY")</f>
        <v>9/30/2019</v>
      </c>
      <c r="F406" t="str">
        <f>_xll.BDP("912828F3 Govt","MTY_TYP")</f>
        <v>NORMAL</v>
      </c>
      <c r="G406" t="str">
        <f>_xll.BDP("912828F3 Govt","CRNCY")</f>
        <v>USD</v>
      </c>
      <c r="H406" t="str">
        <f>_xll.BDP("912828F3 Govt","COUNTRY_FULL_NAME")</f>
        <v>UNITED STATES</v>
      </c>
      <c r="I406" t="str">
        <f>_xll.BDP("912828F3 Govt","FIRST_CPN_DT")</f>
        <v>3/31/2015</v>
      </c>
      <c r="J406" t="str">
        <f>_xll.BDP("912828F3 Govt","COUPON_FREQUENCY_DESCRIPTION")</f>
        <v>S/A</v>
      </c>
      <c r="K406" t="str">
        <f>_xll.BDP("912828F3 Govt","CPN_TYP")</f>
        <v>FIXED</v>
      </c>
      <c r="L406" t="str">
        <f>_xll.BDP("912828F3 Govt","ID_ISIN")</f>
        <v>US912828F395</v>
      </c>
      <c r="M406">
        <v>35000000000</v>
      </c>
      <c r="N406">
        <v>0</v>
      </c>
      <c r="O406" t="str">
        <f>_xll.BDP("912828F3 Govt","ISSUE_DT")</f>
        <v>9/30/2014</v>
      </c>
      <c r="P406" t="str">
        <f>_xll.BDP("912828F3 Govt","SECURITY_NAME")</f>
        <v>T 1 3/4 09/30/19</v>
      </c>
      <c r="Q406" t="str">
        <f>_xll.BDP("912828F3 Govt","DAY_CNT_DES")</f>
        <v>ACT/ACT</v>
      </c>
      <c r="R406">
        <v>100</v>
      </c>
      <c r="S406" t="str">
        <f>_xll.BDP("912828F3 Govt","ID_CUSIP")</f>
        <v>912828F39</v>
      </c>
      <c r="T406" t="str">
        <f>_xll.BDP("912828F3 Govt","IDX_RATIO")</f>
        <v>#N/A Field Not Applicable</v>
      </c>
    </row>
    <row r="407" spans="1:20" x14ac:dyDescent="0.25">
      <c r="A407" t="s">
        <v>14</v>
      </c>
      <c r="B407" t="str">
        <f>_xll.BDP("912828QJ Govt","TICKER")</f>
        <v>T</v>
      </c>
      <c r="C407">
        <f>_xll.BDP("912828QJ Govt","CPN")</f>
        <v>2.125</v>
      </c>
      <c r="D407" t="str">
        <f>_xll.BDP("912828QJ Govt","YLD_YTM_BID")</f>
        <v>#N/A N/A</v>
      </c>
      <c r="E407" t="str">
        <f>_xll.BDP("912828QJ Govt","MATURITY")</f>
        <v>2/29/2016</v>
      </c>
      <c r="F407" t="str">
        <f>_xll.BDP("912828QJ Govt","MTY_TYP")</f>
        <v>NORMAL</v>
      </c>
      <c r="G407" t="str">
        <f>_xll.BDP("912828QJ Govt","CRNCY")</f>
        <v>USD</v>
      </c>
      <c r="H407" t="str">
        <f>_xll.BDP("912828QJ Govt","COUNTRY_FULL_NAME")</f>
        <v>UNITED STATES</v>
      </c>
      <c r="I407" t="str">
        <f>_xll.BDP("912828QJ Govt","FIRST_CPN_DT")</f>
        <v>8/31/2011</v>
      </c>
      <c r="J407" t="str">
        <f>_xll.BDP("912828QJ Govt","COUPON_FREQUENCY_DESCRIPTION")</f>
        <v>S/A</v>
      </c>
      <c r="K407" t="str">
        <f>_xll.BDP("912828QJ Govt","CPN_TYP")</f>
        <v>FIXED</v>
      </c>
      <c r="L407" t="str">
        <f>_xll.BDP("912828QJ Govt","ID_ISIN")</f>
        <v>US912828QJ23</v>
      </c>
      <c r="M407">
        <v>36923000000</v>
      </c>
      <c r="N407">
        <v>0</v>
      </c>
      <c r="O407" t="str">
        <f>_xll.BDP("912828QJ Govt","ISSUE_DT")</f>
        <v>2/28/2011</v>
      </c>
      <c r="P407" t="str">
        <f>_xll.BDP("912828QJ Govt","SECURITY_NAME")</f>
        <v>T 2 1/8 02/29/16</v>
      </c>
      <c r="Q407" t="str">
        <f>_xll.BDP("912828QJ Govt","DAY_CNT_DES")</f>
        <v>ACT/ACT</v>
      </c>
      <c r="R407">
        <v>100</v>
      </c>
      <c r="S407" t="str">
        <f>_xll.BDP("912828QJ Govt","ID_CUSIP")</f>
        <v>912828QJ2</v>
      </c>
      <c r="T407" t="str">
        <f>_xll.BDP("912828QJ Govt","IDX_RATIO")</f>
        <v>#N/A Field Not Applicable</v>
      </c>
    </row>
    <row r="408" spans="1:20" x14ac:dyDescent="0.25">
      <c r="A408" t="s">
        <v>14</v>
      </c>
      <c r="B408" t="str">
        <f>_xll.BDP("912828BA Govt","TICKER")</f>
        <v>T</v>
      </c>
      <c r="C408">
        <f>_xll.BDP("912828BA Govt","CPN")</f>
        <v>3.625</v>
      </c>
      <c r="D408" t="str">
        <f>_xll.BDP("912828BA Govt","YLD_YTM_BID")</f>
        <v>#N/A N/A</v>
      </c>
      <c r="E408" t="str">
        <f>_xll.BDP("912828BA Govt","MATURITY")</f>
        <v>5/15/2013</v>
      </c>
      <c r="F408" t="str">
        <f>_xll.BDP("912828BA Govt","MTY_TYP")</f>
        <v>NORMAL</v>
      </c>
      <c r="G408" t="str">
        <f>_xll.BDP("912828BA Govt","CRNCY")</f>
        <v>USD</v>
      </c>
      <c r="H408" t="str">
        <f>_xll.BDP("912828BA Govt","COUNTRY_FULL_NAME")</f>
        <v>UNITED STATES</v>
      </c>
      <c r="I408" t="str">
        <f>_xll.BDP("912828BA Govt","FIRST_CPN_DT")</f>
        <v>11/15/2003</v>
      </c>
      <c r="J408" t="str">
        <f>_xll.BDP("912828BA Govt","COUPON_FREQUENCY_DESCRIPTION")</f>
        <v>S/A</v>
      </c>
      <c r="K408" t="str">
        <f>_xll.BDP("912828BA Govt","CPN_TYP")</f>
        <v>FIXED</v>
      </c>
      <c r="L408" t="str">
        <f>_xll.BDP("912828BA Govt","ID_ISIN")</f>
        <v>US912828BA78</v>
      </c>
      <c r="M408">
        <v>18254000000</v>
      </c>
      <c r="N408">
        <v>0</v>
      </c>
      <c r="O408" t="str">
        <f>_xll.BDP("912828BA Govt","ISSUE_DT")</f>
        <v>5/15/2003</v>
      </c>
      <c r="P408" t="str">
        <f>_xll.BDP("912828BA Govt","SECURITY_NAME")</f>
        <v>T 3 5/8 05/15/13</v>
      </c>
      <c r="Q408" t="str">
        <f>_xll.BDP("912828BA Govt","DAY_CNT_DES")</f>
        <v>ACT/ACT</v>
      </c>
      <c r="R408">
        <v>100</v>
      </c>
      <c r="S408" t="str">
        <f>_xll.BDP("912828BA Govt","ID_CUSIP")</f>
        <v>912828BA7</v>
      </c>
      <c r="T408" t="str">
        <f>_xll.BDP("912828BA Govt","IDX_RATIO")</f>
        <v>#N/A Field Not Applicable</v>
      </c>
    </row>
    <row r="409" spans="1:20" x14ac:dyDescent="0.25">
      <c r="A409" t="s">
        <v>14</v>
      </c>
      <c r="B409" t="str">
        <f>_xll.BDP("912828TL Govt","TICKER")</f>
        <v>T</v>
      </c>
      <c r="C409">
        <f>_xll.BDP("912828TL Govt","CPN")</f>
        <v>0.25</v>
      </c>
      <c r="D409" t="str">
        <f>_xll.BDP("912828TL Govt","YLD_YTM_BID")</f>
        <v>#N/A N/A</v>
      </c>
      <c r="E409" t="str">
        <f>_xll.BDP("912828TL Govt","MATURITY")</f>
        <v>8/31/2014</v>
      </c>
      <c r="F409" t="str">
        <f>_xll.BDP("912828TL Govt","MTY_TYP")</f>
        <v>NORMAL</v>
      </c>
      <c r="G409" t="str">
        <f>_xll.BDP("912828TL Govt","CRNCY")</f>
        <v>USD</v>
      </c>
      <c r="H409" t="str">
        <f>_xll.BDP("912828TL Govt","COUNTRY_FULL_NAME")</f>
        <v>UNITED STATES</v>
      </c>
      <c r="I409" t="str">
        <f>_xll.BDP("912828TL Govt","FIRST_CPN_DT")</f>
        <v>2/28/2013</v>
      </c>
      <c r="J409" t="str">
        <f>_xll.BDP("912828TL Govt","COUPON_FREQUENCY_DESCRIPTION")</f>
        <v>S/A</v>
      </c>
      <c r="K409" t="str">
        <f>_xll.BDP("912828TL Govt","CPN_TYP")</f>
        <v>FIXED</v>
      </c>
      <c r="L409" t="str">
        <f>_xll.BDP("912828TL Govt","ID_ISIN")</f>
        <v>US912828TL42</v>
      </c>
      <c r="M409">
        <v>34997000000</v>
      </c>
      <c r="N409">
        <v>0</v>
      </c>
      <c r="O409" t="str">
        <f>_xll.BDP("912828TL Govt","ISSUE_DT")</f>
        <v>8/31/2012</v>
      </c>
      <c r="P409" t="str">
        <f>_xll.BDP("912828TL Govt","SECURITY_NAME")</f>
        <v>T 0 1/4 08/31/14</v>
      </c>
      <c r="Q409" t="str">
        <f>_xll.BDP("912828TL Govt","DAY_CNT_DES")</f>
        <v>ACT/ACT</v>
      </c>
      <c r="R409">
        <v>100</v>
      </c>
      <c r="S409" t="str">
        <f>_xll.BDP("912828TL Govt","ID_CUSIP")</f>
        <v>912828TL4</v>
      </c>
      <c r="T409" t="str">
        <f>_xll.BDP("912828TL Govt","IDX_RATIO")</f>
        <v>#N/A Field Not Applicable</v>
      </c>
    </row>
    <row r="410" spans="1:20" x14ac:dyDescent="0.25">
      <c r="A410" t="s">
        <v>14</v>
      </c>
      <c r="B410" t="str">
        <f>_xll.BDP("9128285Q Govt","TICKER")</f>
        <v>T</v>
      </c>
      <c r="C410">
        <f>_xll.BDP("9128285Q Govt","CPN")</f>
        <v>2.75</v>
      </c>
      <c r="D410" t="str">
        <f>_xll.BDP("9128285Q Govt","YLD_YTM_BID")</f>
        <v>#N/A N/A</v>
      </c>
      <c r="E410" t="str">
        <f>_xll.BDP("9128285Q Govt","MATURITY")</f>
        <v>11/30/2020</v>
      </c>
      <c r="F410" t="str">
        <f>_xll.BDP("9128285Q Govt","MTY_TYP")</f>
        <v>NORMAL</v>
      </c>
      <c r="G410" t="str">
        <f>_xll.BDP("9128285Q Govt","CRNCY")</f>
        <v>USD</v>
      </c>
      <c r="H410" t="str">
        <f>_xll.BDP("9128285Q Govt","COUNTRY_FULL_NAME")</f>
        <v>UNITED STATES</v>
      </c>
      <c r="I410" t="str">
        <f>_xll.BDP("9128285Q Govt","FIRST_CPN_DT")</f>
        <v>5/31/2019</v>
      </c>
      <c r="J410" t="str">
        <f>_xll.BDP("9128285Q Govt","COUPON_FREQUENCY_DESCRIPTION")</f>
        <v>S/A</v>
      </c>
      <c r="K410" t="str">
        <f>_xll.BDP("9128285Q Govt","CPN_TYP")</f>
        <v>FIXED</v>
      </c>
      <c r="L410" t="str">
        <f>_xll.BDP("9128285Q Govt","ID_ISIN")</f>
        <v>US9128285Q95</v>
      </c>
      <c r="M410">
        <v>42424000000</v>
      </c>
      <c r="N410">
        <v>0</v>
      </c>
      <c r="O410" t="str">
        <f>_xll.BDP("9128285Q Govt","ISSUE_DT")</f>
        <v>11/30/2018</v>
      </c>
      <c r="P410" t="str">
        <f>_xll.BDP("9128285Q Govt","SECURITY_NAME")</f>
        <v>T 2 3/4 11/30/20</v>
      </c>
      <c r="Q410" t="str">
        <f>_xll.BDP("9128285Q Govt","DAY_CNT_DES")</f>
        <v>ACT/ACT</v>
      </c>
      <c r="R410">
        <v>100</v>
      </c>
      <c r="S410" t="str">
        <f>_xll.BDP("9128285Q Govt","ID_CUSIP")</f>
        <v>9128285Q9</v>
      </c>
      <c r="T410" t="str">
        <f>_xll.BDP("9128285Q Govt","IDX_RATIO")</f>
        <v>#N/A Field Not Applicable</v>
      </c>
    </row>
    <row r="411" spans="1:20" x14ac:dyDescent="0.25">
      <c r="A411" t="s">
        <v>14</v>
      </c>
      <c r="B411" t="str">
        <f>_xll.BDP("912828F6 Govt","TICKER")</f>
        <v>T</v>
      </c>
      <c r="C411">
        <f>_xll.BDP("912828F6 Govt","CPN")</f>
        <v>1.5</v>
      </c>
      <c r="D411" t="str">
        <f>_xll.BDP("912828F6 Govt","YLD_YTM_BID")</f>
        <v>#N/A N/A</v>
      </c>
      <c r="E411" t="str">
        <f>_xll.BDP("912828F6 Govt","MATURITY")</f>
        <v>10/31/2019</v>
      </c>
      <c r="F411" t="str">
        <f>_xll.BDP("912828F6 Govt","MTY_TYP")</f>
        <v>NORMAL</v>
      </c>
      <c r="G411" t="str">
        <f>_xll.BDP("912828F6 Govt","CRNCY")</f>
        <v>USD</v>
      </c>
      <c r="H411" t="str">
        <f>_xll.BDP("912828F6 Govt","COUNTRY_FULL_NAME")</f>
        <v>UNITED STATES</v>
      </c>
      <c r="I411" t="str">
        <f>_xll.BDP("912828F6 Govt","FIRST_CPN_DT")</f>
        <v>4/30/2015</v>
      </c>
      <c r="J411" t="str">
        <f>_xll.BDP("912828F6 Govt","COUPON_FREQUENCY_DESCRIPTION")</f>
        <v>S/A</v>
      </c>
      <c r="K411" t="str">
        <f>_xll.BDP("912828F6 Govt","CPN_TYP")</f>
        <v>FIXED</v>
      </c>
      <c r="L411" t="str">
        <f>_xll.BDP("912828F6 Govt","ID_ISIN")</f>
        <v>US912828F627</v>
      </c>
      <c r="M411">
        <v>61650000000</v>
      </c>
      <c r="N411">
        <v>0</v>
      </c>
      <c r="O411" t="str">
        <f>_xll.BDP("912828F6 Govt","ISSUE_DT")</f>
        <v>10/31/2014</v>
      </c>
      <c r="P411" t="str">
        <f>_xll.BDP("912828F6 Govt","SECURITY_NAME")</f>
        <v>T 1 1/2 10/31/19</v>
      </c>
      <c r="Q411" t="str">
        <f>_xll.BDP("912828F6 Govt","DAY_CNT_DES")</f>
        <v>ACT/ACT</v>
      </c>
      <c r="R411">
        <v>100</v>
      </c>
      <c r="S411" t="str">
        <f>_xll.BDP("912828F6 Govt","ID_CUSIP")</f>
        <v>912828F62</v>
      </c>
      <c r="T411" t="str">
        <f>_xll.BDP("912828F6 Govt","IDX_RATIO")</f>
        <v>#N/A Field Not Applicable</v>
      </c>
    </row>
    <row r="412" spans="1:20" x14ac:dyDescent="0.25">
      <c r="A412" t="s">
        <v>14</v>
      </c>
      <c r="B412" t="str">
        <f>_xll.BDP("912828AD Govt","TICKER")</f>
        <v>T</v>
      </c>
      <c r="C412">
        <f>_xll.BDP("912828AD Govt","CPN")</f>
        <v>3.25</v>
      </c>
      <c r="D412" t="str">
        <f>_xll.BDP("912828AD Govt","YLD_YTM_BID")</f>
        <v>#N/A N/A</v>
      </c>
      <c r="E412" t="str">
        <f>_xll.BDP("912828AD Govt","MATURITY")</f>
        <v>5/31/2004</v>
      </c>
      <c r="F412" t="str">
        <f>_xll.BDP("912828AD Govt","MTY_TYP")</f>
        <v>NORMAL</v>
      </c>
      <c r="G412" t="str">
        <f>_xll.BDP("912828AD Govt","CRNCY")</f>
        <v>USD</v>
      </c>
      <c r="H412" t="str">
        <f>_xll.BDP("912828AD Govt","COUNTRY_FULL_NAME")</f>
        <v>UNITED STATES</v>
      </c>
      <c r="I412" t="str">
        <f>_xll.BDP("912828AD Govt","FIRST_CPN_DT")</f>
        <v>11/30/2002</v>
      </c>
      <c r="J412" t="str">
        <f>_xll.BDP("912828AD Govt","COUPON_FREQUENCY_DESCRIPTION")</f>
        <v>S/A</v>
      </c>
      <c r="K412" t="str">
        <f>_xll.BDP("912828AD Govt","CPN_TYP")</f>
        <v>FIXED</v>
      </c>
      <c r="L412" t="str">
        <f>_xll.BDP("912828AD Govt","ID_ISIN")</f>
        <v>US912828AD27</v>
      </c>
      <c r="M412">
        <v>33297000000</v>
      </c>
      <c r="N412">
        <v>0</v>
      </c>
      <c r="O412" t="str">
        <f>_xll.BDP("912828AD Govt","ISSUE_DT")</f>
        <v>5/31/2002</v>
      </c>
      <c r="P412" t="str">
        <f>_xll.BDP("912828AD Govt","SECURITY_NAME")</f>
        <v>T 3 1/4 05/31/04</v>
      </c>
      <c r="Q412" t="str">
        <f>_xll.BDP("912828AD Govt","DAY_CNT_DES")</f>
        <v>ACT/ACT</v>
      </c>
      <c r="R412">
        <v>100</v>
      </c>
      <c r="S412" t="str">
        <f>_xll.BDP("912828AD Govt","ID_CUSIP")</f>
        <v>912828AD2</v>
      </c>
      <c r="T412" t="str">
        <f>_xll.BDP("912828AD Govt","IDX_RATIO")</f>
        <v>#N/A Field Not Applicable</v>
      </c>
    </row>
    <row r="413" spans="1:20" x14ac:dyDescent="0.25">
      <c r="A413" t="s">
        <v>14</v>
      </c>
      <c r="B413" t="str">
        <f>_xll.BDP("912828Q3 Govt","TICKER")</f>
        <v>T</v>
      </c>
      <c r="C413">
        <f>_xll.BDP("912828Q3 Govt","CPN")</f>
        <v>1.25</v>
      </c>
      <c r="D413" t="str">
        <f>_xll.BDP("912828Q3 Govt","YLD_YTM_BID")</f>
        <v>#N/A N/A</v>
      </c>
      <c r="E413" t="str">
        <f>_xll.BDP("912828Q3 Govt","MATURITY")</f>
        <v>3/31/2021</v>
      </c>
      <c r="F413" t="str">
        <f>_xll.BDP("912828Q3 Govt","MTY_TYP")</f>
        <v>NORMAL</v>
      </c>
      <c r="G413" t="str">
        <f>_xll.BDP("912828Q3 Govt","CRNCY")</f>
        <v>USD</v>
      </c>
      <c r="H413" t="str">
        <f>_xll.BDP("912828Q3 Govt","COUNTRY_FULL_NAME")</f>
        <v>UNITED STATES</v>
      </c>
      <c r="I413" t="str">
        <f>_xll.BDP("912828Q3 Govt","FIRST_CPN_DT")</f>
        <v>9/30/2016</v>
      </c>
      <c r="J413" t="str">
        <f>_xll.BDP("912828Q3 Govt","COUPON_FREQUENCY_DESCRIPTION")</f>
        <v>S/A</v>
      </c>
      <c r="K413" t="str">
        <f>_xll.BDP("912828Q3 Govt","CPN_TYP")</f>
        <v>FIXED</v>
      </c>
      <c r="L413" t="str">
        <f>_xll.BDP("912828Q3 Govt","ID_ISIN")</f>
        <v>US912828Q376</v>
      </c>
      <c r="M413">
        <v>42101000000</v>
      </c>
      <c r="N413">
        <v>0</v>
      </c>
      <c r="O413" t="str">
        <f>_xll.BDP("912828Q3 Govt","ISSUE_DT")</f>
        <v>3/31/2016</v>
      </c>
      <c r="P413" t="str">
        <f>_xll.BDP("912828Q3 Govt","SECURITY_NAME")</f>
        <v>T 1 1/4 03/31/21</v>
      </c>
      <c r="Q413" t="str">
        <f>_xll.BDP("912828Q3 Govt","DAY_CNT_DES")</f>
        <v>ACT/ACT</v>
      </c>
      <c r="R413">
        <v>100</v>
      </c>
      <c r="S413" t="str">
        <f>_xll.BDP("912828Q3 Govt","ID_CUSIP")</f>
        <v>912828Q37</v>
      </c>
      <c r="T413" t="str">
        <f>_xll.BDP("912828Q3 Govt","IDX_RATIO")</f>
        <v>#N/A Field Not Applicable</v>
      </c>
    </row>
    <row r="414" spans="1:20" x14ac:dyDescent="0.25">
      <c r="A414" t="s">
        <v>14</v>
      </c>
      <c r="B414" t="str">
        <f>_xll.BDP("912810CY Govt","TICKER")</f>
        <v>T</v>
      </c>
      <c r="C414">
        <f>_xll.BDP("912810CY Govt","CPN")</f>
        <v>14</v>
      </c>
      <c r="D414" t="str">
        <f>_xll.BDP("912810CY Govt","YLD_YTM_BID")</f>
        <v>#N/A N/A</v>
      </c>
      <c r="E414" t="str">
        <f>_xll.BDP("912810CY Govt","MATURITY")</f>
        <v>11/15/2011</v>
      </c>
      <c r="F414" t="str">
        <f>_xll.BDP("912810CY Govt","MTY_TYP")</f>
        <v>CALLABLE</v>
      </c>
      <c r="G414" t="str">
        <f>_xll.BDP("912810CY Govt","CRNCY")</f>
        <v>USD</v>
      </c>
      <c r="H414" t="str">
        <f>_xll.BDP("912810CY Govt","COUNTRY_FULL_NAME")</f>
        <v>UNITED STATES</v>
      </c>
      <c r="I414" t="str">
        <f>_xll.BDP("912810CY Govt","FIRST_CPN_DT")</f>
        <v>5/15/1982</v>
      </c>
      <c r="J414" t="str">
        <f>_xll.BDP("912810CY Govt","COUPON_FREQUENCY_DESCRIPTION")</f>
        <v>S/A</v>
      </c>
      <c r="K414" t="str">
        <f>_xll.BDP("912810CY Govt","CPN_TYP")</f>
        <v>FIXED</v>
      </c>
      <c r="L414" t="str">
        <f>_xll.BDP("912810CY Govt","ID_ISIN")</f>
        <v>US912810CY20</v>
      </c>
      <c r="M414">
        <v>4901000000</v>
      </c>
      <c r="N414">
        <v>0</v>
      </c>
      <c r="O414" t="str">
        <f>_xll.BDP("912810CY Govt","ISSUE_DT")</f>
        <v>11/16/1981</v>
      </c>
      <c r="P414" t="str">
        <f>_xll.BDP("912810CY Govt","SECURITY_NAME")</f>
        <v>T 14 11/15/11</v>
      </c>
      <c r="Q414" t="str">
        <f>_xll.BDP("912810CY Govt","DAY_CNT_DES")</f>
        <v>ACT/ACT</v>
      </c>
      <c r="R414">
        <v>100</v>
      </c>
      <c r="S414" t="str">
        <f>_xll.BDP("912810CY Govt","ID_CUSIP")</f>
        <v>912810CY2</v>
      </c>
      <c r="T414" t="str">
        <f>_xll.BDP("912810CY Govt","IDX_RATIO")</f>
        <v>#N/A Field Not Applicable</v>
      </c>
    </row>
    <row r="415" spans="1:20" x14ac:dyDescent="0.25">
      <c r="A415" t="s">
        <v>14</v>
      </c>
      <c r="B415" t="str">
        <f>_xll.BDP("912828AZ Govt","TICKER")</f>
        <v>T</v>
      </c>
      <c r="C415">
        <f>_xll.BDP("912828AZ Govt","CPN")</f>
        <v>2.625</v>
      </c>
      <c r="D415" t="str">
        <f>_xll.BDP("912828AZ Govt","YLD_YTM_BID")</f>
        <v>#N/A N/A</v>
      </c>
      <c r="E415" t="str">
        <f>_xll.BDP("912828AZ Govt","MATURITY")</f>
        <v>5/15/2008</v>
      </c>
      <c r="F415" t="str">
        <f>_xll.BDP("912828AZ Govt","MTY_TYP")</f>
        <v>NORMAL</v>
      </c>
      <c r="G415" t="str">
        <f>_xll.BDP("912828AZ Govt","CRNCY")</f>
        <v>USD</v>
      </c>
      <c r="H415" t="str">
        <f>_xll.BDP("912828AZ Govt","COUNTRY_FULL_NAME")</f>
        <v>UNITED STATES</v>
      </c>
      <c r="I415" t="str">
        <f>_xll.BDP("912828AZ Govt","FIRST_CPN_DT")</f>
        <v>11/15/2003</v>
      </c>
      <c r="J415" t="str">
        <f>_xll.BDP("912828AZ Govt","COUPON_FREQUENCY_DESCRIPTION")</f>
        <v>S/A</v>
      </c>
      <c r="K415" t="str">
        <f>_xll.BDP("912828AZ Govt","CPN_TYP")</f>
        <v>FIXED</v>
      </c>
      <c r="L415" t="str">
        <f>_xll.BDP("912828AZ Govt","ID_ISIN")</f>
        <v>US912828AZ39</v>
      </c>
      <c r="M415">
        <v>33338000000</v>
      </c>
      <c r="N415">
        <v>0</v>
      </c>
      <c r="O415" t="str">
        <f>_xll.BDP("912828AZ Govt","ISSUE_DT")</f>
        <v>5/15/2003</v>
      </c>
      <c r="P415" t="str">
        <f>_xll.BDP("912828AZ Govt","SECURITY_NAME")</f>
        <v>T 2 5/8 05/15/08</v>
      </c>
      <c r="Q415" t="str">
        <f>_xll.BDP("912828AZ Govt","DAY_CNT_DES")</f>
        <v>ACT/ACT</v>
      </c>
      <c r="R415">
        <v>100</v>
      </c>
      <c r="S415" t="str">
        <f>_xll.BDP("912828AZ Govt","ID_CUSIP")</f>
        <v>912828AZ3</v>
      </c>
      <c r="T415" t="str">
        <f>_xll.BDP("912828AZ Govt","IDX_RATIO")</f>
        <v>#N/A Field Not Applicable</v>
      </c>
    </row>
    <row r="416" spans="1:20" x14ac:dyDescent="0.25">
      <c r="A416" t="s">
        <v>14</v>
      </c>
      <c r="B416" t="str">
        <f>_xll.BDP("912828C7 Govt","TICKER")</f>
        <v>T</v>
      </c>
      <c r="C416">
        <f>_xll.BDP("912828C7 Govt","CPN")</f>
        <v>0.875</v>
      </c>
      <c r="D416" t="str">
        <f>_xll.BDP("912828C7 Govt","YLD_YTM_BID")</f>
        <v>#N/A N/A</v>
      </c>
      <c r="E416" t="str">
        <f>_xll.BDP("912828C7 Govt","MATURITY")</f>
        <v>4/15/2017</v>
      </c>
      <c r="F416" t="str">
        <f>_xll.BDP("912828C7 Govt","MTY_TYP")</f>
        <v>NORMAL</v>
      </c>
      <c r="G416" t="str">
        <f>_xll.BDP("912828C7 Govt","CRNCY")</f>
        <v>USD</v>
      </c>
      <c r="H416" t="str">
        <f>_xll.BDP("912828C7 Govt","COUNTRY_FULL_NAME")</f>
        <v>UNITED STATES</v>
      </c>
      <c r="I416" t="str">
        <f>_xll.BDP("912828C7 Govt","FIRST_CPN_DT")</f>
        <v>10/15/2014</v>
      </c>
      <c r="J416" t="str">
        <f>_xll.BDP("912828C7 Govt","COUPON_FREQUENCY_DESCRIPTION")</f>
        <v>S/A</v>
      </c>
      <c r="K416" t="str">
        <f>_xll.BDP("912828C7 Govt","CPN_TYP")</f>
        <v>FIXED</v>
      </c>
      <c r="L416" t="str">
        <f>_xll.BDP("912828C7 Govt","ID_ISIN")</f>
        <v>US912828C731</v>
      </c>
      <c r="M416">
        <v>29999000000</v>
      </c>
      <c r="N416">
        <v>0</v>
      </c>
      <c r="O416" t="str">
        <f>_xll.BDP("912828C7 Govt","ISSUE_DT")</f>
        <v>4/15/2014</v>
      </c>
      <c r="P416" t="str">
        <f>_xll.BDP("912828C7 Govt","SECURITY_NAME")</f>
        <v>T 0 7/8 04/15/17</v>
      </c>
      <c r="Q416" t="str">
        <f>_xll.BDP("912828C7 Govt","DAY_CNT_DES")</f>
        <v>ACT/ACT</v>
      </c>
      <c r="R416">
        <v>100</v>
      </c>
      <c r="S416" t="str">
        <f>_xll.BDP("912828C7 Govt","ID_CUSIP")</f>
        <v>912828C73</v>
      </c>
      <c r="T416" t="str">
        <f>_xll.BDP("912828C7 Govt","IDX_RATIO")</f>
        <v>#N/A Field Not Applicable</v>
      </c>
    </row>
    <row r="417" spans="1:20" x14ac:dyDescent="0.25">
      <c r="A417" t="s">
        <v>14</v>
      </c>
      <c r="B417" t="str">
        <f>_xll.BDP("912828JG Govt","TICKER")</f>
        <v>T</v>
      </c>
      <c r="C417">
        <f>_xll.BDP("912828JG Govt","CPN")</f>
        <v>3.375</v>
      </c>
      <c r="D417" t="str">
        <f>_xll.BDP("912828JG Govt","YLD_YTM_BID")</f>
        <v>#N/A N/A</v>
      </c>
      <c r="E417" t="str">
        <f>_xll.BDP("912828JG Govt","MATURITY")</f>
        <v>7/31/2013</v>
      </c>
      <c r="F417" t="str">
        <f>_xll.BDP("912828JG Govt","MTY_TYP")</f>
        <v>NORMAL</v>
      </c>
      <c r="G417" t="str">
        <f>_xll.BDP("912828JG Govt","CRNCY")</f>
        <v>USD</v>
      </c>
      <c r="H417" t="str">
        <f>_xll.BDP("912828JG Govt","COUNTRY_FULL_NAME")</f>
        <v>UNITED STATES</v>
      </c>
      <c r="I417" t="str">
        <f>_xll.BDP("912828JG Govt","FIRST_CPN_DT")</f>
        <v>1/31/2009</v>
      </c>
      <c r="J417" t="str">
        <f>_xll.BDP("912828JG Govt","COUPON_FREQUENCY_DESCRIPTION")</f>
        <v>S/A</v>
      </c>
      <c r="K417" t="str">
        <f>_xll.BDP("912828JG Govt","CPN_TYP")</f>
        <v>FIXED</v>
      </c>
      <c r="L417" t="str">
        <f>_xll.BDP("912828JG Govt","ID_ISIN")</f>
        <v>US912828JG66</v>
      </c>
      <c r="M417">
        <v>23314000000</v>
      </c>
      <c r="N417">
        <v>0</v>
      </c>
      <c r="O417" t="str">
        <f>_xll.BDP("912828JG Govt","ISSUE_DT")</f>
        <v>7/31/2008</v>
      </c>
      <c r="P417" t="str">
        <f>_xll.BDP("912828JG Govt","SECURITY_NAME")</f>
        <v>T 3 3/8 07/31/13</v>
      </c>
      <c r="Q417" t="str">
        <f>_xll.BDP("912828JG Govt","DAY_CNT_DES")</f>
        <v>ACT/ACT</v>
      </c>
      <c r="R417">
        <v>100</v>
      </c>
      <c r="S417" t="str">
        <f>_xll.BDP("912828JG Govt","ID_CUSIP")</f>
        <v>912828JG6</v>
      </c>
      <c r="T417" t="str">
        <f>_xll.BDP("912828JG Govt","IDX_RATIO")</f>
        <v>#N/A Field Not Applicable</v>
      </c>
    </row>
    <row r="418" spans="1:20" x14ac:dyDescent="0.25">
      <c r="A418" t="s">
        <v>14</v>
      </c>
      <c r="B418" t="str">
        <f>_xll.BDP("912828KS Govt","TICKER")</f>
        <v>T</v>
      </c>
      <c r="C418">
        <f>_xll.BDP("912828KS Govt","CPN")</f>
        <v>2.625</v>
      </c>
      <c r="D418" t="str">
        <f>_xll.BDP("912828KS Govt","YLD_YTM_BID")</f>
        <v>#N/A N/A</v>
      </c>
      <c r="E418" t="str">
        <f>_xll.BDP("912828KS Govt","MATURITY")</f>
        <v>2/29/2016</v>
      </c>
      <c r="F418" t="str">
        <f>_xll.BDP("912828KS Govt","MTY_TYP")</f>
        <v>NORMAL</v>
      </c>
      <c r="G418" t="str">
        <f>_xll.BDP("912828KS Govt","CRNCY")</f>
        <v>USD</v>
      </c>
      <c r="H418" t="str">
        <f>_xll.BDP("912828KS Govt","COUNTRY_FULL_NAME")</f>
        <v>UNITED STATES</v>
      </c>
      <c r="I418" t="str">
        <f>_xll.BDP("912828KS Govt","FIRST_CPN_DT")</f>
        <v>8/31/2009</v>
      </c>
      <c r="J418" t="str">
        <f>_xll.BDP("912828KS Govt","COUPON_FREQUENCY_DESCRIPTION")</f>
        <v>S/A</v>
      </c>
      <c r="K418" t="str">
        <f>_xll.BDP("912828KS Govt","CPN_TYP")</f>
        <v>FIXED</v>
      </c>
      <c r="L418" t="str">
        <f>_xll.BDP("912828KS Govt","ID_ISIN")</f>
        <v>US912828KS85</v>
      </c>
      <c r="M418">
        <v>23179000000</v>
      </c>
      <c r="N418">
        <v>0</v>
      </c>
      <c r="O418" t="str">
        <f>_xll.BDP("912828KS Govt","ISSUE_DT")</f>
        <v>3/2/2009</v>
      </c>
      <c r="P418" t="str">
        <f>_xll.BDP("912828KS Govt","SECURITY_NAME")</f>
        <v>T 2 5/8 02/29/16</v>
      </c>
      <c r="Q418" t="str">
        <f>_xll.BDP("912828KS Govt","DAY_CNT_DES")</f>
        <v>ACT/ACT</v>
      </c>
      <c r="R418">
        <v>100</v>
      </c>
      <c r="S418" t="str">
        <f>_xll.BDP("912828KS Govt","ID_CUSIP")</f>
        <v>912828KS8</v>
      </c>
      <c r="T418" t="str">
        <f>_xll.BDP("912828KS Govt","IDX_RATIO")</f>
        <v>#N/A Field Not Applicable</v>
      </c>
    </row>
    <row r="419" spans="1:20" x14ac:dyDescent="0.25">
      <c r="A419" t="s">
        <v>14</v>
      </c>
      <c r="B419" t="str">
        <f>_xll.BDP("912828H5 Govt","TICKER")</f>
        <v>T</v>
      </c>
      <c r="C419">
        <f>_xll.BDP("912828H5 Govt","CPN")</f>
        <v>1.25</v>
      </c>
      <c r="D419" t="str">
        <f>_xll.BDP("912828H5 Govt","YLD_YTM_BID")</f>
        <v>#N/A N/A</v>
      </c>
      <c r="E419" t="str">
        <f>_xll.BDP("912828H5 Govt","MATURITY")</f>
        <v>1/31/2020</v>
      </c>
      <c r="F419" t="str">
        <f>_xll.BDP("912828H5 Govt","MTY_TYP")</f>
        <v>NORMAL</v>
      </c>
      <c r="G419" t="str">
        <f>_xll.BDP("912828H5 Govt","CRNCY")</f>
        <v>USD</v>
      </c>
      <c r="H419" t="str">
        <f>_xll.BDP("912828H5 Govt","COUNTRY_FULL_NAME")</f>
        <v>UNITED STATES</v>
      </c>
      <c r="I419" t="str">
        <f>_xll.BDP("912828H5 Govt","FIRST_CPN_DT")</f>
        <v>7/31/2015</v>
      </c>
      <c r="J419" t="str">
        <f>_xll.BDP("912828H5 Govt","COUPON_FREQUENCY_DESCRIPTION")</f>
        <v>S/A</v>
      </c>
      <c r="K419" t="str">
        <f>_xll.BDP("912828H5 Govt","CPN_TYP")</f>
        <v>FIXED</v>
      </c>
      <c r="L419" t="str">
        <f>_xll.BDP("912828H5 Govt","ID_ISIN")</f>
        <v>US912828H524</v>
      </c>
      <c r="M419">
        <v>35000000000</v>
      </c>
      <c r="N419">
        <v>0</v>
      </c>
      <c r="O419" t="str">
        <f>_xll.BDP("912828H5 Govt","ISSUE_DT")</f>
        <v>2/2/2015</v>
      </c>
      <c r="P419" t="str">
        <f>_xll.BDP("912828H5 Govt","SECURITY_NAME")</f>
        <v>T 1 1/4 01/31/20</v>
      </c>
      <c r="Q419" t="str">
        <f>_xll.BDP("912828H5 Govt","DAY_CNT_DES")</f>
        <v>ACT/ACT</v>
      </c>
      <c r="R419">
        <v>100</v>
      </c>
      <c r="S419" t="str">
        <f>_xll.BDP("912828H5 Govt","ID_CUSIP")</f>
        <v>912828H52</v>
      </c>
      <c r="T419" t="str">
        <f>_xll.BDP("912828H5 Govt","IDX_RATIO")</f>
        <v>#N/A Field Not Applicable</v>
      </c>
    </row>
    <row r="420" spans="1:20" x14ac:dyDescent="0.25">
      <c r="A420" t="s">
        <v>14</v>
      </c>
      <c r="B420" t="str">
        <f>_xll.BDP("912828RT Govt","TICKER")</f>
        <v>T</v>
      </c>
      <c r="C420">
        <f>_xll.BDP("912828RT Govt","CPN")</f>
        <v>1.375</v>
      </c>
      <c r="D420" t="str">
        <f>_xll.BDP("912828RT Govt","YLD_YTM_BID")</f>
        <v>#N/A N/A</v>
      </c>
      <c r="E420" t="str">
        <f>_xll.BDP("912828RT Govt","MATURITY")</f>
        <v>11/30/2018</v>
      </c>
      <c r="F420" t="str">
        <f>_xll.BDP("912828RT Govt","MTY_TYP")</f>
        <v>NORMAL</v>
      </c>
      <c r="G420" t="str">
        <f>_xll.BDP("912828RT Govt","CRNCY")</f>
        <v>USD</v>
      </c>
      <c r="H420" t="str">
        <f>_xll.BDP("912828RT Govt","COUNTRY_FULL_NAME")</f>
        <v>UNITED STATES</v>
      </c>
      <c r="I420" t="str">
        <f>_xll.BDP("912828RT Govt","FIRST_CPN_DT")</f>
        <v>5/31/2012</v>
      </c>
      <c r="J420" t="str">
        <f>_xll.BDP("912828RT Govt","COUPON_FREQUENCY_DESCRIPTION")</f>
        <v>S/A</v>
      </c>
      <c r="K420" t="str">
        <f>_xll.BDP("912828RT Govt","CPN_TYP")</f>
        <v>FIXED</v>
      </c>
      <c r="L420" t="str">
        <f>_xll.BDP("912828RT Govt","ID_ISIN")</f>
        <v>US912828RT95</v>
      </c>
      <c r="M420">
        <v>30314000000</v>
      </c>
      <c r="N420">
        <v>0</v>
      </c>
      <c r="O420" t="str">
        <f>_xll.BDP("912828RT Govt","ISSUE_DT")</f>
        <v>11/30/2011</v>
      </c>
      <c r="P420" t="str">
        <f>_xll.BDP("912828RT Govt","SECURITY_NAME")</f>
        <v>T 1 3/8 11/30/18</v>
      </c>
      <c r="Q420" t="str">
        <f>_xll.BDP("912828RT Govt","DAY_CNT_DES")</f>
        <v>ACT/ACT</v>
      </c>
      <c r="R420">
        <v>100</v>
      </c>
      <c r="S420" t="str">
        <f>_xll.BDP("912828RT Govt","ID_CUSIP")</f>
        <v>912828RT9</v>
      </c>
      <c r="T420" t="str">
        <f>_xll.BDP("912828RT Govt","IDX_RATIO")</f>
        <v>#N/A Field Not Applicable</v>
      </c>
    </row>
    <row r="421" spans="1:20" x14ac:dyDescent="0.25">
      <c r="A421" t="s">
        <v>14</v>
      </c>
      <c r="B421" t="str">
        <f>_xll.BDP("912828UQ Govt","TICKER")</f>
        <v>T</v>
      </c>
      <c r="C421">
        <f>_xll.BDP("912828UQ Govt","CPN")</f>
        <v>1.25</v>
      </c>
      <c r="D421" t="str">
        <f>_xll.BDP("912828UQ Govt","YLD_YTM_BID")</f>
        <v>#N/A N/A</v>
      </c>
      <c r="E421" t="str">
        <f>_xll.BDP("912828UQ Govt","MATURITY")</f>
        <v>2/29/2020</v>
      </c>
      <c r="F421" t="str">
        <f>_xll.BDP("912828UQ Govt","MTY_TYP")</f>
        <v>NORMAL</v>
      </c>
      <c r="G421" t="str">
        <f>_xll.BDP("912828UQ Govt","CRNCY")</f>
        <v>USD</v>
      </c>
      <c r="H421" t="str">
        <f>_xll.BDP("912828UQ Govt","COUNTRY_FULL_NAME")</f>
        <v>UNITED STATES</v>
      </c>
      <c r="I421" t="str">
        <f>_xll.BDP("912828UQ Govt","FIRST_CPN_DT")</f>
        <v>8/31/2013</v>
      </c>
      <c r="J421" t="str">
        <f>_xll.BDP("912828UQ Govt","COUPON_FREQUENCY_DESCRIPTION")</f>
        <v>S/A</v>
      </c>
      <c r="K421" t="str">
        <f>_xll.BDP("912828UQ Govt","CPN_TYP")</f>
        <v>FIXED</v>
      </c>
      <c r="L421" t="str">
        <f>_xll.BDP("912828UQ Govt","ID_ISIN")</f>
        <v>US912828UQ10</v>
      </c>
      <c r="M421">
        <v>29000000000</v>
      </c>
      <c r="N421">
        <v>0</v>
      </c>
      <c r="O421" t="str">
        <f>_xll.BDP("912828UQ Govt","ISSUE_DT")</f>
        <v>2/28/2013</v>
      </c>
      <c r="P421" t="str">
        <f>_xll.BDP("912828UQ Govt","SECURITY_NAME")</f>
        <v>T 1 1/4 02/29/20</v>
      </c>
      <c r="Q421" t="str">
        <f>_xll.BDP("912828UQ Govt","DAY_CNT_DES")</f>
        <v>ACT/ACT</v>
      </c>
      <c r="R421">
        <v>100</v>
      </c>
      <c r="S421" t="str">
        <f>_xll.BDP("912828UQ Govt","ID_CUSIP")</f>
        <v>912828UQ1</v>
      </c>
      <c r="T421" t="str">
        <f>_xll.BDP("912828UQ Govt","IDX_RATIO")</f>
        <v>#N/A Field Not Applicable</v>
      </c>
    </row>
    <row r="422" spans="1:20" x14ac:dyDescent="0.25">
      <c r="A422" t="s">
        <v>14</v>
      </c>
      <c r="B422" t="str">
        <f>_xll.BDP("912828G9 Govt","TICKER")</f>
        <v>T</v>
      </c>
      <c r="C422">
        <f>_xll.BDP("912828G9 Govt","CPN")</f>
        <v>1.625</v>
      </c>
      <c r="D422" t="str">
        <f>_xll.BDP("912828G9 Govt","YLD_YTM_BID")</f>
        <v>#N/A N/A</v>
      </c>
      <c r="E422" t="str">
        <f>_xll.BDP("912828G9 Govt","MATURITY")</f>
        <v>12/31/2019</v>
      </c>
      <c r="F422" t="str">
        <f>_xll.BDP("912828G9 Govt","MTY_TYP")</f>
        <v>NORMAL</v>
      </c>
      <c r="G422" t="str">
        <f>_xll.BDP("912828G9 Govt","CRNCY")</f>
        <v>USD</v>
      </c>
      <c r="H422" t="str">
        <f>_xll.BDP("912828G9 Govt","COUNTRY_FULL_NAME")</f>
        <v>UNITED STATES</v>
      </c>
      <c r="I422" t="str">
        <f>_xll.BDP("912828G9 Govt","FIRST_CPN_DT")</f>
        <v>6/30/2015</v>
      </c>
      <c r="J422" t="str">
        <f>_xll.BDP("912828G9 Govt","COUPON_FREQUENCY_DESCRIPTION")</f>
        <v>S/A</v>
      </c>
      <c r="K422" t="str">
        <f>_xll.BDP("912828G9 Govt","CPN_TYP")</f>
        <v>FIXED</v>
      </c>
      <c r="L422" t="str">
        <f>_xll.BDP("912828G9 Govt","ID_ISIN")</f>
        <v>US912828G955</v>
      </c>
      <c r="M422">
        <v>35000000000</v>
      </c>
      <c r="N422">
        <v>0</v>
      </c>
      <c r="O422" t="str">
        <f>_xll.BDP("912828G9 Govt","ISSUE_DT")</f>
        <v>12/31/2014</v>
      </c>
      <c r="P422" t="str">
        <f>_xll.BDP("912828G9 Govt","SECURITY_NAME")</f>
        <v>T 1 5/8 12/31/19</v>
      </c>
      <c r="Q422" t="str">
        <f>_xll.BDP("912828G9 Govt","DAY_CNT_DES")</f>
        <v>ACT/ACT</v>
      </c>
      <c r="R422">
        <v>100</v>
      </c>
      <c r="S422" t="str">
        <f>_xll.BDP("912828G9 Govt","ID_CUSIP")</f>
        <v>912828G95</v>
      </c>
      <c r="T422" t="str">
        <f>_xll.BDP("912828G9 Govt","IDX_RATIO")</f>
        <v>#N/A Field Not Applicable</v>
      </c>
    </row>
    <row r="423" spans="1:20" x14ac:dyDescent="0.25">
      <c r="A423" t="s">
        <v>14</v>
      </c>
      <c r="B423" t="str">
        <f>_xll.BDP("912828Q4 Govt","TICKER")</f>
        <v>T</v>
      </c>
      <c r="C423">
        <f>_xll.BDP("912828Q4 Govt","CPN")</f>
        <v>0.875</v>
      </c>
      <c r="D423" t="str">
        <f>_xll.BDP("912828Q4 Govt","YLD_YTM_BID")</f>
        <v>#N/A N/A</v>
      </c>
      <c r="E423" t="str">
        <f>_xll.BDP("912828Q4 Govt","MATURITY")</f>
        <v>3/31/2018</v>
      </c>
      <c r="F423" t="str">
        <f>_xll.BDP("912828Q4 Govt","MTY_TYP")</f>
        <v>NORMAL</v>
      </c>
      <c r="G423" t="str">
        <f>_xll.BDP("912828Q4 Govt","CRNCY")</f>
        <v>USD</v>
      </c>
      <c r="H423" t="str">
        <f>_xll.BDP("912828Q4 Govt","COUNTRY_FULL_NAME")</f>
        <v>UNITED STATES</v>
      </c>
      <c r="I423" t="str">
        <f>_xll.BDP("912828Q4 Govt","FIRST_CPN_DT")</f>
        <v>9/30/2016</v>
      </c>
      <c r="J423" t="str">
        <f>_xll.BDP("912828Q4 Govt","COUPON_FREQUENCY_DESCRIPTION")</f>
        <v>S/A</v>
      </c>
      <c r="K423" t="str">
        <f>_xll.BDP("912828Q4 Govt","CPN_TYP")</f>
        <v>FIXED</v>
      </c>
      <c r="L423" t="str">
        <f>_xll.BDP("912828Q4 Govt","ID_ISIN")</f>
        <v>US912828Q459</v>
      </c>
      <c r="M423">
        <v>32194000000</v>
      </c>
      <c r="N423">
        <v>0</v>
      </c>
      <c r="O423" t="str">
        <f>_xll.BDP("912828Q4 Govt","ISSUE_DT")</f>
        <v>3/31/2016</v>
      </c>
      <c r="P423" t="str">
        <f>_xll.BDP("912828Q4 Govt","SECURITY_NAME")</f>
        <v>T 0 7/8 03/31/18</v>
      </c>
      <c r="Q423" t="str">
        <f>_xll.BDP("912828Q4 Govt","DAY_CNT_DES")</f>
        <v>ACT/ACT</v>
      </c>
      <c r="R423">
        <v>100</v>
      </c>
      <c r="S423" t="str">
        <f>_xll.BDP("912828Q4 Govt","ID_CUSIP")</f>
        <v>912828Q45</v>
      </c>
      <c r="T423" t="str">
        <f>_xll.BDP("912828Q4 Govt","IDX_RATIO")</f>
        <v>#N/A Field Not Applicable</v>
      </c>
    </row>
    <row r="424" spans="1:20" x14ac:dyDescent="0.25">
      <c r="A424" t="s">
        <v>14</v>
      </c>
      <c r="B424" t="str">
        <f>_xll.BDP("912828HL Govt","TICKER")</f>
        <v>T</v>
      </c>
      <c r="C424">
        <f>_xll.BDP("912828HL Govt","CPN")</f>
        <v>3.25</v>
      </c>
      <c r="D424" t="str">
        <f>_xll.BDP("912828HL Govt","YLD_YTM_BID")</f>
        <v>#N/A N/A</v>
      </c>
      <c r="E424" t="str">
        <f>_xll.BDP("912828HL Govt","MATURITY")</f>
        <v>12/31/2009</v>
      </c>
      <c r="F424" t="str">
        <f>_xll.BDP("912828HL Govt","MTY_TYP")</f>
        <v>NORMAL</v>
      </c>
      <c r="G424" t="str">
        <f>_xll.BDP("912828HL Govt","CRNCY")</f>
        <v>USD</v>
      </c>
      <c r="H424" t="str">
        <f>_xll.BDP("912828HL Govt","COUNTRY_FULL_NAME")</f>
        <v>UNITED STATES</v>
      </c>
      <c r="I424" t="str">
        <f>_xll.BDP("912828HL Govt","FIRST_CPN_DT")</f>
        <v>6/30/2008</v>
      </c>
      <c r="J424" t="str">
        <f>_xll.BDP("912828HL Govt","COUPON_FREQUENCY_DESCRIPTION")</f>
        <v>S/A</v>
      </c>
      <c r="K424" t="str">
        <f>_xll.BDP("912828HL Govt","CPN_TYP")</f>
        <v>FIXED</v>
      </c>
      <c r="L424" t="str">
        <f>_xll.BDP("912828HL Govt","ID_ISIN")</f>
        <v>US912828HL79</v>
      </c>
      <c r="M424">
        <v>26497000000</v>
      </c>
      <c r="N424">
        <v>0</v>
      </c>
      <c r="O424" t="str">
        <f>_xll.BDP("912828HL Govt","ISSUE_DT")</f>
        <v>12/31/2007</v>
      </c>
      <c r="P424" t="str">
        <f>_xll.BDP("912828HL Govt","SECURITY_NAME")</f>
        <v>T 3 1/4 12/31/09</v>
      </c>
      <c r="Q424" t="str">
        <f>_xll.BDP("912828HL Govt","DAY_CNT_DES")</f>
        <v>ACT/ACT</v>
      </c>
      <c r="R424">
        <v>100</v>
      </c>
      <c r="S424" t="str">
        <f>_xll.BDP("912828HL Govt","ID_CUSIP")</f>
        <v>912828HL7</v>
      </c>
      <c r="T424" t="str">
        <f>_xll.BDP("912828HL Govt","IDX_RATIO")</f>
        <v>#N/A Field Not Applicable</v>
      </c>
    </row>
    <row r="425" spans="1:20" x14ac:dyDescent="0.25">
      <c r="A425" t="s">
        <v>14</v>
      </c>
      <c r="B425" t="str">
        <f>_xll.BDP("912828Q9 Govt","TICKER")</f>
        <v>T</v>
      </c>
      <c r="C425">
        <f>_xll.BDP("912828Q9 Govt","CPN")</f>
        <v>0.75</v>
      </c>
      <c r="D425" t="str">
        <f>_xll.BDP("912828Q9 Govt","YLD_YTM_BID")</f>
        <v>#N/A N/A</v>
      </c>
      <c r="E425" t="str">
        <f>_xll.BDP("912828Q9 Govt","MATURITY")</f>
        <v>4/30/2018</v>
      </c>
      <c r="F425" t="str">
        <f>_xll.BDP("912828Q9 Govt","MTY_TYP")</f>
        <v>NORMAL</v>
      </c>
      <c r="G425" t="str">
        <f>_xll.BDP("912828Q9 Govt","CRNCY")</f>
        <v>USD</v>
      </c>
      <c r="H425" t="str">
        <f>_xll.BDP("912828Q9 Govt","COUNTRY_FULL_NAME")</f>
        <v>UNITED STATES</v>
      </c>
      <c r="I425" t="str">
        <f>_xll.BDP("912828Q9 Govt","FIRST_CPN_DT")</f>
        <v>10/31/2016</v>
      </c>
      <c r="J425" t="str">
        <f>_xll.BDP("912828Q9 Govt","COUPON_FREQUENCY_DESCRIPTION")</f>
        <v>S/A</v>
      </c>
      <c r="K425" t="str">
        <f>_xll.BDP("912828Q9 Govt","CPN_TYP")</f>
        <v>FIXED</v>
      </c>
      <c r="L425" t="str">
        <f>_xll.BDP("912828Q9 Govt","ID_ISIN")</f>
        <v>US912828Q947</v>
      </c>
      <c r="M425">
        <v>32905000000</v>
      </c>
      <c r="N425">
        <v>0</v>
      </c>
      <c r="O425" t="str">
        <f>_xll.BDP("912828Q9 Govt","ISSUE_DT")</f>
        <v>5/2/2016</v>
      </c>
      <c r="P425" t="str">
        <f>_xll.BDP("912828Q9 Govt","SECURITY_NAME")</f>
        <v>T 0 3/4 04/30/18</v>
      </c>
      <c r="Q425" t="str">
        <f>_xll.BDP("912828Q9 Govt","DAY_CNT_DES")</f>
        <v>ACT/ACT</v>
      </c>
      <c r="R425">
        <v>100</v>
      </c>
      <c r="S425" t="str">
        <f>_xll.BDP("912828Q9 Govt","ID_CUSIP")</f>
        <v>912828Q94</v>
      </c>
      <c r="T425" t="str">
        <f>_xll.BDP("912828Q9 Govt","IDX_RATIO")</f>
        <v>#N/A Field Not Applicable</v>
      </c>
    </row>
    <row r="426" spans="1:20" x14ac:dyDescent="0.25">
      <c r="A426" t="s">
        <v>14</v>
      </c>
      <c r="B426" t="str">
        <f>_xll.BDP("912828AA Govt","TICKER")</f>
        <v>T</v>
      </c>
      <c r="C426">
        <f>_xll.BDP("912828AA Govt","CPN")</f>
        <v>3.625</v>
      </c>
      <c r="D426" t="str">
        <f>_xll.BDP("912828AA Govt","YLD_YTM_BID")</f>
        <v>#N/A N/A</v>
      </c>
      <c r="E426" t="str">
        <f>_xll.BDP("912828AA Govt","MATURITY")</f>
        <v>3/31/2004</v>
      </c>
      <c r="F426" t="str">
        <f>_xll.BDP("912828AA Govt","MTY_TYP")</f>
        <v>NORMAL</v>
      </c>
      <c r="G426" t="str">
        <f>_xll.BDP("912828AA Govt","CRNCY")</f>
        <v>USD</v>
      </c>
      <c r="H426" t="str">
        <f>_xll.BDP("912828AA Govt","COUNTRY_FULL_NAME")</f>
        <v>UNITED STATES</v>
      </c>
      <c r="I426" t="str">
        <f>_xll.BDP("912828AA Govt","FIRST_CPN_DT")</f>
        <v>9/30/2002</v>
      </c>
      <c r="J426" t="str">
        <f>_xll.BDP("912828AA Govt","COUPON_FREQUENCY_DESCRIPTION")</f>
        <v>S/A</v>
      </c>
      <c r="K426" t="str">
        <f>_xll.BDP("912828AA Govt","CPN_TYP")</f>
        <v>FIXED</v>
      </c>
      <c r="L426" t="str">
        <f>_xll.BDP("912828AA Govt","ID_ISIN")</f>
        <v>US912828AA87</v>
      </c>
      <c r="M426">
        <v>32874000000</v>
      </c>
      <c r="N426">
        <v>0</v>
      </c>
      <c r="O426" t="str">
        <f>_xll.BDP("912828AA Govt","ISSUE_DT")</f>
        <v>4/1/2002</v>
      </c>
      <c r="P426" t="str">
        <f>_xll.BDP("912828AA Govt","SECURITY_NAME")</f>
        <v>T 3 5/8 03/31/04</v>
      </c>
      <c r="Q426" t="str">
        <f>_xll.BDP("912828AA Govt","DAY_CNT_DES")</f>
        <v>ACT/ACT</v>
      </c>
      <c r="R426">
        <v>100</v>
      </c>
      <c r="S426" t="str">
        <f>_xll.BDP("912828AA Govt","ID_CUSIP")</f>
        <v>912828AA8</v>
      </c>
      <c r="T426" t="str">
        <f>_xll.BDP("912828AA Govt","IDX_RATIO")</f>
        <v>#N/A Field Not Applicable</v>
      </c>
    </row>
    <row r="427" spans="1:20" x14ac:dyDescent="0.25">
      <c r="A427" t="s">
        <v>14</v>
      </c>
      <c r="B427" t="str">
        <f>_xll.BDP("912828BG Govt","TICKER")</f>
        <v>T</v>
      </c>
      <c r="C427">
        <f>_xll.BDP("912828BG Govt","CPN")</f>
        <v>3.25</v>
      </c>
      <c r="D427" t="str">
        <f>_xll.BDP("912828BG Govt","YLD_YTM_BID")</f>
        <v>#N/A N/A</v>
      </c>
      <c r="E427" t="str">
        <f>_xll.BDP("912828BG Govt","MATURITY")</f>
        <v>8/15/2008</v>
      </c>
      <c r="F427" t="str">
        <f>_xll.BDP("912828BG Govt","MTY_TYP")</f>
        <v>NORMAL</v>
      </c>
      <c r="G427" t="str">
        <f>_xll.BDP("912828BG Govt","CRNCY")</f>
        <v>USD</v>
      </c>
      <c r="H427" t="str">
        <f>_xll.BDP("912828BG Govt","COUNTRY_FULL_NAME")</f>
        <v>UNITED STATES</v>
      </c>
      <c r="I427" t="str">
        <f>_xll.BDP("912828BG Govt","FIRST_CPN_DT")</f>
        <v>2/15/2004</v>
      </c>
      <c r="J427" t="str">
        <f>_xll.BDP("912828BG Govt","COUPON_FREQUENCY_DESCRIPTION")</f>
        <v>S/A</v>
      </c>
      <c r="K427" t="str">
        <f>_xll.BDP("912828BG Govt","CPN_TYP")</f>
        <v>FIXED</v>
      </c>
      <c r="L427" t="str">
        <f>_xll.BDP("912828BG Govt","ID_ISIN")</f>
        <v>US912828BG49</v>
      </c>
      <c r="M427">
        <v>21357000000</v>
      </c>
      <c r="N427">
        <v>0</v>
      </c>
      <c r="O427" t="str">
        <f>_xll.BDP("912828BG Govt","ISSUE_DT")</f>
        <v>8/15/2003</v>
      </c>
      <c r="P427" t="str">
        <f>_xll.BDP("912828BG Govt","SECURITY_NAME")</f>
        <v>T 3 1/4 08/15/08</v>
      </c>
      <c r="Q427" t="str">
        <f>_xll.BDP("912828BG Govt","DAY_CNT_DES")</f>
        <v>ACT/ACT</v>
      </c>
      <c r="R427">
        <v>100</v>
      </c>
      <c r="S427" t="str">
        <f>_xll.BDP("912828BG Govt","ID_CUSIP")</f>
        <v>912828BG4</v>
      </c>
      <c r="T427" t="str">
        <f>_xll.BDP("912828BG Govt","IDX_RATIO")</f>
        <v>#N/A Field Not Applicable</v>
      </c>
    </row>
    <row r="428" spans="1:20" x14ac:dyDescent="0.25">
      <c r="A428" t="s">
        <v>14</v>
      </c>
      <c r="B428" t="str">
        <f>_xll.BDP("9128275Z Govt","TICKER")</f>
        <v>T</v>
      </c>
      <c r="C428">
        <f>_xll.BDP("9128275Z Govt","CPN")</f>
        <v>6.5</v>
      </c>
      <c r="D428" t="str">
        <f>_xll.BDP("9128275Z Govt","YLD_YTM_BID")</f>
        <v>#N/A N/A</v>
      </c>
      <c r="E428" t="str">
        <f>_xll.BDP("9128275Z Govt","MATURITY")</f>
        <v>2/15/2010</v>
      </c>
      <c r="F428" t="str">
        <f>_xll.BDP("9128275Z Govt","MTY_TYP")</f>
        <v>NORMAL</v>
      </c>
      <c r="G428" t="str">
        <f>_xll.BDP("9128275Z Govt","CRNCY")</f>
        <v>USD</v>
      </c>
      <c r="H428" t="str">
        <f>_xll.BDP("9128275Z Govt","COUNTRY_FULL_NAME")</f>
        <v>UNITED STATES</v>
      </c>
      <c r="I428" t="str">
        <f>_xll.BDP("9128275Z Govt","FIRST_CPN_DT")</f>
        <v>8/15/2000</v>
      </c>
      <c r="J428" t="str">
        <f>_xll.BDP("9128275Z Govt","COUPON_FREQUENCY_DESCRIPTION")</f>
        <v>S/A</v>
      </c>
      <c r="K428" t="str">
        <f>_xll.BDP("9128275Z Govt","CPN_TYP")</f>
        <v>FIXED</v>
      </c>
      <c r="L428" t="str">
        <f>_xll.BDP("9128275Z Govt","ID_ISIN")</f>
        <v>US9128275Z13</v>
      </c>
      <c r="M428">
        <v>23356000000</v>
      </c>
      <c r="N428">
        <v>0</v>
      </c>
      <c r="O428" t="str">
        <f>_xll.BDP("9128275Z Govt","ISSUE_DT")</f>
        <v>2/15/2000</v>
      </c>
      <c r="P428" t="str">
        <f>_xll.BDP("9128275Z Govt","SECURITY_NAME")</f>
        <v>T 6 1/2 02/15/10</v>
      </c>
      <c r="Q428" t="str">
        <f>_xll.BDP("9128275Z Govt","DAY_CNT_DES")</f>
        <v>ACT/ACT</v>
      </c>
      <c r="R428">
        <v>100</v>
      </c>
      <c r="S428" t="str">
        <f>_xll.BDP("9128275Z Govt","ID_CUSIP")</f>
        <v>9128275Z1</v>
      </c>
      <c r="T428" t="str">
        <f>_xll.BDP("9128275Z Govt","IDX_RATIO")</f>
        <v>#N/A Field Not Applicable</v>
      </c>
    </row>
    <row r="429" spans="1:20" x14ac:dyDescent="0.25">
      <c r="A429" t="s">
        <v>14</v>
      </c>
      <c r="B429" t="str">
        <f>_xll.BDP("9128285S Govt","TICKER")</f>
        <v>T</v>
      </c>
      <c r="C429">
        <f>_xll.BDP("9128285S Govt","CPN")</f>
        <v>2.5</v>
      </c>
      <c r="D429" t="str">
        <f>_xll.BDP("9128285S Govt","YLD_YTM_BID")</f>
        <v>#N/A N/A</v>
      </c>
      <c r="E429" t="str">
        <f>_xll.BDP("9128285S Govt","MATURITY")</f>
        <v>12/31/2020</v>
      </c>
      <c r="F429" t="str">
        <f>_xll.BDP("9128285S Govt","MTY_TYP")</f>
        <v>NORMAL</v>
      </c>
      <c r="G429" t="str">
        <f>_xll.BDP("9128285S Govt","CRNCY")</f>
        <v>USD</v>
      </c>
      <c r="H429" t="str">
        <f>_xll.BDP("9128285S Govt","COUNTRY_FULL_NAME")</f>
        <v>UNITED STATES</v>
      </c>
      <c r="I429" t="str">
        <f>_xll.BDP("9128285S Govt","FIRST_CPN_DT")</f>
        <v>6/30/2019</v>
      </c>
      <c r="J429" t="str">
        <f>_xll.BDP("9128285S Govt","COUPON_FREQUENCY_DESCRIPTION")</f>
        <v>S/A</v>
      </c>
      <c r="K429" t="str">
        <f>_xll.BDP("9128285S Govt","CPN_TYP")</f>
        <v>FIXED</v>
      </c>
      <c r="L429" t="str">
        <f>_xll.BDP("9128285S Govt","ID_ISIN")</f>
        <v>US9128285S51</v>
      </c>
      <c r="M429">
        <v>39997000000</v>
      </c>
      <c r="N429">
        <v>0</v>
      </c>
      <c r="O429" t="str">
        <f>_xll.BDP("9128285S Govt","ISSUE_DT")</f>
        <v>12/31/2018</v>
      </c>
      <c r="P429" t="str">
        <f>_xll.BDP("9128285S Govt","SECURITY_NAME")</f>
        <v>T 2 1/2 12/31/20</v>
      </c>
      <c r="Q429" t="str">
        <f>_xll.BDP("9128285S Govt","DAY_CNT_DES")</f>
        <v>ACT/ACT</v>
      </c>
      <c r="R429">
        <v>100</v>
      </c>
      <c r="S429" t="str">
        <f>_xll.BDP("9128285S Govt","ID_CUSIP")</f>
        <v>9128285S5</v>
      </c>
      <c r="T429" t="str">
        <f>_xll.BDP("9128285S Govt","IDX_RATIO")</f>
        <v>#N/A Field Not Applicable</v>
      </c>
    </row>
    <row r="430" spans="1:20" x14ac:dyDescent="0.25">
      <c r="A430" t="s">
        <v>14</v>
      </c>
      <c r="B430" t="str">
        <f>_xll.BDP("912828L6 Govt","TICKER")</f>
        <v>T</v>
      </c>
      <c r="C430">
        <f>_xll.BDP("912828L6 Govt","CPN")</f>
        <v>1.375</v>
      </c>
      <c r="D430" t="str">
        <f>_xll.BDP("912828L6 Govt","YLD_YTM_BID")</f>
        <v>#N/A N/A</v>
      </c>
      <c r="E430" t="str">
        <f>_xll.BDP("912828L6 Govt","MATURITY")</f>
        <v>9/30/2020</v>
      </c>
      <c r="F430" t="str">
        <f>_xll.BDP("912828L6 Govt","MTY_TYP")</f>
        <v>NORMAL</v>
      </c>
      <c r="G430" t="str">
        <f>_xll.BDP("912828L6 Govt","CRNCY")</f>
        <v>USD</v>
      </c>
      <c r="H430" t="str">
        <f>_xll.BDP("912828L6 Govt","COUNTRY_FULL_NAME")</f>
        <v>UNITED STATES</v>
      </c>
      <c r="I430" t="str">
        <f>_xll.BDP("912828L6 Govt","FIRST_CPN_DT")</f>
        <v>3/31/2016</v>
      </c>
      <c r="J430" t="str">
        <f>_xll.BDP("912828L6 Govt","COUPON_FREQUENCY_DESCRIPTION")</f>
        <v>S/A</v>
      </c>
      <c r="K430" t="str">
        <f>_xll.BDP("912828L6 Govt","CPN_TYP")</f>
        <v>FIXED</v>
      </c>
      <c r="L430" t="str">
        <f>_xll.BDP("912828L6 Govt","ID_ISIN")</f>
        <v>US912828L658</v>
      </c>
      <c r="M430">
        <v>35000000000</v>
      </c>
      <c r="N430">
        <v>0</v>
      </c>
      <c r="O430" t="str">
        <f>_xll.BDP("912828L6 Govt","ISSUE_DT")</f>
        <v>9/30/2015</v>
      </c>
      <c r="P430" t="str">
        <f>_xll.BDP("912828L6 Govt","SECURITY_NAME")</f>
        <v>T 1 3/8 09/30/20</v>
      </c>
      <c r="Q430" t="str">
        <f>_xll.BDP("912828L6 Govt","DAY_CNT_DES")</f>
        <v>ACT/ACT</v>
      </c>
      <c r="R430">
        <v>100</v>
      </c>
      <c r="S430" t="str">
        <f>_xll.BDP("912828L6 Govt","ID_CUSIP")</f>
        <v>912828L65</v>
      </c>
      <c r="T430" t="str">
        <f>_xll.BDP("912828L6 Govt","IDX_RATIO")</f>
        <v>#N/A Field Not Applicable</v>
      </c>
    </row>
    <row r="431" spans="1:20" x14ac:dyDescent="0.25">
      <c r="A431" t="s">
        <v>14</v>
      </c>
      <c r="B431" t="str">
        <f>_xll.BDP("912828P9 Govt","TICKER")</f>
        <v>T</v>
      </c>
      <c r="C431">
        <f>_xll.BDP("912828P9 Govt","CPN")</f>
        <v>1</v>
      </c>
      <c r="D431" t="str">
        <f>_xll.BDP("912828P9 Govt","YLD_YTM_BID")</f>
        <v>#N/A N/A</v>
      </c>
      <c r="E431" t="str">
        <f>_xll.BDP("912828P9 Govt","MATURITY")</f>
        <v>3/15/2019</v>
      </c>
      <c r="F431" t="str">
        <f>_xll.BDP("912828P9 Govt","MTY_TYP")</f>
        <v>NORMAL</v>
      </c>
      <c r="G431" t="str">
        <f>_xll.BDP("912828P9 Govt","CRNCY")</f>
        <v>USD</v>
      </c>
      <c r="H431" t="str">
        <f>_xll.BDP("912828P9 Govt","COUNTRY_FULL_NAME")</f>
        <v>UNITED STATES</v>
      </c>
      <c r="I431" t="str">
        <f>_xll.BDP("912828P9 Govt","FIRST_CPN_DT")</f>
        <v>9/15/2016</v>
      </c>
      <c r="J431" t="str">
        <f>_xll.BDP("912828P9 Govt","COUPON_FREQUENCY_DESCRIPTION")</f>
        <v>S/A</v>
      </c>
      <c r="K431" t="str">
        <f>_xll.BDP("912828P9 Govt","CPN_TYP")</f>
        <v>FIXED</v>
      </c>
      <c r="L431" t="str">
        <f>_xll.BDP("912828P9 Govt","ID_ISIN")</f>
        <v>US912828P956</v>
      </c>
      <c r="M431">
        <v>24001000000</v>
      </c>
      <c r="N431">
        <v>0</v>
      </c>
      <c r="O431" t="str">
        <f>_xll.BDP("912828P9 Govt","ISSUE_DT")</f>
        <v>3/15/2016</v>
      </c>
      <c r="P431" t="str">
        <f>_xll.BDP("912828P9 Govt","SECURITY_NAME")</f>
        <v>T 1 03/15/19</v>
      </c>
      <c r="Q431" t="str">
        <f>_xll.BDP("912828P9 Govt","DAY_CNT_DES")</f>
        <v>ACT/ACT</v>
      </c>
      <c r="R431">
        <v>100</v>
      </c>
      <c r="S431" t="str">
        <f>_xll.BDP("912828P9 Govt","ID_CUSIP")</f>
        <v>912828P95</v>
      </c>
      <c r="T431" t="str">
        <f>_xll.BDP("912828P9 Govt","IDX_RATIO")</f>
        <v>#N/A Field Not Applicable</v>
      </c>
    </row>
    <row r="432" spans="1:20" x14ac:dyDescent="0.25">
      <c r="A432" t="s">
        <v>14</v>
      </c>
      <c r="B432" t="str">
        <f>_xll.BDP("912810DU Govt","TICKER")</f>
        <v>T</v>
      </c>
      <c r="C432">
        <f>_xll.BDP("912810DU Govt","CPN")</f>
        <v>9.375</v>
      </c>
      <c r="D432" t="str">
        <f>_xll.BDP("912810DU Govt","YLD_YTM_BID")</f>
        <v>#N/A N/A</v>
      </c>
      <c r="E432" t="str">
        <f>_xll.BDP("912810DU Govt","MATURITY")</f>
        <v>2/15/2006</v>
      </c>
      <c r="F432" t="str">
        <f>_xll.BDP("912810DU Govt","MTY_TYP")</f>
        <v>NORMAL</v>
      </c>
      <c r="G432" t="str">
        <f>_xll.BDP("912810DU Govt","CRNCY")</f>
        <v>USD</v>
      </c>
      <c r="H432" t="str">
        <f>_xll.BDP("912810DU Govt","COUNTRY_FULL_NAME")</f>
        <v>UNITED STATES</v>
      </c>
      <c r="I432" t="str">
        <f>_xll.BDP("912810DU Govt","FIRST_CPN_DT")</f>
        <v>8/15/1986</v>
      </c>
      <c r="J432" t="str">
        <f>_xll.BDP("912810DU Govt","COUPON_FREQUENCY_DESCRIPTION")</f>
        <v>S/A</v>
      </c>
      <c r="K432" t="str">
        <f>_xll.BDP("912810DU Govt","CPN_TYP")</f>
        <v>FIXED</v>
      </c>
      <c r="L432" t="str">
        <f>_xll.BDP("912810DU Govt","ID_ISIN")</f>
        <v>US912810DU98</v>
      </c>
      <c r="M432">
        <v>4756000000</v>
      </c>
      <c r="N432">
        <v>0</v>
      </c>
      <c r="O432" t="str">
        <f>_xll.BDP("912810DU Govt","ISSUE_DT")</f>
        <v>1/15/1986</v>
      </c>
      <c r="P432" t="str">
        <f>_xll.BDP("912810DU Govt","SECURITY_NAME")</f>
        <v>T 9 3/8 02/15/06</v>
      </c>
      <c r="Q432" t="str">
        <f>_xll.BDP("912810DU Govt","DAY_CNT_DES")</f>
        <v>ACT/ACT</v>
      </c>
      <c r="R432">
        <v>100</v>
      </c>
      <c r="S432" t="str">
        <f>_xll.BDP("912810DU Govt","ID_CUSIP")</f>
        <v>912810DU9</v>
      </c>
      <c r="T432" t="str">
        <f>_xll.BDP("912810DU Govt","IDX_RATIO")</f>
        <v>#N/A Field Not Applicable</v>
      </c>
    </row>
    <row r="433" spans="1:20" x14ac:dyDescent="0.25">
      <c r="A433" t="s">
        <v>14</v>
      </c>
      <c r="B433" t="str">
        <f>_xll.BDP("9128283S Govt","TICKER")</f>
        <v>T</v>
      </c>
      <c r="C433">
        <f>_xll.BDP("9128283S Govt","CPN")</f>
        <v>2</v>
      </c>
      <c r="D433" t="str">
        <f>_xll.BDP("9128283S Govt","YLD_YTM_BID")</f>
        <v>#N/A N/A</v>
      </c>
      <c r="E433" t="str">
        <f>_xll.BDP("9128283S Govt","MATURITY")</f>
        <v>1/31/2020</v>
      </c>
      <c r="F433" t="str">
        <f>_xll.BDP("9128283S Govt","MTY_TYP")</f>
        <v>NORMAL</v>
      </c>
      <c r="G433" t="str">
        <f>_xll.BDP("9128283S Govt","CRNCY")</f>
        <v>USD</v>
      </c>
      <c r="H433" t="str">
        <f>_xll.BDP("9128283S Govt","COUNTRY_FULL_NAME")</f>
        <v>UNITED STATES</v>
      </c>
      <c r="I433" t="str">
        <f>_xll.BDP("9128283S Govt","FIRST_CPN_DT")</f>
        <v>7/31/2018</v>
      </c>
      <c r="J433" t="str">
        <f>_xll.BDP("9128283S Govt","COUPON_FREQUENCY_DESCRIPTION")</f>
        <v>S/A</v>
      </c>
      <c r="K433" t="str">
        <f>_xll.BDP("9128283S Govt","CPN_TYP")</f>
        <v>FIXED</v>
      </c>
      <c r="L433" t="str">
        <f>_xll.BDP("9128283S Govt","ID_ISIN")</f>
        <v>US9128283S79</v>
      </c>
      <c r="M433">
        <v>29821000000</v>
      </c>
      <c r="N433">
        <v>0</v>
      </c>
      <c r="O433" t="str">
        <f>_xll.BDP("9128283S Govt","ISSUE_DT")</f>
        <v>1/31/2018</v>
      </c>
      <c r="P433" t="str">
        <f>_xll.BDP("9128283S Govt","SECURITY_NAME")</f>
        <v>T 2 01/31/20</v>
      </c>
      <c r="Q433" t="str">
        <f>_xll.BDP("9128283S Govt","DAY_CNT_DES")</f>
        <v>ACT/ACT</v>
      </c>
      <c r="R433">
        <v>100</v>
      </c>
      <c r="S433" t="str">
        <f>_xll.BDP("9128283S Govt","ID_CUSIP")</f>
        <v>9128283S7</v>
      </c>
      <c r="T433" t="str">
        <f>_xll.BDP("9128283S Govt","IDX_RATIO")</f>
        <v>#N/A Field Not Applicable</v>
      </c>
    </row>
    <row r="434" spans="1:20" x14ac:dyDescent="0.25">
      <c r="A434" t="s">
        <v>14</v>
      </c>
      <c r="B434" t="str">
        <f>_xll.BDP("912828A8 Govt","TICKER")</f>
        <v>T</v>
      </c>
      <c r="C434">
        <f>_xll.BDP("912828A8 Govt","CPN")</f>
        <v>2.375</v>
      </c>
      <c r="D434" t="str">
        <f>_xll.BDP("912828A8 Govt","YLD_YTM_BID")</f>
        <v>#N/A N/A</v>
      </c>
      <c r="E434" t="str">
        <f>_xll.BDP("912828A8 Govt","MATURITY")</f>
        <v>12/31/2020</v>
      </c>
      <c r="F434" t="str">
        <f>_xll.BDP("912828A8 Govt","MTY_TYP")</f>
        <v>NORMAL</v>
      </c>
      <c r="G434" t="str">
        <f>_xll.BDP("912828A8 Govt","CRNCY")</f>
        <v>USD</v>
      </c>
      <c r="H434" t="str">
        <f>_xll.BDP("912828A8 Govt","COUNTRY_FULL_NAME")</f>
        <v>UNITED STATES</v>
      </c>
      <c r="I434" t="str">
        <f>_xll.BDP("912828A8 Govt","FIRST_CPN_DT")</f>
        <v>6/30/2014</v>
      </c>
      <c r="J434" t="str">
        <f>_xll.BDP("912828A8 Govt","COUPON_FREQUENCY_DESCRIPTION")</f>
        <v>S/A</v>
      </c>
      <c r="K434" t="str">
        <f>_xll.BDP("912828A8 Govt","CPN_TYP")</f>
        <v>FIXED</v>
      </c>
      <c r="L434" t="str">
        <f>_xll.BDP("912828A8 Govt","ID_ISIN")</f>
        <v>US912828A834</v>
      </c>
      <c r="M434">
        <v>29000000000</v>
      </c>
      <c r="N434">
        <v>0</v>
      </c>
      <c r="O434" t="str">
        <f>_xll.BDP("912828A8 Govt","ISSUE_DT")</f>
        <v>12/31/2013</v>
      </c>
      <c r="P434" t="str">
        <f>_xll.BDP("912828A8 Govt","SECURITY_NAME")</f>
        <v>T 2 3/8 12/31/20</v>
      </c>
      <c r="Q434" t="str">
        <f>_xll.BDP("912828A8 Govt","DAY_CNT_DES")</f>
        <v>ACT/ACT</v>
      </c>
      <c r="R434">
        <v>100</v>
      </c>
      <c r="S434" t="str">
        <f>_xll.BDP("912828A8 Govt","ID_CUSIP")</f>
        <v>912828A83</v>
      </c>
      <c r="T434" t="str">
        <f>_xll.BDP("912828A8 Govt","IDX_RATIO")</f>
        <v>#N/A Field Not Applicable</v>
      </c>
    </row>
    <row r="435" spans="1:20" x14ac:dyDescent="0.25">
      <c r="A435" t="s">
        <v>14</v>
      </c>
      <c r="B435" t="str">
        <f>_xll.BDP("912828BQ Govt","TICKER")</f>
        <v>T</v>
      </c>
      <c r="C435">
        <f>_xll.BDP("912828BQ Govt","CPN")</f>
        <v>3.375</v>
      </c>
      <c r="D435" t="str">
        <f>_xll.BDP("912828BQ Govt","YLD_YTM_BID")</f>
        <v>#N/A N/A</v>
      </c>
      <c r="E435" t="str">
        <f>_xll.BDP("912828BQ Govt","MATURITY")</f>
        <v>11/15/2008</v>
      </c>
      <c r="F435" t="str">
        <f>_xll.BDP("912828BQ Govt","MTY_TYP")</f>
        <v>NORMAL</v>
      </c>
      <c r="G435" t="str">
        <f>_xll.BDP("912828BQ Govt","CRNCY")</f>
        <v>USD</v>
      </c>
      <c r="H435" t="str">
        <f>_xll.BDP("912828BQ Govt","COUNTRY_FULL_NAME")</f>
        <v>UNITED STATES</v>
      </c>
      <c r="I435" t="str">
        <f>_xll.BDP("912828BQ Govt","FIRST_CPN_DT")</f>
        <v>5/15/2004</v>
      </c>
      <c r="J435" t="str">
        <f>_xll.BDP("912828BQ Govt","COUPON_FREQUENCY_DESCRIPTION")</f>
        <v>S/A</v>
      </c>
      <c r="K435" t="str">
        <f>_xll.BDP("912828BQ Govt","CPN_TYP")</f>
        <v>FIXED</v>
      </c>
      <c r="L435" t="str">
        <f>_xll.BDP("912828BQ Govt","ID_ISIN")</f>
        <v>US912828BQ21</v>
      </c>
      <c r="M435">
        <v>18181000000</v>
      </c>
      <c r="N435">
        <v>0</v>
      </c>
      <c r="O435" t="str">
        <f>_xll.BDP("912828BQ Govt","ISSUE_DT")</f>
        <v>11/17/2003</v>
      </c>
      <c r="P435" t="str">
        <f>_xll.BDP("912828BQ Govt","SECURITY_NAME")</f>
        <v>T 3 3/8 11/15/08</v>
      </c>
      <c r="Q435" t="str">
        <f>_xll.BDP("912828BQ Govt","DAY_CNT_DES")</f>
        <v>ACT/ACT</v>
      </c>
      <c r="R435">
        <v>100</v>
      </c>
      <c r="S435" t="str">
        <f>_xll.BDP("912828BQ Govt","ID_CUSIP")</f>
        <v>912828BQ2</v>
      </c>
      <c r="T435" t="str">
        <f>_xll.BDP("912828BQ Govt","IDX_RATIO")</f>
        <v>#N/A Field Not Applicable</v>
      </c>
    </row>
    <row r="436" spans="1:20" x14ac:dyDescent="0.25">
      <c r="A436" t="s">
        <v>14</v>
      </c>
      <c r="B436" t="str">
        <f>_xll.BDP("912828BZ Govt","TICKER")</f>
        <v>T</v>
      </c>
      <c r="C436">
        <f>_xll.BDP("912828BZ Govt","CPN")</f>
        <v>3</v>
      </c>
      <c r="D436" t="str">
        <f>_xll.BDP("912828BZ Govt","YLD_YTM_BID")</f>
        <v>#N/A N/A</v>
      </c>
      <c r="E436" t="str">
        <f>_xll.BDP("912828BZ Govt","MATURITY")</f>
        <v>2/15/2009</v>
      </c>
      <c r="F436" t="str">
        <f>_xll.BDP("912828BZ Govt","MTY_TYP")</f>
        <v>NORMAL</v>
      </c>
      <c r="G436" t="str">
        <f>_xll.BDP("912828BZ Govt","CRNCY")</f>
        <v>USD</v>
      </c>
      <c r="H436" t="str">
        <f>_xll.BDP("912828BZ Govt","COUNTRY_FULL_NAME")</f>
        <v>UNITED STATES</v>
      </c>
      <c r="I436" t="str">
        <f>_xll.BDP("912828BZ Govt","FIRST_CPN_DT")</f>
        <v>8/15/2004</v>
      </c>
      <c r="J436" t="str">
        <f>_xll.BDP("912828BZ Govt","COUPON_FREQUENCY_DESCRIPTION")</f>
        <v>S/A</v>
      </c>
      <c r="K436" t="str">
        <f>_xll.BDP("912828BZ Govt","CPN_TYP")</f>
        <v>FIXED</v>
      </c>
      <c r="L436" t="str">
        <f>_xll.BDP("912828BZ Govt","ID_ISIN")</f>
        <v>US912828BZ20</v>
      </c>
      <c r="M436">
        <v>17434000000</v>
      </c>
      <c r="N436">
        <v>0</v>
      </c>
      <c r="O436" t="str">
        <f>_xll.BDP("912828BZ Govt","ISSUE_DT")</f>
        <v>2/17/2004</v>
      </c>
      <c r="P436" t="str">
        <f>_xll.BDP("912828BZ Govt","SECURITY_NAME")</f>
        <v>T 3 02/15/09</v>
      </c>
      <c r="Q436" t="str">
        <f>_xll.BDP("912828BZ Govt","DAY_CNT_DES")</f>
        <v>ACT/ACT</v>
      </c>
      <c r="R436">
        <v>100</v>
      </c>
      <c r="S436" t="str">
        <f>_xll.BDP("912828BZ Govt","ID_CUSIP")</f>
        <v>912828BZ2</v>
      </c>
      <c r="T436" t="str">
        <f>_xll.BDP("912828BZ Govt","IDX_RATIO")</f>
        <v>#N/A Field Not Applicable</v>
      </c>
    </row>
    <row r="437" spans="1:20" x14ac:dyDescent="0.25">
      <c r="A437" t="s">
        <v>14</v>
      </c>
      <c r="B437" t="str">
        <f>_xll.BDP("912828R9 Govt","TICKER")</f>
        <v>T</v>
      </c>
      <c r="C437">
        <f>_xll.BDP("912828R9 Govt","CPN")</f>
        <v>0.625</v>
      </c>
      <c r="D437" t="str">
        <f>_xll.BDP("912828R9 Govt","YLD_YTM_BID")</f>
        <v>#N/A N/A</v>
      </c>
      <c r="E437" t="str">
        <f>_xll.BDP("912828R9 Govt","MATURITY")</f>
        <v>6/30/2018</v>
      </c>
      <c r="F437" t="str">
        <f>_xll.BDP("912828R9 Govt","MTY_TYP")</f>
        <v>NORMAL</v>
      </c>
      <c r="G437" t="str">
        <f>_xll.BDP("912828R9 Govt","CRNCY")</f>
        <v>USD</v>
      </c>
      <c r="H437" t="str">
        <f>_xll.BDP("912828R9 Govt","COUNTRY_FULL_NAME")</f>
        <v>UNITED STATES</v>
      </c>
      <c r="I437" t="str">
        <f>_xll.BDP("912828R9 Govt","FIRST_CPN_DT")</f>
        <v>12/31/2016</v>
      </c>
      <c r="J437" t="str">
        <f>_xll.BDP("912828R9 Govt","COUPON_FREQUENCY_DESCRIPTION")</f>
        <v>S/A</v>
      </c>
      <c r="K437" t="str">
        <f>_xll.BDP("912828R9 Govt","CPN_TYP")</f>
        <v>FIXED</v>
      </c>
      <c r="L437" t="str">
        <f>_xll.BDP("912828R9 Govt","ID_ISIN")</f>
        <v>US912828R937</v>
      </c>
      <c r="M437">
        <v>29792000000</v>
      </c>
      <c r="N437">
        <v>0</v>
      </c>
      <c r="O437" t="str">
        <f>_xll.BDP("912828R9 Govt","ISSUE_DT")</f>
        <v>6/30/2016</v>
      </c>
      <c r="P437" t="str">
        <f>_xll.BDP("912828R9 Govt","SECURITY_NAME")</f>
        <v>T 0 5/8 06/30/18</v>
      </c>
      <c r="Q437" t="str">
        <f>_xll.BDP("912828R9 Govt","DAY_CNT_DES")</f>
        <v>ACT/ACT</v>
      </c>
      <c r="R437">
        <v>100</v>
      </c>
      <c r="S437" t="str">
        <f>_xll.BDP("912828R9 Govt","ID_CUSIP")</f>
        <v>912828R93</v>
      </c>
      <c r="T437" t="str">
        <f>_xll.BDP("912828R9 Govt","IDX_RATIO")</f>
        <v>#N/A Field Not Applicable</v>
      </c>
    </row>
    <row r="438" spans="1:20" x14ac:dyDescent="0.25">
      <c r="A438" t="s">
        <v>14</v>
      </c>
      <c r="B438" t="str">
        <f>_xll.BDP("9128276J Govt","TICKER")</f>
        <v>T</v>
      </c>
      <c r="C438">
        <f>_xll.BDP("9128276J Govt","CPN")</f>
        <v>5.75</v>
      </c>
      <c r="D438" t="str">
        <f>_xll.BDP("9128276J Govt","YLD_YTM_BID")</f>
        <v>#N/A N/A</v>
      </c>
      <c r="E438" t="str">
        <f>_xll.BDP("9128276J Govt","MATURITY")</f>
        <v>8/15/2010</v>
      </c>
      <c r="F438" t="str">
        <f>_xll.BDP("9128276J Govt","MTY_TYP")</f>
        <v>NORMAL</v>
      </c>
      <c r="G438" t="str">
        <f>_xll.BDP("9128276J Govt","CRNCY")</f>
        <v>USD</v>
      </c>
      <c r="H438" t="str">
        <f>_xll.BDP("9128276J Govt","COUNTRY_FULL_NAME")</f>
        <v>UNITED STATES</v>
      </c>
      <c r="I438" t="str">
        <f>_xll.BDP("9128276J Govt","FIRST_CPN_DT")</f>
        <v>2/15/2001</v>
      </c>
      <c r="J438" t="str">
        <f>_xll.BDP("9128276J Govt","COUPON_FREQUENCY_DESCRIPTION")</f>
        <v>S/A</v>
      </c>
      <c r="K438" t="str">
        <f>_xll.BDP("9128276J Govt","CPN_TYP")</f>
        <v>FIXED</v>
      </c>
      <c r="L438" t="str">
        <f>_xll.BDP("9128276J Govt","ID_ISIN")</f>
        <v>US9128276J61</v>
      </c>
      <c r="M438">
        <v>22438000000</v>
      </c>
      <c r="N438">
        <v>0</v>
      </c>
      <c r="O438" t="str">
        <f>_xll.BDP("9128276J Govt","ISSUE_DT")</f>
        <v>8/15/2000</v>
      </c>
      <c r="P438" t="str">
        <f>_xll.BDP("9128276J Govt","SECURITY_NAME")</f>
        <v>T 5 3/4 08/15/10</v>
      </c>
      <c r="Q438" t="str">
        <f>_xll.BDP("9128276J Govt","DAY_CNT_DES")</f>
        <v>ACT/ACT</v>
      </c>
      <c r="R438">
        <v>100</v>
      </c>
      <c r="S438" t="str">
        <f>_xll.BDP("9128276J Govt","ID_CUSIP")</f>
        <v>9128276J6</v>
      </c>
      <c r="T438" t="str">
        <f>_xll.BDP("9128276J Govt","IDX_RATIO")</f>
        <v>#N/A Field Not Applicable</v>
      </c>
    </row>
    <row r="439" spans="1:20" x14ac:dyDescent="0.25">
      <c r="A439" t="s">
        <v>14</v>
      </c>
      <c r="B439" t="str">
        <f>_xll.BDP("9128282C Govt","TICKER")</f>
        <v>T</v>
      </c>
      <c r="C439">
        <f>_xll.BDP("9128282C Govt","CPN")</f>
        <v>0.75</v>
      </c>
      <c r="D439" t="str">
        <f>_xll.BDP("9128282C Govt","YLD_YTM_BID")</f>
        <v>#N/A N/A</v>
      </c>
      <c r="E439" t="str">
        <f>_xll.BDP("9128282C Govt","MATURITY")</f>
        <v>8/31/2018</v>
      </c>
      <c r="F439" t="str">
        <f>_xll.BDP("9128282C Govt","MTY_TYP")</f>
        <v>NORMAL</v>
      </c>
      <c r="G439" t="str">
        <f>_xll.BDP("9128282C Govt","CRNCY")</f>
        <v>USD</v>
      </c>
      <c r="H439" t="str">
        <f>_xll.BDP("9128282C Govt","COUNTRY_FULL_NAME")</f>
        <v>UNITED STATES</v>
      </c>
      <c r="I439" t="str">
        <f>_xll.BDP("9128282C Govt","FIRST_CPN_DT")</f>
        <v>2/28/2017</v>
      </c>
      <c r="J439" t="str">
        <f>_xll.BDP("9128282C Govt","COUPON_FREQUENCY_DESCRIPTION")</f>
        <v>S/A</v>
      </c>
      <c r="K439" t="str">
        <f>_xll.BDP("9128282C Govt","CPN_TYP")</f>
        <v>FIXED</v>
      </c>
      <c r="L439" t="str">
        <f>_xll.BDP("9128282C Govt","ID_ISIN")</f>
        <v>US9128282C37</v>
      </c>
      <c r="M439">
        <v>27778000000</v>
      </c>
      <c r="N439">
        <v>0</v>
      </c>
      <c r="O439" t="str">
        <f>_xll.BDP("9128282C Govt","ISSUE_DT")</f>
        <v>8/31/2016</v>
      </c>
      <c r="P439" t="str">
        <f>_xll.BDP("9128282C Govt","SECURITY_NAME")</f>
        <v>T 0 3/4 08/31/18</v>
      </c>
      <c r="Q439" t="str">
        <f>_xll.BDP("9128282C Govt","DAY_CNT_DES")</f>
        <v>ACT/ACT</v>
      </c>
      <c r="R439">
        <v>100</v>
      </c>
      <c r="S439" t="str">
        <f>_xll.BDP("9128282C Govt","ID_CUSIP")</f>
        <v>9128282C3</v>
      </c>
      <c r="T439" t="str">
        <f>_xll.BDP("9128282C Govt","IDX_RATIO")</f>
        <v>#N/A Field Not Applicable</v>
      </c>
    </row>
    <row r="440" spans="1:20" x14ac:dyDescent="0.25">
      <c r="A440" t="s">
        <v>14</v>
      </c>
      <c r="B440" t="str">
        <f>_xll.BDP("912828N2 Govt","TICKER")</f>
        <v>T</v>
      </c>
      <c r="C440">
        <f>_xll.BDP("912828N2 Govt","CPN")</f>
        <v>1.25</v>
      </c>
      <c r="D440" t="str">
        <f>_xll.BDP("912828N2 Govt","YLD_YTM_BID")</f>
        <v>#N/A N/A</v>
      </c>
      <c r="E440" t="str">
        <f>_xll.BDP("912828N2 Govt","MATURITY")</f>
        <v>12/15/2018</v>
      </c>
      <c r="F440" t="str">
        <f>_xll.BDP("912828N2 Govt","MTY_TYP")</f>
        <v>NORMAL</v>
      </c>
      <c r="G440" t="str">
        <f>_xll.BDP("912828N2 Govt","CRNCY")</f>
        <v>USD</v>
      </c>
      <c r="H440" t="str">
        <f>_xll.BDP("912828N2 Govt","COUNTRY_FULL_NAME")</f>
        <v>UNITED STATES</v>
      </c>
      <c r="I440" t="str">
        <f>_xll.BDP("912828N2 Govt","FIRST_CPN_DT")</f>
        <v>6/15/2016</v>
      </c>
      <c r="J440" t="str">
        <f>_xll.BDP("912828N2 Govt","COUPON_FREQUENCY_DESCRIPTION")</f>
        <v>S/A</v>
      </c>
      <c r="K440" t="str">
        <f>_xll.BDP("912828N2 Govt","CPN_TYP")</f>
        <v>FIXED</v>
      </c>
      <c r="L440" t="str">
        <f>_xll.BDP("912828N2 Govt","ID_ISIN")</f>
        <v>US912828N225</v>
      </c>
      <c r="M440">
        <v>24000000000</v>
      </c>
      <c r="N440">
        <v>0</v>
      </c>
      <c r="O440" t="str">
        <f>_xll.BDP("912828N2 Govt","ISSUE_DT")</f>
        <v>12/15/2015</v>
      </c>
      <c r="P440" t="str">
        <f>_xll.BDP("912828N2 Govt","SECURITY_NAME")</f>
        <v>T 1 1/4 12/15/18</v>
      </c>
      <c r="Q440" t="str">
        <f>_xll.BDP("912828N2 Govt","DAY_CNT_DES")</f>
        <v>ACT/ACT</v>
      </c>
      <c r="R440">
        <v>100</v>
      </c>
      <c r="S440" t="str">
        <f>_xll.BDP("912828N2 Govt","ID_CUSIP")</f>
        <v>912828N22</v>
      </c>
      <c r="T440" t="str">
        <f>_xll.BDP("912828N2 Govt","IDX_RATIO")</f>
        <v>#N/A Field Not Applicable</v>
      </c>
    </row>
    <row r="441" spans="1:20" x14ac:dyDescent="0.25">
      <c r="A441" t="s">
        <v>14</v>
      </c>
      <c r="B441" t="str">
        <f>_xll.BDP("9128276P Govt","TICKER")</f>
        <v>T</v>
      </c>
      <c r="C441">
        <f>_xll.BDP("9128276P Govt","CPN")</f>
        <v>5.625</v>
      </c>
      <c r="D441" t="str">
        <f>_xll.BDP("9128276P Govt","YLD_YTM_BID")</f>
        <v>#N/A N/A</v>
      </c>
      <c r="E441" t="str">
        <f>_xll.BDP("9128276P Govt","MATURITY")</f>
        <v>11/30/2002</v>
      </c>
      <c r="F441" t="str">
        <f>_xll.BDP("9128276P Govt","MTY_TYP")</f>
        <v>NORMAL</v>
      </c>
      <c r="G441" t="str">
        <f>_xll.BDP("9128276P Govt","CRNCY")</f>
        <v>USD</v>
      </c>
      <c r="H441" t="str">
        <f>_xll.BDP("9128276P Govt","COUNTRY_FULL_NAME")</f>
        <v>UNITED STATES</v>
      </c>
      <c r="I441" t="str">
        <f>_xll.BDP("9128276P Govt","FIRST_CPN_DT")</f>
        <v>5/31/2001</v>
      </c>
      <c r="J441" t="str">
        <f>_xll.BDP("9128276P Govt","COUPON_FREQUENCY_DESCRIPTION")</f>
        <v>S/A</v>
      </c>
      <c r="K441" t="str">
        <f>_xll.BDP("9128276P Govt","CPN_TYP")</f>
        <v>FIXED</v>
      </c>
      <c r="L441" t="str">
        <f>_xll.BDP("9128276P Govt","ID_ISIN")</f>
        <v>US9128276P22</v>
      </c>
      <c r="M441">
        <v>15059000000</v>
      </c>
      <c r="N441">
        <v>0</v>
      </c>
      <c r="O441" t="str">
        <f>_xll.BDP("9128276P Govt","ISSUE_DT")</f>
        <v>11/30/2000</v>
      </c>
      <c r="P441" t="str">
        <f>_xll.BDP("9128276P Govt","SECURITY_NAME")</f>
        <v>T 5 5/8 11/30/02</v>
      </c>
      <c r="Q441" t="str">
        <f>_xll.BDP("9128276P Govt","DAY_CNT_DES")</f>
        <v>ACT/ACT</v>
      </c>
      <c r="R441">
        <v>100</v>
      </c>
      <c r="S441" t="str">
        <f>_xll.BDP("9128276P Govt","ID_CUSIP")</f>
        <v>9128276P2</v>
      </c>
      <c r="T441" t="str">
        <f>_xll.BDP("9128276P Govt","IDX_RATIO")</f>
        <v>#N/A Field Not Applicable</v>
      </c>
    </row>
    <row r="442" spans="1:20" x14ac:dyDescent="0.25">
      <c r="A442" t="s">
        <v>14</v>
      </c>
      <c r="B442" t="str">
        <f>_xll.BDP("9128285B Govt","TICKER")</f>
        <v>T</v>
      </c>
      <c r="C442">
        <f>_xll.BDP("9128285B Govt","CPN")</f>
        <v>2.75</v>
      </c>
      <c r="D442" t="str">
        <f>_xll.BDP("9128285B Govt","YLD_YTM_BID")</f>
        <v>#N/A N/A</v>
      </c>
      <c r="E442" t="str">
        <f>_xll.BDP("9128285B Govt","MATURITY")</f>
        <v>9/30/2020</v>
      </c>
      <c r="F442" t="str">
        <f>_xll.BDP("9128285B Govt","MTY_TYP")</f>
        <v>NORMAL</v>
      </c>
      <c r="G442" t="str">
        <f>_xll.BDP("9128285B Govt","CRNCY")</f>
        <v>USD</v>
      </c>
      <c r="H442" t="str">
        <f>_xll.BDP("9128285B Govt","COUNTRY_FULL_NAME")</f>
        <v>UNITED STATES</v>
      </c>
      <c r="I442" t="str">
        <f>_xll.BDP("9128285B Govt","FIRST_CPN_DT")</f>
        <v>3/31/2019</v>
      </c>
      <c r="J442" t="str">
        <f>_xll.BDP("9128285B Govt","COUPON_FREQUENCY_DESCRIPTION")</f>
        <v>S/A</v>
      </c>
      <c r="K442" t="str">
        <f>_xll.BDP("9128285B Govt","CPN_TYP")</f>
        <v>FIXED</v>
      </c>
      <c r="L442" t="str">
        <f>_xll.BDP("9128285B Govt","ID_ISIN")</f>
        <v>US9128285B27</v>
      </c>
      <c r="M442">
        <v>36992000000</v>
      </c>
      <c r="N442">
        <v>0</v>
      </c>
      <c r="O442" t="str">
        <f>_xll.BDP("9128285B Govt","ISSUE_DT")</f>
        <v>10/1/2018</v>
      </c>
      <c r="P442" t="str">
        <f>_xll.BDP("9128285B Govt","SECURITY_NAME")</f>
        <v>T 2 3/4 09/30/20</v>
      </c>
      <c r="Q442" t="str">
        <f>_xll.BDP("9128285B Govt","DAY_CNT_DES")</f>
        <v>ACT/ACT</v>
      </c>
      <c r="R442">
        <v>100</v>
      </c>
      <c r="S442" t="str">
        <f>_xll.BDP("9128285B Govt","ID_CUSIP")</f>
        <v>9128285B2</v>
      </c>
      <c r="T442" t="str">
        <f>_xll.BDP("9128285B Govt","IDX_RATIO")</f>
        <v>#N/A Field Not Applicable</v>
      </c>
    </row>
    <row r="443" spans="1:20" x14ac:dyDescent="0.25">
      <c r="A443" t="s">
        <v>14</v>
      </c>
      <c r="B443" t="str">
        <f>_xll.BDP("912828M7 Govt","TICKER")</f>
        <v>T</v>
      </c>
      <c r="C443">
        <f>_xll.BDP("912828M7 Govt","CPN")</f>
        <v>0.875</v>
      </c>
      <c r="D443" t="str">
        <f>_xll.BDP("912828M7 Govt","YLD_YTM_BID")</f>
        <v>#N/A N/A</v>
      </c>
      <c r="E443" t="str">
        <f>_xll.BDP("912828M7 Govt","MATURITY")</f>
        <v>11/30/2017</v>
      </c>
      <c r="F443" t="str">
        <f>_xll.BDP("912828M7 Govt","MTY_TYP")</f>
        <v>NORMAL</v>
      </c>
      <c r="G443" t="str">
        <f>_xll.BDP("912828M7 Govt","CRNCY")</f>
        <v>USD</v>
      </c>
      <c r="H443" t="str">
        <f>_xll.BDP("912828M7 Govt","COUNTRY_FULL_NAME")</f>
        <v>UNITED STATES</v>
      </c>
      <c r="I443" t="str">
        <f>_xll.BDP("912828M7 Govt","FIRST_CPN_DT")</f>
        <v>5/31/2016</v>
      </c>
      <c r="J443" t="str">
        <f>_xll.BDP("912828M7 Govt","COUPON_FREQUENCY_DESCRIPTION")</f>
        <v>S/A</v>
      </c>
      <c r="K443" t="str">
        <f>_xll.BDP("912828M7 Govt","CPN_TYP")</f>
        <v>FIXED</v>
      </c>
      <c r="L443" t="str">
        <f>_xll.BDP("912828M7 Govt","ID_ISIN")</f>
        <v>US912828M722</v>
      </c>
      <c r="M443">
        <v>25999000000</v>
      </c>
      <c r="N443">
        <v>0</v>
      </c>
      <c r="O443" t="str">
        <f>_xll.BDP("912828M7 Govt","ISSUE_DT")</f>
        <v>11/30/2015</v>
      </c>
      <c r="P443" t="str">
        <f>_xll.BDP("912828M7 Govt","SECURITY_NAME")</f>
        <v>T 0 7/8 11/30/17</v>
      </c>
      <c r="Q443" t="str">
        <f>_xll.BDP("912828M7 Govt","DAY_CNT_DES")</f>
        <v>ACT/ACT</v>
      </c>
      <c r="R443">
        <v>100</v>
      </c>
      <c r="S443" t="str">
        <f>_xll.BDP("912828M7 Govt","ID_CUSIP")</f>
        <v>912828M72</v>
      </c>
      <c r="T443" t="str">
        <f>_xll.BDP("912828M7 Govt","IDX_RATIO")</f>
        <v>#N/A Field Not Applicable</v>
      </c>
    </row>
    <row r="444" spans="1:20" x14ac:dyDescent="0.25">
      <c r="A444" t="s">
        <v>14</v>
      </c>
      <c r="B444" t="str">
        <f>_xll.BDP("912828RS Govt","TICKER")</f>
        <v>T</v>
      </c>
      <c r="C444">
        <f>_xll.BDP("912828RS Govt","CPN")</f>
        <v>0.25</v>
      </c>
      <c r="D444" t="str">
        <f>_xll.BDP("912828RS Govt","YLD_YTM_BID")</f>
        <v>#N/A N/A</v>
      </c>
      <c r="E444" t="str">
        <f>_xll.BDP("912828RS Govt","MATURITY")</f>
        <v>11/30/2013</v>
      </c>
      <c r="F444" t="str">
        <f>_xll.BDP("912828RS Govt","MTY_TYP")</f>
        <v>NORMAL</v>
      </c>
      <c r="G444" t="str">
        <f>_xll.BDP("912828RS Govt","CRNCY")</f>
        <v>USD</v>
      </c>
      <c r="H444" t="str">
        <f>_xll.BDP("912828RS Govt","COUNTRY_FULL_NAME")</f>
        <v>UNITED STATES</v>
      </c>
      <c r="I444" t="str">
        <f>_xll.BDP("912828RS Govt","FIRST_CPN_DT")</f>
        <v>5/31/2012</v>
      </c>
      <c r="J444" t="str">
        <f>_xll.BDP("912828RS Govt","COUPON_FREQUENCY_DESCRIPTION")</f>
        <v>S/A</v>
      </c>
      <c r="K444" t="str">
        <f>_xll.BDP("912828RS Govt","CPN_TYP")</f>
        <v>FIXED</v>
      </c>
      <c r="L444" t="str">
        <f>_xll.BDP("912828RS Govt","ID_ISIN")</f>
        <v>US912828RS13</v>
      </c>
      <c r="M444">
        <v>36586000000</v>
      </c>
      <c r="N444">
        <v>0</v>
      </c>
      <c r="O444" t="str">
        <f>_xll.BDP("912828RS Govt","ISSUE_DT")</f>
        <v>11/30/2011</v>
      </c>
      <c r="P444" t="str">
        <f>_xll.BDP("912828RS Govt","SECURITY_NAME")</f>
        <v>T 0 1/4 11/30/13</v>
      </c>
      <c r="Q444" t="str">
        <f>_xll.BDP("912828RS Govt","DAY_CNT_DES")</f>
        <v>ACT/ACT</v>
      </c>
      <c r="R444">
        <v>100</v>
      </c>
      <c r="S444" t="str">
        <f>_xll.BDP("912828RS Govt","ID_CUSIP")</f>
        <v>912828RS1</v>
      </c>
      <c r="T444" t="str">
        <f>_xll.BDP("912828RS Govt","IDX_RATIO")</f>
        <v>#N/A Field Not Applicable</v>
      </c>
    </row>
    <row r="445" spans="1:20" x14ac:dyDescent="0.25">
      <c r="A445" t="s">
        <v>14</v>
      </c>
      <c r="B445" t="str">
        <f>_xll.BDP("912828UZ Govt","TICKER")</f>
        <v>T</v>
      </c>
      <c r="C445">
        <f>_xll.BDP("912828UZ Govt","CPN")</f>
        <v>0.625</v>
      </c>
      <c r="D445" t="str">
        <f>_xll.BDP("912828UZ Govt","YLD_YTM_BID")</f>
        <v>#N/A N/A</v>
      </c>
      <c r="E445" t="str">
        <f>_xll.BDP("912828UZ Govt","MATURITY")</f>
        <v>4/30/2018</v>
      </c>
      <c r="F445" t="str">
        <f>_xll.BDP("912828UZ Govt","MTY_TYP")</f>
        <v>NORMAL</v>
      </c>
      <c r="G445" t="str">
        <f>_xll.BDP("912828UZ Govt","CRNCY")</f>
        <v>USD</v>
      </c>
      <c r="H445" t="str">
        <f>_xll.BDP("912828UZ Govt","COUNTRY_FULL_NAME")</f>
        <v>UNITED STATES</v>
      </c>
      <c r="I445" t="str">
        <f>_xll.BDP("912828UZ Govt","FIRST_CPN_DT")</f>
        <v>10/31/2013</v>
      </c>
      <c r="J445" t="str">
        <f>_xll.BDP("912828UZ Govt","COUPON_FREQUENCY_DESCRIPTION")</f>
        <v>S/A</v>
      </c>
      <c r="K445" t="str">
        <f>_xll.BDP("912828UZ Govt","CPN_TYP")</f>
        <v>FIXED</v>
      </c>
      <c r="L445" t="str">
        <f>_xll.BDP("912828UZ Govt","ID_ISIN")</f>
        <v>US912828UZ19</v>
      </c>
      <c r="M445">
        <v>35000000000</v>
      </c>
      <c r="N445">
        <v>0</v>
      </c>
      <c r="O445" t="str">
        <f>_xll.BDP("912828UZ Govt","ISSUE_DT")</f>
        <v>4/30/2013</v>
      </c>
      <c r="P445" t="str">
        <f>_xll.BDP("912828UZ Govt","SECURITY_NAME")</f>
        <v>T 0 5/8 04/30/18</v>
      </c>
      <c r="Q445" t="str">
        <f>_xll.BDP("912828UZ Govt","DAY_CNT_DES")</f>
        <v>ACT/ACT</v>
      </c>
      <c r="R445">
        <v>100</v>
      </c>
      <c r="S445" t="str">
        <f>_xll.BDP("912828UZ Govt","ID_CUSIP")</f>
        <v>912828UZ1</v>
      </c>
      <c r="T445" t="str">
        <f>_xll.BDP("912828UZ Govt","IDX_RATIO")</f>
        <v>#N/A Field Not Applicable</v>
      </c>
    </row>
    <row r="446" spans="1:20" x14ac:dyDescent="0.25">
      <c r="A446" t="s">
        <v>14</v>
      </c>
      <c r="B446" t="str">
        <f>_xll.BDP("912828UE Govt","TICKER")</f>
        <v>T</v>
      </c>
      <c r="C446">
        <f>_xll.BDP("912828UE Govt","CPN")</f>
        <v>0.75</v>
      </c>
      <c r="D446" t="str">
        <f>_xll.BDP("912828UE Govt","YLD_YTM_BID")</f>
        <v>#N/A N/A</v>
      </c>
      <c r="E446" t="str">
        <f>_xll.BDP("912828UE Govt","MATURITY")</f>
        <v>12/31/2017</v>
      </c>
      <c r="F446" t="str">
        <f>_xll.BDP("912828UE Govt","MTY_TYP")</f>
        <v>NORMAL</v>
      </c>
      <c r="G446" t="str">
        <f>_xll.BDP("912828UE Govt","CRNCY")</f>
        <v>USD</v>
      </c>
      <c r="H446" t="str">
        <f>_xll.BDP("912828UE Govt","COUNTRY_FULL_NAME")</f>
        <v>UNITED STATES</v>
      </c>
      <c r="I446" t="str">
        <f>_xll.BDP("912828UE Govt","FIRST_CPN_DT")</f>
        <v>6/30/2013</v>
      </c>
      <c r="J446" t="str">
        <f>_xll.BDP("912828UE Govt","COUPON_FREQUENCY_DESCRIPTION")</f>
        <v>S/A</v>
      </c>
      <c r="K446" t="str">
        <f>_xll.BDP("912828UE Govt","CPN_TYP")</f>
        <v>FIXED</v>
      </c>
      <c r="L446" t="str">
        <f>_xll.BDP("912828UE Govt","ID_ISIN")</f>
        <v>US912828UE89</v>
      </c>
      <c r="M446">
        <v>35000000000</v>
      </c>
      <c r="N446">
        <v>0</v>
      </c>
      <c r="O446" t="str">
        <f>_xll.BDP("912828UE Govt","ISSUE_DT")</f>
        <v>12/31/2012</v>
      </c>
      <c r="P446" t="str">
        <f>_xll.BDP("912828UE Govt","SECURITY_NAME")</f>
        <v>T 0 3/4 12/31/17</v>
      </c>
      <c r="Q446" t="str">
        <f>_xll.BDP("912828UE Govt","DAY_CNT_DES")</f>
        <v>ACT/ACT</v>
      </c>
      <c r="R446">
        <v>100</v>
      </c>
      <c r="S446" t="str">
        <f>_xll.BDP("912828UE Govt","ID_CUSIP")</f>
        <v>912828UE8</v>
      </c>
      <c r="T446" t="str">
        <f>_xll.BDP("912828UE Govt","IDX_RATIO")</f>
        <v>#N/A Field Not Applicable</v>
      </c>
    </row>
    <row r="447" spans="1:20" x14ac:dyDescent="0.25">
      <c r="A447" t="s">
        <v>14</v>
      </c>
      <c r="B447" t="str">
        <f>_xll.BDP("912828VJ Govt","TICKER")</f>
        <v>T</v>
      </c>
      <c r="C447">
        <f>_xll.BDP("912828VJ Govt","CPN")</f>
        <v>1.875</v>
      </c>
      <c r="D447" t="str">
        <f>_xll.BDP("912828VJ Govt","YLD_YTM_BID")</f>
        <v>#N/A N/A</v>
      </c>
      <c r="E447" t="str">
        <f>_xll.BDP("912828VJ Govt","MATURITY")</f>
        <v>6/30/2020</v>
      </c>
      <c r="F447" t="str">
        <f>_xll.BDP("912828VJ Govt","MTY_TYP")</f>
        <v>NORMAL</v>
      </c>
      <c r="G447" t="str">
        <f>_xll.BDP("912828VJ Govt","CRNCY")</f>
        <v>USD</v>
      </c>
      <c r="H447" t="str">
        <f>_xll.BDP("912828VJ Govt","COUNTRY_FULL_NAME")</f>
        <v>UNITED STATES</v>
      </c>
      <c r="I447" t="str">
        <f>_xll.BDP("912828VJ Govt","FIRST_CPN_DT")</f>
        <v>12/31/2013</v>
      </c>
      <c r="J447" t="str">
        <f>_xll.BDP("912828VJ Govt","COUPON_FREQUENCY_DESCRIPTION")</f>
        <v>S/A</v>
      </c>
      <c r="K447" t="str">
        <f>_xll.BDP("912828VJ Govt","CPN_TYP")</f>
        <v>FIXED</v>
      </c>
      <c r="L447" t="str">
        <f>_xll.BDP("912828VJ Govt","ID_ISIN")</f>
        <v>US912828VJ67</v>
      </c>
      <c r="M447">
        <v>29000000000</v>
      </c>
      <c r="N447">
        <v>0</v>
      </c>
      <c r="O447" t="str">
        <f>_xll.BDP("912828VJ Govt","ISSUE_DT")</f>
        <v>7/1/2013</v>
      </c>
      <c r="P447" t="str">
        <f>_xll.BDP("912828VJ Govt","SECURITY_NAME")</f>
        <v>T 1 7/8 06/30/20</v>
      </c>
      <c r="Q447" t="str">
        <f>_xll.BDP("912828VJ Govt","DAY_CNT_DES")</f>
        <v>ACT/ACT</v>
      </c>
      <c r="R447">
        <v>100</v>
      </c>
      <c r="S447" t="str">
        <f>_xll.BDP("912828VJ Govt","ID_CUSIP")</f>
        <v>912828VJ6</v>
      </c>
      <c r="T447" t="str">
        <f>_xll.BDP("912828VJ Govt","IDX_RATIO")</f>
        <v>#N/A Field Not Applicable</v>
      </c>
    </row>
    <row r="448" spans="1:20" x14ac:dyDescent="0.25">
      <c r="A448" t="s">
        <v>14</v>
      </c>
      <c r="B448" t="str">
        <f>_xll.BDP("912828XE Govt","TICKER")</f>
        <v>T</v>
      </c>
      <c r="C448">
        <f>_xll.BDP("912828XE Govt","CPN")</f>
        <v>1.5</v>
      </c>
      <c r="D448" t="str">
        <f>_xll.BDP("912828XE Govt","YLD_YTM_BID")</f>
        <v>#N/A N/A</v>
      </c>
      <c r="E448" t="str">
        <f>_xll.BDP("912828XE Govt","MATURITY")</f>
        <v>5/31/2020</v>
      </c>
      <c r="F448" t="str">
        <f>_xll.BDP("912828XE Govt","MTY_TYP")</f>
        <v>NORMAL</v>
      </c>
      <c r="G448" t="str">
        <f>_xll.BDP("912828XE Govt","CRNCY")</f>
        <v>USD</v>
      </c>
      <c r="H448" t="str">
        <f>_xll.BDP("912828XE Govt","COUNTRY_FULL_NAME")</f>
        <v>UNITED STATES</v>
      </c>
      <c r="I448" t="str">
        <f>_xll.BDP("912828XE Govt","FIRST_CPN_DT")</f>
        <v>11/30/2015</v>
      </c>
      <c r="J448" t="str">
        <f>_xll.BDP("912828XE Govt","COUPON_FREQUENCY_DESCRIPTION")</f>
        <v>S/A</v>
      </c>
      <c r="K448" t="str">
        <f>_xll.BDP("912828XE Govt","CPN_TYP")</f>
        <v>FIXED</v>
      </c>
      <c r="L448" t="str">
        <f>_xll.BDP("912828XE Govt","ID_ISIN")</f>
        <v>US912828XE52</v>
      </c>
      <c r="M448">
        <v>35000000000</v>
      </c>
      <c r="N448">
        <v>0</v>
      </c>
      <c r="O448" t="str">
        <f>_xll.BDP("912828XE Govt","ISSUE_DT")</f>
        <v>6/1/2015</v>
      </c>
      <c r="P448" t="str">
        <f>_xll.BDP("912828XE Govt","SECURITY_NAME")</f>
        <v>T 1 1/2 05/31/20</v>
      </c>
      <c r="Q448" t="str">
        <f>_xll.BDP("912828XE Govt","DAY_CNT_DES")</f>
        <v>ACT/ACT</v>
      </c>
      <c r="R448">
        <v>100</v>
      </c>
      <c r="S448" t="str">
        <f>_xll.BDP("912828XE Govt","ID_CUSIP")</f>
        <v>912828XE5</v>
      </c>
      <c r="T448" t="str">
        <f>_xll.BDP("912828XE Govt","IDX_RATIO")</f>
        <v>#N/A Field Not Applicable</v>
      </c>
    </row>
    <row r="449" spans="1:20" x14ac:dyDescent="0.25">
      <c r="A449" t="s">
        <v>14</v>
      </c>
      <c r="B449" t="str">
        <f>_xll.BDP("912828QZ Govt","TICKER")</f>
        <v>T</v>
      </c>
      <c r="C449">
        <f>_xll.BDP("912828QZ Govt","CPN")</f>
        <v>0.5</v>
      </c>
      <c r="D449" t="str">
        <f>_xll.BDP("912828QZ Govt","YLD_YTM_BID")</f>
        <v>#N/A N/A</v>
      </c>
      <c r="E449" t="str">
        <f>_xll.BDP("912828QZ Govt","MATURITY")</f>
        <v>5/31/2013</v>
      </c>
      <c r="F449" t="str">
        <f>_xll.BDP("912828QZ Govt","MTY_TYP")</f>
        <v>NORMAL</v>
      </c>
      <c r="G449" t="str">
        <f>_xll.BDP("912828QZ Govt","CRNCY")</f>
        <v>USD</v>
      </c>
      <c r="H449" t="str">
        <f>_xll.BDP("912828QZ Govt","COUNTRY_FULL_NAME")</f>
        <v>UNITED STATES</v>
      </c>
      <c r="I449" t="str">
        <f>_xll.BDP("912828QZ Govt","FIRST_CPN_DT")</f>
        <v>11/30/2011</v>
      </c>
      <c r="J449" t="str">
        <f>_xll.BDP("912828QZ Govt","COUPON_FREQUENCY_DESCRIPTION")</f>
        <v>S/A</v>
      </c>
      <c r="K449" t="str">
        <f>_xll.BDP("912828QZ Govt","CPN_TYP")</f>
        <v>FIXED</v>
      </c>
      <c r="L449" t="str">
        <f>_xll.BDP("912828QZ Govt","ID_ISIN")</f>
        <v>US912828QZ64</v>
      </c>
      <c r="M449">
        <v>37946000000</v>
      </c>
      <c r="N449">
        <v>0</v>
      </c>
      <c r="O449" t="str">
        <f>_xll.BDP("912828QZ Govt","ISSUE_DT")</f>
        <v>5/31/2011</v>
      </c>
      <c r="P449" t="str">
        <f>_xll.BDP("912828QZ Govt","SECURITY_NAME")</f>
        <v>T 0 1/2 05/31/13</v>
      </c>
      <c r="Q449" t="str">
        <f>_xll.BDP("912828QZ Govt","DAY_CNT_DES")</f>
        <v>ACT/ACT</v>
      </c>
      <c r="R449">
        <v>100</v>
      </c>
      <c r="S449" t="str">
        <f>_xll.BDP("912828QZ Govt","ID_CUSIP")</f>
        <v>912828QZ6</v>
      </c>
      <c r="T449" t="str">
        <f>_xll.BDP("912828QZ Govt","IDX_RATIO")</f>
        <v>#N/A Field Not Applicable</v>
      </c>
    </row>
    <row r="450" spans="1:20" x14ac:dyDescent="0.25">
      <c r="A450" t="s">
        <v>14</v>
      </c>
      <c r="B450" t="str">
        <f>_xll.BDP("912828HY Govt","TICKER")</f>
        <v>T</v>
      </c>
      <c r="C450">
        <f>_xll.BDP("912828HY Govt","CPN")</f>
        <v>3.125</v>
      </c>
      <c r="D450" t="str">
        <f>_xll.BDP("912828HY Govt","YLD_YTM_BID")</f>
        <v>#N/A N/A</v>
      </c>
      <c r="E450" t="str">
        <f>_xll.BDP("912828HY Govt","MATURITY")</f>
        <v>4/30/2013</v>
      </c>
      <c r="F450" t="str">
        <f>_xll.BDP("912828HY Govt","MTY_TYP")</f>
        <v>NORMAL</v>
      </c>
      <c r="G450" t="str">
        <f>_xll.BDP("912828HY Govt","CRNCY")</f>
        <v>USD</v>
      </c>
      <c r="H450" t="str">
        <f>_xll.BDP("912828HY Govt","COUNTRY_FULL_NAME")</f>
        <v>UNITED STATES</v>
      </c>
      <c r="I450" t="str">
        <f>_xll.BDP("912828HY Govt","FIRST_CPN_DT")</f>
        <v>10/31/2008</v>
      </c>
      <c r="J450" t="str">
        <f>_xll.BDP("912828HY Govt","COUPON_FREQUENCY_DESCRIPTION")</f>
        <v>S/A</v>
      </c>
      <c r="K450" t="str">
        <f>_xll.BDP("912828HY Govt","CPN_TYP")</f>
        <v>FIXED</v>
      </c>
      <c r="L450" t="str">
        <f>_xll.BDP("912828HY Govt","ID_ISIN")</f>
        <v>US912828HY90</v>
      </c>
      <c r="M450">
        <v>20743000000</v>
      </c>
      <c r="N450">
        <v>0</v>
      </c>
      <c r="O450" t="str">
        <f>_xll.BDP("912828HY Govt","ISSUE_DT")</f>
        <v>4/30/2008</v>
      </c>
      <c r="P450" t="str">
        <f>_xll.BDP("912828HY Govt","SECURITY_NAME")</f>
        <v>T 3 1/8 04/30/13</v>
      </c>
      <c r="Q450" t="str">
        <f>_xll.BDP("912828HY Govt","DAY_CNT_DES")</f>
        <v>ACT/ACT</v>
      </c>
      <c r="R450">
        <v>100</v>
      </c>
      <c r="S450" t="str">
        <f>_xll.BDP("912828HY Govt","ID_CUSIP")</f>
        <v>912828HY9</v>
      </c>
      <c r="T450" t="str">
        <f>_xll.BDP("912828HY Govt","IDX_RATIO")</f>
        <v>#N/A Field Not Applicable</v>
      </c>
    </row>
    <row r="451" spans="1:20" x14ac:dyDescent="0.25">
      <c r="A451" t="s">
        <v>14</v>
      </c>
      <c r="B451" t="str">
        <f>_xll.BDP("912828J8 Govt","TICKER")</f>
        <v>T</v>
      </c>
      <c r="C451">
        <f>_xll.BDP("912828J8 Govt","CPN")</f>
        <v>1.375</v>
      </c>
      <c r="D451" t="str">
        <f>_xll.BDP("912828J8 Govt","YLD_YTM_BID")</f>
        <v>#N/A N/A</v>
      </c>
      <c r="E451" t="str">
        <f>_xll.BDP("912828J8 Govt","MATURITY")</f>
        <v>3/31/2020</v>
      </c>
      <c r="F451" t="str">
        <f>_xll.BDP("912828J8 Govt","MTY_TYP")</f>
        <v>NORMAL</v>
      </c>
      <c r="G451" t="str">
        <f>_xll.BDP("912828J8 Govt","CRNCY")</f>
        <v>USD</v>
      </c>
      <c r="H451" t="str">
        <f>_xll.BDP("912828J8 Govt","COUNTRY_FULL_NAME")</f>
        <v>UNITED STATES</v>
      </c>
      <c r="I451" t="str">
        <f>_xll.BDP("912828J8 Govt","FIRST_CPN_DT")</f>
        <v>9/30/2015</v>
      </c>
      <c r="J451" t="str">
        <f>_xll.BDP("912828J8 Govt","COUPON_FREQUENCY_DESCRIPTION")</f>
        <v>S/A</v>
      </c>
      <c r="K451" t="str">
        <f>_xll.BDP("912828J8 Govt","CPN_TYP")</f>
        <v>FIXED</v>
      </c>
      <c r="L451" t="str">
        <f>_xll.BDP("912828J8 Govt","ID_ISIN")</f>
        <v>US912828J843</v>
      </c>
      <c r="M451">
        <v>35000000000</v>
      </c>
      <c r="N451">
        <v>0</v>
      </c>
      <c r="O451" t="str">
        <f>_xll.BDP("912828J8 Govt","ISSUE_DT")</f>
        <v>3/31/2015</v>
      </c>
      <c r="P451" t="str">
        <f>_xll.BDP("912828J8 Govt","SECURITY_NAME")</f>
        <v>T 1 3/8 03/31/20</v>
      </c>
      <c r="Q451" t="str">
        <f>_xll.BDP("912828J8 Govt","DAY_CNT_DES")</f>
        <v>ACT/ACT</v>
      </c>
      <c r="R451">
        <v>100</v>
      </c>
      <c r="S451" t="str">
        <f>_xll.BDP("912828J8 Govt","ID_CUSIP")</f>
        <v>912828J84</v>
      </c>
      <c r="T451" t="str">
        <f>_xll.BDP("912828J8 Govt","IDX_RATIO")</f>
        <v>#N/A Field Not Applicable</v>
      </c>
    </row>
    <row r="452" spans="1:20" x14ac:dyDescent="0.25">
      <c r="A452" t="s">
        <v>14</v>
      </c>
      <c r="B452" t="str">
        <f>_xll.BDP("912828BH Govt","TICKER")</f>
        <v>T</v>
      </c>
      <c r="C452">
        <f>_xll.BDP("912828BH Govt","CPN")</f>
        <v>4.25</v>
      </c>
      <c r="D452" t="str">
        <f>_xll.BDP("912828BH Govt","YLD_YTM_BID")</f>
        <v>#N/A N/A</v>
      </c>
      <c r="E452" t="str">
        <f>_xll.BDP("912828BH Govt","MATURITY")</f>
        <v>8/15/2013</v>
      </c>
      <c r="F452" t="str">
        <f>_xll.BDP("912828BH Govt","MTY_TYP")</f>
        <v>NORMAL</v>
      </c>
      <c r="G452" t="str">
        <f>_xll.BDP("912828BH Govt","CRNCY")</f>
        <v>USD</v>
      </c>
      <c r="H452" t="str">
        <f>_xll.BDP("912828BH Govt","COUNTRY_FULL_NAME")</f>
        <v>UNITED STATES</v>
      </c>
      <c r="I452" t="str">
        <f>_xll.BDP("912828BH Govt","FIRST_CPN_DT")</f>
        <v>2/15/2004</v>
      </c>
      <c r="J452" t="str">
        <f>_xll.BDP("912828BH Govt","COUPON_FREQUENCY_DESCRIPTION")</f>
        <v>S/A</v>
      </c>
      <c r="K452" t="str">
        <f>_xll.BDP("912828BH Govt","CPN_TYP")</f>
        <v>FIXED</v>
      </c>
      <c r="L452" t="str">
        <f>_xll.BDP("912828BH Govt","ID_ISIN")</f>
        <v>US912828BH22</v>
      </c>
      <c r="M452">
        <v>33521000000</v>
      </c>
      <c r="N452">
        <v>0</v>
      </c>
      <c r="O452" t="str">
        <f>_xll.BDP("912828BH Govt","ISSUE_DT")</f>
        <v>8/15/2003</v>
      </c>
      <c r="P452" t="str">
        <f>_xll.BDP("912828BH Govt","SECURITY_NAME")</f>
        <v>T 4 1/4 08/15/13</v>
      </c>
      <c r="Q452" t="str">
        <f>_xll.BDP("912828BH Govt","DAY_CNT_DES")</f>
        <v>ACT/ACT</v>
      </c>
      <c r="R452">
        <v>100</v>
      </c>
      <c r="S452" t="str">
        <f>_xll.BDP("912828BH Govt","ID_CUSIP")</f>
        <v>912828BH2</v>
      </c>
      <c r="T452" t="str">
        <f>_xll.BDP("912828BH Govt","IDX_RATIO")</f>
        <v>#N/A Field Not Applicable</v>
      </c>
    </row>
    <row r="453" spans="1:20" x14ac:dyDescent="0.25">
      <c r="A453" t="s">
        <v>14</v>
      </c>
      <c r="B453" t="str">
        <f>_xll.BDP("912828BM Govt","TICKER")</f>
        <v>T</v>
      </c>
      <c r="C453">
        <f>_xll.BDP("912828BM Govt","CPN")</f>
        <v>3.125</v>
      </c>
      <c r="D453" t="str">
        <f>_xll.BDP("912828BM Govt","YLD_YTM_BID")</f>
        <v>#N/A N/A</v>
      </c>
      <c r="E453" t="str">
        <f>_xll.BDP("912828BM Govt","MATURITY")</f>
        <v>10/15/2008</v>
      </c>
      <c r="F453" t="str">
        <f>_xll.BDP("912828BM Govt","MTY_TYP")</f>
        <v>NORMAL</v>
      </c>
      <c r="G453" t="str">
        <f>_xll.BDP("912828BM Govt","CRNCY")</f>
        <v>USD</v>
      </c>
      <c r="H453" t="str">
        <f>_xll.BDP("912828BM Govt","COUNTRY_FULL_NAME")</f>
        <v>UNITED STATES</v>
      </c>
      <c r="I453" t="str">
        <f>_xll.BDP("912828BM Govt","FIRST_CPN_DT")</f>
        <v>4/15/2004</v>
      </c>
      <c r="J453" t="str">
        <f>_xll.BDP("912828BM Govt","COUPON_FREQUENCY_DESCRIPTION")</f>
        <v>S/A</v>
      </c>
      <c r="K453" t="str">
        <f>_xll.BDP("912828BM Govt","CPN_TYP")</f>
        <v>FIXED</v>
      </c>
      <c r="L453" t="str">
        <f>_xll.BDP("912828BM Govt","ID_ISIN")</f>
        <v>US912828BM17</v>
      </c>
      <c r="M453">
        <v>15996000000</v>
      </c>
      <c r="N453">
        <v>0</v>
      </c>
      <c r="O453" t="str">
        <f>_xll.BDP("912828BM Govt","ISSUE_DT")</f>
        <v>10/15/2003</v>
      </c>
      <c r="P453" t="str">
        <f>_xll.BDP("912828BM Govt","SECURITY_NAME")</f>
        <v>T 3 1/8 10/15/08</v>
      </c>
      <c r="Q453" t="str">
        <f>_xll.BDP("912828BM Govt","DAY_CNT_DES")</f>
        <v>ACT/ACT</v>
      </c>
      <c r="R453">
        <v>100</v>
      </c>
      <c r="S453" t="str">
        <f>_xll.BDP("912828BM Govt","ID_CUSIP")</f>
        <v>912828BM1</v>
      </c>
      <c r="T453" t="str">
        <f>_xll.BDP("912828BM Govt","IDX_RATIO")</f>
        <v>#N/A Field Not Applicable</v>
      </c>
    </row>
    <row r="454" spans="1:20" x14ac:dyDescent="0.25">
      <c r="A454" t="s">
        <v>14</v>
      </c>
      <c r="B454" t="str">
        <f>_xll.BDP("912810DS Govt","TICKER")</f>
        <v>T</v>
      </c>
      <c r="C454">
        <f>_xll.BDP("912810DS Govt","CPN")</f>
        <v>10.625</v>
      </c>
      <c r="D454" t="str">
        <f>_xll.BDP("912810DS Govt","YLD_YTM_BID")</f>
        <v>#N/A N/A</v>
      </c>
      <c r="E454" t="str">
        <f>_xll.BDP("912810DS Govt","MATURITY")</f>
        <v>8/15/2015</v>
      </c>
      <c r="F454" t="str">
        <f>_xll.BDP("912810DS Govt","MTY_TYP")</f>
        <v>NORMAL</v>
      </c>
      <c r="G454" t="str">
        <f>_xll.BDP("912810DS Govt","CRNCY")</f>
        <v>USD</v>
      </c>
      <c r="H454" t="str">
        <f>_xll.BDP("912810DS Govt","COUNTRY_FULL_NAME")</f>
        <v>UNITED STATES</v>
      </c>
      <c r="I454" t="str">
        <f>_xll.BDP("912810DS Govt","FIRST_CPN_DT")</f>
        <v>2/15/1986</v>
      </c>
      <c r="J454" t="str">
        <f>_xll.BDP("912810DS Govt","COUPON_FREQUENCY_DESCRIPTION")</f>
        <v>S/A</v>
      </c>
      <c r="K454" t="str">
        <f>_xll.BDP("912810DS Govt","CPN_TYP")</f>
        <v>FIXED</v>
      </c>
      <c r="L454" t="str">
        <f>_xll.BDP("912810DS Govt","ID_ISIN")</f>
        <v>US912810DS43</v>
      </c>
      <c r="M454">
        <v>7150000000</v>
      </c>
      <c r="N454">
        <v>0</v>
      </c>
      <c r="O454" t="str">
        <f>_xll.BDP("912810DS Govt","ISSUE_DT")</f>
        <v>8/15/1985</v>
      </c>
      <c r="P454" t="str">
        <f>_xll.BDP("912810DS Govt","SECURITY_NAME")</f>
        <v>T 10 5/8 08/15/15</v>
      </c>
      <c r="Q454" t="str">
        <f>_xll.BDP("912810DS Govt","DAY_CNT_DES")</f>
        <v>ACT/ACT</v>
      </c>
      <c r="R454">
        <v>100</v>
      </c>
      <c r="S454" t="str">
        <f>_xll.BDP("912810DS Govt","ID_CUSIP")</f>
        <v>912810DS4</v>
      </c>
      <c r="T454" t="str">
        <f>_xll.BDP("912810DS Govt","IDX_RATIO")</f>
        <v>#N/A Field Not Applicable</v>
      </c>
    </row>
    <row r="455" spans="1:20" x14ac:dyDescent="0.25">
      <c r="A455" t="s">
        <v>14</v>
      </c>
      <c r="B455" t="str">
        <f>_xll.BDP("912827KH Govt","TICKER")</f>
        <v>T</v>
      </c>
      <c r="C455">
        <f>_xll.BDP("912827KH Govt","CPN")</f>
        <v>11.5</v>
      </c>
      <c r="D455" t="str">
        <f>_xll.BDP("912827KH Govt","YLD_YTM_BID")</f>
        <v>#N/A N/A</v>
      </c>
      <c r="E455" t="str">
        <f>_xll.BDP("912827KH Govt","MATURITY")</f>
        <v>1/31/1982</v>
      </c>
      <c r="F455" t="str">
        <f>_xll.BDP("912827KH Govt","MTY_TYP")</f>
        <v>NORMAL</v>
      </c>
      <c r="G455" t="str">
        <f>_xll.BDP("912827KH Govt","CRNCY")</f>
        <v>USD</v>
      </c>
      <c r="H455" t="str">
        <f>_xll.BDP("912827KH Govt","COUNTRY_FULL_NAME")</f>
        <v>UNITED STATES</v>
      </c>
      <c r="I455" t="str">
        <f>_xll.BDP("912827KH Govt","FIRST_CPN_DT")</f>
        <v>7/31/1980</v>
      </c>
      <c r="J455" t="str">
        <f>_xll.BDP("912827KH Govt","COUPON_FREQUENCY_DESCRIPTION")</f>
        <v>S/A</v>
      </c>
      <c r="K455" t="str">
        <f>_xll.BDP("912827KH Govt","CPN_TYP")</f>
        <v>FIXED</v>
      </c>
      <c r="L455" t="str">
        <f>_xll.BDP("912827KH Govt","ID_ISIN")</f>
        <v>US912827KH48</v>
      </c>
      <c r="N455">
        <v>0</v>
      </c>
      <c r="O455" t="str">
        <f>_xll.BDP("912827KH Govt","ISSUE_DT")</f>
        <v>1/31/1980</v>
      </c>
      <c r="P455" t="str">
        <f>_xll.BDP("912827KH Govt","SECURITY_NAME")</f>
        <v>T 11 1/2 01/31/82</v>
      </c>
      <c r="Q455" t="str">
        <f>_xll.BDP("912827KH Govt","DAY_CNT_DES")</f>
        <v>ACT/ACT</v>
      </c>
      <c r="R455">
        <v>100</v>
      </c>
      <c r="S455" t="str">
        <f>_xll.BDP("912827KH Govt","ID_CUSIP")</f>
        <v>912827KH4</v>
      </c>
      <c r="T455" t="str">
        <f>_xll.BDP("912827KH Govt","IDX_RATIO")</f>
        <v>#N/A Field Not Applicable</v>
      </c>
    </row>
    <row r="456" spans="1:20" x14ac:dyDescent="0.25">
      <c r="A456" t="s">
        <v>14</v>
      </c>
      <c r="B456" t="str">
        <f>_xll.BDP("912828RH Govt","TICKER")</f>
        <v>T</v>
      </c>
      <c r="C456">
        <f>_xll.BDP("912828RH Govt","CPN")</f>
        <v>1.375</v>
      </c>
      <c r="D456" t="str">
        <f>_xll.BDP("912828RH Govt","YLD_YTM_BID")</f>
        <v>#N/A N/A</v>
      </c>
      <c r="E456" t="str">
        <f>_xll.BDP("912828RH Govt","MATURITY")</f>
        <v>9/30/2018</v>
      </c>
      <c r="F456" t="str">
        <f>_xll.BDP("912828RH Govt","MTY_TYP")</f>
        <v>NORMAL</v>
      </c>
      <c r="G456" t="str">
        <f>_xll.BDP("912828RH Govt","CRNCY")</f>
        <v>USD</v>
      </c>
      <c r="H456" t="str">
        <f>_xll.BDP("912828RH Govt","COUNTRY_FULL_NAME")</f>
        <v>UNITED STATES</v>
      </c>
      <c r="I456" t="str">
        <f>_xll.BDP("912828RH Govt","FIRST_CPN_DT")</f>
        <v>3/31/2012</v>
      </c>
      <c r="J456" t="str">
        <f>_xll.BDP("912828RH Govt","COUPON_FREQUENCY_DESCRIPTION")</f>
        <v>S/A</v>
      </c>
      <c r="K456" t="str">
        <f>_xll.BDP("912828RH Govt","CPN_TYP")</f>
        <v>FIXED</v>
      </c>
      <c r="L456" t="str">
        <f>_xll.BDP("912828RH Govt","ID_ISIN")</f>
        <v>US912828RH57</v>
      </c>
      <c r="M456">
        <v>64903000000</v>
      </c>
      <c r="N456">
        <v>0</v>
      </c>
      <c r="O456" t="str">
        <f>_xll.BDP("912828RH Govt","ISSUE_DT")</f>
        <v>9/30/2011</v>
      </c>
      <c r="P456" t="str">
        <f>_xll.BDP("912828RH Govt","SECURITY_NAME")</f>
        <v>T 1 3/8 09/30/18</v>
      </c>
      <c r="Q456" t="str">
        <f>_xll.BDP("912828RH Govt","DAY_CNT_DES")</f>
        <v>ACT/ACT</v>
      </c>
      <c r="R456">
        <v>100</v>
      </c>
      <c r="S456" t="str">
        <f>_xll.BDP("912828RH Govt","ID_CUSIP")</f>
        <v>912828RH5</v>
      </c>
      <c r="T456" t="str">
        <f>_xll.BDP("912828RH Govt","IDX_RATIO")</f>
        <v>#N/A Field Not Applicable</v>
      </c>
    </row>
    <row r="457" spans="1:20" x14ac:dyDescent="0.25">
      <c r="A457" t="s">
        <v>14</v>
      </c>
      <c r="B457" t="str">
        <f>_xll.BDP("912828WB Govt","TICKER")</f>
        <v>T</v>
      </c>
      <c r="C457">
        <f>_xll.BDP("912828WB Govt","CPN")</f>
        <v>0.25</v>
      </c>
      <c r="D457" t="str">
        <f>_xll.BDP("912828WB Govt","YLD_YTM_BID")</f>
        <v>#N/A N/A</v>
      </c>
      <c r="E457" t="str">
        <f>_xll.BDP("912828WB Govt","MATURITY")</f>
        <v>10/31/2015</v>
      </c>
      <c r="F457" t="str">
        <f>_xll.BDP("912828WB Govt","MTY_TYP")</f>
        <v>NORMAL</v>
      </c>
      <c r="G457" t="str">
        <f>_xll.BDP("912828WB Govt","CRNCY")</f>
        <v>USD</v>
      </c>
      <c r="H457" t="str">
        <f>_xll.BDP("912828WB Govt","COUNTRY_FULL_NAME")</f>
        <v>UNITED STATES</v>
      </c>
      <c r="I457" t="str">
        <f>_xll.BDP("912828WB Govt","FIRST_CPN_DT")</f>
        <v>4/30/2014</v>
      </c>
      <c r="J457" t="str">
        <f>_xll.BDP("912828WB Govt","COUPON_FREQUENCY_DESCRIPTION")</f>
        <v>S/A</v>
      </c>
      <c r="K457" t="str">
        <f>_xll.BDP("912828WB Govt","CPN_TYP")</f>
        <v>FIXED</v>
      </c>
      <c r="L457" t="str">
        <f>_xll.BDP("912828WB Govt","ID_ISIN")</f>
        <v>US912828WB23</v>
      </c>
      <c r="M457">
        <v>32000000000</v>
      </c>
      <c r="N457">
        <v>0</v>
      </c>
      <c r="O457" t="str">
        <f>_xll.BDP("912828WB Govt","ISSUE_DT")</f>
        <v>10/31/2013</v>
      </c>
      <c r="P457" t="str">
        <f>_xll.BDP("912828WB Govt","SECURITY_NAME")</f>
        <v>T 0 1/4 10/31/15</v>
      </c>
      <c r="Q457" t="str">
        <f>_xll.BDP("912828WB Govt","DAY_CNT_DES")</f>
        <v>ACT/ACT</v>
      </c>
      <c r="R457">
        <v>100</v>
      </c>
      <c r="S457" t="str">
        <f>_xll.BDP("912828WB Govt","ID_CUSIP")</f>
        <v>912828WB2</v>
      </c>
      <c r="T457" t="str">
        <f>_xll.BDP("912828WB Govt","IDX_RATIO")</f>
        <v>#N/A Field Not Applicable</v>
      </c>
    </row>
    <row r="458" spans="1:20" x14ac:dyDescent="0.25">
      <c r="A458" t="s">
        <v>14</v>
      </c>
      <c r="B458" t="str">
        <f>_xll.BDP("912828B4 Govt","TICKER")</f>
        <v>T</v>
      </c>
      <c r="C458">
        <f>_xll.BDP("912828B4 Govt","CPN")</f>
        <v>0.375</v>
      </c>
      <c r="D458" t="str">
        <f>_xll.BDP("912828B4 Govt","YLD_YTM_BID")</f>
        <v>#N/A N/A</v>
      </c>
      <c r="E458" t="str">
        <f>_xll.BDP("912828B4 Govt","MATURITY")</f>
        <v>1/31/2016</v>
      </c>
      <c r="F458" t="str">
        <f>_xll.BDP("912828B4 Govt","MTY_TYP")</f>
        <v>NORMAL</v>
      </c>
      <c r="G458" t="str">
        <f>_xll.BDP("912828B4 Govt","CRNCY")</f>
        <v>USD</v>
      </c>
      <c r="H458" t="str">
        <f>_xll.BDP("912828B4 Govt","COUNTRY_FULL_NAME")</f>
        <v>UNITED STATES</v>
      </c>
      <c r="I458" t="str">
        <f>_xll.BDP("912828B4 Govt","FIRST_CPN_DT")</f>
        <v>7/31/2014</v>
      </c>
      <c r="J458" t="str">
        <f>_xll.BDP("912828B4 Govt","COUPON_FREQUENCY_DESCRIPTION")</f>
        <v>S/A</v>
      </c>
      <c r="K458" t="str">
        <f>_xll.BDP("912828B4 Govt","CPN_TYP")</f>
        <v>FIXED</v>
      </c>
      <c r="L458" t="str">
        <f>_xll.BDP("912828B4 Govt","ID_ISIN")</f>
        <v>US912828B410</v>
      </c>
      <c r="M458">
        <v>31999000000</v>
      </c>
      <c r="N458">
        <v>0</v>
      </c>
      <c r="O458" t="str">
        <f>_xll.BDP("912828B4 Govt","ISSUE_DT")</f>
        <v>1/31/2014</v>
      </c>
      <c r="P458" t="str">
        <f>_xll.BDP("912828B4 Govt","SECURITY_NAME")</f>
        <v>T 0 3/8 01/31/16</v>
      </c>
      <c r="Q458" t="str">
        <f>_xll.BDP("912828B4 Govt","DAY_CNT_DES")</f>
        <v>ACT/ACT</v>
      </c>
      <c r="R458">
        <v>100</v>
      </c>
      <c r="S458" t="str">
        <f>_xll.BDP("912828B4 Govt","ID_CUSIP")</f>
        <v>912828B41</v>
      </c>
      <c r="T458" t="str">
        <f>_xll.BDP("912828B4 Govt","IDX_RATIO")</f>
        <v>#N/A Field Not Applicable</v>
      </c>
    </row>
    <row r="459" spans="1:20" x14ac:dyDescent="0.25">
      <c r="A459" t="s">
        <v>14</v>
      </c>
      <c r="B459" t="str">
        <f>_xll.BDP("912828RB Govt","TICKER")</f>
        <v>T</v>
      </c>
      <c r="C459">
        <f>_xll.BDP("912828RB Govt","CPN")</f>
        <v>0.5</v>
      </c>
      <c r="D459" t="str">
        <f>_xll.BDP("912828RB Govt","YLD_YTM_BID")</f>
        <v>#N/A N/A</v>
      </c>
      <c r="E459" t="str">
        <f>_xll.BDP("912828RB Govt","MATURITY")</f>
        <v>8/15/2014</v>
      </c>
      <c r="F459" t="str">
        <f>_xll.BDP("912828RB Govt","MTY_TYP")</f>
        <v>NORMAL</v>
      </c>
      <c r="G459" t="str">
        <f>_xll.BDP("912828RB Govt","CRNCY")</f>
        <v>USD</v>
      </c>
      <c r="H459" t="str">
        <f>_xll.BDP("912828RB Govt","COUNTRY_FULL_NAME")</f>
        <v>UNITED STATES</v>
      </c>
      <c r="I459" t="str">
        <f>_xll.BDP("912828RB Govt","FIRST_CPN_DT")</f>
        <v>2/15/2012</v>
      </c>
      <c r="J459" t="str">
        <f>_xll.BDP("912828RB Govt","COUPON_FREQUENCY_DESCRIPTION")</f>
        <v>S/A</v>
      </c>
      <c r="K459" t="str">
        <f>_xll.BDP("912828RB Govt","CPN_TYP")</f>
        <v>FIXED</v>
      </c>
      <c r="L459" t="str">
        <f>_xll.BDP("912828RB Govt","ID_ISIN")</f>
        <v>US912828RB87</v>
      </c>
      <c r="M459">
        <v>32980000000</v>
      </c>
      <c r="N459">
        <v>0</v>
      </c>
      <c r="O459" t="str">
        <f>_xll.BDP("912828RB Govt","ISSUE_DT")</f>
        <v>8/15/2011</v>
      </c>
      <c r="P459" t="str">
        <f>_xll.BDP("912828RB Govt","SECURITY_NAME")</f>
        <v>T 0 1/2 08/15/14</v>
      </c>
      <c r="Q459" t="str">
        <f>_xll.BDP("912828RB Govt","DAY_CNT_DES")</f>
        <v>ACT/ACT</v>
      </c>
      <c r="R459">
        <v>100</v>
      </c>
      <c r="S459" t="str">
        <f>_xll.BDP("912828RB Govt","ID_CUSIP")</f>
        <v>912828RB8</v>
      </c>
      <c r="T459" t="str">
        <f>_xll.BDP("912828RB Govt","IDX_RATIO")</f>
        <v>#N/A Field Not Applicable</v>
      </c>
    </row>
    <row r="460" spans="1:20" x14ac:dyDescent="0.25">
      <c r="A460" t="s">
        <v>14</v>
      </c>
      <c r="B460" t="str">
        <f>_xll.BDP("912827UW Govt","TICKER")</f>
        <v>T</v>
      </c>
      <c r="C460">
        <f>_xll.BDP("912827UW Govt","CPN")</f>
        <v>8.5</v>
      </c>
      <c r="D460" t="str">
        <f>_xll.BDP("912827UW Govt","YLD_YTM_BID")</f>
        <v>#N/A N/A</v>
      </c>
      <c r="E460" t="str">
        <f>_xll.BDP("912827UW Govt","MATURITY")</f>
        <v>5/15/1997</v>
      </c>
      <c r="F460" t="str">
        <f>_xll.BDP("912827UW Govt","MTY_TYP")</f>
        <v>NORMAL</v>
      </c>
      <c r="G460" t="str">
        <f>_xll.BDP("912827UW Govt","CRNCY")</f>
        <v>USD</v>
      </c>
      <c r="H460" t="str">
        <f>_xll.BDP("912827UW Govt","COUNTRY_FULL_NAME")</f>
        <v>UNITED STATES</v>
      </c>
      <c r="I460" t="str">
        <f>_xll.BDP("912827UW Govt","FIRST_CPN_DT")</f>
        <v>11/15/1987</v>
      </c>
      <c r="J460" t="str">
        <f>_xll.BDP("912827UW Govt","COUPON_FREQUENCY_DESCRIPTION")</f>
        <v>S/A</v>
      </c>
      <c r="K460" t="str">
        <f>_xll.BDP("912827UW Govt","CPN_TYP")</f>
        <v>FIXED</v>
      </c>
      <c r="L460" t="str">
        <f>_xll.BDP("912827UW Govt","ID_ISIN")</f>
        <v>US912827UW05</v>
      </c>
      <c r="N460">
        <v>0</v>
      </c>
      <c r="O460" t="str">
        <f>_xll.BDP("912827UW Govt","ISSUE_DT")</f>
        <v>5/15/1987</v>
      </c>
      <c r="P460" t="str">
        <f>_xll.BDP("912827UW Govt","SECURITY_NAME")</f>
        <v>T 8 1/2 05/15/97</v>
      </c>
      <c r="Q460" t="str">
        <f>_xll.BDP("912827UW Govt","DAY_CNT_DES")</f>
        <v>ACT/ACT</v>
      </c>
      <c r="R460">
        <v>100</v>
      </c>
      <c r="S460" t="str">
        <f>_xll.BDP("912827UW Govt","ID_CUSIP")</f>
        <v>912827UW0</v>
      </c>
      <c r="T460" t="str">
        <f>_xll.BDP("912827UW Govt","IDX_RATIO")</f>
        <v>#N/A Field Not Applicable</v>
      </c>
    </row>
    <row r="461" spans="1:20" x14ac:dyDescent="0.25">
      <c r="A461" t="s">
        <v>14</v>
      </c>
      <c r="B461" t="str">
        <f>_xll.BDP("912810DX Govt","TICKER")</f>
        <v>T</v>
      </c>
      <c r="C461">
        <f>_xll.BDP("912810DX Govt","CPN")</f>
        <v>7.5</v>
      </c>
      <c r="D461" t="str">
        <f>_xll.BDP("912810DX Govt","YLD_YTM_BID")</f>
        <v>#N/A N/A</v>
      </c>
      <c r="E461" t="str">
        <f>_xll.BDP("912810DX Govt","MATURITY")</f>
        <v>11/15/2016</v>
      </c>
      <c r="F461" t="str">
        <f>_xll.BDP("912810DX Govt","MTY_TYP")</f>
        <v>NORMAL</v>
      </c>
      <c r="G461" t="str">
        <f>_xll.BDP("912810DX Govt","CRNCY")</f>
        <v>USD</v>
      </c>
      <c r="H461" t="str">
        <f>_xll.BDP("912810DX Govt","COUNTRY_FULL_NAME")</f>
        <v>UNITED STATES</v>
      </c>
      <c r="I461" t="str">
        <f>_xll.BDP("912810DX Govt","FIRST_CPN_DT")</f>
        <v>5/15/1987</v>
      </c>
      <c r="J461" t="str">
        <f>_xll.BDP("912810DX Govt","COUPON_FREQUENCY_DESCRIPTION")</f>
        <v>S/A</v>
      </c>
      <c r="K461" t="str">
        <f>_xll.BDP("912810DX Govt","CPN_TYP")</f>
        <v>FIXED</v>
      </c>
      <c r="L461" t="str">
        <f>_xll.BDP("912810DX Govt","ID_ISIN")</f>
        <v>US912810DX38</v>
      </c>
      <c r="M461">
        <v>18864000000</v>
      </c>
      <c r="N461">
        <v>0</v>
      </c>
      <c r="O461" t="str">
        <f>_xll.BDP("912810DX Govt","ISSUE_DT")</f>
        <v>11/17/1986</v>
      </c>
      <c r="P461" t="str">
        <f>_xll.BDP("912810DX Govt","SECURITY_NAME")</f>
        <v>T 7 1/2 11/15/16</v>
      </c>
      <c r="Q461" t="str">
        <f>_xll.BDP("912810DX Govt","DAY_CNT_DES")</f>
        <v>ACT/ACT</v>
      </c>
      <c r="R461">
        <v>100</v>
      </c>
      <c r="S461" t="str">
        <f>_xll.BDP("912810DX Govt","ID_CUSIP")</f>
        <v>912810DX3</v>
      </c>
      <c r="T461" t="str">
        <f>_xll.BDP("912810DX Govt","IDX_RATIO")</f>
        <v>#N/A Field Not Applicable</v>
      </c>
    </row>
    <row r="462" spans="1:20" x14ac:dyDescent="0.25">
      <c r="A462" t="s">
        <v>14</v>
      </c>
      <c r="B462" t="str">
        <f>_xll.BDP("912828CS Govt","TICKER")</f>
        <v>T</v>
      </c>
      <c r="C462">
        <f>_xll.BDP("912828CS Govt","CPN")</f>
        <v>3.5</v>
      </c>
      <c r="D462" t="str">
        <f>_xll.BDP("912828CS Govt","YLD_YTM_BID")</f>
        <v>#N/A N/A</v>
      </c>
      <c r="E462" t="str">
        <f>_xll.BDP("912828CS Govt","MATURITY")</f>
        <v>8/15/2009</v>
      </c>
      <c r="F462" t="str">
        <f>_xll.BDP("912828CS Govt","MTY_TYP")</f>
        <v>NORMAL</v>
      </c>
      <c r="G462" t="str">
        <f>_xll.BDP("912828CS Govt","CRNCY")</f>
        <v>USD</v>
      </c>
      <c r="H462" t="str">
        <f>_xll.BDP("912828CS Govt","COUNTRY_FULL_NAME")</f>
        <v>UNITED STATES</v>
      </c>
      <c r="I462" t="str">
        <f>_xll.BDP("912828CS Govt","FIRST_CPN_DT")</f>
        <v>2/15/2005</v>
      </c>
      <c r="J462" t="str">
        <f>_xll.BDP("912828CS Govt","COUPON_FREQUENCY_DESCRIPTION")</f>
        <v>S/A</v>
      </c>
      <c r="K462" t="str">
        <f>_xll.BDP("912828CS Govt","CPN_TYP")</f>
        <v>FIXED</v>
      </c>
      <c r="L462" t="str">
        <f>_xll.BDP("912828CS Govt","ID_ISIN")</f>
        <v>US912828CS77</v>
      </c>
      <c r="M462">
        <v>17295000000</v>
      </c>
      <c r="N462">
        <v>0</v>
      </c>
      <c r="O462" t="str">
        <f>_xll.BDP("912828CS Govt","ISSUE_DT")</f>
        <v>8/16/2004</v>
      </c>
      <c r="P462" t="str">
        <f>_xll.BDP("912828CS Govt","SECURITY_NAME")</f>
        <v>T 3 1/2 08/15/09</v>
      </c>
      <c r="Q462" t="str">
        <f>_xll.BDP("912828CS Govt","DAY_CNT_DES")</f>
        <v>ACT/ACT</v>
      </c>
      <c r="R462">
        <v>100</v>
      </c>
      <c r="S462" t="str">
        <f>_xll.BDP("912828CS Govt","ID_CUSIP")</f>
        <v>912828CS7</v>
      </c>
      <c r="T462" t="str">
        <f>_xll.BDP("912828CS Govt","IDX_RATIO")</f>
        <v>#N/A Field Not Applicable</v>
      </c>
    </row>
    <row r="463" spans="1:20" x14ac:dyDescent="0.25">
      <c r="A463" t="s">
        <v>14</v>
      </c>
      <c r="B463" t="str">
        <f>_xll.BDP("912828N4 Govt","TICKER")</f>
        <v>T</v>
      </c>
      <c r="C463">
        <f>_xll.BDP("912828N4 Govt","CPN")</f>
        <v>1.75</v>
      </c>
      <c r="D463" t="str">
        <f>_xll.BDP("912828N4 Govt","YLD_YTM_BID")</f>
        <v>#N/A N/A</v>
      </c>
      <c r="E463" t="str">
        <f>_xll.BDP("912828N4 Govt","MATURITY")</f>
        <v>12/31/2020</v>
      </c>
      <c r="F463" t="str">
        <f>_xll.BDP("912828N4 Govt","MTY_TYP")</f>
        <v>NORMAL</v>
      </c>
      <c r="G463" t="str">
        <f>_xll.BDP("912828N4 Govt","CRNCY")</f>
        <v>USD</v>
      </c>
      <c r="H463" t="str">
        <f>_xll.BDP("912828N4 Govt","COUNTRY_FULL_NAME")</f>
        <v>UNITED STATES</v>
      </c>
      <c r="I463" t="str">
        <f>_xll.BDP("912828N4 Govt","FIRST_CPN_DT")</f>
        <v>6/30/2016</v>
      </c>
      <c r="J463" t="str">
        <f>_xll.BDP("912828N4 Govt","COUPON_FREQUENCY_DESCRIPTION")</f>
        <v>S/A</v>
      </c>
      <c r="K463" t="str">
        <f>_xll.BDP("912828N4 Govt","CPN_TYP")</f>
        <v>FIXED</v>
      </c>
      <c r="L463" t="str">
        <f>_xll.BDP("912828N4 Govt","ID_ISIN")</f>
        <v>US912828N480</v>
      </c>
      <c r="M463">
        <v>35000000000</v>
      </c>
      <c r="N463">
        <v>0</v>
      </c>
      <c r="O463" t="str">
        <f>_xll.BDP("912828N4 Govt","ISSUE_DT")</f>
        <v>12/31/2015</v>
      </c>
      <c r="P463" t="str">
        <f>_xll.BDP("912828N4 Govt","SECURITY_NAME")</f>
        <v>T 1 3/4 12/31/20</v>
      </c>
      <c r="Q463" t="str">
        <f>_xll.BDP("912828N4 Govt","DAY_CNT_DES")</f>
        <v>ACT/ACT</v>
      </c>
      <c r="R463">
        <v>100</v>
      </c>
      <c r="S463" t="str">
        <f>_xll.BDP("912828N4 Govt","ID_CUSIP")</f>
        <v>912828N48</v>
      </c>
      <c r="T463" t="str">
        <f>_xll.BDP("912828N4 Govt","IDX_RATIO")</f>
        <v>#N/A Field Not Applicable</v>
      </c>
    </row>
    <row r="464" spans="1:20" x14ac:dyDescent="0.25">
      <c r="A464" t="s">
        <v>14</v>
      </c>
      <c r="B464" t="str">
        <f>_xll.BDP("912828PH Govt","TICKER")</f>
        <v>T</v>
      </c>
      <c r="C464">
        <f>_xll.BDP("912828PH Govt","CPN")</f>
        <v>0.375</v>
      </c>
      <c r="D464" t="str">
        <f>_xll.BDP("912828PH Govt","YLD_YTM_BID")</f>
        <v>#N/A N/A</v>
      </c>
      <c r="E464" t="str">
        <f>_xll.BDP("912828PH Govt","MATURITY")</f>
        <v>8/31/2012</v>
      </c>
      <c r="F464" t="str">
        <f>_xll.BDP("912828PH Govt","MTY_TYP")</f>
        <v>NORMAL</v>
      </c>
      <c r="G464" t="str">
        <f>_xll.BDP("912828PH Govt","CRNCY")</f>
        <v>USD</v>
      </c>
      <c r="H464" t="str">
        <f>_xll.BDP("912828PH Govt","COUNTRY_FULL_NAME")</f>
        <v>UNITED STATES</v>
      </c>
      <c r="I464" t="str">
        <f>_xll.BDP("912828PH Govt","FIRST_CPN_DT")</f>
        <v>2/28/2011</v>
      </c>
      <c r="J464" t="str">
        <f>_xll.BDP("912828PH Govt","COUPON_FREQUENCY_DESCRIPTION")</f>
        <v>S/A</v>
      </c>
      <c r="K464" t="str">
        <f>_xll.BDP("912828PH Govt","CPN_TYP")</f>
        <v>FIXED</v>
      </c>
      <c r="L464" t="str">
        <f>_xll.BDP("912828PH Govt","ID_ISIN")</f>
        <v>US912828PH75</v>
      </c>
      <c r="M464">
        <v>37906000000</v>
      </c>
      <c r="N464">
        <v>0</v>
      </c>
      <c r="O464" t="str">
        <f>_xll.BDP("912828PH Govt","ISSUE_DT")</f>
        <v>8/31/2010</v>
      </c>
      <c r="P464" t="str">
        <f>_xll.BDP("912828PH Govt","SECURITY_NAME")</f>
        <v>T 0 3/8 08/31/12</v>
      </c>
      <c r="Q464" t="str">
        <f>_xll.BDP("912828PH Govt","DAY_CNT_DES")</f>
        <v>ACT/ACT</v>
      </c>
      <c r="R464">
        <v>100</v>
      </c>
      <c r="S464" t="str">
        <f>_xll.BDP("912828PH Govt","ID_CUSIP")</f>
        <v>912828PH7</v>
      </c>
      <c r="T464" t="str">
        <f>_xll.BDP("912828PH Govt","IDX_RATIO")</f>
        <v>#N/A Field Not Applicable</v>
      </c>
    </row>
    <row r="465" spans="1:20" x14ac:dyDescent="0.25">
      <c r="A465" t="s">
        <v>14</v>
      </c>
      <c r="B465" t="str">
        <f>_xll.BDP("912828CF Govt","TICKER")</f>
        <v>T</v>
      </c>
      <c r="C465">
        <f>_xll.BDP("912828CF Govt","CPN")</f>
        <v>2.25</v>
      </c>
      <c r="D465" t="str">
        <f>_xll.BDP("912828CF Govt","YLD_YTM_BID")</f>
        <v>#N/A N/A</v>
      </c>
      <c r="E465" t="str">
        <f>_xll.BDP("912828CF Govt","MATURITY")</f>
        <v>4/30/2006</v>
      </c>
      <c r="F465" t="str">
        <f>_xll.BDP("912828CF Govt","MTY_TYP")</f>
        <v>NORMAL</v>
      </c>
      <c r="G465" t="str">
        <f>_xll.BDP("912828CF Govt","CRNCY")</f>
        <v>USD</v>
      </c>
      <c r="H465" t="str">
        <f>_xll.BDP("912828CF Govt","COUNTRY_FULL_NAME")</f>
        <v>UNITED STATES</v>
      </c>
      <c r="I465" t="str">
        <f>_xll.BDP("912828CF Govt","FIRST_CPN_DT")</f>
        <v>10/31/2004</v>
      </c>
      <c r="J465" t="str">
        <f>_xll.BDP("912828CF Govt","COUPON_FREQUENCY_DESCRIPTION")</f>
        <v>S/A</v>
      </c>
      <c r="K465" t="str">
        <f>_xll.BDP("912828CF Govt","CPN_TYP")</f>
        <v>FIXED</v>
      </c>
      <c r="L465" t="str">
        <f>_xll.BDP("912828CF Govt","ID_ISIN")</f>
        <v>US912828CF56</v>
      </c>
      <c r="M465">
        <v>34335000000</v>
      </c>
      <c r="N465">
        <v>0</v>
      </c>
      <c r="O465" t="str">
        <f>_xll.BDP("912828CF Govt","ISSUE_DT")</f>
        <v>4/30/2004</v>
      </c>
      <c r="P465" t="str">
        <f>_xll.BDP("912828CF Govt","SECURITY_NAME")</f>
        <v>T 2 1/4 04/30/06</v>
      </c>
      <c r="Q465" t="str">
        <f>_xll.BDP("912828CF Govt","DAY_CNT_DES")</f>
        <v>ACT/ACT</v>
      </c>
      <c r="R465">
        <v>100</v>
      </c>
      <c r="S465" t="str">
        <f>_xll.BDP("912828CF Govt","ID_CUSIP")</f>
        <v>912828CF5</v>
      </c>
      <c r="T465" t="str">
        <f>_xll.BDP("912828CF Govt","IDX_RATIO")</f>
        <v>#N/A Field Not Applicable</v>
      </c>
    </row>
    <row r="466" spans="1:20" x14ac:dyDescent="0.25">
      <c r="A466" t="s">
        <v>14</v>
      </c>
      <c r="B466" t="str">
        <f>_xll.BDP("912828EU Govt","TICKER")</f>
        <v>T</v>
      </c>
      <c r="C466">
        <f>_xll.BDP("912828EU Govt","CPN")</f>
        <v>4.375</v>
      </c>
      <c r="D466" t="str">
        <f>_xll.BDP("912828EU Govt","YLD_YTM_BID")</f>
        <v>#N/A N/A</v>
      </c>
      <c r="E466" t="str">
        <f>_xll.BDP("912828EU Govt","MATURITY")</f>
        <v>1/31/2008</v>
      </c>
      <c r="F466" t="str">
        <f>_xll.BDP("912828EU Govt","MTY_TYP")</f>
        <v>NORMAL</v>
      </c>
      <c r="G466" t="str">
        <f>_xll.BDP("912828EU Govt","CRNCY")</f>
        <v>USD</v>
      </c>
      <c r="H466" t="str">
        <f>_xll.BDP("912828EU Govt","COUNTRY_FULL_NAME")</f>
        <v>UNITED STATES</v>
      </c>
      <c r="I466" t="str">
        <f>_xll.BDP("912828EU Govt","FIRST_CPN_DT")</f>
        <v>7/31/2006</v>
      </c>
      <c r="J466" t="str">
        <f>_xll.BDP("912828EU Govt","COUPON_FREQUENCY_DESCRIPTION")</f>
        <v>S/A</v>
      </c>
      <c r="K466" t="str">
        <f>_xll.BDP("912828EU Govt","CPN_TYP")</f>
        <v>FIXED</v>
      </c>
      <c r="L466" t="str">
        <f>_xll.BDP("912828EU Govt","ID_ISIN")</f>
        <v>US912828EU06</v>
      </c>
      <c r="M466">
        <v>27168000000</v>
      </c>
      <c r="N466">
        <v>0</v>
      </c>
      <c r="O466" t="str">
        <f>_xll.BDP("912828EU Govt","ISSUE_DT")</f>
        <v>1/31/2006</v>
      </c>
      <c r="P466" t="str">
        <f>_xll.BDP("912828EU Govt","SECURITY_NAME")</f>
        <v>T 4 3/8 01/31/08</v>
      </c>
      <c r="Q466" t="str">
        <f>_xll.BDP("912828EU Govt","DAY_CNT_DES")</f>
        <v>ACT/ACT</v>
      </c>
      <c r="R466">
        <v>100</v>
      </c>
      <c r="S466" t="str">
        <f>_xll.BDP("912828EU Govt","ID_CUSIP")</f>
        <v>912828EU0</v>
      </c>
      <c r="T466" t="str">
        <f>_xll.BDP("912828EU Govt","IDX_RATIO")</f>
        <v>#N/A Field Not Applicable</v>
      </c>
    </row>
    <row r="467" spans="1:20" x14ac:dyDescent="0.25">
      <c r="A467" t="s">
        <v>14</v>
      </c>
      <c r="B467" t="str">
        <f>_xll.BDP("912828TX Govt","TICKER")</f>
        <v>T</v>
      </c>
      <c r="C467">
        <f>_xll.BDP("912828TX Govt","CPN")</f>
        <v>0.375</v>
      </c>
      <c r="D467" t="str">
        <f>_xll.BDP("912828TX Govt","YLD_YTM_BID")</f>
        <v>#N/A N/A</v>
      </c>
      <c r="E467" t="str">
        <f>_xll.BDP("912828TX Govt","MATURITY")</f>
        <v>11/15/2015</v>
      </c>
      <c r="F467" t="str">
        <f>_xll.BDP("912828TX Govt","MTY_TYP")</f>
        <v>NORMAL</v>
      </c>
      <c r="G467" t="str">
        <f>_xll.BDP("912828TX Govt","CRNCY")</f>
        <v>USD</v>
      </c>
      <c r="H467" t="str">
        <f>_xll.BDP("912828TX Govt","COUNTRY_FULL_NAME")</f>
        <v>UNITED STATES</v>
      </c>
      <c r="I467" t="str">
        <f>_xll.BDP("912828TX Govt","FIRST_CPN_DT")</f>
        <v>5/15/2013</v>
      </c>
      <c r="J467" t="str">
        <f>_xll.BDP("912828TX Govt","COUPON_FREQUENCY_DESCRIPTION")</f>
        <v>S/A</v>
      </c>
      <c r="K467" t="str">
        <f>_xll.BDP("912828TX Govt","CPN_TYP")</f>
        <v>FIXED</v>
      </c>
      <c r="L467" t="str">
        <f>_xll.BDP("912828TX Govt","ID_ISIN")</f>
        <v>US912828TX89</v>
      </c>
      <c r="M467">
        <v>32000000000</v>
      </c>
      <c r="N467">
        <v>0</v>
      </c>
      <c r="O467" t="str">
        <f>_xll.BDP("912828TX Govt","ISSUE_DT")</f>
        <v>11/15/2012</v>
      </c>
      <c r="P467" t="str">
        <f>_xll.BDP("912828TX Govt","SECURITY_NAME")</f>
        <v>T 0 3/8 11/15/15</v>
      </c>
      <c r="Q467" t="str">
        <f>_xll.BDP("912828TX Govt","DAY_CNT_DES")</f>
        <v>ACT/ACT</v>
      </c>
      <c r="R467">
        <v>100</v>
      </c>
      <c r="S467" t="str">
        <f>_xll.BDP("912828TX Govt","ID_CUSIP")</f>
        <v>912828TX8</v>
      </c>
      <c r="T467" t="str">
        <f>_xll.BDP("912828TX Govt","IDX_RATIO")</f>
        <v>#N/A Field Not Applicable</v>
      </c>
    </row>
    <row r="468" spans="1:20" x14ac:dyDescent="0.25">
      <c r="A468" t="s">
        <v>14</v>
      </c>
      <c r="B468" t="str">
        <f>_xll.BDP("912828XH Govt","TICKER")</f>
        <v>T</v>
      </c>
      <c r="C468">
        <f>_xll.BDP("912828XH Govt","CPN")</f>
        <v>1.625</v>
      </c>
      <c r="D468" t="str">
        <f>_xll.BDP("912828XH Govt","YLD_YTM_BID")</f>
        <v>#N/A N/A</v>
      </c>
      <c r="E468" t="str">
        <f>_xll.BDP("912828XH Govt","MATURITY")</f>
        <v>6/30/2020</v>
      </c>
      <c r="F468" t="str">
        <f>_xll.BDP("912828XH Govt","MTY_TYP")</f>
        <v>NORMAL</v>
      </c>
      <c r="G468" t="str">
        <f>_xll.BDP("912828XH Govt","CRNCY")</f>
        <v>USD</v>
      </c>
      <c r="H468" t="str">
        <f>_xll.BDP("912828XH Govt","COUNTRY_FULL_NAME")</f>
        <v>UNITED STATES</v>
      </c>
      <c r="I468" t="str">
        <f>_xll.BDP("912828XH Govt","FIRST_CPN_DT")</f>
        <v>12/31/2015</v>
      </c>
      <c r="J468" t="str">
        <f>_xll.BDP("912828XH Govt","COUPON_FREQUENCY_DESCRIPTION")</f>
        <v>S/A</v>
      </c>
      <c r="K468" t="str">
        <f>_xll.BDP("912828XH Govt","CPN_TYP")</f>
        <v>FIXED</v>
      </c>
      <c r="L468" t="str">
        <f>_xll.BDP("912828XH Govt","ID_ISIN")</f>
        <v>US912828XH83</v>
      </c>
      <c r="M468">
        <v>35000000000</v>
      </c>
      <c r="N468">
        <v>0</v>
      </c>
      <c r="O468" t="str">
        <f>_xll.BDP("912828XH Govt","ISSUE_DT")</f>
        <v>6/30/2015</v>
      </c>
      <c r="P468" t="str">
        <f>_xll.BDP("912828XH Govt","SECURITY_NAME")</f>
        <v>T 1 5/8 06/30/20</v>
      </c>
      <c r="Q468" t="str">
        <f>_xll.BDP("912828XH Govt","DAY_CNT_DES")</f>
        <v>ACT/ACT</v>
      </c>
      <c r="R468">
        <v>100</v>
      </c>
      <c r="S468" t="str">
        <f>_xll.BDP("912828XH Govt","ID_CUSIP")</f>
        <v>912828XH8</v>
      </c>
      <c r="T468" t="str">
        <f>_xll.BDP("912828XH Govt","IDX_RATIO")</f>
        <v>#N/A Field Not Applicable</v>
      </c>
    </row>
    <row r="469" spans="1:20" x14ac:dyDescent="0.25">
      <c r="A469" t="s">
        <v>14</v>
      </c>
      <c r="B469" t="str">
        <f>_xll.BDP("9128282Q Govt","TICKER")</f>
        <v>T</v>
      </c>
      <c r="C469">
        <f>_xll.BDP("9128282Q Govt","CPN")</f>
        <v>1.5</v>
      </c>
      <c r="D469" t="str">
        <f>_xll.BDP("9128282Q Govt","YLD_YTM_BID")</f>
        <v>#N/A N/A</v>
      </c>
      <c r="E469" t="str">
        <f>_xll.BDP("9128282Q Govt","MATURITY")</f>
        <v>8/15/2020</v>
      </c>
      <c r="F469" t="str">
        <f>_xll.BDP("9128282Q Govt","MTY_TYP")</f>
        <v>NORMAL</v>
      </c>
      <c r="G469" t="str">
        <f>_xll.BDP("9128282Q Govt","CRNCY")</f>
        <v>USD</v>
      </c>
      <c r="H469" t="str">
        <f>_xll.BDP("9128282Q Govt","COUNTRY_FULL_NAME")</f>
        <v>UNITED STATES</v>
      </c>
      <c r="I469" t="str">
        <f>_xll.BDP("9128282Q Govt","FIRST_CPN_DT")</f>
        <v>2/15/2018</v>
      </c>
      <c r="J469" t="str">
        <f>_xll.BDP("9128282Q Govt","COUPON_FREQUENCY_DESCRIPTION")</f>
        <v>S/A</v>
      </c>
      <c r="K469" t="str">
        <f>_xll.BDP("9128282Q Govt","CPN_TYP")</f>
        <v>FIXED</v>
      </c>
      <c r="L469" t="str">
        <f>_xll.BDP("9128282Q Govt","ID_ISIN")</f>
        <v>US9128282Q23</v>
      </c>
      <c r="M469">
        <v>31221000000</v>
      </c>
      <c r="N469">
        <v>0</v>
      </c>
      <c r="O469" t="str">
        <f>_xll.BDP("9128282Q Govt","ISSUE_DT")</f>
        <v>8/15/2017</v>
      </c>
      <c r="P469" t="str">
        <f>_xll.BDP("9128282Q Govt","SECURITY_NAME")</f>
        <v>T 1 1/2 08/15/20</v>
      </c>
      <c r="Q469" t="str">
        <f>_xll.BDP("9128282Q Govt","DAY_CNT_DES")</f>
        <v>ACT/ACT</v>
      </c>
      <c r="R469">
        <v>100</v>
      </c>
      <c r="S469" t="str">
        <f>_xll.BDP("9128282Q Govt","ID_CUSIP")</f>
        <v>9128282Q2</v>
      </c>
      <c r="T469" t="str">
        <f>_xll.BDP("9128282Q Govt","IDX_RATIO")</f>
        <v>#N/A Field Not Applicable</v>
      </c>
    </row>
    <row r="470" spans="1:20" x14ac:dyDescent="0.25">
      <c r="A470" t="s">
        <v>14</v>
      </c>
      <c r="B470" t="str">
        <f>_xll.BDP("912828HH Govt","TICKER")</f>
        <v>T</v>
      </c>
      <c r="C470">
        <f>_xll.BDP("912828HH Govt","CPN")</f>
        <v>4.25</v>
      </c>
      <c r="D470" t="str">
        <f>_xll.BDP("912828HH Govt","YLD_YTM_BID")</f>
        <v>#N/A N/A</v>
      </c>
      <c r="E470" t="str">
        <f>_xll.BDP("912828HH Govt","MATURITY")</f>
        <v>11/15/2017</v>
      </c>
      <c r="F470" t="str">
        <f>_xll.BDP("912828HH Govt","MTY_TYP")</f>
        <v>NORMAL</v>
      </c>
      <c r="G470" t="str">
        <f>_xll.BDP("912828HH Govt","CRNCY")</f>
        <v>USD</v>
      </c>
      <c r="H470" t="str">
        <f>_xll.BDP("912828HH Govt","COUNTRY_FULL_NAME")</f>
        <v>UNITED STATES</v>
      </c>
      <c r="I470" t="str">
        <f>_xll.BDP("912828HH Govt","FIRST_CPN_DT")</f>
        <v>5/15/2008</v>
      </c>
      <c r="J470" t="str">
        <f>_xll.BDP("912828HH Govt","COUPON_FREQUENCY_DESCRIPTION")</f>
        <v>S/A</v>
      </c>
      <c r="K470" t="str">
        <f>_xll.BDP("912828HH Govt","CPN_TYP")</f>
        <v>FIXED</v>
      </c>
      <c r="L470" t="str">
        <f>_xll.BDP("912828HH Govt","ID_ISIN")</f>
        <v>US912828HH67</v>
      </c>
      <c r="M470">
        <v>27674000000</v>
      </c>
      <c r="N470">
        <v>0</v>
      </c>
      <c r="O470" t="str">
        <f>_xll.BDP("912828HH Govt","ISSUE_DT")</f>
        <v>11/15/2007</v>
      </c>
      <c r="P470" t="str">
        <f>_xll.BDP("912828HH Govt","SECURITY_NAME")</f>
        <v>T 4 1/4 11/15/17</v>
      </c>
      <c r="Q470" t="str">
        <f>_xll.BDP("912828HH Govt","DAY_CNT_DES")</f>
        <v>ACT/ACT</v>
      </c>
      <c r="R470">
        <v>100</v>
      </c>
      <c r="S470" t="str">
        <f>_xll.BDP("912828HH Govt","ID_CUSIP")</f>
        <v>912828HH6</v>
      </c>
      <c r="T470" t="str">
        <f>_xll.BDP("912828HH Govt","IDX_RATIO")</f>
        <v>#N/A Field Not Applicable</v>
      </c>
    </row>
    <row r="471" spans="1:20" x14ac:dyDescent="0.25">
      <c r="A471" t="s">
        <v>14</v>
      </c>
      <c r="B471" t="str">
        <f>_xll.BDP("912828JT Govt","TICKER")</f>
        <v>T</v>
      </c>
      <c r="C471">
        <f>_xll.BDP("912828JT Govt","CPN")</f>
        <v>2</v>
      </c>
      <c r="D471" t="str">
        <f>_xll.BDP("912828JT Govt","YLD_YTM_BID")</f>
        <v>#N/A N/A</v>
      </c>
      <c r="E471" t="str">
        <f>_xll.BDP("912828JT Govt","MATURITY")</f>
        <v>11/30/2013</v>
      </c>
      <c r="F471" t="str">
        <f>_xll.BDP("912828JT Govt","MTY_TYP")</f>
        <v>NORMAL</v>
      </c>
      <c r="G471" t="str">
        <f>_xll.BDP("912828JT Govt","CRNCY")</f>
        <v>USD</v>
      </c>
      <c r="H471" t="str">
        <f>_xll.BDP("912828JT Govt","COUNTRY_FULL_NAME")</f>
        <v>UNITED STATES</v>
      </c>
      <c r="I471" t="str">
        <f>_xll.BDP("912828JT Govt","FIRST_CPN_DT")</f>
        <v>5/31/2009</v>
      </c>
      <c r="J471" t="str">
        <f>_xll.BDP("912828JT Govt","COUPON_FREQUENCY_DESCRIPTION")</f>
        <v>S/A</v>
      </c>
      <c r="K471" t="str">
        <f>_xll.BDP("912828JT Govt","CPN_TYP")</f>
        <v>FIXED</v>
      </c>
      <c r="L471" t="str">
        <f>_xll.BDP("912828JT Govt","ID_ISIN")</f>
        <v>US912828JT87</v>
      </c>
      <c r="M471">
        <v>27819000000</v>
      </c>
      <c r="N471">
        <v>0</v>
      </c>
      <c r="O471" t="str">
        <f>_xll.BDP("912828JT Govt","ISSUE_DT")</f>
        <v>12/1/2008</v>
      </c>
      <c r="P471" t="str">
        <f>_xll.BDP("912828JT Govt","SECURITY_NAME")</f>
        <v>T 2 11/30/13</v>
      </c>
      <c r="Q471" t="str">
        <f>_xll.BDP("912828JT Govt","DAY_CNT_DES")</f>
        <v>ACT/ACT</v>
      </c>
      <c r="R471">
        <v>100</v>
      </c>
      <c r="S471" t="str">
        <f>_xll.BDP("912828JT Govt","ID_CUSIP")</f>
        <v>912828JT8</v>
      </c>
      <c r="T471" t="str">
        <f>_xll.BDP("912828JT Govt","IDX_RATIO")</f>
        <v>#N/A Field Not Applicable</v>
      </c>
    </row>
    <row r="472" spans="1:20" x14ac:dyDescent="0.25">
      <c r="A472" t="s">
        <v>14</v>
      </c>
      <c r="B472" t="str">
        <f>_xll.BDP("912828UM Govt","TICKER")</f>
        <v>T</v>
      </c>
      <c r="C472">
        <f>_xll.BDP("912828UM Govt","CPN")</f>
        <v>0.375</v>
      </c>
      <c r="D472" t="str">
        <f>_xll.BDP("912828UM Govt","YLD_YTM_BID")</f>
        <v>#N/A N/A</v>
      </c>
      <c r="E472" t="str">
        <f>_xll.BDP("912828UM Govt","MATURITY")</f>
        <v>2/15/2016</v>
      </c>
      <c r="F472" t="str">
        <f>_xll.BDP("912828UM Govt","MTY_TYP")</f>
        <v>NORMAL</v>
      </c>
      <c r="G472" t="str">
        <f>_xll.BDP("912828UM Govt","CRNCY")</f>
        <v>USD</v>
      </c>
      <c r="H472" t="str">
        <f>_xll.BDP("912828UM Govt","COUNTRY_FULL_NAME")</f>
        <v>UNITED STATES</v>
      </c>
      <c r="I472" t="str">
        <f>_xll.BDP("912828UM Govt","FIRST_CPN_DT")</f>
        <v>8/15/2013</v>
      </c>
      <c r="J472" t="str">
        <f>_xll.BDP("912828UM Govt","COUPON_FREQUENCY_DESCRIPTION")</f>
        <v>S/A</v>
      </c>
      <c r="K472" t="str">
        <f>_xll.BDP("912828UM Govt","CPN_TYP")</f>
        <v>FIXED</v>
      </c>
      <c r="L472" t="str">
        <f>_xll.BDP("912828UM Govt","ID_ISIN")</f>
        <v>US912828UM06</v>
      </c>
      <c r="M472">
        <v>32000000000</v>
      </c>
      <c r="N472">
        <v>0</v>
      </c>
      <c r="O472" t="str">
        <f>_xll.BDP("912828UM Govt","ISSUE_DT")</f>
        <v>2/15/2013</v>
      </c>
      <c r="P472" t="str">
        <f>_xll.BDP("912828UM Govt","SECURITY_NAME")</f>
        <v>T 0 3/8 02/15/16</v>
      </c>
      <c r="Q472" t="str">
        <f>_xll.BDP("912828UM Govt","DAY_CNT_DES")</f>
        <v>ACT/ACT</v>
      </c>
      <c r="R472">
        <v>100</v>
      </c>
      <c r="S472" t="str">
        <f>_xll.BDP("912828UM Govt","ID_CUSIP")</f>
        <v>912828UM0</v>
      </c>
      <c r="T472" t="str">
        <f>_xll.BDP("912828UM Govt","IDX_RATIO")</f>
        <v>#N/A Field Not Applicable</v>
      </c>
    </row>
    <row r="473" spans="1:20" x14ac:dyDescent="0.25">
      <c r="A473" t="s">
        <v>14</v>
      </c>
      <c r="B473" t="str">
        <f>_xll.BDP("912828XY Govt","TICKER")</f>
        <v>T</v>
      </c>
      <c r="C473">
        <f>_xll.BDP("912828XY Govt","CPN")</f>
        <v>2.5</v>
      </c>
      <c r="D473" t="str">
        <f>_xll.BDP("912828XY Govt","YLD_YTM_BID")</f>
        <v>#N/A N/A</v>
      </c>
      <c r="E473" t="str">
        <f>_xll.BDP("912828XY Govt","MATURITY")</f>
        <v>6/30/2020</v>
      </c>
      <c r="F473" t="str">
        <f>_xll.BDP("912828XY Govt","MTY_TYP")</f>
        <v>NORMAL</v>
      </c>
      <c r="G473" t="str">
        <f>_xll.BDP("912828XY Govt","CRNCY")</f>
        <v>USD</v>
      </c>
      <c r="H473" t="str">
        <f>_xll.BDP("912828XY Govt","COUNTRY_FULL_NAME")</f>
        <v>UNITED STATES</v>
      </c>
      <c r="I473" t="str">
        <f>_xll.BDP("912828XY Govt","FIRST_CPN_DT")</f>
        <v>12/31/2018</v>
      </c>
      <c r="J473" t="str">
        <f>_xll.BDP("912828XY Govt","COUPON_FREQUENCY_DESCRIPTION")</f>
        <v>S/A</v>
      </c>
      <c r="K473" t="str">
        <f>_xll.BDP("912828XY Govt","CPN_TYP")</f>
        <v>FIXED</v>
      </c>
      <c r="L473" t="str">
        <f>_xll.BDP("912828XY Govt","ID_ISIN")</f>
        <v>US912828XY17</v>
      </c>
      <c r="M473">
        <v>38232000000</v>
      </c>
      <c r="N473">
        <v>0</v>
      </c>
      <c r="O473" t="str">
        <f>_xll.BDP("912828XY Govt","ISSUE_DT")</f>
        <v>7/2/2018</v>
      </c>
      <c r="P473" t="str">
        <f>_xll.BDP("912828XY Govt","SECURITY_NAME")</f>
        <v>T 2 1/2 06/30/20</v>
      </c>
      <c r="Q473" t="str">
        <f>_xll.BDP("912828XY Govt","DAY_CNT_DES")</f>
        <v>ACT/ACT</v>
      </c>
      <c r="R473">
        <v>100</v>
      </c>
      <c r="S473" t="str">
        <f>_xll.BDP("912828XY Govt","ID_CUSIP")</f>
        <v>912828XY1</v>
      </c>
      <c r="T473" t="str">
        <f>_xll.BDP("912828XY Govt","IDX_RATIO")</f>
        <v>#N/A Field Not Applicable</v>
      </c>
    </row>
    <row r="474" spans="1:20" x14ac:dyDescent="0.25">
      <c r="A474" t="s">
        <v>14</v>
      </c>
      <c r="B474" t="str">
        <f>_xll.BDP("912828AU Govt","TICKER")</f>
        <v>T</v>
      </c>
      <c r="C474">
        <f>_xll.BDP("912828AU Govt","CPN")</f>
        <v>3.875</v>
      </c>
      <c r="D474" t="str">
        <f>_xll.BDP("912828AU Govt","YLD_YTM_BID")</f>
        <v>#N/A N/A</v>
      </c>
      <c r="E474" t="str">
        <f>_xll.BDP("912828AU Govt","MATURITY")</f>
        <v>2/15/2013</v>
      </c>
      <c r="F474" t="str">
        <f>_xll.BDP("912828AU Govt","MTY_TYP")</f>
        <v>NORMAL</v>
      </c>
      <c r="G474" t="str">
        <f>_xll.BDP("912828AU Govt","CRNCY")</f>
        <v>USD</v>
      </c>
      <c r="H474" t="str">
        <f>_xll.BDP("912828AU Govt","COUNTRY_FULL_NAME")</f>
        <v>UNITED STATES</v>
      </c>
      <c r="I474" t="str">
        <f>_xll.BDP("912828AU Govt","FIRST_CPN_DT")</f>
        <v>8/15/2003</v>
      </c>
      <c r="J474" t="str">
        <f>_xll.BDP("912828AU Govt","COUPON_FREQUENCY_DESCRIPTION")</f>
        <v>S/A</v>
      </c>
      <c r="K474" t="str">
        <f>_xll.BDP("912828AU Govt","CPN_TYP")</f>
        <v>FIXED</v>
      </c>
      <c r="L474" t="str">
        <f>_xll.BDP("912828AU Govt","ID_ISIN")</f>
        <v>US912828AU42</v>
      </c>
      <c r="M474">
        <v>19498000000</v>
      </c>
      <c r="N474">
        <v>0</v>
      </c>
      <c r="O474" t="str">
        <f>_xll.BDP("912828AU Govt","ISSUE_DT")</f>
        <v>2/18/2003</v>
      </c>
      <c r="P474" t="str">
        <f>_xll.BDP("912828AU Govt","SECURITY_NAME")</f>
        <v>T 3 7/8 02/15/13</v>
      </c>
      <c r="Q474" t="str">
        <f>_xll.BDP("912828AU Govt","DAY_CNT_DES")</f>
        <v>ACT/ACT</v>
      </c>
      <c r="R474">
        <v>100</v>
      </c>
      <c r="S474" t="str">
        <f>_xll.BDP("912828AU Govt","ID_CUSIP")</f>
        <v>912828AU4</v>
      </c>
      <c r="T474" t="str">
        <f>_xll.BDP("912828AU Govt","IDX_RATIO")</f>
        <v>#N/A Field Not Applicable</v>
      </c>
    </row>
    <row r="475" spans="1:20" x14ac:dyDescent="0.25">
      <c r="A475" t="s">
        <v>14</v>
      </c>
      <c r="B475" t="str">
        <f>_xll.BDP("912828FF Govt","TICKER")</f>
        <v>T</v>
      </c>
      <c r="C475">
        <f>_xll.BDP("912828FF Govt","CPN")</f>
        <v>5.125</v>
      </c>
      <c r="D475" t="str">
        <f>_xll.BDP("912828FF Govt","YLD_YTM_BID")</f>
        <v>#N/A N/A</v>
      </c>
      <c r="E475" t="str">
        <f>_xll.BDP("912828FF Govt","MATURITY")</f>
        <v>5/15/2016</v>
      </c>
      <c r="F475" t="str">
        <f>_xll.BDP("912828FF Govt","MTY_TYP")</f>
        <v>NORMAL</v>
      </c>
      <c r="G475" t="str">
        <f>_xll.BDP("912828FF Govt","CRNCY")</f>
        <v>USD</v>
      </c>
      <c r="H475" t="str">
        <f>_xll.BDP("912828FF Govt","COUNTRY_FULL_NAME")</f>
        <v>UNITED STATES</v>
      </c>
      <c r="I475" t="str">
        <f>_xll.BDP("912828FF Govt","FIRST_CPN_DT")</f>
        <v>11/15/2006</v>
      </c>
      <c r="J475" t="str">
        <f>_xll.BDP("912828FF Govt","COUPON_FREQUENCY_DESCRIPTION")</f>
        <v>S/A</v>
      </c>
      <c r="K475" t="str">
        <f>_xll.BDP("912828FF Govt","CPN_TYP")</f>
        <v>FIXED</v>
      </c>
      <c r="L475" t="str">
        <f>_xll.BDP("912828FF Govt","ID_ISIN")</f>
        <v>US912828FF20</v>
      </c>
      <c r="M475">
        <v>23294000000</v>
      </c>
      <c r="N475">
        <v>0</v>
      </c>
      <c r="O475" t="str">
        <f>_xll.BDP("912828FF Govt","ISSUE_DT")</f>
        <v>5/15/2006</v>
      </c>
      <c r="P475" t="str">
        <f>_xll.BDP("912828FF Govt","SECURITY_NAME")</f>
        <v>T 5 1/8 05/15/16</v>
      </c>
      <c r="Q475" t="str">
        <f>_xll.BDP("912828FF Govt","DAY_CNT_DES")</f>
        <v>ACT/ACT</v>
      </c>
      <c r="R475">
        <v>100</v>
      </c>
      <c r="S475" t="str">
        <f>_xll.BDP("912828FF Govt","ID_CUSIP")</f>
        <v>912828FF2</v>
      </c>
      <c r="T475" t="str">
        <f>_xll.BDP("912828FF Govt","IDX_RATIO")</f>
        <v>#N/A Field Not Applicable</v>
      </c>
    </row>
    <row r="476" spans="1:20" x14ac:dyDescent="0.25">
      <c r="A476" t="s">
        <v>14</v>
      </c>
      <c r="B476" t="str">
        <f>_xll.BDP("912828HR Govt","TICKER")</f>
        <v>T</v>
      </c>
      <c r="C476">
        <f>_xll.BDP("912828HR Govt","CPN")</f>
        <v>3.5</v>
      </c>
      <c r="D476" t="str">
        <f>_xll.BDP("912828HR Govt","YLD_YTM_BID")</f>
        <v>#N/A N/A</v>
      </c>
      <c r="E476" t="str">
        <f>_xll.BDP("912828HR Govt","MATURITY")</f>
        <v>2/15/2018</v>
      </c>
      <c r="F476" t="str">
        <f>_xll.BDP("912828HR Govt","MTY_TYP")</f>
        <v>NORMAL</v>
      </c>
      <c r="G476" t="str">
        <f>_xll.BDP("912828HR Govt","CRNCY")</f>
        <v>USD</v>
      </c>
      <c r="H476" t="str">
        <f>_xll.BDP("912828HR Govt","COUNTRY_FULL_NAME")</f>
        <v>UNITED STATES</v>
      </c>
      <c r="I476" t="str">
        <f>_xll.BDP("912828HR Govt","FIRST_CPN_DT")</f>
        <v>8/15/2008</v>
      </c>
      <c r="J476" t="str">
        <f>_xll.BDP("912828HR Govt","COUPON_FREQUENCY_DESCRIPTION")</f>
        <v>S/A</v>
      </c>
      <c r="K476" t="str">
        <f>_xll.BDP("912828HR Govt","CPN_TYP")</f>
        <v>FIXED</v>
      </c>
      <c r="L476" t="str">
        <f>_xll.BDP("912828HR Govt","ID_ISIN")</f>
        <v>US912828HR40</v>
      </c>
      <c r="M476">
        <v>39205000000</v>
      </c>
      <c r="N476">
        <v>0</v>
      </c>
      <c r="O476" t="str">
        <f>_xll.BDP("912828HR Govt","ISSUE_DT")</f>
        <v>2/15/2008</v>
      </c>
      <c r="P476" t="str">
        <f>_xll.BDP("912828HR Govt","SECURITY_NAME")</f>
        <v>T 3 1/2 02/15/18</v>
      </c>
      <c r="Q476" t="str">
        <f>_xll.BDP("912828HR Govt","DAY_CNT_DES")</f>
        <v>ACT/ACT</v>
      </c>
      <c r="R476">
        <v>100</v>
      </c>
      <c r="S476" t="str">
        <f>_xll.BDP("912828HR Govt","ID_CUSIP")</f>
        <v>912828HR4</v>
      </c>
      <c r="T476" t="str">
        <f>_xll.BDP("912828HR Govt","IDX_RATIO")</f>
        <v>#N/A Field Not Applicable</v>
      </c>
    </row>
    <row r="477" spans="1:20" x14ac:dyDescent="0.25">
      <c r="A477" t="s">
        <v>14</v>
      </c>
      <c r="B477" t="str">
        <f>_xll.BDP("912828CY Govt","TICKER")</f>
        <v>T</v>
      </c>
      <c r="C477">
        <f>_xll.BDP("912828CY Govt","CPN")</f>
        <v>2.5</v>
      </c>
      <c r="D477" t="str">
        <f>_xll.BDP("912828CY Govt","YLD_YTM_BID")</f>
        <v>#N/A N/A</v>
      </c>
      <c r="E477" t="str">
        <f>_xll.BDP("912828CY Govt","MATURITY")</f>
        <v>10/31/2006</v>
      </c>
      <c r="F477" t="str">
        <f>_xll.BDP("912828CY Govt","MTY_TYP")</f>
        <v>NORMAL</v>
      </c>
      <c r="G477" t="str">
        <f>_xll.BDP("912828CY Govt","CRNCY")</f>
        <v>USD</v>
      </c>
      <c r="H477" t="str">
        <f>_xll.BDP("912828CY Govt","COUNTRY_FULL_NAME")</f>
        <v>UNITED STATES</v>
      </c>
      <c r="I477" t="str">
        <f>_xll.BDP("912828CY Govt","FIRST_CPN_DT")</f>
        <v>4/30/2005</v>
      </c>
      <c r="J477" t="str">
        <f>_xll.BDP("912828CY Govt","COUPON_FREQUENCY_DESCRIPTION")</f>
        <v>S/A</v>
      </c>
      <c r="K477" t="str">
        <f>_xll.BDP("912828CY Govt","CPN_TYP")</f>
        <v>FIXED</v>
      </c>
      <c r="L477" t="str">
        <f>_xll.BDP("912828CY Govt","ID_ISIN")</f>
        <v>US912828CY46</v>
      </c>
      <c r="M477">
        <v>29569000000</v>
      </c>
      <c r="N477">
        <v>0</v>
      </c>
      <c r="O477" t="str">
        <f>_xll.BDP("912828CY Govt","ISSUE_DT")</f>
        <v>11/1/2004</v>
      </c>
      <c r="P477" t="str">
        <f>_xll.BDP("912828CY Govt","SECURITY_NAME")</f>
        <v>T 2 1/2 10/31/06</v>
      </c>
      <c r="Q477" t="str">
        <f>_xll.BDP("912828CY Govt","DAY_CNT_DES")</f>
        <v>ACT/ACT</v>
      </c>
      <c r="R477">
        <v>100</v>
      </c>
      <c r="S477" t="str">
        <f>_xll.BDP("912828CY Govt","ID_CUSIP")</f>
        <v>912828CY4</v>
      </c>
      <c r="T477" t="str">
        <f>_xll.BDP("912828CY Govt","IDX_RATIO")</f>
        <v>#N/A Field Not Applicable</v>
      </c>
    </row>
    <row r="478" spans="1:20" x14ac:dyDescent="0.25">
      <c r="A478" t="s">
        <v>14</v>
      </c>
      <c r="B478" t="str">
        <f>_xll.BDP("912828JZ Govt","TICKER")</f>
        <v>T</v>
      </c>
      <c r="C478">
        <f>_xll.BDP("912828JZ Govt","CPN")</f>
        <v>1.75</v>
      </c>
      <c r="D478" t="str">
        <f>_xll.BDP("912828JZ Govt","YLD_YTM_BID")</f>
        <v>#N/A N/A</v>
      </c>
      <c r="E478" t="str">
        <f>_xll.BDP("912828JZ Govt","MATURITY")</f>
        <v>1/31/2014</v>
      </c>
      <c r="F478" t="str">
        <f>_xll.BDP("912828JZ Govt","MTY_TYP")</f>
        <v>NORMAL</v>
      </c>
      <c r="G478" t="str">
        <f>_xll.BDP("912828JZ Govt","CRNCY")</f>
        <v>USD</v>
      </c>
      <c r="H478" t="str">
        <f>_xll.BDP("912828JZ Govt","COUNTRY_FULL_NAME")</f>
        <v>UNITED STATES</v>
      </c>
      <c r="I478" t="str">
        <f>_xll.BDP("912828JZ Govt","FIRST_CPN_DT")</f>
        <v>7/31/2009</v>
      </c>
      <c r="J478" t="str">
        <f>_xll.BDP("912828JZ Govt","COUPON_FREQUENCY_DESCRIPTION")</f>
        <v>S/A</v>
      </c>
      <c r="K478" t="str">
        <f>_xll.BDP("912828JZ Govt","CPN_TYP")</f>
        <v>FIXED</v>
      </c>
      <c r="L478" t="str">
        <f>_xll.BDP("912828JZ Govt","ID_ISIN")</f>
        <v>US912828JZ48</v>
      </c>
      <c r="M478">
        <v>31273000000</v>
      </c>
      <c r="N478">
        <v>0</v>
      </c>
      <c r="O478" t="str">
        <f>_xll.BDP("912828JZ Govt","ISSUE_DT")</f>
        <v>2/2/2009</v>
      </c>
      <c r="P478" t="str">
        <f>_xll.BDP("912828JZ Govt","SECURITY_NAME")</f>
        <v>T 1 3/4 01/31/14</v>
      </c>
      <c r="Q478" t="str">
        <f>_xll.BDP("912828JZ Govt","DAY_CNT_DES")</f>
        <v>ACT/ACT</v>
      </c>
      <c r="R478">
        <v>100</v>
      </c>
      <c r="S478" t="str">
        <f>_xll.BDP("912828JZ Govt","ID_CUSIP")</f>
        <v>912828JZ4</v>
      </c>
      <c r="T478" t="str">
        <f>_xll.BDP("912828JZ Govt","IDX_RATIO")</f>
        <v>#N/A Field Not Applicable</v>
      </c>
    </row>
    <row r="479" spans="1:20" x14ac:dyDescent="0.25">
      <c r="A479" t="s">
        <v>14</v>
      </c>
      <c r="B479" t="str">
        <f>_xll.BDP("912828VP Govt","TICKER")</f>
        <v>T</v>
      </c>
      <c r="C479">
        <f>_xll.BDP("912828VP Govt","CPN")</f>
        <v>2</v>
      </c>
      <c r="D479" t="str">
        <f>_xll.BDP("912828VP Govt","YLD_YTM_BID")</f>
        <v>#N/A N/A</v>
      </c>
      <c r="E479" t="str">
        <f>_xll.BDP("912828VP Govt","MATURITY")</f>
        <v>7/31/2020</v>
      </c>
      <c r="F479" t="str">
        <f>_xll.BDP("912828VP Govt","MTY_TYP")</f>
        <v>NORMAL</v>
      </c>
      <c r="G479" t="str">
        <f>_xll.BDP("912828VP Govt","CRNCY")</f>
        <v>USD</v>
      </c>
      <c r="H479" t="str">
        <f>_xll.BDP("912828VP Govt","COUNTRY_FULL_NAME")</f>
        <v>UNITED STATES</v>
      </c>
      <c r="I479" t="str">
        <f>_xll.BDP("912828VP Govt","FIRST_CPN_DT")</f>
        <v>1/31/2014</v>
      </c>
      <c r="J479" t="str">
        <f>_xll.BDP("912828VP Govt","COUPON_FREQUENCY_DESCRIPTION")</f>
        <v>S/A</v>
      </c>
      <c r="K479" t="str">
        <f>_xll.BDP("912828VP Govt","CPN_TYP")</f>
        <v>FIXED</v>
      </c>
      <c r="L479" t="str">
        <f>_xll.BDP("912828VP Govt","ID_ISIN")</f>
        <v>US912828VP28</v>
      </c>
      <c r="M479">
        <v>29000000000</v>
      </c>
      <c r="N479">
        <v>0</v>
      </c>
      <c r="O479" t="str">
        <f>_xll.BDP("912828VP Govt","ISSUE_DT")</f>
        <v>7/31/2013</v>
      </c>
      <c r="P479" t="str">
        <f>_xll.BDP("912828VP Govt","SECURITY_NAME")</f>
        <v>T 2 07/31/20</v>
      </c>
      <c r="Q479" t="str">
        <f>_xll.BDP("912828VP Govt","DAY_CNT_DES")</f>
        <v>ACT/ACT</v>
      </c>
      <c r="R479">
        <v>100</v>
      </c>
      <c r="S479" t="str">
        <f>_xll.BDP("912828VP Govt","ID_CUSIP")</f>
        <v>912828VP2</v>
      </c>
      <c r="T479" t="str">
        <f>_xll.BDP("912828VP Govt","IDX_RATIO")</f>
        <v>#N/A Field Not Applicable</v>
      </c>
    </row>
    <row r="480" spans="1:20" x14ac:dyDescent="0.25">
      <c r="A480" t="s">
        <v>14</v>
      </c>
      <c r="B480" t="str">
        <f>_xll.BDP("912828W6 Govt","TICKER")</f>
        <v>T</v>
      </c>
      <c r="C480">
        <f>_xll.BDP("912828W6 Govt","CPN")</f>
        <v>1.625</v>
      </c>
      <c r="D480" t="str">
        <f>_xll.BDP("912828W6 Govt","YLD_YTM_BID")</f>
        <v>#N/A N/A</v>
      </c>
      <c r="E480" t="str">
        <f>_xll.BDP("912828W6 Govt","MATURITY")</f>
        <v>3/15/2020</v>
      </c>
      <c r="F480" t="str">
        <f>_xll.BDP("912828W6 Govt","MTY_TYP")</f>
        <v>NORMAL</v>
      </c>
      <c r="G480" t="str">
        <f>_xll.BDP("912828W6 Govt","CRNCY")</f>
        <v>USD</v>
      </c>
      <c r="H480" t="str">
        <f>_xll.BDP("912828W6 Govt","COUNTRY_FULL_NAME")</f>
        <v>UNITED STATES</v>
      </c>
      <c r="I480" t="str">
        <f>_xll.BDP("912828W6 Govt","FIRST_CPN_DT")</f>
        <v>9/15/2017</v>
      </c>
      <c r="J480" t="str">
        <f>_xll.BDP("912828W6 Govt","COUPON_FREQUENCY_DESCRIPTION")</f>
        <v>S/A</v>
      </c>
      <c r="K480" t="str">
        <f>_xll.BDP("912828W6 Govt","CPN_TYP")</f>
        <v>FIXED</v>
      </c>
      <c r="L480" t="str">
        <f>_xll.BDP("912828W6 Govt","ID_ISIN")</f>
        <v>US912828W630</v>
      </c>
      <c r="M480">
        <v>24000000000</v>
      </c>
      <c r="N480">
        <v>0</v>
      </c>
      <c r="O480" t="str">
        <f>_xll.BDP("912828W6 Govt","ISSUE_DT")</f>
        <v>3/15/2017</v>
      </c>
      <c r="P480" t="str">
        <f>_xll.BDP("912828W6 Govt","SECURITY_NAME")</f>
        <v>T 1 5/8 03/15/20</v>
      </c>
      <c r="Q480" t="str">
        <f>_xll.BDP("912828W6 Govt","DAY_CNT_DES")</f>
        <v>ACT/ACT</v>
      </c>
      <c r="R480">
        <v>100</v>
      </c>
      <c r="S480" t="str">
        <f>_xll.BDP("912828W6 Govt","ID_CUSIP")</f>
        <v>912828W63</v>
      </c>
      <c r="T480" t="str">
        <f>_xll.BDP("912828W6 Govt","IDX_RATIO")</f>
        <v>#N/A Field Not Applicable</v>
      </c>
    </row>
    <row r="481" spans="1:20" x14ac:dyDescent="0.25">
      <c r="A481" t="s">
        <v>14</v>
      </c>
      <c r="B481" t="str">
        <f>_xll.BDP("912828A7 Govt","TICKER")</f>
        <v>T</v>
      </c>
      <c r="C481">
        <f>_xll.BDP("912828A7 Govt","CPN")</f>
        <v>1.5</v>
      </c>
      <c r="D481" t="str">
        <f>_xll.BDP("912828A7 Govt","YLD_YTM_BID")</f>
        <v>#N/A N/A</v>
      </c>
      <c r="E481" t="str">
        <f>_xll.BDP("912828A7 Govt","MATURITY")</f>
        <v>12/31/2018</v>
      </c>
      <c r="F481" t="str">
        <f>_xll.BDP("912828A7 Govt","MTY_TYP")</f>
        <v>NORMAL</v>
      </c>
      <c r="G481" t="str">
        <f>_xll.BDP("912828A7 Govt","CRNCY")</f>
        <v>USD</v>
      </c>
      <c r="H481" t="str">
        <f>_xll.BDP("912828A7 Govt","COUNTRY_FULL_NAME")</f>
        <v>UNITED STATES</v>
      </c>
      <c r="I481" t="str">
        <f>_xll.BDP("912828A7 Govt","FIRST_CPN_DT")</f>
        <v>6/30/2014</v>
      </c>
      <c r="J481" t="str">
        <f>_xll.BDP("912828A7 Govt","COUPON_FREQUENCY_DESCRIPTION")</f>
        <v>S/A</v>
      </c>
      <c r="K481" t="str">
        <f>_xll.BDP("912828A7 Govt","CPN_TYP")</f>
        <v>FIXED</v>
      </c>
      <c r="L481" t="str">
        <f>_xll.BDP("912828A7 Govt","ID_ISIN")</f>
        <v>US912828A750</v>
      </c>
      <c r="M481">
        <v>35000000000</v>
      </c>
      <c r="N481">
        <v>0</v>
      </c>
      <c r="O481" t="str">
        <f>_xll.BDP("912828A7 Govt","ISSUE_DT")</f>
        <v>12/31/2013</v>
      </c>
      <c r="P481" t="str">
        <f>_xll.BDP("912828A7 Govt","SECURITY_NAME")</f>
        <v>T 1 1/2 12/31/18</v>
      </c>
      <c r="Q481" t="str">
        <f>_xll.BDP("912828A7 Govt","DAY_CNT_DES")</f>
        <v>ACT/ACT</v>
      </c>
      <c r="R481">
        <v>100</v>
      </c>
      <c r="S481" t="str">
        <f>_xll.BDP("912828A7 Govt","ID_CUSIP")</f>
        <v>912828A75</v>
      </c>
      <c r="T481" t="str">
        <f>_xll.BDP("912828A7 Govt","IDX_RATIO")</f>
        <v>#N/A Field Not Applicable</v>
      </c>
    </row>
    <row r="482" spans="1:20" x14ac:dyDescent="0.25">
      <c r="A482" t="s">
        <v>14</v>
      </c>
      <c r="B482" t="str">
        <f>_xll.BDP("912828BB Govt","TICKER")</f>
        <v>T</v>
      </c>
      <c r="C482">
        <f>_xll.BDP("912828BB Govt","CPN")</f>
        <v>1.25</v>
      </c>
      <c r="D482" t="str">
        <f>_xll.BDP("912828BB Govt","YLD_YTM_BID")</f>
        <v>#N/A N/A</v>
      </c>
      <c r="E482" t="str">
        <f>_xll.BDP("912828BB Govt","MATURITY")</f>
        <v>5/31/2005</v>
      </c>
      <c r="F482" t="str">
        <f>_xll.BDP("912828BB Govt","MTY_TYP")</f>
        <v>NORMAL</v>
      </c>
      <c r="G482" t="str">
        <f>_xll.BDP("912828BB Govt","CRNCY")</f>
        <v>USD</v>
      </c>
      <c r="H482" t="str">
        <f>_xll.BDP("912828BB Govt","COUNTRY_FULL_NAME")</f>
        <v>UNITED STATES</v>
      </c>
      <c r="I482" t="str">
        <f>_xll.BDP("912828BB Govt","FIRST_CPN_DT")</f>
        <v>11/30/2003</v>
      </c>
      <c r="J482" t="str">
        <f>_xll.BDP("912828BB Govt","COUPON_FREQUENCY_DESCRIPTION")</f>
        <v>S/A</v>
      </c>
      <c r="K482" t="str">
        <f>_xll.BDP("912828BB Govt","CPN_TYP")</f>
        <v>FIXED</v>
      </c>
      <c r="L482" t="str">
        <f>_xll.BDP("912828BB Govt","ID_ISIN")</f>
        <v>US912828BB51</v>
      </c>
      <c r="M482">
        <v>31021000000</v>
      </c>
      <c r="N482">
        <v>0</v>
      </c>
      <c r="O482" t="str">
        <f>_xll.BDP("912828BB Govt","ISSUE_DT")</f>
        <v>6/2/2003</v>
      </c>
      <c r="P482" t="str">
        <f>_xll.BDP("912828BB Govt","SECURITY_NAME")</f>
        <v>T 1 1/4 05/31/05</v>
      </c>
      <c r="Q482" t="str">
        <f>_xll.BDP("912828BB Govt","DAY_CNT_DES")</f>
        <v>ACT/ACT</v>
      </c>
      <c r="R482">
        <v>100</v>
      </c>
      <c r="S482" t="str">
        <f>_xll.BDP("912828BB Govt","ID_CUSIP")</f>
        <v>912828BB5</v>
      </c>
      <c r="T482" t="str">
        <f>_xll.BDP("912828BB Govt","IDX_RATIO")</f>
        <v>#N/A Field Not Applicable</v>
      </c>
    </row>
    <row r="483" spans="1:20" x14ac:dyDescent="0.25">
      <c r="A483" t="s">
        <v>14</v>
      </c>
      <c r="B483" t="str">
        <f>_xll.BDP("912828MQ Govt","TICKER")</f>
        <v>T</v>
      </c>
      <c r="C483">
        <f>_xll.BDP("912828MQ Govt","CPN")</f>
        <v>0.875</v>
      </c>
      <c r="D483" t="str">
        <f>_xll.BDP("912828MQ Govt","YLD_YTM_BID")</f>
        <v>#N/A N/A</v>
      </c>
      <c r="E483" t="str">
        <f>_xll.BDP("912828MQ Govt","MATURITY")</f>
        <v>2/29/2012</v>
      </c>
      <c r="F483" t="str">
        <f>_xll.BDP("912828MQ Govt","MTY_TYP")</f>
        <v>NORMAL</v>
      </c>
      <c r="G483" t="str">
        <f>_xll.BDP("912828MQ Govt","CRNCY")</f>
        <v>USD</v>
      </c>
      <c r="H483" t="str">
        <f>_xll.BDP("912828MQ Govt","COUNTRY_FULL_NAME")</f>
        <v>UNITED STATES</v>
      </c>
      <c r="I483" t="str">
        <f>_xll.BDP("912828MQ Govt","FIRST_CPN_DT")</f>
        <v>8/31/2010</v>
      </c>
      <c r="J483" t="str">
        <f>_xll.BDP("912828MQ Govt","COUPON_FREQUENCY_DESCRIPTION")</f>
        <v>S/A</v>
      </c>
      <c r="K483" t="str">
        <f>_xll.BDP("912828MQ Govt","CPN_TYP")</f>
        <v>FIXED</v>
      </c>
      <c r="L483" t="str">
        <f>_xll.BDP("912828MQ Govt","ID_ISIN")</f>
        <v>US912828MQ02</v>
      </c>
      <c r="M483">
        <v>45082000000</v>
      </c>
      <c r="N483">
        <v>0</v>
      </c>
      <c r="O483" t="str">
        <f>_xll.BDP("912828MQ Govt","ISSUE_DT")</f>
        <v>3/1/2010</v>
      </c>
      <c r="P483" t="str">
        <f>_xll.BDP("912828MQ Govt","SECURITY_NAME")</f>
        <v>T 0 7/8 02/29/12</v>
      </c>
      <c r="Q483" t="str">
        <f>_xll.BDP("912828MQ Govt","DAY_CNT_DES")</f>
        <v>ACT/ACT</v>
      </c>
      <c r="R483">
        <v>100</v>
      </c>
      <c r="S483" t="str">
        <f>_xll.BDP("912828MQ Govt","ID_CUSIP")</f>
        <v>912828MQ0</v>
      </c>
      <c r="T483" t="str">
        <f>_xll.BDP("912828MQ Govt","IDX_RATIO")</f>
        <v>#N/A Field Not Applicable</v>
      </c>
    </row>
    <row r="484" spans="1:20" x14ac:dyDescent="0.25">
      <c r="A484" t="s">
        <v>14</v>
      </c>
      <c r="B484" t="str">
        <f>_xll.BDP("912828U7 Govt","TICKER")</f>
        <v>T</v>
      </c>
      <c r="C484">
        <f>_xll.BDP("912828U7 Govt","CPN")</f>
        <v>1.375</v>
      </c>
      <c r="D484" t="str">
        <f>_xll.BDP("912828U7 Govt","YLD_YTM_BID")</f>
        <v>#N/A N/A</v>
      </c>
      <c r="E484" t="str">
        <f>_xll.BDP("912828U7 Govt","MATURITY")</f>
        <v>12/15/2019</v>
      </c>
      <c r="F484" t="str">
        <f>_xll.BDP("912828U7 Govt","MTY_TYP")</f>
        <v>NORMAL</v>
      </c>
      <c r="G484" t="str">
        <f>_xll.BDP("912828U7 Govt","CRNCY")</f>
        <v>USD</v>
      </c>
      <c r="H484" t="str">
        <f>_xll.BDP("912828U7 Govt","COUNTRY_FULL_NAME")</f>
        <v>UNITED STATES</v>
      </c>
      <c r="I484" t="str">
        <f>_xll.BDP("912828U7 Govt","FIRST_CPN_DT")</f>
        <v>6/15/2017</v>
      </c>
      <c r="J484" t="str">
        <f>_xll.BDP("912828U7 Govt","COUPON_FREQUENCY_DESCRIPTION")</f>
        <v>S/A</v>
      </c>
      <c r="K484" t="str">
        <f>_xll.BDP("912828U7 Govt","CPN_TYP")</f>
        <v>FIXED</v>
      </c>
      <c r="L484" t="str">
        <f>_xll.BDP("912828U7 Govt","ID_ISIN")</f>
        <v>US912828U733</v>
      </c>
      <c r="M484">
        <v>24000000000</v>
      </c>
      <c r="N484">
        <v>0</v>
      </c>
      <c r="O484" t="str">
        <f>_xll.BDP("912828U7 Govt","ISSUE_DT")</f>
        <v>12/15/2016</v>
      </c>
      <c r="P484" t="str">
        <f>_xll.BDP("912828U7 Govt","SECURITY_NAME")</f>
        <v>T 1 3/8 12/15/19</v>
      </c>
      <c r="Q484" t="str">
        <f>_xll.BDP("912828U7 Govt","DAY_CNT_DES")</f>
        <v>ACT/ACT</v>
      </c>
      <c r="R484">
        <v>100</v>
      </c>
      <c r="S484" t="str">
        <f>_xll.BDP("912828U7 Govt","ID_CUSIP")</f>
        <v>912828U73</v>
      </c>
      <c r="T484" t="str">
        <f>_xll.BDP("912828U7 Govt","IDX_RATIO")</f>
        <v>#N/A Field Not Applicable</v>
      </c>
    </row>
    <row r="485" spans="1:20" x14ac:dyDescent="0.25">
      <c r="A485" t="s">
        <v>14</v>
      </c>
      <c r="B485" t="str">
        <f>_xll.BDP("912828LJ Govt","TICKER")</f>
        <v>T</v>
      </c>
      <c r="C485">
        <f>_xll.BDP("912828LJ Govt","CPN")</f>
        <v>3.625</v>
      </c>
      <c r="D485" t="str">
        <f>_xll.BDP("912828LJ Govt","YLD_YTM_BID")</f>
        <v>#N/A N/A</v>
      </c>
      <c r="E485" t="str">
        <f>_xll.BDP("912828LJ Govt","MATURITY")</f>
        <v>8/15/2019</v>
      </c>
      <c r="F485" t="str">
        <f>_xll.BDP("912828LJ Govt","MTY_TYP")</f>
        <v>NORMAL</v>
      </c>
      <c r="G485" t="str">
        <f>_xll.BDP("912828LJ Govt","CRNCY")</f>
        <v>USD</v>
      </c>
      <c r="H485" t="str">
        <f>_xll.BDP("912828LJ Govt","COUNTRY_FULL_NAME")</f>
        <v>UNITED STATES</v>
      </c>
      <c r="I485" t="str">
        <f>_xll.BDP("912828LJ Govt","FIRST_CPN_DT")</f>
        <v>2/15/2010</v>
      </c>
      <c r="J485" t="str">
        <f>_xll.BDP("912828LJ Govt","COUPON_FREQUENCY_DESCRIPTION")</f>
        <v>S/A</v>
      </c>
      <c r="K485" t="str">
        <f>_xll.BDP("912828LJ Govt","CPN_TYP")</f>
        <v>FIXED</v>
      </c>
      <c r="L485" t="str">
        <f>_xll.BDP("912828LJ Govt","ID_ISIN")</f>
        <v>US912828LJ77</v>
      </c>
      <c r="M485">
        <v>66753000000</v>
      </c>
      <c r="N485">
        <v>0</v>
      </c>
      <c r="O485" t="str">
        <f>_xll.BDP("912828LJ Govt","ISSUE_DT")</f>
        <v>8/17/2009</v>
      </c>
      <c r="P485" t="str">
        <f>_xll.BDP("912828LJ Govt","SECURITY_NAME")</f>
        <v>T 3 5/8 08/15/19</v>
      </c>
      <c r="Q485" t="str">
        <f>_xll.BDP("912828LJ Govt","DAY_CNT_DES")</f>
        <v>ACT/ACT</v>
      </c>
      <c r="R485">
        <v>100</v>
      </c>
      <c r="S485" t="str">
        <f>_xll.BDP("912828LJ Govt","ID_CUSIP")</f>
        <v>912828LJ7</v>
      </c>
      <c r="T485" t="str">
        <f>_xll.BDP("912828LJ Govt","IDX_RATIO")</f>
        <v>#N/A Field Not Applicable</v>
      </c>
    </row>
    <row r="486" spans="1:20" x14ac:dyDescent="0.25">
      <c r="A486" t="s">
        <v>14</v>
      </c>
      <c r="B486" t="str">
        <f>_xll.BDP("912828LQ Govt","TICKER")</f>
        <v>T</v>
      </c>
      <c r="C486">
        <f>_xll.BDP("912828LQ Govt","CPN")</f>
        <v>2.375</v>
      </c>
      <c r="D486" t="str">
        <f>_xll.BDP("912828LQ Govt","YLD_YTM_BID")</f>
        <v>#N/A N/A</v>
      </c>
      <c r="E486" t="str">
        <f>_xll.BDP("912828LQ Govt","MATURITY")</f>
        <v>9/30/2014</v>
      </c>
      <c r="F486" t="str">
        <f>_xll.BDP("912828LQ Govt","MTY_TYP")</f>
        <v>NORMAL</v>
      </c>
      <c r="G486" t="str">
        <f>_xll.BDP("912828LQ Govt","CRNCY")</f>
        <v>USD</v>
      </c>
      <c r="H486" t="str">
        <f>_xll.BDP("912828LQ Govt","COUNTRY_FULL_NAME")</f>
        <v>UNITED STATES</v>
      </c>
      <c r="I486" t="str">
        <f>_xll.BDP("912828LQ Govt","FIRST_CPN_DT")</f>
        <v>3/31/2010</v>
      </c>
      <c r="J486" t="str">
        <f>_xll.BDP("912828LQ Govt","COUPON_FREQUENCY_DESCRIPTION")</f>
        <v>S/A</v>
      </c>
      <c r="K486" t="str">
        <f>_xll.BDP("912828LQ Govt","CPN_TYP")</f>
        <v>FIXED</v>
      </c>
      <c r="L486" t="str">
        <f>_xll.BDP("912828LQ Govt","ID_ISIN")</f>
        <v>US912828LQ11</v>
      </c>
      <c r="M486">
        <v>40709000000</v>
      </c>
      <c r="N486">
        <v>0</v>
      </c>
      <c r="O486" t="str">
        <f>_xll.BDP("912828LQ Govt","ISSUE_DT")</f>
        <v>9/30/2009</v>
      </c>
      <c r="P486" t="str">
        <f>_xll.BDP("912828LQ Govt","SECURITY_NAME")</f>
        <v>T 2 3/8 09/30/14</v>
      </c>
      <c r="Q486" t="str">
        <f>_xll.BDP("912828LQ Govt","DAY_CNT_DES")</f>
        <v>ACT/ACT</v>
      </c>
      <c r="R486">
        <v>100</v>
      </c>
      <c r="S486" t="str">
        <f>_xll.BDP("912828LQ Govt","ID_CUSIP")</f>
        <v>912828LQ1</v>
      </c>
      <c r="T486" t="str">
        <f>_xll.BDP("912828LQ Govt","IDX_RATIO")</f>
        <v>#N/A Field Not Applicable</v>
      </c>
    </row>
    <row r="487" spans="1:20" x14ac:dyDescent="0.25">
      <c r="A487" t="s">
        <v>14</v>
      </c>
      <c r="B487" t="str">
        <f>_xll.BDP("912828S4 Govt","TICKER")</f>
        <v>T</v>
      </c>
      <c r="C487">
        <f>_xll.BDP("912828S4 Govt","CPN")</f>
        <v>0.75</v>
      </c>
      <c r="D487" t="str">
        <f>_xll.BDP("912828S4 Govt","YLD_YTM_BID")</f>
        <v>#N/A N/A</v>
      </c>
      <c r="E487" t="str">
        <f>_xll.BDP("912828S4 Govt","MATURITY")</f>
        <v>7/15/2019</v>
      </c>
      <c r="F487" t="str">
        <f>_xll.BDP("912828S4 Govt","MTY_TYP")</f>
        <v>NORMAL</v>
      </c>
      <c r="G487" t="str">
        <f>_xll.BDP("912828S4 Govt","CRNCY")</f>
        <v>USD</v>
      </c>
      <c r="H487" t="str">
        <f>_xll.BDP("912828S4 Govt","COUNTRY_FULL_NAME")</f>
        <v>UNITED STATES</v>
      </c>
      <c r="I487" t="str">
        <f>_xll.BDP("912828S4 Govt","FIRST_CPN_DT")</f>
        <v>1/15/2017</v>
      </c>
      <c r="J487" t="str">
        <f>_xll.BDP("912828S4 Govt","COUPON_FREQUENCY_DESCRIPTION")</f>
        <v>S/A</v>
      </c>
      <c r="K487" t="str">
        <f>_xll.BDP("912828S4 Govt","CPN_TYP")</f>
        <v>FIXED</v>
      </c>
      <c r="L487" t="str">
        <f>_xll.BDP("912828S4 Govt","ID_ISIN")</f>
        <v>US912828S430</v>
      </c>
      <c r="M487">
        <v>25563000000</v>
      </c>
      <c r="N487">
        <v>0</v>
      </c>
      <c r="O487" t="str">
        <f>_xll.BDP("912828S4 Govt","ISSUE_DT")</f>
        <v>7/15/2016</v>
      </c>
      <c r="P487" t="str">
        <f>_xll.BDP("912828S4 Govt","SECURITY_NAME")</f>
        <v>T 0 3/4 07/15/19</v>
      </c>
      <c r="Q487" t="str">
        <f>_xll.BDP("912828S4 Govt","DAY_CNT_DES")</f>
        <v>ACT/ACT</v>
      </c>
      <c r="R487">
        <v>100</v>
      </c>
      <c r="S487" t="str">
        <f>_xll.BDP("912828S4 Govt","ID_CUSIP")</f>
        <v>912828S43</v>
      </c>
      <c r="T487" t="str">
        <f>_xll.BDP("912828S4 Govt","IDX_RATIO")</f>
        <v>#N/A Field Not Applicable</v>
      </c>
    </row>
    <row r="488" spans="1:20" x14ac:dyDescent="0.25">
      <c r="A488" t="s">
        <v>14</v>
      </c>
      <c r="B488" t="str">
        <f>_xll.BDP("912828WP Govt","TICKER")</f>
        <v>T</v>
      </c>
      <c r="C488">
        <f>_xll.BDP("912828WP Govt","CPN")</f>
        <v>0.875</v>
      </c>
      <c r="D488" t="str">
        <f>_xll.BDP("912828WP Govt","YLD_YTM_BID")</f>
        <v>#N/A N/A</v>
      </c>
      <c r="E488" t="str">
        <f>_xll.BDP("912828WP Govt","MATURITY")</f>
        <v>6/15/2017</v>
      </c>
      <c r="F488" t="str">
        <f>_xll.BDP("912828WP Govt","MTY_TYP")</f>
        <v>NORMAL</v>
      </c>
      <c r="G488" t="str">
        <f>_xll.BDP("912828WP Govt","CRNCY")</f>
        <v>USD</v>
      </c>
      <c r="H488" t="str">
        <f>_xll.BDP("912828WP Govt","COUNTRY_FULL_NAME")</f>
        <v>UNITED STATES</v>
      </c>
      <c r="I488" t="str">
        <f>_xll.BDP("912828WP Govt","FIRST_CPN_DT")</f>
        <v>12/15/2014</v>
      </c>
      <c r="J488" t="str">
        <f>_xll.BDP("912828WP Govt","COUPON_FREQUENCY_DESCRIPTION")</f>
        <v>S/A</v>
      </c>
      <c r="K488" t="str">
        <f>_xll.BDP("912828WP Govt","CPN_TYP")</f>
        <v>FIXED</v>
      </c>
      <c r="L488" t="str">
        <f>_xll.BDP("912828WP Govt","ID_ISIN")</f>
        <v>US912828WP19</v>
      </c>
      <c r="M488">
        <v>28000000000</v>
      </c>
      <c r="N488">
        <v>0</v>
      </c>
      <c r="O488" t="str">
        <f>_xll.BDP("912828WP Govt","ISSUE_DT")</f>
        <v>6/16/2014</v>
      </c>
      <c r="P488" t="str">
        <f>_xll.BDP("912828WP Govt","SECURITY_NAME")</f>
        <v>T 0 7/8 06/15/17</v>
      </c>
      <c r="Q488" t="str">
        <f>_xll.BDP("912828WP Govt","DAY_CNT_DES")</f>
        <v>ACT/ACT</v>
      </c>
      <c r="R488">
        <v>100</v>
      </c>
      <c r="S488" t="str">
        <f>_xll.BDP("912828WP Govt","ID_CUSIP")</f>
        <v>912828WP1</v>
      </c>
      <c r="T488" t="str">
        <f>_xll.BDP("912828WP Govt","IDX_RATIO")</f>
        <v>#N/A Field Not Applicable</v>
      </c>
    </row>
    <row r="489" spans="1:20" x14ac:dyDescent="0.25">
      <c r="A489" t="s">
        <v>14</v>
      </c>
      <c r="B489" t="str">
        <f>_xll.BDP("912828SJ Govt","TICKER")</f>
        <v>T</v>
      </c>
      <c r="C489">
        <f>_xll.BDP("912828SJ Govt","CPN")</f>
        <v>0.875</v>
      </c>
      <c r="D489" t="str">
        <f>_xll.BDP("912828SJ Govt","YLD_YTM_BID")</f>
        <v>#N/A N/A</v>
      </c>
      <c r="E489" t="str">
        <f>_xll.BDP("912828SJ Govt","MATURITY")</f>
        <v>2/28/2017</v>
      </c>
      <c r="F489" t="str">
        <f>_xll.BDP("912828SJ Govt","MTY_TYP")</f>
        <v>NORMAL</v>
      </c>
      <c r="G489" t="str">
        <f>_xll.BDP("912828SJ Govt","CRNCY")</f>
        <v>USD</v>
      </c>
      <c r="H489" t="str">
        <f>_xll.BDP("912828SJ Govt","COUNTRY_FULL_NAME")</f>
        <v>UNITED STATES</v>
      </c>
      <c r="I489" t="str">
        <f>_xll.BDP("912828SJ Govt","FIRST_CPN_DT")</f>
        <v>8/31/2012</v>
      </c>
      <c r="J489" t="str">
        <f>_xll.BDP("912828SJ Govt","COUPON_FREQUENCY_DESCRIPTION")</f>
        <v>S/A</v>
      </c>
      <c r="K489" t="str">
        <f>_xll.BDP("912828SJ Govt","CPN_TYP")</f>
        <v>FIXED</v>
      </c>
      <c r="L489" t="str">
        <f>_xll.BDP("912828SJ Govt","ID_ISIN")</f>
        <v>US912828SJ05</v>
      </c>
      <c r="M489">
        <v>35497000000</v>
      </c>
      <c r="N489">
        <v>0</v>
      </c>
      <c r="O489" t="str">
        <f>_xll.BDP("912828SJ Govt","ISSUE_DT")</f>
        <v>2/29/2012</v>
      </c>
      <c r="P489" t="str">
        <f>_xll.BDP("912828SJ Govt","SECURITY_NAME")</f>
        <v>T 0 7/8 02/28/17</v>
      </c>
      <c r="Q489" t="str">
        <f>_xll.BDP("912828SJ Govt","DAY_CNT_DES")</f>
        <v>ACT/ACT</v>
      </c>
      <c r="R489">
        <v>100</v>
      </c>
      <c r="S489" t="str">
        <f>_xll.BDP("912828SJ Govt","ID_CUSIP")</f>
        <v>912828SJ0</v>
      </c>
      <c r="T489" t="str">
        <f>_xll.BDP("912828SJ Govt","IDX_RATIO")</f>
        <v>#N/A Field Not Applicable</v>
      </c>
    </row>
    <row r="490" spans="1:20" x14ac:dyDescent="0.25">
      <c r="A490" t="s">
        <v>14</v>
      </c>
      <c r="B490" t="str">
        <f>_xll.BDP("912828TS Govt","TICKER")</f>
        <v>T</v>
      </c>
      <c r="C490">
        <f>_xll.BDP("912828TS Govt","CPN")</f>
        <v>0.625</v>
      </c>
      <c r="D490" t="str">
        <f>_xll.BDP("912828TS Govt","YLD_YTM_BID")</f>
        <v>#N/A N/A</v>
      </c>
      <c r="E490" t="str">
        <f>_xll.BDP("912828TS Govt","MATURITY")</f>
        <v>9/30/2017</v>
      </c>
      <c r="F490" t="str">
        <f>_xll.BDP("912828TS Govt","MTY_TYP")</f>
        <v>NORMAL</v>
      </c>
      <c r="G490" t="str">
        <f>_xll.BDP("912828TS Govt","CRNCY")</f>
        <v>USD</v>
      </c>
      <c r="H490" t="str">
        <f>_xll.BDP("912828TS Govt","COUNTRY_FULL_NAME")</f>
        <v>UNITED STATES</v>
      </c>
      <c r="I490" t="str">
        <f>_xll.BDP("912828TS Govt","FIRST_CPN_DT")</f>
        <v>3/31/2013</v>
      </c>
      <c r="J490" t="str">
        <f>_xll.BDP("912828TS Govt","COUPON_FREQUENCY_DESCRIPTION")</f>
        <v>S/A</v>
      </c>
      <c r="K490" t="str">
        <f>_xll.BDP("912828TS Govt","CPN_TYP")</f>
        <v>FIXED</v>
      </c>
      <c r="L490" t="str">
        <f>_xll.BDP("912828TS Govt","ID_ISIN")</f>
        <v>US912828TS94</v>
      </c>
      <c r="M490">
        <v>61000000000</v>
      </c>
      <c r="N490">
        <v>0</v>
      </c>
      <c r="O490" t="str">
        <f>_xll.BDP("912828TS Govt","ISSUE_DT")</f>
        <v>10/1/2012</v>
      </c>
      <c r="P490" t="str">
        <f>_xll.BDP("912828TS Govt","SECURITY_NAME")</f>
        <v>T 0 5/8 09/30/17</v>
      </c>
      <c r="Q490" t="str">
        <f>_xll.BDP("912828TS Govt","DAY_CNT_DES")</f>
        <v>ACT/ACT</v>
      </c>
      <c r="R490">
        <v>100</v>
      </c>
      <c r="S490" t="str">
        <f>_xll.BDP("912828TS Govt","ID_CUSIP")</f>
        <v>912828TS9</v>
      </c>
      <c r="T490" t="str">
        <f>_xll.BDP("912828TS Govt","IDX_RATIO")</f>
        <v>#N/A Field Not Applicable</v>
      </c>
    </row>
    <row r="491" spans="1:20" x14ac:dyDescent="0.25">
      <c r="A491" t="s">
        <v>14</v>
      </c>
      <c r="B491" t="str">
        <f>_xll.BDP("912828U3 Govt","TICKER")</f>
        <v>T</v>
      </c>
      <c r="C491">
        <f>_xll.BDP("912828U3 Govt","CPN")</f>
        <v>1</v>
      </c>
      <c r="D491" t="str">
        <f>_xll.BDP("912828U3 Govt","YLD_YTM_BID")</f>
        <v>#N/A N/A</v>
      </c>
      <c r="E491" t="str">
        <f>_xll.BDP("912828U3 Govt","MATURITY")</f>
        <v>11/15/2019</v>
      </c>
      <c r="F491" t="str">
        <f>_xll.BDP("912828U3 Govt","MTY_TYP")</f>
        <v>NORMAL</v>
      </c>
      <c r="G491" t="str">
        <f>_xll.BDP("912828U3 Govt","CRNCY")</f>
        <v>USD</v>
      </c>
      <c r="H491" t="str">
        <f>_xll.BDP("912828U3 Govt","COUNTRY_FULL_NAME")</f>
        <v>UNITED STATES</v>
      </c>
      <c r="I491" t="str">
        <f>_xll.BDP("912828U3 Govt","FIRST_CPN_DT")</f>
        <v>5/15/2017</v>
      </c>
      <c r="J491" t="str">
        <f>_xll.BDP("912828U3 Govt","COUPON_FREQUENCY_DESCRIPTION")</f>
        <v>S/A</v>
      </c>
      <c r="K491" t="str">
        <f>_xll.BDP("912828U3 Govt","CPN_TYP")</f>
        <v>FIXED</v>
      </c>
      <c r="L491" t="str">
        <f>_xll.BDP("912828U3 Govt","ID_ISIN")</f>
        <v>US912828U329</v>
      </c>
      <c r="M491">
        <v>29257000000</v>
      </c>
      <c r="N491">
        <v>0</v>
      </c>
      <c r="O491" t="str">
        <f>_xll.BDP("912828U3 Govt","ISSUE_DT")</f>
        <v>11/15/2016</v>
      </c>
      <c r="P491" t="str">
        <f>_xll.BDP("912828U3 Govt","SECURITY_NAME")</f>
        <v>T 1 11/15/19</v>
      </c>
      <c r="Q491" t="str">
        <f>_xll.BDP("912828U3 Govt","DAY_CNT_DES")</f>
        <v>ACT/ACT</v>
      </c>
      <c r="R491">
        <v>100</v>
      </c>
      <c r="S491" t="str">
        <f>_xll.BDP("912828U3 Govt","ID_CUSIP")</f>
        <v>912828U32</v>
      </c>
      <c r="T491" t="str">
        <f>_xll.BDP("912828U3 Govt","IDX_RATIO")</f>
        <v>#N/A Field Not Applicable</v>
      </c>
    </row>
    <row r="492" spans="1:20" x14ac:dyDescent="0.25">
      <c r="A492" t="s">
        <v>14</v>
      </c>
      <c r="B492" t="str">
        <f>_xll.BDP("912828C4 Govt","TICKER")</f>
        <v>T</v>
      </c>
      <c r="C492">
        <f>_xll.BDP("912828C4 Govt","CPN")</f>
        <v>0.375</v>
      </c>
      <c r="D492" t="str">
        <f>_xll.BDP("912828C4 Govt","YLD_YTM_BID")</f>
        <v>#N/A N/A</v>
      </c>
      <c r="E492" t="str">
        <f>_xll.BDP("912828C4 Govt","MATURITY")</f>
        <v>3/31/2016</v>
      </c>
      <c r="F492" t="str">
        <f>_xll.BDP("912828C4 Govt","MTY_TYP")</f>
        <v>NORMAL</v>
      </c>
      <c r="G492" t="str">
        <f>_xll.BDP("912828C4 Govt","CRNCY")</f>
        <v>USD</v>
      </c>
      <c r="H492" t="str">
        <f>_xll.BDP("912828C4 Govt","COUNTRY_FULL_NAME")</f>
        <v>UNITED STATES</v>
      </c>
      <c r="I492" t="str">
        <f>_xll.BDP("912828C4 Govt","FIRST_CPN_DT")</f>
        <v>9/30/2014</v>
      </c>
      <c r="J492" t="str">
        <f>_xll.BDP("912828C4 Govt","COUPON_FREQUENCY_DESCRIPTION")</f>
        <v>S/A</v>
      </c>
      <c r="K492" t="str">
        <f>_xll.BDP("912828C4 Govt","CPN_TYP")</f>
        <v>FIXED</v>
      </c>
      <c r="L492" t="str">
        <f>_xll.BDP("912828C4 Govt","ID_ISIN")</f>
        <v>US912828C400</v>
      </c>
      <c r="M492">
        <v>31998000000</v>
      </c>
      <c r="N492">
        <v>0</v>
      </c>
      <c r="O492" t="str">
        <f>_xll.BDP("912828C4 Govt","ISSUE_DT")</f>
        <v>3/31/2014</v>
      </c>
      <c r="P492" t="str">
        <f>_xll.BDP("912828C4 Govt","SECURITY_NAME")</f>
        <v>T 0 3/8 03/31/16</v>
      </c>
      <c r="Q492" t="str">
        <f>_xll.BDP("912828C4 Govt","DAY_CNT_DES")</f>
        <v>ACT/ACT</v>
      </c>
      <c r="R492">
        <v>100</v>
      </c>
      <c r="S492" t="str">
        <f>_xll.BDP("912828C4 Govt","ID_CUSIP")</f>
        <v>912828C40</v>
      </c>
      <c r="T492" t="str">
        <f>_xll.BDP("912828C4 Govt","IDX_RATIO")</f>
        <v>#N/A Field Not Applicable</v>
      </c>
    </row>
    <row r="493" spans="1:20" x14ac:dyDescent="0.25">
      <c r="A493" t="s">
        <v>14</v>
      </c>
      <c r="B493" t="str">
        <f>_xll.BDP("912828CM Govt","TICKER")</f>
        <v>T</v>
      </c>
      <c r="C493">
        <f>_xll.BDP("912828CM Govt","CPN")</f>
        <v>2.75</v>
      </c>
      <c r="D493" t="str">
        <f>_xll.BDP("912828CM Govt","YLD_YTM_BID")</f>
        <v>#N/A N/A</v>
      </c>
      <c r="E493" t="str">
        <f>_xll.BDP("912828CM Govt","MATURITY")</f>
        <v>6/30/2006</v>
      </c>
      <c r="F493" t="str">
        <f>_xll.BDP("912828CM Govt","MTY_TYP")</f>
        <v>NORMAL</v>
      </c>
      <c r="G493" t="str">
        <f>_xll.BDP("912828CM Govt","CRNCY")</f>
        <v>USD</v>
      </c>
      <c r="H493" t="str">
        <f>_xll.BDP("912828CM Govt","COUNTRY_FULL_NAME")</f>
        <v>UNITED STATES</v>
      </c>
      <c r="I493" t="str">
        <f>_xll.BDP("912828CM Govt","FIRST_CPN_DT")</f>
        <v>12/31/2004</v>
      </c>
      <c r="J493" t="str">
        <f>_xll.BDP("912828CM Govt","COUPON_FREQUENCY_DESCRIPTION")</f>
        <v>S/A</v>
      </c>
      <c r="K493" t="str">
        <f>_xll.BDP("912828CM Govt","CPN_TYP")</f>
        <v>FIXED</v>
      </c>
      <c r="L493" t="str">
        <f>_xll.BDP("912828CM Govt","ID_ISIN")</f>
        <v>US912828CM08</v>
      </c>
      <c r="M493">
        <v>32588000000</v>
      </c>
      <c r="N493">
        <v>0</v>
      </c>
      <c r="O493" t="str">
        <f>_xll.BDP("912828CM Govt","ISSUE_DT")</f>
        <v>6/30/2004</v>
      </c>
      <c r="P493" t="str">
        <f>_xll.BDP("912828CM Govt","SECURITY_NAME")</f>
        <v>T 2 3/4 06/30/06</v>
      </c>
      <c r="Q493" t="str">
        <f>_xll.BDP("912828CM Govt","DAY_CNT_DES")</f>
        <v>ACT/ACT</v>
      </c>
      <c r="R493">
        <v>100</v>
      </c>
      <c r="S493" t="str">
        <f>_xll.BDP("912828CM Govt","ID_CUSIP")</f>
        <v>912828CM0</v>
      </c>
      <c r="T493" t="str">
        <f>_xll.BDP("912828CM Govt","IDX_RATIO")</f>
        <v>#N/A Field Not Applicable</v>
      </c>
    </row>
    <row r="494" spans="1:20" x14ac:dyDescent="0.25">
      <c r="A494" t="s">
        <v>14</v>
      </c>
      <c r="B494" t="str">
        <f>_xll.BDP("912828MU Govt","TICKER")</f>
        <v>T</v>
      </c>
      <c r="C494">
        <f>_xll.BDP("912828MU Govt","CPN")</f>
        <v>1</v>
      </c>
      <c r="D494" t="str">
        <f>_xll.BDP("912828MU Govt","YLD_YTM_BID")</f>
        <v>#N/A N/A</v>
      </c>
      <c r="E494" t="str">
        <f>_xll.BDP("912828MU Govt","MATURITY")</f>
        <v>3/31/2012</v>
      </c>
      <c r="F494" t="str">
        <f>_xll.BDP("912828MU Govt","MTY_TYP")</f>
        <v>NORMAL</v>
      </c>
      <c r="G494" t="str">
        <f>_xll.BDP("912828MU Govt","CRNCY")</f>
        <v>USD</v>
      </c>
      <c r="H494" t="str">
        <f>_xll.BDP("912828MU Govt","COUNTRY_FULL_NAME")</f>
        <v>UNITED STATES</v>
      </c>
      <c r="I494" t="str">
        <f>_xll.BDP("912828MU Govt","FIRST_CPN_DT")</f>
        <v>9/30/2010</v>
      </c>
      <c r="J494" t="str">
        <f>_xll.BDP("912828MU Govt","COUPON_FREQUENCY_DESCRIPTION")</f>
        <v>S/A</v>
      </c>
      <c r="K494" t="str">
        <f>_xll.BDP("912828MU Govt","CPN_TYP")</f>
        <v>FIXED</v>
      </c>
      <c r="L494" t="str">
        <f>_xll.BDP("912828MU Govt","ID_ISIN")</f>
        <v>US912828MU14</v>
      </c>
      <c r="M494">
        <v>45489000000</v>
      </c>
      <c r="N494">
        <v>0</v>
      </c>
      <c r="O494" t="str">
        <f>_xll.BDP("912828MU Govt","ISSUE_DT")</f>
        <v>3/31/2010</v>
      </c>
      <c r="P494" t="str">
        <f>_xll.BDP("912828MU Govt","SECURITY_NAME")</f>
        <v>T 1 03/31/12</v>
      </c>
      <c r="Q494" t="str">
        <f>_xll.BDP("912828MU Govt","DAY_CNT_DES")</f>
        <v>ACT/ACT</v>
      </c>
      <c r="R494">
        <v>100</v>
      </c>
      <c r="S494" t="str">
        <f>_xll.BDP("912828MU Govt","ID_CUSIP")</f>
        <v>912828MU1</v>
      </c>
      <c r="T494" t="str">
        <f>_xll.BDP("912828MU Govt","IDX_RATIO")</f>
        <v>#N/A Field Not Applicable</v>
      </c>
    </row>
    <row r="495" spans="1:20" x14ac:dyDescent="0.25">
      <c r="A495" t="s">
        <v>14</v>
      </c>
      <c r="B495" t="str">
        <f>_xll.BDP("912828BV Govt","TICKER")</f>
        <v>T</v>
      </c>
      <c r="C495">
        <f>_xll.BDP("912828BV Govt","CPN")</f>
        <v>3.25</v>
      </c>
      <c r="D495" t="str">
        <f>_xll.BDP("912828BV Govt","YLD_YTM_BID")</f>
        <v>#N/A N/A</v>
      </c>
      <c r="E495" t="str">
        <f>_xll.BDP("912828BV Govt","MATURITY")</f>
        <v>1/15/2009</v>
      </c>
      <c r="F495" t="str">
        <f>_xll.BDP("912828BV Govt","MTY_TYP")</f>
        <v>NORMAL</v>
      </c>
      <c r="G495" t="str">
        <f>_xll.BDP("912828BV Govt","CRNCY")</f>
        <v>USD</v>
      </c>
      <c r="H495" t="str">
        <f>_xll.BDP("912828BV Govt","COUNTRY_FULL_NAME")</f>
        <v>UNITED STATES</v>
      </c>
      <c r="I495" t="str">
        <f>_xll.BDP("912828BV Govt","FIRST_CPN_DT")</f>
        <v>7/15/2004</v>
      </c>
      <c r="J495" t="str">
        <f>_xll.BDP("912828BV Govt","COUPON_FREQUENCY_DESCRIPTION")</f>
        <v>S/A</v>
      </c>
      <c r="K495" t="str">
        <f>_xll.BDP("912828BV Govt","CPN_TYP")</f>
        <v>FIXED</v>
      </c>
      <c r="L495" t="str">
        <f>_xll.BDP("912828BV Govt","ID_ISIN")</f>
        <v>US912828BV16</v>
      </c>
      <c r="M495">
        <v>16003000000</v>
      </c>
      <c r="N495">
        <v>0</v>
      </c>
      <c r="O495" t="str">
        <f>_xll.BDP("912828BV Govt","ISSUE_DT")</f>
        <v>1/15/2004</v>
      </c>
      <c r="P495" t="str">
        <f>_xll.BDP("912828BV Govt","SECURITY_NAME")</f>
        <v>T 3 1/4 01/15/09</v>
      </c>
      <c r="Q495" t="str">
        <f>_xll.BDP("912828BV Govt","DAY_CNT_DES")</f>
        <v>ACT/ACT</v>
      </c>
      <c r="R495">
        <v>100</v>
      </c>
      <c r="S495" t="str">
        <f>_xll.BDP("912828BV Govt","ID_CUSIP")</f>
        <v>912828BV1</v>
      </c>
      <c r="T495" t="str">
        <f>_xll.BDP("912828BV Govt","IDX_RATIO")</f>
        <v>#N/A Field Not Applicable</v>
      </c>
    </row>
    <row r="496" spans="1:20" x14ac:dyDescent="0.25">
      <c r="A496" t="s">
        <v>14</v>
      </c>
      <c r="B496" t="str">
        <f>_xll.BDP("912828SG Govt","TICKER")</f>
        <v>T</v>
      </c>
      <c r="C496">
        <f>_xll.BDP("912828SG Govt","CPN")</f>
        <v>0.25</v>
      </c>
      <c r="D496" t="str">
        <f>_xll.BDP("912828SG Govt","YLD_YTM_BID")</f>
        <v>#N/A N/A</v>
      </c>
      <c r="E496" t="str">
        <f>_xll.BDP("912828SG Govt","MATURITY")</f>
        <v>2/28/2014</v>
      </c>
      <c r="F496" t="str">
        <f>_xll.BDP("912828SG Govt","MTY_TYP")</f>
        <v>NORMAL</v>
      </c>
      <c r="G496" t="str">
        <f>_xll.BDP("912828SG Govt","CRNCY")</f>
        <v>USD</v>
      </c>
      <c r="H496" t="str">
        <f>_xll.BDP("912828SG Govt","COUNTRY_FULL_NAME")</f>
        <v>UNITED STATES</v>
      </c>
      <c r="I496" t="str">
        <f>_xll.BDP("912828SG Govt","FIRST_CPN_DT")</f>
        <v>8/31/2012</v>
      </c>
      <c r="J496" t="str">
        <f>_xll.BDP("912828SG Govt","COUPON_FREQUENCY_DESCRIPTION")</f>
        <v>S/A</v>
      </c>
      <c r="K496" t="str">
        <f>_xll.BDP("912828SG Govt","CPN_TYP")</f>
        <v>FIXED</v>
      </c>
      <c r="L496" t="str">
        <f>_xll.BDP("912828SG Govt","ID_ISIN")</f>
        <v>US912828SG65</v>
      </c>
      <c r="M496">
        <v>35497000000</v>
      </c>
      <c r="N496">
        <v>0</v>
      </c>
      <c r="O496" t="str">
        <f>_xll.BDP("912828SG Govt","ISSUE_DT")</f>
        <v>2/29/2012</v>
      </c>
      <c r="P496" t="str">
        <f>_xll.BDP("912828SG Govt","SECURITY_NAME")</f>
        <v>T 0 1/4 02/28/14</v>
      </c>
      <c r="Q496" t="str">
        <f>_xll.BDP("912828SG Govt","DAY_CNT_DES")</f>
        <v>ACT/ACT</v>
      </c>
      <c r="R496">
        <v>100</v>
      </c>
      <c r="S496" t="str">
        <f>_xll.BDP("912828SG Govt","ID_CUSIP")</f>
        <v>912828SG6</v>
      </c>
      <c r="T496" t="str">
        <f>_xll.BDP("912828SG Govt","IDX_RATIO")</f>
        <v>#N/A Field Not Applicable</v>
      </c>
    </row>
    <row r="497" spans="1:20" x14ac:dyDescent="0.25">
      <c r="A497" t="s">
        <v>14</v>
      </c>
      <c r="B497" t="str">
        <f>_xll.BDP("912828ST Govt","TICKER")</f>
        <v>T</v>
      </c>
      <c r="C497">
        <f>_xll.BDP("912828ST Govt","CPN")</f>
        <v>1.25</v>
      </c>
      <c r="D497" t="str">
        <f>_xll.BDP("912828ST Govt","YLD_YTM_BID")</f>
        <v>#N/A N/A</v>
      </c>
      <c r="E497" t="str">
        <f>_xll.BDP("912828ST Govt","MATURITY")</f>
        <v>4/30/2019</v>
      </c>
      <c r="F497" t="str">
        <f>_xll.BDP("912828ST Govt","MTY_TYP")</f>
        <v>NORMAL</v>
      </c>
      <c r="G497" t="str">
        <f>_xll.BDP("912828ST Govt","CRNCY")</f>
        <v>USD</v>
      </c>
      <c r="H497" t="str">
        <f>_xll.BDP("912828ST Govt","COUNTRY_FULL_NAME")</f>
        <v>UNITED STATES</v>
      </c>
      <c r="I497" t="str">
        <f>_xll.BDP("912828ST Govt","FIRST_CPN_DT")</f>
        <v>10/31/2012</v>
      </c>
      <c r="J497" t="str">
        <f>_xll.BDP("912828ST Govt","COUPON_FREQUENCY_DESCRIPTION")</f>
        <v>S/A</v>
      </c>
      <c r="K497" t="str">
        <f>_xll.BDP("912828ST Govt","CPN_TYP")</f>
        <v>FIXED</v>
      </c>
      <c r="L497" t="str">
        <f>_xll.BDP("912828ST Govt","ID_ISIN")</f>
        <v>US912828ST86</v>
      </c>
      <c r="M497">
        <v>59327000000</v>
      </c>
      <c r="N497">
        <v>0</v>
      </c>
      <c r="O497" t="str">
        <f>_xll.BDP("912828ST Govt","ISSUE_DT")</f>
        <v>4/30/2012</v>
      </c>
      <c r="P497" t="str">
        <f>_xll.BDP("912828ST Govt","SECURITY_NAME")</f>
        <v>T 1 1/4 04/30/19</v>
      </c>
      <c r="Q497" t="str">
        <f>_xll.BDP("912828ST Govt","DAY_CNT_DES")</f>
        <v>ACT/ACT</v>
      </c>
      <c r="R497">
        <v>100</v>
      </c>
      <c r="S497" t="str">
        <f>_xll.BDP("912828ST Govt","ID_CUSIP")</f>
        <v>912828ST8</v>
      </c>
      <c r="T497" t="str">
        <f>_xll.BDP("912828ST Govt","IDX_RATIO")</f>
        <v>#N/A Field Not Applicable</v>
      </c>
    </row>
    <row r="498" spans="1:20" x14ac:dyDescent="0.25">
      <c r="A498" t="s">
        <v>14</v>
      </c>
      <c r="B498" t="str">
        <f>_xll.BDP("912828TV Govt","TICKER")</f>
        <v>T</v>
      </c>
      <c r="C498">
        <f>_xll.BDP("912828TV Govt","CPN")</f>
        <v>1.25</v>
      </c>
      <c r="D498" t="str">
        <f>_xll.BDP("912828TV Govt","YLD_YTM_BID")</f>
        <v>#N/A N/A</v>
      </c>
      <c r="E498" t="str">
        <f>_xll.BDP("912828TV Govt","MATURITY")</f>
        <v>10/31/2019</v>
      </c>
      <c r="F498" t="str">
        <f>_xll.BDP("912828TV Govt","MTY_TYP")</f>
        <v>NORMAL</v>
      </c>
      <c r="G498" t="str">
        <f>_xll.BDP("912828TV Govt","CRNCY")</f>
        <v>USD</v>
      </c>
      <c r="H498" t="str">
        <f>_xll.BDP("912828TV Govt","COUNTRY_FULL_NAME")</f>
        <v>UNITED STATES</v>
      </c>
      <c r="I498" t="str">
        <f>_xll.BDP("912828TV Govt","FIRST_CPN_DT")</f>
        <v>4/30/2013</v>
      </c>
      <c r="J498" t="str">
        <f>_xll.BDP("912828TV Govt","COUPON_FREQUENCY_DESCRIPTION")</f>
        <v>S/A</v>
      </c>
      <c r="K498" t="str">
        <f>_xll.BDP("912828TV Govt","CPN_TYP")</f>
        <v>FIXED</v>
      </c>
      <c r="L498" t="str">
        <f>_xll.BDP("912828TV Govt","ID_ISIN")</f>
        <v>US912828TV24</v>
      </c>
      <c r="M498">
        <v>29000000000</v>
      </c>
      <c r="N498">
        <v>0</v>
      </c>
      <c r="O498" t="str">
        <f>_xll.BDP("912828TV Govt","ISSUE_DT")</f>
        <v>10/31/2012</v>
      </c>
      <c r="P498" t="str">
        <f>_xll.BDP("912828TV Govt","SECURITY_NAME")</f>
        <v>T 1 1/4 10/31/19</v>
      </c>
      <c r="Q498" t="str">
        <f>_xll.BDP("912828TV Govt","DAY_CNT_DES")</f>
        <v>ACT/ACT</v>
      </c>
      <c r="R498">
        <v>100</v>
      </c>
      <c r="S498" t="str">
        <f>_xll.BDP("912828TV Govt","ID_CUSIP")</f>
        <v>912828TV2</v>
      </c>
      <c r="T498" t="str">
        <f>_xll.BDP("912828TV Govt","IDX_RATIO")</f>
        <v>#N/A Field Not Applicable</v>
      </c>
    </row>
    <row r="499" spans="1:20" x14ac:dyDescent="0.25">
      <c r="A499" t="s">
        <v>14</v>
      </c>
      <c r="B499" t="str">
        <f>_xll.BDP("912827PH Govt","TICKER")</f>
        <v>T</v>
      </c>
      <c r="C499">
        <f>_xll.BDP("912827PH Govt","CPN")</f>
        <v>10.25</v>
      </c>
      <c r="D499" t="str">
        <f>_xll.BDP("912827PH Govt","YLD_YTM_BID")</f>
        <v>#N/A N/A</v>
      </c>
      <c r="E499" t="str">
        <f>_xll.BDP("912827PH Govt","MATURITY")</f>
        <v>3/31/1987</v>
      </c>
      <c r="F499" t="str">
        <f>_xll.BDP("912827PH Govt","MTY_TYP")</f>
        <v>NORMAL</v>
      </c>
      <c r="G499" t="str">
        <f>_xll.BDP("912827PH Govt","CRNCY")</f>
        <v>USD</v>
      </c>
      <c r="H499" t="str">
        <f>_xll.BDP("912827PH Govt","COUNTRY_FULL_NAME")</f>
        <v>UNITED STATES</v>
      </c>
      <c r="I499" t="str">
        <f>_xll.BDP("912827PH Govt","FIRST_CPN_DT")</f>
        <v>9/30/1983</v>
      </c>
      <c r="J499" t="str">
        <f>_xll.BDP("912827PH Govt","COUPON_FREQUENCY_DESCRIPTION")</f>
        <v>S/A</v>
      </c>
      <c r="K499" t="str">
        <f>_xll.BDP("912827PH Govt","CPN_TYP")</f>
        <v>FIXED</v>
      </c>
      <c r="L499" t="str">
        <f>_xll.BDP("912827PH Govt","ID_ISIN")</f>
        <v>US912827PH92</v>
      </c>
      <c r="N499">
        <v>0</v>
      </c>
      <c r="O499" t="str">
        <f>_xll.BDP("912827PH Govt","ISSUE_DT")</f>
        <v>3/31/1983</v>
      </c>
      <c r="P499" t="str">
        <f>_xll.BDP("912827PH Govt","SECURITY_NAME")</f>
        <v>T 10 1/4 03/31/87</v>
      </c>
      <c r="Q499" t="str">
        <f>_xll.BDP("912827PH Govt","DAY_CNT_DES")</f>
        <v>ACT/ACT</v>
      </c>
      <c r="R499">
        <v>100</v>
      </c>
      <c r="S499" t="str">
        <f>_xll.BDP("912827PH Govt","ID_CUSIP")</f>
        <v>912827PH9</v>
      </c>
      <c r="T499" t="str">
        <f>_xll.BDP("912827PH Govt","IDX_RATIO")</f>
        <v>#N/A Field Not Applicable</v>
      </c>
    </row>
    <row r="500" spans="1:20" x14ac:dyDescent="0.25">
      <c r="A500" t="s">
        <v>14</v>
      </c>
      <c r="B500" t="str">
        <f>_xll.BDP("9128273X Govt","TICKER")</f>
        <v>T</v>
      </c>
      <c r="C500">
        <f>_xll.BDP("9128273X Govt","CPN")</f>
        <v>5.5</v>
      </c>
      <c r="D500" t="str">
        <f>_xll.BDP("9128273X Govt","YLD_YTM_BID")</f>
        <v>#N/A N/A</v>
      </c>
      <c r="E500" t="str">
        <f>_xll.BDP("9128273X Govt","MATURITY")</f>
        <v>2/15/2008</v>
      </c>
      <c r="F500" t="str">
        <f>_xll.BDP("9128273X Govt","MTY_TYP")</f>
        <v>NORMAL</v>
      </c>
      <c r="G500" t="str">
        <f>_xll.BDP("9128273X Govt","CRNCY")</f>
        <v>USD</v>
      </c>
      <c r="H500" t="str">
        <f>_xll.BDP("9128273X Govt","COUNTRY_FULL_NAME")</f>
        <v>UNITED STATES</v>
      </c>
      <c r="I500" t="str">
        <f>_xll.BDP("9128273X Govt","FIRST_CPN_DT")</f>
        <v>8/15/1998</v>
      </c>
      <c r="J500" t="str">
        <f>_xll.BDP("9128273X Govt","COUPON_FREQUENCY_DESCRIPTION")</f>
        <v>S/A</v>
      </c>
      <c r="K500" t="str">
        <f>_xll.BDP("9128273X Govt","CPN_TYP")</f>
        <v>FIXED</v>
      </c>
      <c r="L500" t="str">
        <f>_xll.BDP("9128273X Govt","ID_ISIN")</f>
        <v>US9128273X82</v>
      </c>
      <c r="M500">
        <v>13583000000</v>
      </c>
      <c r="N500">
        <v>0</v>
      </c>
      <c r="O500" t="str">
        <f>_xll.BDP("9128273X Govt","ISSUE_DT")</f>
        <v>2/17/1998</v>
      </c>
      <c r="P500" t="str">
        <f>_xll.BDP("9128273X Govt","SECURITY_NAME")</f>
        <v>T 5 1/2 02/15/08</v>
      </c>
      <c r="Q500" t="str">
        <f>_xll.BDP("9128273X Govt","DAY_CNT_DES")</f>
        <v>ACT/ACT</v>
      </c>
      <c r="R500">
        <v>100</v>
      </c>
      <c r="S500" t="str">
        <f>_xll.BDP("9128273X Govt","ID_CUSIP")</f>
        <v>9128273X8</v>
      </c>
      <c r="T500" t="str">
        <f>_xll.BDP("9128273X Govt","IDX_RATIO")</f>
        <v>#N/A Field Not Applicable</v>
      </c>
    </row>
    <row r="501" spans="1:20" x14ac:dyDescent="0.25">
      <c r="A501" t="s">
        <v>14</v>
      </c>
      <c r="B501" t="str">
        <f>_xll.BDP("912810CT Govt","TICKER")</f>
        <v>T</v>
      </c>
      <c r="C501">
        <f>_xll.BDP("912810CT Govt","CPN")</f>
        <v>11.75</v>
      </c>
      <c r="D501" t="str">
        <f>_xll.BDP("912810CT Govt","YLD_YTM_BID")</f>
        <v>#N/A N/A</v>
      </c>
      <c r="E501" t="str">
        <f>_xll.BDP("912810CT Govt","MATURITY")</f>
        <v>2/15/2001</v>
      </c>
      <c r="F501" t="str">
        <f>_xll.BDP("912810CT Govt","MTY_TYP")</f>
        <v>NORMAL</v>
      </c>
      <c r="G501" t="str">
        <f>_xll.BDP("912810CT Govt","CRNCY")</f>
        <v>USD</v>
      </c>
      <c r="H501" t="str">
        <f>_xll.BDP("912810CT Govt","COUNTRY_FULL_NAME")</f>
        <v>UNITED STATES</v>
      </c>
      <c r="I501" t="str">
        <f>_xll.BDP("912810CT Govt","FIRST_CPN_DT")</f>
        <v>8/15/1981</v>
      </c>
      <c r="J501" t="str">
        <f>_xll.BDP("912810CT Govt","COUPON_FREQUENCY_DESCRIPTION")</f>
        <v>S/A</v>
      </c>
      <c r="K501" t="str">
        <f>_xll.BDP("912810CT Govt","CPN_TYP")</f>
        <v>FIXED</v>
      </c>
      <c r="L501" t="str">
        <f>_xll.BDP("912810CT Govt","ID_ISIN")</f>
        <v>US912810CT35</v>
      </c>
      <c r="M501">
        <v>1501000000</v>
      </c>
      <c r="N501">
        <v>0</v>
      </c>
      <c r="O501" t="str">
        <f>_xll.BDP("912810CT Govt","ISSUE_DT")</f>
        <v>1/12/1981</v>
      </c>
      <c r="P501" t="str">
        <f>_xll.BDP("912810CT Govt","SECURITY_NAME")</f>
        <v>T 11 3/4 02/15/01</v>
      </c>
      <c r="Q501" t="str">
        <f>_xll.BDP("912810CT Govt","DAY_CNT_DES")</f>
        <v>ACT/ACT</v>
      </c>
      <c r="R501">
        <v>100</v>
      </c>
      <c r="S501" t="str">
        <f>_xll.BDP("912810CT Govt","ID_CUSIP")</f>
        <v>912810CT3</v>
      </c>
      <c r="T501" t="str">
        <f>_xll.BDP("912810CT Govt","IDX_RATIO")</f>
        <v>#N/A Field Not Applicable</v>
      </c>
    </row>
    <row r="502" spans="1:20" x14ac:dyDescent="0.25">
      <c r="A502" t="s">
        <v>14</v>
      </c>
      <c r="B502" t="str">
        <f>_xll.BDP("912828AX Govt","TICKER")</f>
        <v>T</v>
      </c>
      <c r="C502">
        <f>_xll.BDP("912828AX Govt","CPN")</f>
        <v>1.625</v>
      </c>
      <c r="D502" t="str">
        <f>_xll.BDP("912828AX Govt","YLD_YTM_BID")</f>
        <v>#N/A N/A</v>
      </c>
      <c r="E502" t="str">
        <f>_xll.BDP("912828AX Govt","MATURITY")</f>
        <v>4/30/2005</v>
      </c>
      <c r="F502" t="str">
        <f>_xll.BDP("912828AX Govt","MTY_TYP")</f>
        <v>NORMAL</v>
      </c>
      <c r="G502" t="str">
        <f>_xll.BDP("912828AX Govt","CRNCY")</f>
        <v>USD</v>
      </c>
      <c r="H502" t="str">
        <f>_xll.BDP("912828AX Govt","COUNTRY_FULL_NAME")</f>
        <v>UNITED STATES</v>
      </c>
      <c r="I502" t="str">
        <f>_xll.BDP("912828AX Govt","FIRST_CPN_DT")</f>
        <v>10/31/2003</v>
      </c>
      <c r="J502" t="str">
        <f>_xll.BDP("912828AX Govt","COUPON_FREQUENCY_DESCRIPTION")</f>
        <v>S/A</v>
      </c>
      <c r="K502" t="str">
        <f>_xll.BDP("912828AX Govt","CPN_TYP")</f>
        <v>FIXED</v>
      </c>
      <c r="L502" t="str">
        <f>_xll.BDP("912828AX Govt","ID_ISIN")</f>
        <v>US912828AX80</v>
      </c>
      <c r="M502">
        <v>34295000000</v>
      </c>
      <c r="N502">
        <v>0</v>
      </c>
      <c r="O502" t="str">
        <f>_xll.BDP("912828AX Govt","ISSUE_DT")</f>
        <v>4/30/2003</v>
      </c>
      <c r="P502" t="str">
        <f>_xll.BDP("912828AX Govt","SECURITY_NAME")</f>
        <v>T 1 5/8 04/30/05</v>
      </c>
      <c r="Q502" t="str">
        <f>_xll.BDP("912828AX Govt","DAY_CNT_DES")</f>
        <v>ACT/ACT</v>
      </c>
      <c r="R502">
        <v>100</v>
      </c>
      <c r="S502" t="str">
        <f>_xll.BDP("912828AX Govt","ID_CUSIP")</f>
        <v>912828AX8</v>
      </c>
      <c r="T502" t="str">
        <f>_xll.BDP("912828AX Govt","IDX_RATIO")</f>
        <v>#N/A Field Not Applicable</v>
      </c>
    </row>
    <row r="503" spans="1:20" x14ac:dyDescent="0.25">
      <c r="A503" t="s">
        <v>14</v>
      </c>
      <c r="B503" t="str">
        <f>_xll.BDP("912810EE Govt","TICKER")</f>
        <v>T</v>
      </c>
      <c r="C503">
        <f>_xll.BDP("912810EE Govt","CPN")</f>
        <v>8.5</v>
      </c>
      <c r="D503" t="str">
        <f>_xll.BDP("912810EE Govt","YLD_YTM_BID")</f>
        <v>#N/A N/A</v>
      </c>
      <c r="E503" t="str">
        <f>_xll.BDP("912810EE Govt","MATURITY")</f>
        <v>2/15/2020</v>
      </c>
      <c r="F503" t="str">
        <f>_xll.BDP("912810EE Govt","MTY_TYP")</f>
        <v>NORMAL</v>
      </c>
      <c r="G503" t="str">
        <f>_xll.BDP("912810EE Govt","CRNCY")</f>
        <v>USD</v>
      </c>
      <c r="H503" t="str">
        <f>_xll.BDP("912810EE Govt","COUNTRY_FULL_NAME")</f>
        <v>UNITED STATES</v>
      </c>
      <c r="I503" t="str">
        <f>_xll.BDP("912810EE Govt","FIRST_CPN_DT")</f>
        <v>8/15/1990</v>
      </c>
      <c r="J503" t="str">
        <f>_xll.BDP("912810EE Govt","COUPON_FREQUENCY_DESCRIPTION")</f>
        <v>S/A</v>
      </c>
      <c r="K503" t="str">
        <f>_xll.BDP("912810EE Govt","CPN_TYP")</f>
        <v>FIXED</v>
      </c>
      <c r="L503" t="str">
        <f>_xll.BDP("912810EE Govt","ID_ISIN")</f>
        <v>US912810EE48</v>
      </c>
      <c r="M503">
        <v>10229000000</v>
      </c>
      <c r="N503">
        <v>0</v>
      </c>
      <c r="O503" t="str">
        <f>_xll.BDP("912810EE Govt","ISSUE_DT")</f>
        <v>2/15/1990</v>
      </c>
      <c r="P503" t="str">
        <f>_xll.BDP("912810EE Govt","SECURITY_NAME")</f>
        <v>T 8 1/2 02/15/20</v>
      </c>
      <c r="Q503" t="str">
        <f>_xll.BDP("912810EE Govt","DAY_CNT_DES")</f>
        <v>ACT/ACT</v>
      </c>
      <c r="R503">
        <v>100</v>
      </c>
      <c r="S503" t="str">
        <f>_xll.BDP("912810EE Govt","ID_CUSIP")</f>
        <v>912810EE4</v>
      </c>
      <c r="T503" t="str">
        <f>_xll.BDP("912810EE Govt","IDX_RATIO")</f>
        <v>#N/A Field Not Applicable</v>
      </c>
    </row>
    <row r="504" spans="1:20" x14ac:dyDescent="0.25">
      <c r="A504" t="s">
        <v>14</v>
      </c>
      <c r="B504" t="str">
        <f>_xll.BDP("912828GR Govt","TICKER")</f>
        <v>T</v>
      </c>
      <c r="C504">
        <f>_xll.BDP("912828GR Govt","CPN")</f>
        <v>4.5</v>
      </c>
      <c r="D504" t="str">
        <f>_xll.BDP("912828GR Govt","YLD_YTM_BID")</f>
        <v>#N/A N/A</v>
      </c>
      <c r="E504" t="str">
        <f>_xll.BDP("912828GR Govt","MATURITY")</f>
        <v>5/15/2010</v>
      </c>
      <c r="F504" t="str">
        <f>_xll.BDP("912828GR Govt","MTY_TYP")</f>
        <v>NORMAL</v>
      </c>
      <c r="G504" t="str">
        <f>_xll.BDP("912828GR Govt","CRNCY")</f>
        <v>USD</v>
      </c>
      <c r="H504" t="str">
        <f>_xll.BDP("912828GR Govt","COUNTRY_FULL_NAME")</f>
        <v>UNITED STATES</v>
      </c>
      <c r="I504" t="str">
        <f>_xll.BDP("912828GR Govt","FIRST_CPN_DT")</f>
        <v>11/15/2007</v>
      </c>
      <c r="J504" t="str">
        <f>_xll.BDP("912828GR Govt","COUPON_FREQUENCY_DESCRIPTION")</f>
        <v>S/A</v>
      </c>
      <c r="K504" t="str">
        <f>_xll.BDP("912828GR Govt","CPN_TYP")</f>
        <v>FIXED</v>
      </c>
      <c r="L504" t="str">
        <f>_xll.BDP("912828GR Govt","ID_ISIN")</f>
        <v>US912828GR58</v>
      </c>
      <c r="M504">
        <v>18942000000</v>
      </c>
      <c r="N504">
        <v>0</v>
      </c>
      <c r="O504" t="str">
        <f>_xll.BDP("912828GR Govt","ISSUE_DT")</f>
        <v>5/15/2007</v>
      </c>
      <c r="P504" t="str">
        <f>_xll.BDP("912828GR Govt","SECURITY_NAME")</f>
        <v>T 4 1/2 05/15/10</v>
      </c>
      <c r="Q504" t="str">
        <f>_xll.BDP("912828GR Govt","DAY_CNT_DES")</f>
        <v>ACT/ACT</v>
      </c>
      <c r="R504">
        <v>100</v>
      </c>
      <c r="S504" t="str">
        <f>_xll.BDP("912828GR Govt","ID_CUSIP")</f>
        <v>912828GR5</v>
      </c>
      <c r="T504" t="str">
        <f>_xll.BDP("912828GR Govt","IDX_RATIO")</f>
        <v>#N/A Field Not Applicable</v>
      </c>
    </row>
    <row r="505" spans="1:20" x14ac:dyDescent="0.25">
      <c r="A505" t="s">
        <v>14</v>
      </c>
      <c r="B505" t="str">
        <f>_xll.BDP("9128284C Govt","TICKER")</f>
        <v>T</v>
      </c>
      <c r="C505">
        <f>_xll.BDP("9128284C Govt","CPN")</f>
        <v>2.25</v>
      </c>
      <c r="D505" t="str">
        <f>_xll.BDP("9128284C Govt","YLD_YTM_BID")</f>
        <v>#N/A N/A</v>
      </c>
      <c r="E505" t="str">
        <f>_xll.BDP("9128284C Govt","MATURITY")</f>
        <v>3/31/2020</v>
      </c>
      <c r="F505" t="str">
        <f>_xll.BDP("9128284C Govt","MTY_TYP")</f>
        <v>NORMAL</v>
      </c>
      <c r="G505" t="str">
        <f>_xll.BDP("9128284C Govt","CRNCY")</f>
        <v>USD</v>
      </c>
      <c r="H505" t="str">
        <f>_xll.BDP("9128284C Govt","COUNTRY_FULL_NAME")</f>
        <v>UNITED STATES</v>
      </c>
      <c r="I505" t="str">
        <f>_xll.BDP("9128284C Govt","FIRST_CPN_DT")</f>
        <v>9/30/2018</v>
      </c>
      <c r="J505" t="str">
        <f>_xll.BDP("9128284C Govt","COUPON_FREQUENCY_DESCRIPTION")</f>
        <v>S/A</v>
      </c>
      <c r="K505" t="str">
        <f>_xll.BDP("9128284C Govt","CPN_TYP")</f>
        <v>FIXED</v>
      </c>
      <c r="L505" t="str">
        <f>_xll.BDP("9128284C Govt","ID_ISIN")</f>
        <v>US9128284C19</v>
      </c>
      <c r="M505">
        <v>35282000000</v>
      </c>
      <c r="N505">
        <v>0</v>
      </c>
      <c r="O505" t="str">
        <f>_xll.BDP("9128284C Govt","ISSUE_DT")</f>
        <v>4/2/2018</v>
      </c>
      <c r="P505" t="str">
        <f>_xll.BDP("9128284C Govt","SECURITY_NAME")</f>
        <v>T 2 1/4 03/31/20</v>
      </c>
      <c r="Q505" t="str">
        <f>_xll.BDP("9128284C Govt","DAY_CNT_DES")</f>
        <v>ACT/ACT</v>
      </c>
      <c r="R505">
        <v>100</v>
      </c>
      <c r="S505" t="str">
        <f>_xll.BDP("9128284C Govt","ID_CUSIP")</f>
        <v>9128284C1</v>
      </c>
      <c r="T505" t="str">
        <f>_xll.BDP("9128284C Govt","IDX_RATIO")</f>
        <v>#N/A Field Not Applicable</v>
      </c>
    </row>
    <row r="506" spans="1:20" x14ac:dyDescent="0.25">
      <c r="A506" t="s">
        <v>14</v>
      </c>
      <c r="B506" t="str">
        <f>_xll.BDP("912828BY Govt","TICKER")</f>
        <v>T</v>
      </c>
      <c r="C506">
        <f>_xll.BDP("912828BY Govt","CPN")</f>
        <v>2.25</v>
      </c>
      <c r="D506" t="str">
        <f>_xll.BDP("912828BY Govt","YLD_YTM_BID")</f>
        <v>#N/A N/A</v>
      </c>
      <c r="E506" t="str">
        <f>_xll.BDP("912828BY Govt","MATURITY")</f>
        <v>2/15/2007</v>
      </c>
      <c r="F506" t="str">
        <f>_xll.BDP("912828BY Govt","MTY_TYP")</f>
        <v>NORMAL</v>
      </c>
      <c r="G506" t="str">
        <f>_xll.BDP("912828BY Govt","CRNCY")</f>
        <v>USD</v>
      </c>
      <c r="H506" t="str">
        <f>_xll.BDP("912828BY Govt","COUNTRY_FULL_NAME")</f>
        <v>UNITED STATES</v>
      </c>
      <c r="I506" t="str">
        <f>_xll.BDP("912828BY Govt","FIRST_CPN_DT")</f>
        <v>8/15/2004</v>
      </c>
      <c r="J506" t="str">
        <f>_xll.BDP("912828BY Govt","COUPON_FREQUENCY_DESCRIPTION")</f>
        <v>S/A</v>
      </c>
      <c r="K506" t="str">
        <f>_xll.BDP("912828BY Govt","CPN_TYP")</f>
        <v>FIXED</v>
      </c>
      <c r="L506" t="str">
        <f>_xll.BDP("912828BY Govt","ID_ISIN")</f>
        <v>US912828BY54</v>
      </c>
      <c r="M506">
        <v>25469000000</v>
      </c>
      <c r="N506">
        <v>0</v>
      </c>
      <c r="O506" t="str">
        <f>_xll.BDP("912828BY Govt","ISSUE_DT")</f>
        <v>2/17/2004</v>
      </c>
      <c r="P506" t="str">
        <f>_xll.BDP("912828BY Govt","SECURITY_NAME")</f>
        <v>T 2 1/4 02/15/07</v>
      </c>
      <c r="Q506" t="str">
        <f>_xll.BDP("912828BY Govt","DAY_CNT_DES")</f>
        <v>ACT/ACT</v>
      </c>
      <c r="R506">
        <v>100</v>
      </c>
      <c r="S506" t="str">
        <f>_xll.BDP("912828BY Govt","ID_CUSIP")</f>
        <v>912828BY5</v>
      </c>
      <c r="T506" t="str">
        <f>_xll.BDP("912828BY Govt","IDX_RATIO")</f>
        <v>#N/A Field Not Applicable</v>
      </c>
    </row>
    <row r="507" spans="1:20" x14ac:dyDescent="0.25">
      <c r="A507" t="s">
        <v>14</v>
      </c>
      <c r="B507" t="str">
        <f>_xll.BDP("912828AY Govt","TICKER")</f>
        <v>T</v>
      </c>
      <c r="C507">
        <f>_xll.BDP("912828AY Govt","CPN")</f>
        <v>2</v>
      </c>
      <c r="D507" t="str">
        <f>_xll.BDP("912828AY Govt","YLD_YTM_BID")</f>
        <v>#N/A N/A</v>
      </c>
      <c r="E507" t="str">
        <f>_xll.BDP("912828AY Govt","MATURITY")</f>
        <v>5/15/2006</v>
      </c>
      <c r="F507" t="str">
        <f>_xll.BDP("912828AY Govt","MTY_TYP")</f>
        <v>NORMAL</v>
      </c>
      <c r="G507" t="str">
        <f>_xll.BDP("912828AY Govt","CRNCY")</f>
        <v>USD</v>
      </c>
      <c r="H507" t="str">
        <f>_xll.BDP("912828AY Govt","COUNTRY_FULL_NAME")</f>
        <v>UNITED STATES</v>
      </c>
      <c r="I507" t="str">
        <f>_xll.BDP("912828AY Govt","FIRST_CPN_DT")</f>
        <v>11/15/2003</v>
      </c>
      <c r="J507" t="str">
        <f>_xll.BDP("912828AY Govt","COUPON_FREQUENCY_DESCRIPTION")</f>
        <v>S/A</v>
      </c>
      <c r="K507" t="str">
        <f>_xll.BDP("912828AY Govt","CPN_TYP")</f>
        <v>FIXED</v>
      </c>
      <c r="L507" t="str">
        <f>_xll.BDP("912828AY Govt","ID_ISIN")</f>
        <v>US912828AY63</v>
      </c>
      <c r="M507">
        <v>22392000000</v>
      </c>
      <c r="N507">
        <v>0</v>
      </c>
      <c r="O507" t="str">
        <f>_xll.BDP("912828AY Govt","ISSUE_DT")</f>
        <v>5/15/2003</v>
      </c>
      <c r="P507" t="str">
        <f>_xll.BDP("912828AY Govt","SECURITY_NAME")</f>
        <v>T 2 05/15/06</v>
      </c>
      <c r="Q507" t="str">
        <f>_xll.BDP("912828AY Govt","DAY_CNT_DES")</f>
        <v>ACT/ACT</v>
      </c>
      <c r="R507">
        <v>100</v>
      </c>
      <c r="S507" t="str">
        <f>_xll.BDP("912828AY Govt","ID_CUSIP")</f>
        <v>912828AY6</v>
      </c>
      <c r="T507" t="str">
        <f>_xll.BDP("912828AY Govt","IDX_RATIO")</f>
        <v>#N/A Field Not Applicable</v>
      </c>
    </row>
    <row r="508" spans="1:20" x14ac:dyDescent="0.25">
      <c r="A508" t="s">
        <v>14</v>
      </c>
      <c r="B508" t="str">
        <f>_xll.BDP("912828CV Govt","TICKER")</f>
        <v>T</v>
      </c>
      <c r="C508">
        <f>_xll.BDP("912828CV Govt","CPN")</f>
        <v>3.375</v>
      </c>
      <c r="D508" t="str">
        <f>_xll.BDP("912828CV Govt","YLD_YTM_BID")</f>
        <v>#N/A N/A</v>
      </c>
      <c r="E508" t="str">
        <f>_xll.BDP("912828CV Govt","MATURITY")</f>
        <v>9/15/2009</v>
      </c>
      <c r="F508" t="str">
        <f>_xll.BDP("912828CV Govt","MTY_TYP")</f>
        <v>NORMAL</v>
      </c>
      <c r="G508" t="str">
        <f>_xll.BDP("912828CV Govt","CRNCY")</f>
        <v>USD</v>
      </c>
      <c r="H508" t="str">
        <f>_xll.BDP("912828CV Govt","COUNTRY_FULL_NAME")</f>
        <v>UNITED STATES</v>
      </c>
      <c r="I508" t="str">
        <f>_xll.BDP("912828CV Govt","FIRST_CPN_DT")</f>
        <v>3/15/2005</v>
      </c>
      <c r="J508" t="str">
        <f>_xll.BDP("912828CV Govt","COUPON_FREQUENCY_DESCRIPTION")</f>
        <v>S/A</v>
      </c>
      <c r="K508" t="str">
        <f>_xll.BDP("912828CV Govt","CPN_TYP")</f>
        <v>FIXED</v>
      </c>
      <c r="L508" t="str">
        <f>_xll.BDP("912828CV Govt","ID_ISIN")</f>
        <v>US912828CV07</v>
      </c>
      <c r="M508">
        <v>15005000000</v>
      </c>
      <c r="N508">
        <v>0</v>
      </c>
      <c r="O508" t="str">
        <f>_xll.BDP("912828CV Govt","ISSUE_DT")</f>
        <v>9/15/2004</v>
      </c>
      <c r="P508" t="str">
        <f>_xll.BDP("912828CV Govt","SECURITY_NAME")</f>
        <v>T 3 3/8 09/15/09</v>
      </c>
      <c r="Q508" t="str">
        <f>_xll.BDP("912828CV Govt","DAY_CNT_DES")</f>
        <v>ACT/ACT</v>
      </c>
      <c r="R508">
        <v>100</v>
      </c>
      <c r="S508" t="str">
        <f>_xll.BDP("912828CV Govt","ID_CUSIP")</f>
        <v>912828CV0</v>
      </c>
      <c r="T508" t="str">
        <f>_xll.BDP("912828CV Govt","IDX_RATIO")</f>
        <v>#N/A Field Not Applicable</v>
      </c>
    </row>
    <row r="509" spans="1:20" x14ac:dyDescent="0.25">
      <c r="A509" t="s">
        <v>14</v>
      </c>
      <c r="B509" t="str">
        <f>_xll.BDP("912828QA Govt","TICKER")</f>
        <v>T</v>
      </c>
      <c r="C509">
        <f>_xll.BDP("912828QA Govt","CPN")</f>
        <v>2.25</v>
      </c>
      <c r="D509" t="str">
        <f>_xll.BDP("912828QA Govt","YLD_YTM_BID")</f>
        <v>#N/A N/A</v>
      </c>
      <c r="E509" t="str">
        <f>_xll.BDP("912828QA Govt","MATURITY")</f>
        <v>3/31/2016</v>
      </c>
      <c r="F509" t="str">
        <f>_xll.BDP("912828QA Govt","MTY_TYP")</f>
        <v>NORMAL</v>
      </c>
      <c r="G509" t="str">
        <f>_xll.BDP("912828QA Govt","CRNCY")</f>
        <v>USD</v>
      </c>
      <c r="H509" t="str">
        <f>_xll.BDP("912828QA Govt","COUNTRY_FULL_NAME")</f>
        <v>UNITED STATES</v>
      </c>
      <c r="I509" t="str">
        <f>_xll.BDP("912828QA Govt","FIRST_CPN_DT")</f>
        <v>9/30/2011</v>
      </c>
      <c r="J509" t="str">
        <f>_xll.BDP("912828QA Govt","COUPON_FREQUENCY_DESCRIPTION")</f>
        <v>S/A</v>
      </c>
      <c r="K509" t="str">
        <f>_xll.BDP("912828QA Govt","CPN_TYP")</f>
        <v>FIXED</v>
      </c>
      <c r="L509" t="str">
        <f>_xll.BDP("912828QA Govt","ID_ISIN")</f>
        <v>US912828QA14</v>
      </c>
      <c r="M509">
        <v>36570000000</v>
      </c>
      <c r="N509">
        <v>0</v>
      </c>
      <c r="O509" t="str">
        <f>_xll.BDP("912828QA Govt","ISSUE_DT")</f>
        <v>3/31/2011</v>
      </c>
      <c r="P509" t="str">
        <f>_xll.BDP("912828QA Govt","SECURITY_NAME")</f>
        <v>T 2 1/4 03/31/16</v>
      </c>
      <c r="Q509" t="str">
        <f>_xll.BDP("912828QA Govt","DAY_CNT_DES")</f>
        <v>ACT/ACT</v>
      </c>
      <c r="R509">
        <v>100</v>
      </c>
      <c r="S509" t="str">
        <f>_xll.BDP("912828QA Govt","ID_CUSIP")</f>
        <v>912828QA1</v>
      </c>
      <c r="T509" t="str">
        <f>_xll.BDP("912828QA Govt","IDX_RATIO")</f>
        <v>#N/A Field Not Applicable</v>
      </c>
    </row>
    <row r="510" spans="1:20" x14ac:dyDescent="0.25">
      <c r="A510" t="s">
        <v>14</v>
      </c>
      <c r="B510" t="str">
        <f>_xll.BDP("912828CR Govt","TICKER")</f>
        <v>T</v>
      </c>
      <c r="C510">
        <f>_xll.BDP("912828CR Govt","CPN")</f>
        <v>2.75</v>
      </c>
      <c r="D510" t="str">
        <f>_xll.BDP("912828CR Govt","YLD_YTM_BID")</f>
        <v>#N/A N/A</v>
      </c>
      <c r="E510" t="str">
        <f>_xll.BDP("912828CR Govt","MATURITY")</f>
        <v>8/15/2007</v>
      </c>
      <c r="F510" t="str">
        <f>_xll.BDP("912828CR Govt","MTY_TYP")</f>
        <v>NORMAL</v>
      </c>
      <c r="G510" t="str">
        <f>_xll.BDP("912828CR Govt","CRNCY")</f>
        <v>USD</v>
      </c>
      <c r="H510" t="str">
        <f>_xll.BDP("912828CR Govt","COUNTRY_FULL_NAME")</f>
        <v>UNITED STATES</v>
      </c>
      <c r="I510" t="str">
        <f>_xll.BDP("912828CR Govt","FIRST_CPN_DT")</f>
        <v>2/15/2005</v>
      </c>
      <c r="J510" t="str">
        <f>_xll.BDP("912828CR Govt","COUPON_FREQUENCY_DESCRIPTION")</f>
        <v>S/A</v>
      </c>
      <c r="K510" t="str">
        <f>_xll.BDP("912828CR Govt","CPN_TYP")</f>
        <v>FIXED</v>
      </c>
      <c r="L510" t="str">
        <f>_xll.BDP("912828CR Govt","ID_ISIN")</f>
        <v>US912828CR94</v>
      </c>
      <c r="M510">
        <v>24674000000</v>
      </c>
      <c r="N510">
        <v>0</v>
      </c>
      <c r="O510" t="str">
        <f>_xll.BDP("912828CR Govt","ISSUE_DT")</f>
        <v>8/16/2004</v>
      </c>
      <c r="P510" t="str">
        <f>_xll.BDP("912828CR Govt","SECURITY_NAME")</f>
        <v>T 2 3/4 08/15/07</v>
      </c>
      <c r="Q510" t="str">
        <f>_xll.BDP("912828CR Govt","DAY_CNT_DES")</f>
        <v>ACT/ACT</v>
      </c>
      <c r="R510">
        <v>100</v>
      </c>
      <c r="S510" t="str">
        <f>_xll.BDP("912828CR Govt","ID_CUSIP")</f>
        <v>912828CR9</v>
      </c>
      <c r="T510" t="str">
        <f>_xll.BDP("912828CR Govt","IDX_RATIO")</f>
        <v>#N/A Field Not Applicable</v>
      </c>
    </row>
    <row r="511" spans="1:20" x14ac:dyDescent="0.25">
      <c r="A511" t="s">
        <v>14</v>
      </c>
      <c r="B511" t="str">
        <f>_xll.BDP("912828SL Govt","TICKER")</f>
        <v>T</v>
      </c>
      <c r="C511">
        <f>_xll.BDP("912828SL Govt","CPN")</f>
        <v>0.25</v>
      </c>
      <c r="D511" t="str">
        <f>_xll.BDP("912828SL Govt","YLD_YTM_BID")</f>
        <v>#N/A N/A</v>
      </c>
      <c r="E511" t="str">
        <f>_xll.BDP("912828SL Govt","MATURITY")</f>
        <v>3/31/2014</v>
      </c>
      <c r="F511" t="str">
        <f>_xll.BDP("912828SL Govt","MTY_TYP")</f>
        <v>NORMAL</v>
      </c>
      <c r="G511" t="str">
        <f>_xll.BDP("912828SL Govt","CRNCY")</f>
        <v>USD</v>
      </c>
      <c r="H511" t="str">
        <f>_xll.BDP("912828SL Govt","COUNTRY_FULL_NAME")</f>
        <v>UNITED STATES</v>
      </c>
      <c r="I511" t="str">
        <f>_xll.BDP("912828SL Govt","FIRST_CPN_DT")</f>
        <v>9/30/2012</v>
      </c>
      <c r="J511" t="str">
        <f>_xll.BDP("912828SL Govt","COUPON_FREQUENCY_DESCRIPTION")</f>
        <v>S/A</v>
      </c>
      <c r="K511" t="str">
        <f>_xll.BDP("912828SL Govt","CPN_TYP")</f>
        <v>FIXED</v>
      </c>
      <c r="L511" t="str">
        <f>_xll.BDP("912828SL Govt","ID_ISIN")</f>
        <v>US912828SL50</v>
      </c>
      <c r="M511">
        <v>35830000000</v>
      </c>
      <c r="N511">
        <v>0</v>
      </c>
      <c r="O511" t="str">
        <f>_xll.BDP("912828SL Govt","ISSUE_DT")</f>
        <v>4/2/2012</v>
      </c>
      <c r="P511" t="str">
        <f>_xll.BDP("912828SL Govt","SECURITY_NAME")</f>
        <v>T 0 1/4 03/31/14</v>
      </c>
      <c r="Q511" t="str">
        <f>_xll.BDP("912828SL Govt","DAY_CNT_DES")</f>
        <v>ACT/ACT</v>
      </c>
      <c r="R511">
        <v>100</v>
      </c>
      <c r="S511" t="str">
        <f>_xll.BDP("912828SL Govt","ID_CUSIP")</f>
        <v>912828SL5</v>
      </c>
      <c r="T511" t="str">
        <f>_xll.BDP("912828SL Govt","IDX_RATIO")</f>
        <v>#N/A Field Not Applicable</v>
      </c>
    </row>
    <row r="512" spans="1:20" x14ac:dyDescent="0.25">
      <c r="A512" t="s">
        <v>14</v>
      </c>
      <c r="B512" t="str">
        <f>_xll.BDP("912828AQ Govt","TICKER")</f>
        <v>T</v>
      </c>
      <c r="C512">
        <f>_xll.BDP("912828AQ Govt","CPN")</f>
        <v>2</v>
      </c>
      <c r="D512" t="str">
        <f>_xll.BDP("912828AQ Govt","YLD_YTM_BID")</f>
        <v>#N/A N/A</v>
      </c>
      <c r="E512" t="str">
        <f>_xll.BDP("912828AQ Govt","MATURITY")</f>
        <v>11/30/2004</v>
      </c>
      <c r="F512" t="str">
        <f>_xll.BDP("912828AQ Govt","MTY_TYP")</f>
        <v>NORMAL</v>
      </c>
      <c r="G512" t="str">
        <f>_xll.BDP("912828AQ Govt","CRNCY")</f>
        <v>USD</v>
      </c>
      <c r="H512" t="str">
        <f>_xll.BDP("912828AQ Govt","COUNTRY_FULL_NAME")</f>
        <v>UNITED STATES</v>
      </c>
      <c r="I512" t="str">
        <f>_xll.BDP("912828AQ Govt","FIRST_CPN_DT")</f>
        <v>5/31/2003</v>
      </c>
      <c r="J512" t="str">
        <f>_xll.BDP("912828AQ Govt","COUPON_FREQUENCY_DESCRIPTION")</f>
        <v>S/A</v>
      </c>
      <c r="K512" t="str">
        <f>_xll.BDP("912828AQ Govt","CPN_TYP")</f>
        <v>FIXED</v>
      </c>
      <c r="L512" t="str">
        <f>_xll.BDP("912828AQ Govt","ID_ISIN")</f>
        <v>US912828AQ30</v>
      </c>
      <c r="M512">
        <v>32871000000</v>
      </c>
      <c r="N512">
        <v>0</v>
      </c>
      <c r="O512" t="str">
        <f>_xll.BDP("912828AQ Govt","ISSUE_DT")</f>
        <v>12/2/2002</v>
      </c>
      <c r="P512" t="str">
        <f>_xll.BDP("912828AQ Govt","SECURITY_NAME")</f>
        <v>T 2 11/30/04</v>
      </c>
      <c r="Q512" t="str">
        <f>_xll.BDP("912828AQ Govt","DAY_CNT_DES")</f>
        <v>ACT/ACT</v>
      </c>
      <c r="R512">
        <v>100</v>
      </c>
      <c r="S512" t="str">
        <f>_xll.BDP("912828AQ Govt","ID_CUSIP")</f>
        <v>912828AQ3</v>
      </c>
      <c r="T512" t="str">
        <f>_xll.BDP("912828AQ Govt","IDX_RATIO")</f>
        <v>#N/A Field Not Applicable</v>
      </c>
    </row>
    <row r="513" spans="1:20" x14ac:dyDescent="0.25">
      <c r="A513" t="s">
        <v>14</v>
      </c>
      <c r="B513" t="str">
        <f>_xll.BDP("912828BL Govt","TICKER")</f>
        <v>T</v>
      </c>
      <c r="C513">
        <f>_xll.BDP("912828BL Govt","CPN")</f>
        <v>1.625</v>
      </c>
      <c r="D513" t="str">
        <f>_xll.BDP("912828BL Govt","YLD_YTM_BID")</f>
        <v>#N/A N/A</v>
      </c>
      <c r="E513" t="str">
        <f>_xll.BDP("912828BL Govt","MATURITY")</f>
        <v>9/30/2005</v>
      </c>
      <c r="F513" t="str">
        <f>_xll.BDP("912828BL Govt","MTY_TYP")</f>
        <v>NORMAL</v>
      </c>
      <c r="G513" t="str">
        <f>_xll.BDP("912828BL Govt","CRNCY")</f>
        <v>USD</v>
      </c>
      <c r="H513" t="str">
        <f>_xll.BDP("912828BL Govt","COUNTRY_FULL_NAME")</f>
        <v>UNITED STATES</v>
      </c>
      <c r="I513" t="str">
        <f>_xll.BDP("912828BL Govt","FIRST_CPN_DT")</f>
        <v>3/31/2004</v>
      </c>
      <c r="J513" t="str">
        <f>_xll.BDP("912828BL Govt","COUPON_FREQUENCY_DESCRIPTION")</f>
        <v>S/A</v>
      </c>
      <c r="K513" t="str">
        <f>_xll.BDP("912828BL Govt","CPN_TYP")</f>
        <v>FIXED</v>
      </c>
      <c r="L513" t="str">
        <f>_xll.BDP("912828BL Govt","ID_ISIN")</f>
        <v>US912828BL34</v>
      </c>
      <c r="M513">
        <v>31539000000</v>
      </c>
      <c r="N513">
        <v>0</v>
      </c>
      <c r="O513" t="str">
        <f>_xll.BDP("912828BL Govt","ISSUE_DT")</f>
        <v>9/30/2003</v>
      </c>
      <c r="P513" t="str">
        <f>_xll.BDP("912828BL Govt","SECURITY_NAME")</f>
        <v>T 1 5/8 09/30/05</v>
      </c>
      <c r="Q513" t="str">
        <f>_xll.BDP("912828BL Govt","DAY_CNT_DES")</f>
        <v>ACT/ACT</v>
      </c>
      <c r="R513">
        <v>100</v>
      </c>
      <c r="S513" t="str">
        <f>_xll.BDP("912828BL Govt","ID_CUSIP")</f>
        <v>912828BL3</v>
      </c>
      <c r="T513" t="str">
        <f>_xll.BDP("912828BL Govt","IDX_RATIO")</f>
        <v>#N/A Field Not Applicable</v>
      </c>
    </row>
    <row r="514" spans="1:20" x14ac:dyDescent="0.25">
      <c r="A514" t="s">
        <v>14</v>
      </c>
      <c r="B514" t="str">
        <f>_xll.BDP("912828CT Govt","TICKER")</f>
        <v>T</v>
      </c>
      <c r="C514">
        <f>_xll.BDP("912828CT Govt","CPN")</f>
        <v>4.25</v>
      </c>
      <c r="D514" t="str">
        <f>_xll.BDP("912828CT Govt","YLD_YTM_BID")</f>
        <v>#N/A N/A</v>
      </c>
      <c r="E514" t="str">
        <f>_xll.BDP("912828CT Govt","MATURITY")</f>
        <v>8/15/2014</v>
      </c>
      <c r="F514" t="str">
        <f>_xll.BDP("912828CT Govt","MTY_TYP")</f>
        <v>NORMAL</v>
      </c>
      <c r="G514" t="str">
        <f>_xll.BDP("912828CT Govt","CRNCY")</f>
        <v>USD</v>
      </c>
      <c r="H514" t="str">
        <f>_xll.BDP("912828CT Govt","COUNTRY_FULL_NAME")</f>
        <v>UNITED STATES</v>
      </c>
      <c r="I514" t="str">
        <f>_xll.BDP("912828CT Govt","FIRST_CPN_DT")</f>
        <v>2/15/2005</v>
      </c>
      <c r="J514" t="str">
        <f>_xll.BDP("912828CT Govt","COUPON_FREQUENCY_DESCRIPTION")</f>
        <v>S/A</v>
      </c>
      <c r="K514" t="str">
        <f>_xll.BDP("912828CT Govt","CPN_TYP")</f>
        <v>FIXED</v>
      </c>
      <c r="L514" t="str">
        <f>_xll.BDP("912828CT Govt","ID_ISIN")</f>
        <v>US912828CT50</v>
      </c>
      <c r="M514">
        <v>24722000000</v>
      </c>
      <c r="N514">
        <v>0</v>
      </c>
      <c r="O514" t="str">
        <f>_xll.BDP("912828CT Govt","ISSUE_DT")</f>
        <v>8/16/2004</v>
      </c>
      <c r="P514" t="str">
        <f>_xll.BDP("912828CT Govt","SECURITY_NAME")</f>
        <v>T 4 1/4 08/15/14</v>
      </c>
      <c r="Q514" t="str">
        <f>_xll.BDP("912828CT Govt","DAY_CNT_DES")</f>
        <v>ACT/ACT</v>
      </c>
      <c r="R514">
        <v>100</v>
      </c>
      <c r="S514" t="str">
        <f>_xll.BDP("912828CT Govt","ID_CUSIP")</f>
        <v>912828CT5</v>
      </c>
      <c r="T514" t="str">
        <f>_xll.BDP("912828CT Govt","IDX_RATIO")</f>
        <v>#N/A Field Not Applicable</v>
      </c>
    </row>
    <row r="515" spans="1:20" x14ac:dyDescent="0.25">
      <c r="A515" t="s">
        <v>14</v>
      </c>
      <c r="B515" t="str">
        <f>_xll.BDP("912828LZ Govt","TICKER")</f>
        <v>T</v>
      </c>
      <c r="C515">
        <f>_xll.BDP("912828LZ Govt","CPN")</f>
        <v>2.125</v>
      </c>
      <c r="D515" t="str">
        <f>_xll.BDP("912828LZ Govt","YLD_YTM_BID")</f>
        <v>#N/A N/A</v>
      </c>
      <c r="E515" t="str">
        <f>_xll.BDP("912828LZ Govt","MATURITY")</f>
        <v>11/30/2014</v>
      </c>
      <c r="F515" t="str">
        <f>_xll.BDP("912828LZ Govt","MTY_TYP")</f>
        <v>NORMAL</v>
      </c>
      <c r="G515" t="str">
        <f>_xll.BDP("912828LZ Govt","CRNCY")</f>
        <v>USD</v>
      </c>
      <c r="H515" t="str">
        <f>_xll.BDP("912828LZ Govt","COUNTRY_FULL_NAME")</f>
        <v>UNITED STATES</v>
      </c>
      <c r="I515" t="str">
        <f>_xll.BDP("912828LZ Govt","FIRST_CPN_DT")</f>
        <v>5/31/2010</v>
      </c>
      <c r="J515" t="str">
        <f>_xll.BDP("912828LZ Govt","COUPON_FREQUENCY_DESCRIPTION")</f>
        <v>S/A</v>
      </c>
      <c r="K515" t="str">
        <f>_xll.BDP("912828LZ Govt","CPN_TYP")</f>
        <v>FIXED</v>
      </c>
      <c r="L515" t="str">
        <f>_xll.BDP("912828LZ Govt","ID_ISIN")</f>
        <v>US912828LZ10</v>
      </c>
      <c r="M515">
        <v>43261000000</v>
      </c>
      <c r="N515">
        <v>0</v>
      </c>
      <c r="O515" t="str">
        <f>_xll.BDP("912828LZ Govt","ISSUE_DT")</f>
        <v>11/30/2009</v>
      </c>
      <c r="P515" t="str">
        <f>_xll.BDP("912828LZ Govt","SECURITY_NAME")</f>
        <v>T 2 1/8 11/30/14</v>
      </c>
      <c r="Q515" t="str">
        <f>_xll.BDP("912828LZ Govt","DAY_CNT_DES")</f>
        <v>ACT/ACT</v>
      </c>
      <c r="R515">
        <v>100</v>
      </c>
      <c r="S515" t="str">
        <f>_xll.BDP("912828LZ Govt","ID_CUSIP")</f>
        <v>912828LZ1</v>
      </c>
      <c r="T515" t="str">
        <f>_xll.BDP("912828LZ Govt","IDX_RATIO")</f>
        <v>#N/A Field Not Applicable</v>
      </c>
    </row>
    <row r="516" spans="1:20" x14ac:dyDescent="0.25">
      <c r="A516" t="s">
        <v>14</v>
      </c>
      <c r="B516" t="str">
        <f>_xll.BDP("912828SM Govt","TICKER")</f>
        <v>T</v>
      </c>
      <c r="C516">
        <f>_xll.BDP("912828SM Govt","CPN")</f>
        <v>1</v>
      </c>
      <c r="D516" t="str">
        <f>_xll.BDP("912828SM Govt","YLD_YTM_BID")</f>
        <v>#N/A N/A</v>
      </c>
      <c r="E516" t="str">
        <f>_xll.BDP("912828SM Govt","MATURITY")</f>
        <v>3/31/2017</v>
      </c>
      <c r="F516" t="str">
        <f>_xll.BDP("912828SM Govt","MTY_TYP")</f>
        <v>NORMAL</v>
      </c>
      <c r="G516" t="str">
        <f>_xll.BDP("912828SM Govt","CRNCY")</f>
        <v>USD</v>
      </c>
      <c r="H516" t="str">
        <f>_xll.BDP("912828SM Govt","COUNTRY_FULL_NAME")</f>
        <v>UNITED STATES</v>
      </c>
      <c r="I516" t="str">
        <f>_xll.BDP("912828SM Govt","FIRST_CPN_DT")</f>
        <v>9/30/2012</v>
      </c>
      <c r="J516" t="str">
        <f>_xll.BDP("912828SM Govt","COUPON_FREQUENCY_DESCRIPTION")</f>
        <v>S/A</v>
      </c>
      <c r="K516" t="str">
        <f>_xll.BDP("912828SM Govt","CPN_TYP")</f>
        <v>FIXED</v>
      </c>
      <c r="L516" t="str">
        <f>_xll.BDP("912828SM Govt","ID_ISIN")</f>
        <v>US912828SM34</v>
      </c>
      <c r="M516">
        <v>35831000000</v>
      </c>
      <c r="N516">
        <v>0</v>
      </c>
      <c r="O516" t="str">
        <f>_xll.BDP("912828SM Govt","ISSUE_DT")</f>
        <v>4/2/2012</v>
      </c>
      <c r="P516" t="str">
        <f>_xll.BDP("912828SM Govt","SECURITY_NAME")</f>
        <v>T 1 03/31/17</v>
      </c>
      <c r="Q516" t="str">
        <f>_xll.BDP("912828SM Govt","DAY_CNT_DES")</f>
        <v>ACT/ACT</v>
      </c>
      <c r="R516">
        <v>100</v>
      </c>
      <c r="S516" t="str">
        <f>_xll.BDP("912828SM Govt","ID_CUSIP")</f>
        <v>912828SM3</v>
      </c>
      <c r="T516" t="str">
        <f>_xll.BDP("912828SM Govt","IDX_RATIO")</f>
        <v>#N/A Field Not Applicable</v>
      </c>
    </row>
    <row r="517" spans="1:20" x14ac:dyDescent="0.25">
      <c r="A517" t="s">
        <v>14</v>
      </c>
      <c r="B517" t="str">
        <f>_xll.BDP("912828DP Govt","TICKER")</f>
        <v>T</v>
      </c>
      <c r="C517">
        <f>_xll.BDP("912828DP Govt","CPN")</f>
        <v>4</v>
      </c>
      <c r="D517" t="str">
        <f>_xll.BDP("912828DP Govt","YLD_YTM_BID")</f>
        <v>#N/A N/A</v>
      </c>
      <c r="E517" t="str">
        <f>_xll.BDP("912828DP Govt","MATURITY")</f>
        <v>3/15/2010</v>
      </c>
      <c r="F517" t="str">
        <f>_xll.BDP("912828DP Govt","MTY_TYP")</f>
        <v>NORMAL</v>
      </c>
      <c r="G517" t="str">
        <f>_xll.BDP("912828DP Govt","CRNCY")</f>
        <v>USD</v>
      </c>
      <c r="H517" t="str">
        <f>_xll.BDP("912828DP Govt","COUNTRY_FULL_NAME")</f>
        <v>UNITED STATES</v>
      </c>
      <c r="I517" t="str">
        <f>_xll.BDP("912828DP Govt","FIRST_CPN_DT")</f>
        <v>9/15/2005</v>
      </c>
      <c r="J517" t="str">
        <f>_xll.BDP("912828DP Govt","COUPON_FREQUENCY_DESCRIPTION")</f>
        <v>S/A</v>
      </c>
      <c r="K517" t="str">
        <f>_xll.BDP("912828DP Govt","CPN_TYP")</f>
        <v>FIXED</v>
      </c>
      <c r="L517" t="str">
        <f>_xll.BDP("912828DP Govt","ID_ISIN")</f>
        <v>US912828DP20</v>
      </c>
      <c r="M517">
        <v>15005000000</v>
      </c>
      <c r="N517">
        <v>0</v>
      </c>
      <c r="O517" t="str">
        <f>_xll.BDP("912828DP Govt","ISSUE_DT")</f>
        <v>3/15/2005</v>
      </c>
      <c r="P517" t="str">
        <f>_xll.BDP("912828DP Govt","SECURITY_NAME")</f>
        <v>T 4 03/15/10</v>
      </c>
      <c r="Q517" t="str">
        <f>_xll.BDP("912828DP Govt","DAY_CNT_DES")</f>
        <v>ACT/ACT</v>
      </c>
      <c r="R517">
        <v>100</v>
      </c>
      <c r="S517" t="str">
        <f>_xll.BDP("912828DP Govt","ID_CUSIP")</f>
        <v>912828DP2</v>
      </c>
      <c r="T517" t="str">
        <f>_xll.BDP("912828DP Govt","IDX_RATIO")</f>
        <v>#N/A Field Not Applicable</v>
      </c>
    </row>
    <row r="518" spans="1:20" x14ac:dyDescent="0.25">
      <c r="A518" t="s">
        <v>14</v>
      </c>
      <c r="B518" t="str">
        <f>_xll.BDP("912828K5 Govt","TICKER")</f>
        <v>T</v>
      </c>
      <c r="C518">
        <f>_xll.BDP("912828K5 Govt","CPN")</f>
        <v>1.375</v>
      </c>
      <c r="D518" t="str">
        <f>_xll.BDP("912828K5 Govt","YLD_YTM_BID")</f>
        <v>#N/A N/A</v>
      </c>
      <c r="E518" t="str">
        <f>_xll.BDP("912828K5 Govt","MATURITY")</f>
        <v>4/30/2020</v>
      </c>
      <c r="F518" t="str">
        <f>_xll.BDP("912828K5 Govt","MTY_TYP")</f>
        <v>NORMAL</v>
      </c>
      <c r="G518" t="str">
        <f>_xll.BDP("912828K5 Govt","CRNCY")</f>
        <v>USD</v>
      </c>
      <c r="H518" t="str">
        <f>_xll.BDP("912828K5 Govt","COUNTRY_FULL_NAME")</f>
        <v>UNITED STATES</v>
      </c>
      <c r="I518" t="str">
        <f>_xll.BDP("912828K5 Govt","FIRST_CPN_DT")</f>
        <v>10/31/2015</v>
      </c>
      <c r="J518" t="str">
        <f>_xll.BDP("912828K5 Govt","COUPON_FREQUENCY_DESCRIPTION")</f>
        <v>S/A</v>
      </c>
      <c r="K518" t="str">
        <f>_xll.BDP("912828K5 Govt","CPN_TYP")</f>
        <v>FIXED</v>
      </c>
      <c r="L518" t="str">
        <f>_xll.BDP("912828K5 Govt","ID_ISIN")</f>
        <v>US912828K585</v>
      </c>
      <c r="M518">
        <v>35128000000</v>
      </c>
      <c r="N518">
        <v>0</v>
      </c>
      <c r="O518" t="str">
        <f>_xll.BDP("912828K5 Govt","ISSUE_DT")</f>
        <v>4/30/2015</v>
      </c>
      <c r="P518" t="str">
        <f>_xll.BDP("912828K5 Govt","SECURITY_NAME")</f>
        <v>T 1 3/8 04/30/20</v>
      </c>
      <c r="Q518" t="str">
        <f>_xll.BDP("912828K5 Govt","DAY_CNT_DES")</f>
        <v>ACT/ACT</v>
      </c>
      <c r="R518">
        <v>100</v>
      </c>
      <c r="S518" t="str">
        <f>_xll.BDP("912828K5 Govt","ID_CUSIP")</f>
        <v>912828K58</v>
      </c>
      <c r="T518" t="str">
        <f>_xll.BDP("912828K5 Govt","IDX_RATIO")</f>
        <v>#N/A Field Not Applicable</v>
      </c>
    </row>
    <row r="519" spans="1:20" x14ac:dyDescent="0.25">
      <c r="A519" t="s">
        <v>14</v>
      </c>
      <c r="B519" t="str">
        <f>_xll.BDP("912828QX Govt","TICKER")</f>
        <v>T</v>
      </c>
      <c r="C519">
        <f>_xll.BDP("912828QX Govt","CPN")</f>
        <v>1.5</v>
      </c>
      <c r="D519" t="str">
        <f>_xll.BDP("912828QX Govt","YLD_YTM_BID")</f>
        <v>#N/A N/A</v>
      </c>
      <c r="E519" t="str">
        <f>_xll.BDP("912828QX Govt","MATURITY")</f>
        <v>7/31/2016</v>
      </c>
      <c r="F519" t="str">
        <f>_xll.BDP("912828QX Govt","MTY_TYP")</f>
        <v>NORMAL</v>
      </c>
      <c r="G519" t="str">
        <f>_xll.BDP("912828QX Govt","CRNCY")</f>
        <v>USD</v>
      </c>
      <c r="H519" t="str">
        <f>_xll.BDP("912828QX Govt","COUNTRY_FULL_NAME")</f>
        <v>UNITED STATES</v>
      </c>
      <c r="I519" t="str">
        <f>_xll.BDP("912828QX Govt","FIRST_CPN_DT")</f>
        <v>1/31/2012</v>
      </c>
      <c r="J519" t="str">
        <f>_xll.BDP("912828QX Govt","COUPON_FREQUENCY_DESCRIPTION")</f>
        <v>S/A</v>
      </c>
      <c r="K519" t="str">
        <f>_xll.BDP("912828QX Govt","CPN_TYP")</f>
        <v>FIXED</v>
      </c>
      <c r="L519" t="str">
        <f>_xll.BDP("912828QX Govt","ID_ISIN")</f>
        <v>US912828QX17</v>
      </c>
      <c r="M519">
        <v>36041000000</v>
      </c>
      <c r="N519">
        <v>0</v>
      </c>
      <c r="O519" t="str">
        <f>_xll.BDP("912828QX Govt","ISSUE_DT")</f>
        <v>8/1/2011</v>
      </c>
      <c r="P519" t="str">
        <f>_xll.BDP("912828QX Govt","SECURITY_NAME")</f>
        <v>T 1 1/2 07/31/16</v>
      </c>
      <c r="Q519" t="str">
        <f>_xll.BDP("912828QX Govt","DAY_CNT_DES")</f>
        <v>ACT/ACT</v>
      </c>
      <c r="R519">
        <v>100</v>
      </c>
      <c r="S519" t="str">
        <f>_xll.BDP("912828QX Govt","ID_CUSIP")</f>
        <v>912828QX1</v>
      </c>
      <c r="T519" t="str">
        <f>_xll.BDP("912828QX Govt","IDX_RATIO")</f>
        <v>#N/A Field Not Applicable</v>
      </c>
    </row>
    <row r="520" spans="1:20" x14ac:dyDescent="0.25">
      <c r="A520" t="s">
        <v>14</v>
      </c>
      <c r="B520" t="str">
        <f>_xll.BDP("912828TA Govt","TICKER")</f>
        <v>T</v>
      </c>
      <c r="C520">
        <f>_xll.BDP("912828TA Govt","CPN")</f>
        <v>0.25</v>
      </c>
      <c r="D520" t="str">
        <f>_xll.BDP("912828TA Govt","YLD_YTM_BID")</f>
        <v>#N/A N/A</v>
      </c>
      <c r="E520" t="str">
        <f>_xll.BDP("912828TA Govt","MATURITY")</f>
        <v>6/30/2014</v>
      </c>
      <c r="F520" t="str">
        <f>_xll.BDP("912828TA Govt","MTY_TYP")</f>
        <v>NORMAL</v>
      </c>
      <c r="G520" t="str">
        <f>_xll.BDP("912828TA Govt","CRNCY")</f>
        <v>USD</v>
      </c>
      <c r="H520" t="str">
        <f>_xll.BDP("912828TA Govt","COUNTRY_FULL_NAME")</f>
        <v>UNITED STATES</v>
      </c>
      <c r="I520" t="str">
        <f>_xll.BDP("912828TA Govt","FIRST_CPN_DT")</f>
        <v>12/31/2012</v>
      </c>
      <c r="J520" t="str">
        <f>_xll.BDP("912828TA Govt","COUPON_FREQUENCY_DESCRIPTION")</f>
        <v>S/A</v>
      </c>
      <c r="K520" t="str">
        <f>_xll.BDP("912828TA Govt","CPN_TYP")</f>
        <v>FIXED</v>
      </c>
      <c r="L520" t="str">
        <f>_xll.BDP("912828TA Govt","ID_ISIN")</f>
        <v>US912828TA86</v>
      </c>
      <c r="M520">
        <v>35356000000</v>
      </c>
      <c r="N520">
        <v>0</v>
      </c>
      <c r="O520" t="str">
        <f>_xll.BDP("912828TA Govt","ISSUE_DT")</f>
        <v>7/2/2012</v>
      </c>
      <c r="P520" t="str">
        <f>_xll.BDP("912828TA Govt","SECURITY_NAME")</f>
        <v>T 0 1/4 06/30/14</v>
      </c>
      <c r="Q520" t="str">
        <f>_xll.BDP("912828TA Govt","DAY_CNT_DES")</f>
        <v>ACT/ACT</v>
      </c>
      <c r="R520">
        <v>100</v>
      </c>
      <c r="S520" t="str">
        <f>_xll.BDP("912828TA Govt","ID_CUSIP")</f>
        <v>912828TA8</v>
      </c>
      <c r="T520" t="str">
        <f>_xll.BDP("912828TA Govt","IDX_RATIO")</f>
        <v>#N/A Field Not Applicable</v>
      </c>
    </row>
    <row r="521" spans="1:20" x14ac:dyDescent="0.25">
      <c r="A521" t="s">
        <v>14</v>
      </c>
      <c r="B521" t="str">
        <f>_xll.BDP("912810EJ Govt","TICKER")</f>
        <v>T</v>
      </c>
      <c r="C521">
        <f>_xll.BDP("912810EJ Govt","CPN")</f>
        <v>8.125</v>
      </c>
      <c r="D521" t="str">
        <f>_xll.BDP("912810EJ Govt","YLD_YTM_BID")</f>
        <v>#N/A N/A</v>
      </c>
      <c r="E521" t="str">
        <f>_xll.BDP("912810EJ Govt","MATURITY")</f>
        <v>5/15/2021</v>
      </c>
      <c r="F521" t="str">
        <f>_xll.BDP("912810EJ Govt","MTY_TYP")</f>
        <v>NORMAL</v>
      </c>
      <c r="G521" t="str">
        <f>_xll.BDP("912810EJ Govt","CRNCY")</f>
        <v>USD</v>
      </c>
      <c r="H521" t="str">
        <f>_xll.BDP("912810EJ Govt","COUNTRY_FULL_NAME")</f>
        <v>UNITED STATES</v>
      </c>
      <c r="I521" t="str">
        <f>_xll.BDP("912810EJ Govt","FIRST_CPN_DT")</f>
        <v>11/15/1991</v>
      </c>
      <c r="J521" t="str">
        <f>_xll.BDP("912810EJ Govt","COUPON_FREQUENCY_DESCRIPTION")</f>
        <v>S/A</v>
      </c>
      <c r="K521" t="str">
        <f>_xll.BDP("912810EJ Govt","CPN_TYP")</f>
        <v>FIXED</v>
      </c>
      <c r="L521" t="str">
        <f>_xll.BDP("912810EJ Govt","ID_ISIN")</f>
        <v>US912810EJ35</v>
      </c>
      <c r="M521">
        <v>11959000000</v>
      </c>
      <c r="N521">
        <v>0</v>
      </c>
      <c r="O521" t="str">
        <f>_xll.BDP("912810EJ Govt","ISSUE_DT")</f>
        <v>5/15/1991</v>
      </c>
      <c r="P521" t="str">
        <f>_xll.BDP("912810EJ Govt","SECURITY_NAME")</f>
        <v>T 8 1/8 05/15/21</v>
      </c>
      <c r="Q521" t="str">
        <f>_xll.BDP("912810EJ Govt","DAY_CNT_DES")</f>
        <v>ACT/ACT</v>
      </c>
      <c r="R521">
        <v>100</v>
      </c>
      <c r="S521" t="str">
        <f>_xll.BDP("912810EJ Govt","ID_CUSIP")</f>
        <v>912810EJ3</v>
      </c>
      <c r="T521" t="str">
        <f>_xll.BDP("912810EJ Govt","IDX_RATIO")</f>
        <v>#N/A Field Not Applicable</v>
      </c>
    </row>
    <row r="522" spans="1:20" x14ac:dyDescent="0.25">
      <c r="A522" t="s">
        <v>14</v>
      </c>
      <c r="B522" t="str">
        <f>_xll.BDP("9128274W Govt","TICKER")</f>
        <v>T</v>
      </c>
      <c r="C522">
        <f>_xll.BDP("9128274W Govt","CPN")</f>
        <v>4.625</v>
      </c>
      <c r="D522" t="str">
        <f>_xll.BDP("9128274W Govt","YLD_YTM_BID")</f>
        <v>#N/A N/A</v>
      </c>
      <c r="E522" t="str">
        <f>_xll.BDP("9128274W Govt","MATURITY")</f>
        <v>11/30/2000</v>
      </c>
      <c r="F522" t="str">
        <f>_xll.BDP("9128274W Govt","MTY_TYP")</f>
        <v>NORMAL</v>
      </c>
      <c r="G522" t="str">
        <f>_xll.BDP("9128274W Govt","CRNCY")</f>
        <v>USD</v>
      </c>
      <c r="H522" t="str">
        <f>_xll.BDP("9128274W Govt","COUNTRY_FULL_NAME")</f>
        <v>UNITED STATES</v>
      </c>
      <c r="I522" t="str">
        <f>_xll.BDP("9128274W Govt","FIRST_CPN_DT")</f>
        <v>5/31/1999</v>
      </c>
      <c r="J522" t="str">
        <f>_xll.BDP("9128274W Govt","COUPON_FREQUENCY_DESCRIPTION")</f>
        <v>S/A</v>
      </c>
      <c r="K522" t="str">
        <f>_xll.BDP("9128274W Govt","CPN_TYP")</f>
        <v>FIXED</v>
      </c>
      <c r="L522" t="str">
        <f>_xll.BDP("9128274W Govt","ID_ISIN")</f>
        <v>US9128274W90</v>
      </c>
      <c r="M522">
        <v>20158000000</v>
      </c>
      <c r="N522">
        <v>0</v>
      </c>
      <c r="O522" t="str">
        <f>_xll.BDP("9128274W Govt","ISSUE_DT")</f>
        <v>11/30/1998</v>
      </c>
      <c r="P522" t="str">
        <f>_xll.BDP("9128274W Govt","SECURITY_NAME")</f>
        <v>T 4 5/8 11/30/00</v>
      </c>
      <c r="Q522" t="str">
        <f>_xll.BDP("9128274W Govt","DAY_CNT_DES")</f>
        <v>ACT/ACT</v>
      </c>
      <c r="R522">
        <v>100</v>
      </c>
      <c r="S522" t="str">
        <f>_xll.BDP("9128274W Govt","ID_CUSIP")</f>
        <v>9128274W9</v>
      </c>
      <c r="T522" t="str">
        <f>_xll.BDP("9128274W Govt","IDX_RATIO")</f>
        <v>#N/A Field Not Applicable</v>
      </c>
    </row>
    <row r="523" spans="1:20" x14ac:dyDescent="0.25">
      <c r="A523" t="s">
        <v>14</v>
      </c>
      <c r="B523" t="str">
        <f>_xll.BDP("9128286V Govt","TICKER")</f>
        <v>T</v>
      </c>
      <c r="C523">
        <f>_xll.BDP("9128286V Govt","CPN")</f>
        <v>2.125</v>
      </c>
      <c r="D523" t="str">
        <f>_xll.BDP("9128286V Govt","YLD_YTM_BID")</f>
        <v>#N/A N/A</v>
      </c>
      <c r="E523" t="str">
        <f>_xll.BDP("9128286V Govt","MATURITY")</f>
        <v>5/31/2021</v>
      </c>
      <c r="F523" t="str">
        <f>_xll.BDP("9128286V Govt","MTY_TYP")</f>
        <v>NORMAL</v>
      </c>
      <c r="G523" t="str">
        <f>_xll.BDP("9128286V Govt","CRNCY")</f>
        <v>USD</v>
      </c>
      <c r="H523" t="str">
        <f>_xll.BDP("9128286V Govt","COUNTRY_FULL_NAME")</f>
        <v>UNITED STATES</v>
      </c>
      <c r="I523" t="str">
        <f>_xll.BDP("9128286V Govt","FIRST_CPN_DT")</f>
        <v>11/30/2019</v>
      </c>
      <c r="J523" t="str">
        <f>_xll.BDP("9128286V Govt","COUPON_FREQUENCY_DESCRIPTION")</f>
        <v>S/A</v>
      </c>
      <c r="K523" t="str">
        <f>_xll.BDP("9128286V Govt","CPN_TYP")</f>
        <v>FIXED</v>
      </c>
      <c r="L523" t="str">
        <f>_xll.BDP("9128286V Govt","ID_ISIN")</f>
        <v>US9128286V71</v>
      </c>
      <c r="M523">
        <v>44196000000</v>
      </c>
      <c r="N523">
        <v>0</v>
      </c>
      <c r="O523" t="str">
        <f>_xll.BDP("9128286V Govt","ISSUE_DT")</f>
        <v>5/31/2019</v>
      </c>
      <c r="P523" t="str">
        <f>_xll.BDP("9128286V Govt","SECURITY_NAME")</f>
        <v>T 2 1/8 05/31/21</v>
      </c>
      <c r="Q523" t="str">
        <f>_xll.BDP("9128286V Govt","DAY_CNT_DES")</f>
        <v>ACT/ACT</v>
      </c>
      <c r="R523">
        <v>100</v>
      </c>
      <c r="S523" t="str">
        <f>_xll.BDP("9128286V Govt","ID_CUSIP")</f>
        <v>9128286V7</v>
      </c>
      <c r="T523" t="str">
        <f>_xll.BDP("9128286V Govt","IDX_RATIO")</f>
        <v>#N/A Field Not Applicable</v>
      </c>
    </row>
    <row r="524" spans="1:20" x14ac:dyDescent="0.25">
      <c r="A524" t="s">
        <v>14</v>
      </c>
      <c r="B524" t="str">
        <f>_xll.BDP("912828EQ Govt","TICKER")</f>
        <v>T</v>
      </c>
      <c r="C524">
        <f>_xll.BDP("912828EQ Govt","CPN")</f>
        <v>4.375</v>
      </c>
      <c r="D524" t="str">
        <f>_xll.BDP("912828EQ Govt","YLD_YTM_BID")</f>
        <v>#N/A N/A</v>
      </c>
      <c r="E524" t="str">
        <f>_xll.BDP("912828EQ Govt","MATURITY")</f>
        <v>12/15/2010</v>
      </c>
      <c r="F524" t="str">
        <f>_xll.BDP("912828EQ Govt","MTY_TYP")</f>
        <v>NORMAL</v>
      </c>
      <c r="G524" t="str">
        <f>_xll.BDP("912828EQ Govt","CRNCY")</f>
        <v>USD</v>
      </c>
      <c r="H524" t="str">
        <f>_xll.BDP("912828EQ Govt","COUNTRY_FULL_NAME")</f>
        <v>UNITED STATES</v>
      </c>
      <c r="I524" t="str">
        <f>_xll.BDP("912828EQ Govt","FIRST_CPN_DT")</f>
        <v>6/15/2006</v>
      </c>
      <c r="J524" t="str">
        <f>_xll.BDP("912828EQ Govt","COUPON_FREQUENCY_DESCRIPTION")</f>
        <v>S/A</v>
      </c>
      <c r="K524" t="str">
        <f>_xll.BDP("912828EQ Govt","CPN_TYP")</f>
        <v>FIXED</v>
      </c>
      <c r="L524" t="str">
        <f>_xll.BDP("912828EQ Govt","ID_ISIN")</f>
        <v>US912828EQ93</v>
      </c>
      <c r="M524">
        <v>13001000000</v>
      </c>
      <c r="N524">
        <v>0</v>
      </c>
      <c r="O524" t="str">
        <f>_xll.BDP("912828EQ Govt","ISSUE_DT")</f>
        <v>12/15/2005</v>
      </c>
      <c r="P524" t="str">
        <f>_xll.BDP("912828EQ Govt","SECURITY_NAME")</f>
        <v>T 4 3/8 12/15/10</v>
      </c>
      <c r="Q524" t="str">
        <f>_xll.BDP("912828EQ Govt","DAY_CNT_DES")</f>
        <v>ACT/ACT</v>
      </c>
      <c r="R524">
        <v>100</v>
      </c>
      <c r="S524" t="str">
        <f>_xll.BDP("912828EQ Govt","ID_CUSIP")</f>
        <v>912828EQ9</v>
      </c>
      <c r="T524" t="str">
        <f>_xll.BDP("912828EQ Govt","IDX_RATIO")</f>
        <v>#N/A Field Not Applicable</v>
      </c>
    </row>
    <row r="525" spans="1:20" x14ac:dyDescent="0.25">
      <c r="A525" t="s">
        <v>14</v>
      </c>
      <c r="B525" t="str">
        <f>_xll.BDP("912828HK Govt","TICKER")</f>
        <v>T</v>
      </c>
      <c r="C525">
        <f>_xll.BDP("912828HK Govt","CPN")</f>
        <v>3.375</v>
      </c>
      <c r="D525" t="str">
        <f>_xll.BDP("912828HK Govt","YLD_YTM_BID")</f>
        <v>#N/A N/A</v>
      </c>
      <c r="E525" t="str">
        <f>_xll.BDP("912828HK Govt","MATURITY")</f>
        <v>11/30/2012</v>
      </c>
      <c r="F525" t="str">
        <f>_xll.BDP("912828HK Govt","MTY_TYP")</f>
        <v>NORMAL</v>
      </c>
      <c r="G525" t="str">
        <f>_xll.BDP("912828HK Govt","CRNCY")</f>
        <v>USD</v>
      </c>
      <c r="H525" t="str">
        <f>_xll.BDP("912828HK Govt","COUNTRY_FULL_NAME")</f>
        <v>UNITED STATES</v>
      </c>
      <c r="I525" t="str">
        <f>_xll.BDP("912828HK Govt","FIRST_CPN_DT")</f>
        <v>5/31/2008</v>
      </c>
      <c r="J525" t="str">
        <f>_xll.BDP("912828HK Govt","COUPON_FREQUENCY_DESCRIPTION")</f>
        <v>S/A</v>
      </c>
      <c r="K525" t="str">
        <f>_xll.BDP("912828HK Govt","CPN_TYP")</f>
        <v>FIXED</v>
      </c>
      <c r="L525" t="str">
        <f>_xll.BDP("912828HK Govt","ID_ISIN")</f>
        <v>US912828HK96</v>
      </c>
      <c r="M525">
        <v>15953000000</v>
      </c>
      <c r="N525">
        <v>0</v>
      </c>
      <c r="O525" t="str">
        <f>_xll.BDP("912828HK Govt","ISSUE_DT")</f>
        <v>11/30/2007</v>
      </c>
      <c r="P525" t="str">
        <f>_xll.BDP("912828HK Govt","SECURITY_NAME")</f>
        <v>T 3 3/8 11/30/12</v>
      </c>
      <c r="Q525" t="str">
        <f>_xll.BDP("912828HK Govt","DAY_CNT_DES")</f>
        <v>ACT/ACT</v>
      </c>
      <c r="R525">
        <v>100</v>
      </c>
      <c r="S525" t="str">
        <f>_xll.BDP("912828HK Govt","ID_CUSIP")</f>
        <v>912828HK9</v>
      </c>
      <c r="T525" t="str">
        <f>_xll.BDP("912828HK Govt","IDX_RATIO")</f>
        <v>#N/A Field Not Applicable</v>
      </c>
    </row>
    <row r="526" spans="1:20" x14ac:dyDescent="0.25">
      <c r="A526" t="s">
        <v>14</v>
      </c>
      <c r="B526" t="str">
        <f>_xll.BDP("912810CC Govt","TICKER")</f>
        <v>T</v>
      </c>
      <c r="C526">
        <f>_xll.BDP("912810CC Govt","CPN")</f>
        <v>8.375</v>
      </c>
      <c r="D526" t="str">
        <f>_xll.BDP("912810CC Govt","YLD_YTM_BID")</f>
        <v>#N/A N/A</v>
      </c>
      <c r="E526" t="str">
        <f>_xll.BDP("912810CC Govt","MATURITY")</f>
        <v>8/15/2008</v>
      </c>
      <c r="F526" t="str">
        <f>_xll.BDP("912810CC Govt","MTY_TYP")</f>
        <v>CALLABLE</v>
      </c>
      <c r="G526" t="str">
        <f>_xll.BDP("912810CC Govt","CRNCY")</f>
        <v>USD</v>
      </c>
      <c r="H526" t="str">
        <f>_xll.BDP("912810CC Govt","COUNTRY_FULL_NAME")</f>
        <v>UNITED STATES</v>
      </c>
      <c r="I526" t="str">
        <f>_xll.BDP("912810CC Govt","FIRST_CPN_DT")</f>
        <v>2/15/1979</v>
      </c>
      <c r="J526" t="str">
        <f>_xll.BDP("912810CC Govt","COUPON_FREQUENCY_DESCRIPTION")</f>
        <v>S/A</v>
      </c>
      <c r="K526" t="str">
        <f>_xll.BDP("912810CC Govt","CPN_TYP")</f>
        <v>FIXED</v>
      </c>
      <c r="L526" t="str">
        <f>_xll.BDP("912810CC Govt","ID_ISIN")</f>
        <v>US912810CC00</v>
      </c>
      <c r="M526">
        <v>21357000000</v>
      </c>
      <c r="N526">
        <v>0</v>
      </c>
      <c r="O526" t="str">
        <f>_xll.BDP("912810CC Govt","ISSUE_DT")</f>
        <v>8/15/1978</v>
      </c>
      <c r="P526" t="str">
        <f>_xll.BDP("912810CC Govt","SECURITY_NAME")</f>
        <v>T 8 3/8 08/15/08</v>
      </c>
      <c r="Q526" t="str">
        <f>_xll.BDP("912810CC Govt","DAY_CNT_DES")</f>
        <v>ACT/ACT</v>
      </c>
      <c r="R526">
        <v>100</v>
      </c>
      <c r="S526" t="str">
        <f>_xll.BDP("912810CC Govt","ID_CUSIP")</f>
        <v>912810CC0</v>
      </c>
      <c r="T526" t="str">
        <f>_xll.BDP("912810CC Govt","IDX_RATIO")</f>
        <v>#N/A Field Not Applicable</v>
      </c>
    </row>
    <row r="527" spans="1:20" x14ac:dyDescent="0.25">
      <c r="A527" t="s">
        <v>14</v>
      </c>
      <c r="B527" t="str">
        <f>_xll.BDP("912810DV Govt","TICKER")</f>
        <v>T</v>
      </c>
      <c r="C527">
        <f>_xll.BDP("912810DV Govt","CPN")</f>
        <v>9.25</v>
      </c>
      <c r="D527" t="str">
        <f>_xll.BDP("912810DV Govt","YLD_YTM_BID")</f>
        <v>#N/A N/A</v>
      </c>
      <c r="E527" t="str">
        <f>_xll.BDP("912810DV Govt","MATURITY")</f>
        <v>2/15/2016</v>
      </c>
      <c r="F527" t="str">
        <f>_xll.BDP("912810DV Govt","MTY_TYP")</f>
        <v>NORMAL</v>
      </c>
      <c r="G527" t="str">
        <f>_xll.BDP("912810DV Govt","CRNCY")</f>
        <v>USD</v>
      </c>
      <c r="H527" t="str">
        <f>_xll.BDP("912810DV Govt","COUNTRY_FULL_NAME")</f>
        <v>UNITED STATES</v>
      </c>
      <c r="I527" t="str">
        <f>_xll.BDP("912810DV Govt","FIRST_CPN_DT")</f>
        <v>8/15/1986</v>
      </c>
      <c r="J527" t="str">
        <f>_xll.BDP("912810DV Govt","COUPON_FREQUENCY_DESCRIPTION")</f>
        <v>S/A</v>
      </c>
      <c r="K527" t="str">
        <f>_xll.BDP("912810DV Govt","CPN_TYP")</f>
        <v>FIXED</v>
      </c>
      <c r="L527" t="str">
        <f>_xll.BDP("912810DV Govt","ID_ISIN")</f>
        <v>US912810DV71</v>
      </c>
      <c r="M527">
        <v>7267000000</v>
      </c>
      <c r="N527">
        <v>0</v>
      </c>
      <c r="O527" t="str">
        <f>_xll.BDP("912810DV Govt","ISSUE_DT")</f>
        <v>2/18/1986</v>
      </c>
      <c r="P527" t="str">
        <f>_xll.BDP("912810DV Govt","SECURITY_NAME")</f>
        <v>T 9 1/4 02/15/16</v>
      </c>
      <c r="Q527" t="str">
        <f>_xll.BDP("912810DV Govt","DAY_CNT_DES")</f>
        <v>ACT/ACT</v>
      </c>
      <c r="R527">
        <v>100</v>
      </c>
      <c r="S527" t="str">
        <f>_xll.BDP("912810DV Govt","ID_CUSIP")</f>
        <v>912810DV7</v>
      </c>
      <c r="T527" t="str">
        <f>_xll.BDP("912810DV Govt","IDX_RATIO")</f>
        <v>#N/A Field Not Applicable</v>
      </c>
    </row>
    <row r="528" spans="1:20" x14ac:dyDescent="0.25">
      <c r="A528" t="s">
        <v>14</v>
      </c>
      <c r="B528" t="str">
        <f>_xll.BDP("9128277K Govt","TICKER")</f>
        <v>T</v>
      </c>
      <c r="C528">
        <f>_xll.BDP("9128277K Govt","CPN")</f>
        <v>3</v>
      </c>
      <c r="D528" t="str">
        <f>_xll.BDP("9128277K Govt","YLD_YTM_BID")</f>
        <v>#N/A N/A</v>
      </c>
      <c r="E528" t="str">
        <f>_xll.BDP("9128277K Govt","MATURITY")</f>
        <v>1/31/2004</v>
      </c>
      <c r="F528" t="str">
        <f>_xll.BDP("9128277K Govt","MTY_TYP")</f>
        <v>NORMAL</v>
      </c>
      <c r="G528" t="str">
        <f>_xll.BDP("9128277K Govt","CRNCY")</f>
        <v>USD</v>
      </c>
      <c r="H528" t="str">
        <f>_xll.BDP("9128277K Govt","COUNTRY_FULL_NAME")</f>
        <v>UNITED STATES</v>
      </c>
      <c r="I528" t="str">
        <f>_xll.BDP("9128277K Govt","FIRST_CPN_DT")</f>
        <v>7/31/2002</v>
      </c>
      <c r="J528" t="str">
        <f>_xll.BDP("9128277K Govt","COUPON_FREQUENCY_DESCRIPTION")</f>
        <v>S/A</v>
      </c>
      <c r="K528" t="str">
        <f>_xll.BDP("9128277K Govt","CPN_TYP")</f>
        <v>FIXED</v>
      </c>
      <c r="L528" t="str">
        <f>_xll.BDP("9128277K Govt","ID_ISIN")</f>
        <v>US9128277K26</v>
      </c>
      <c r="M528">
        <v>30776000000</v>
      </c>
      <c r="N528">
        <v>0</v>
      </c>
      <c r="O528" t="str">
        <f>_xll.BDP("9128277K Govt","ISSUE_DT")</f>
        <v>1/31/2002</v>
      </c>
      <c r="P528" t="str">
        <f>_xll.BDP("9128277K Govt","SECURITY_NAME")</f>
        <v>T 3 01/31/04</v>
      </c>
      <c r="Q528" t="str">
        <f>_xll.BDP("9128277K Govt","DAY_CNT_DES")</f>
        <v>ACT/ACT</v>
      </c>
      <c r="R528">
        <v>100</v>
      </c>
      <c r="S528" t="str">
        <f>_xll.BDP("9128277K Govt","ID_CUSIP")</f>
        <v>9128277K2</v>
      </c>
      <c r="T528" t="str">
        <f>_xll.BDP("9128277K Govt","IDX_RATIO")</f>
        <v>#N/A Field Not Applicable</v>
      </c>
    </row>
    <row r="529" spans="1:20" x14ac:dyDescent="0.25">
      <c r="A529" t="s">
        <v>14</v>
      </c>
      <c r="B529" t="str">
        <f>_xll.BDP("912810DA Govt","TICKER")</f>
        <v>T</v>
      </c>
      <c r="C529">
        <f>_xll.BDP("912810DA Govt","CPN")</f>
        <v>11.625</v>
      </c>
      <c r="D529" t="str">
        <f>_xll.BDP("912810DA Govt","YLD_YTM_BID")</f>
        <v>#N/A N/A</v>
      </c>
      <c r="E529" t="str">
        <f>_xll.BDP("912810DA Govt","MATURITY")</f>
        <v>11/15/2002</v>
      </c>
      <c r="F529" t="str">
        <f>_xll.BDP("912810DA Govt","MTY_TYP")</f>
        <v>NORMAL</v>
      </c>
      <c r="G529" t="str">
        <f>_xll.BDP("912810DA Govt","CRNCY")</f>
        <v>USD</v>
      </c>
      <c r="H529" t="str">
        <f>_xll.BDP("912810DA Govt","COUNTRY_FULL_NAME")</f>
        <v>UNITED STATES</v>
      </c>
      <c r="I529" t="str">
        <f>_xll.BDP("912810DA Govt","FIRST_CPN_DT")</f>
        <v>5/15/1983</v>
      </c>
      <c r="J529" t="str">
        <f>_xll.BDP("912810DA Govt","COUPON_FREQUENCY_DESCRIPTION")</f>
        <v>S/A</v>
      </c>
      <c r="K529" t="str">
        <f>_xll.BDP("912810DA Govt","CPN_TYP")</f>
        <v>FIXED</v>
      </c>
      <c r="L529" t="str">
        <f>_xll.BDP("912810DA Govt","ID_ISIN")</f>
        <v>US912810DA35</v>
      </c>
      <c r="M529">
        <v>2753000000</v>
      </c>
      <c r="N529">
        <v>0</v>
      </c>
      <c r="O529" t="str">
        <f>_xll.BDP("912810DA Govt","ISSUE_DT")</f>
        <v>9/29/1982</v>
      </c>
      <c r="P529" t="str">
        <f>_xll.BDP("912810DA Govt","SECURITY_NAME")</f>
        <v>T 11 5/8 11/15/02</v>
      </c>
      <c r="Q529" t="str">
        <f>_xll.BDP("912810DA Govt","DAY_CNT_DES")</f>
        <v>ACT/ACT</v>
      </c>
      <c r="R529">
        <v>100</v>
      </c>
      <c r="S529" t="str">
        <f>_xll.BDP("912810DA Govt","ID_CUSIP")</f>
        <v>912810DA3</v>
      </c>
      <c r="T529" t="str">
        <f>_xll.BDP("912810DA Govt","IDX_RATIO")</f>
        <v>#N/A Field Not Applicable</v>
      </c>
    </row>
    <row r="530" spans="1:20" x14ac:dyDescent="0.25">
      <c r="A530" t="s">
        <v>14</v>
      </c>
      <c r="B530" t="str">
        <f>_xll.BDP("912828AE Govt","TICKER")</f>
        <v>T</v>
      </c>
      <c r="C530">
        <f>_xll.BDP("912828AE Govt","CPN")</f>
        <v>2.875</v>
      </c>
      <c r="D530" t="str">
        <f>_xll.BDP("912828AE Govt","YLD_YTM_BID")</f>
        <v>#N/A N/A</v>
      </c>
      <c r="E530" t="str">
        <f>_xll.BDP("912828AE Govt","MATURITY")</f>
        <v>6/30/2004</v>
      </c>
      <c r="F530" t="str">
        <f>_xll.BDP("912828AE Govt","MTY_TYP")</f>
        <v>NORMAL</v>
      </c>
      <c r="G530" t="str">
        <f>_xll.BDP("912828AE Govt","CRNCY")</f>
        <v>USD</v>
      </c>
      <c r="H530" t="str">
        <f>_xll.BDP("912828AE Govt","COUNTRY_FULL_NAME")</f>
        <v>UNITED STATES</v>
      </c>
      <c r="I530" t="str">
        <f>_xll.BDP("912828AE Govt","FIRST_CPN_DT")</f>
        <v>12/31/2002</v>
      </c>
      <c r="J530" t="str">
        <f>_xll.BDP("912828AE Govt","COUPON_FREQUENCY_DESCRIPTION")</f>
        <v>S/A</v>
      </c>
      <c r="K530" t="str">
        <f>_xll.BDP("912828AE Govt","CPN_TYP")</f>
        <v>FIXED</v>
      </c>
      <c r="L530" t="str">
        <f>_xll.BDP("912828AE Govt","ID_ISIN")</f>
        <v>US912828AE00</v>
      </c>
      <c r="M530">
        <v>34050000000</v>
      </c>
      <c r="N530">
        <v>0</v>
      </c>
      <c r="O530" t="str">
        <f>_xll.BDP("912828AE Govt","ISSUE_DT")</f>
        <v>7/1/2002</v>
      </c>
      <c r="P530" t="str">
        <f>_xll.BDP("912828AE Govt","SECURITY_NAME")</f>
        <v>T 2 7/8 06/30/04</v>
      </c>
      <c r="Q530" t="str">
        <f>_xll.BDP("912828AE Govt","DAY_CNT_DES")</f>
        <v>ACT/ACT</v>
      </c>
      <c r="R530">
        <v>100</v>
      </c>
      <c r="S530" t="str">
        <f>_xll.BDP("912828AE Govt","ID_CUSIP")</f>
        <v>912828AE0</v>
      </c>
      <c r="T530" t="str">
        <f>_xll.BDP("912828AE Govt","IDX_RATIO")</f>
        <v>#N/A Field Not Applicable</v>
      </c>
    </row>
    <row r="531" spans="1:20" x14ac:dyDescent="0.25">
      <c r="A531" t="s">
        <v>14</v>
      </c>
      <c r="B531" t="str">
        <f>_xll.BDP("912828AJ Govt","TICKER")</f>
        <v>T</v>
      </c>
      <c r="C531">
        <f>_xll.BDP("912828AJ Govt","CPN")</f>
        <v>4.375</v>
      </c>
      <c r="D531" t="str">
        <f>_xll.BDP("912828AJ Govt","YLD_YTM_BID")</f>
        <v>#N/A N/A</v>
      </c>
      <c r="E531" t="str">
        <f>_xll.BDP("912828AJ Govt","MATURITY")</f>
        <v>8/15/2012</v>
      </c>
      <c r="F531" t="str">
        <f>_xll.BDP("912828AJ Govt","MTY_TYP")</f>
        <v>NORMAL</v>
      </c>
      <c r="G531" t="str">
        <f>_xll.BDP("912828AJ Govt","CRNCY")</f>
        <v>USD</v>
      </c>
      <c r="H531" t="str">
        <f>_xll.BDP("912828AJ Govt","COUNTRY_FULL_NAME")</f>
        <v>UNITED STATES</v>
      </c>
      <c r="I531" t="str">
        <f>_xll.BDP("912828AJ Govt","FIRST_CPN_DT")</f>
        <v>2/15/2003</v>
      </c>
      <c r="J531" t="str">
        <f>_xll.BDP("912828AJ Govt","COUPON_FREQUENCY_DESCRIPTION")</f>
        <v>S/A</v>
      </c>
      <c r="K531" t="str">
        <f>_xll.BDP("912828AJ Govt","CPN_TYP")</f>
        <v>FIXED</v>
      </c>
      <c r="L531" t="str">
        <f>_xll.BDP("912828AJ Govt","ID_ISIN")</f>
        <v>US912828AJ96</v>
      </c>
      <c r="M531">
        <v>19648000000</v>
      </c>
      <c r="N531">
        <v>0</v>
      </c>
      <c r="O531" t="str">
        <f>_xll.BDP("912828AJ Govt","ISSUE_DT")</f>
        <v>8/15/2002</v>
      </c>
      <c r="P531" t="str">
        <f>_xll.BDP("912828AJ Govt","SECURITY_NAME")</f>
        <v>T 4 3/8 08/15/12</v>
      </c>
      <c r="Q531" t="str">
        <f>_xll.BDP("912828AJ Govt","DAY_CNT_DES")</f>
        <v>ACT/ACT</v>
      </c>
      <c r="R531">
        <v>100</v>
      </c>
      <c r="S531" t="str">
        <f>_xll.BDP("912828AJ Govt","ID_CUSIP")</f>
        <v>912828AJ9</v>
      </c>
      <c r="T531" t="str">
        <f>_xll.BDP("912828AJ Govt","IDX_RATIO")</f>
        <v>#N/A Field Not Applicable</v>
      </c>
    </row>
    <row r="532" spans="1:20" x14ac:dyDescent="0.25">
      <c r="A532" t="s">
        <v>14</v>
      </c>
      <c r="B532" t="str">
        <f>_xll.BDP("912828FM Govt","TICKER")</f>
        <v>T</v>
      </c>
      <c r="C532">
        <f>_xll.BDP("912828FM Govt","CPN")</f>
        <v>5</v>
      </c>
      <c r="D532" t="str">
        <f>_xll.BDP("912828FM Govt","YLD_YTM_BID")</f>
        <v>#N/A N/A</v>
      </c>
      <c r="E532" t="str">
        <f>_xll.BDP("912828FM Govt","MATURITY")</f>
        <v>7/31/2008</v>
      </c>
      <c r="F532" t="str">
        <f>_xll.BDP("912828FM Govt","MTY_TYP")</f>
        <v>NORMAL</v>
      </c>
      <c r="G532" t="str">
        <f>_xll.BDP("912828FM Govt","CRNCY")</f>
        <v>USD</v>
      </c>
      <c r="H532" t="str">
        <f>_xll.BDP("912828FM Govt","COUNTRY_FULL_NAME")</f>
        <v>UNITED STATES</v>
      </c>
      <c r="I532" t="str">
        <f>_xll.BDP("912828FM Govt","FIRST_CPN_DT")</f>
        <v>1/31/2007</v>
      </c>
      <c r="J532" t="str">
        <f>_xll.BDP("912828FM Govt","COUPON_FREQUENCY_DESCRIPTION")</f>
        <v>S/A</v>
      </c>
      <c r="K532" t="str">
        <f>_xll.BDP("912828FM Govt","CPN_TYP")</f>
        <v>FIXED</v>
      </c>
      <c r="L532" t="str">
        <f>_xll.BDP("912828FM Govt","ID_ISIN")</f>
        <v>US912828FM70</v>
      </c>
      <c r="M532">
        <v>26429000000</v>
      </c>
      <c r="N532">
        <v>0</v>
      </c>
      <c r="O532" t="str">
        <f>_xll.BDP("912828FM Govt","ISSUE_DT")</f>
        <v>7/31/2006</v>
      </c>
      <c r="P532" t="str">
        <f>_xll.BDP("912828FM Govt","SECURITY_NAME")</f>
        <v>T 5 07/31/08</v>
      </c>
      <c r="Q532" t="str">
        <f>_xll.BDP("912828FM Govt","DAY_CNT_DES")</f>
        <v>ACT/ACT</v>
      </c>
      <c r="R532">
        <v>100</v>
      </c>
      <c r="S532" t="str">
        <f>_xll.BDP("912828FM Govt","ID_CUSIP")</f>
        <v>912828FM7</v>
      </c>
      <c r="T532" t="str">
        <f>_xll.BDP("912828FM Govt","IDX_RATIO")</f>
        <v>#N/A Field Not Applicable</v>
      </c>
    </row>
    <row r="533" spans="1:20" x14ac:dyDescent="0.25">
      <c r="A533" t="s">
        <v>14</v>
      </c>
      <c r="B533" t="str">
        <f>_xll.BDP("912828BU Govt","TICKER")</f>
        <v>T</v>
      </c>
      <c r="C533">
        <f>_xll.BDP("912828BU Govt","CPN")</f>
        <v>1.875</v>
      </c>
      <c r="D533" t="str">
        <f>_xll.BDP("912828BU Govt","YLD_YTM_BID")</f>
        <v>#N/A N/A</v>
      </c>
      <c r="E533" t="str">
        <f>_xll.BDP("912828BU Govt","MATURITY")</f>
        <v>12/31/2005</v>
      </c>
      <c r="F533" t="str">
        <f>_xll.BDP("912828BU Govt","MTY_TYP")</f>
        <v>NORMAL</v>
      </c>
      <c r="G533" t="str">
        <f>_xll.BDP("912828BU Govt","CRNCY")</f>
        <v>USD</v>
      </c>
      <c r="H533" t="str">
        <f>_xll.BDP("912828BU Govt","COUNTRY_FULL_NAME")</f>
        <v>UNITED STATES</v>
      </c>
      <c r="I533" t="str">
        <f>_xll.BDP("912828BU Govt","FIRST_CPN_DT")</f>
        <v>6/30/2004</v>
      </c>
      <c r="J533" t="str">
        <f>_xll.BDP("912828BU Govt","COUPON_FREQUENCY_DESCRIPTION")</f>
        <v>S/A</v>
      </c>
      <c r="K533" t="str">
        <f>_xll.BDP("912828BU Govt","CPN_TYP")</f>
        <v>FIXED</v>
      </c>
      <c r="L533" t="str">
        <f>_xll.BDP("912828BU Govt","ID_ISIN")</f>
        <v>US912828BU33</v>
      </c>
      <c r="M533">
        <v>33996000000</v>
      </c>
      <c r="N533">
        <v>0</v>
      </c>
      <c r="O533" t="str">
        <f>_xll.BDP("912828BU Govt","ISSUE_DT")</f>
        <v>12/31/2003</v>
      </c>
      <c r="P533" t="str">
        <f>_xll.BDP("912828BU Govt","SECURITY_NAME")</f>
        <v>T 1 7/8 12/31/05</v>
      </c>
      <c r="Q533" t="str">
        <f>_xll.BDP("912828BU Govt","DAY_CNT_DES")</f>
        <v>ACT/ACT</v>
      </c>
      <c r="R533">
        <v>100</v>
      </c>
      <c r="S533" t="str">
        <f>_xll.BDP("912828BU Govt","ID_CUSIP")</f>
        <v>912828BU3</v>
      </c>
      <c r="T533" t="str">
        <f>_xll.BDP("912828BU Govt","IDX_RATIO")</f>
        <v>#N/A Field Not Applicable</v>
      </c>
    </row>
    <row r="534" spans="1:20" x14ac:dyDescent="0.25">
      <c r="A534" t="s">
        <v>14</v>
      </c>
      <c r="B534" t="str">
        <f>_xll.BDP("912828FQ Govt","TICKER")</f>
        <v>T</v>
      </c>
      <c r="C534">
        <f>_xll.BDP("912828FQ Govt","CPN")</f>
        <v>4.875</v>
      </c>
      <c r="D534" t="str">
        <f>_xll.BDP("912828FQ Govt","YLD_YTM_BID")</f>
        <v>#N/A N/A</v>
      </c>
      <c r="E534" t="str">
        <f>_xll.BDP("912828FQ Govt","MATURITY")</f>
        <v>8/15/2016</v>
      </c>
      <c r="F534" t="str">
        <f>_xll.BDP("912828FQ Govt","MTY_TYP")</f>
        <v>NORMAL</v>
      </c>
      <c r="G534" t="str">
        <f>_xll.BDP("912828FQ Govt","CRNCY")</f>
        <v>USD</v>
      </c>
      <c r="H534" t="str">
        <f>_xll.BDP("912828FQ Govt","COUNTRY_FULL_NAME")</f>
        <v>UNITED STATES</v>
      </c>
      <c r="I534" t="str">
        <f>_xll.BDP("912828FQ Govt","FIRST_CPN_DT")</f>
        <v>2/15/2007</v>
      </c>
      <c r="J534" t="str">
        <f>_xll.BDP("912828FQ Govt","COUPON_FREQUENCY_DESCRIPTION")</f>
        <v>S/A</v>
      </c>
      <c r="K534" t="str">
        <f>_xll.BDP("912828FQ Govt","CPN_TYP")</f>
        <v>FIXED</v>
      </c>
      <c r="L534" t="str">
        <f>_xll.BDP("912828FQ Govt","ID_ISIN")</f>
        <v>US912828FQ84</v>
      </c>
      <c r="M534">
        <v>22557000000</v>
      </c>
      <c r="N534">
        <v>0</v>
      </c>
      <c r="O534" t="str">
        <f>_xll.BDP("912828FQ Govt","ISSUE_DT")</f>
        <v>8/15/2006</v>
      </c>
      <c r="P534" t="str">
        <f>_xll.BDP("912828FQ Govt","SECURITY_NAME")</f>
        <v>T 4 7/8 08/15/16</v>
      </c>
      <c r="Q534" t="str">
        <f>_xll.BDP("912828FQ Govt","DAY_CNT_DES")</f>
        <v>ACT/ACT</v>
      </c>
      <c r="R534">
        <v>100</v>
      </c>
      <c r="S534" t="str">
        <f>_xll.BDP("912828FQ Govt","ID_CUSIP")</f>
        <v>912828FQ8</v>
      </c>
      <c r="T534" t="str">
        <f>_xll.BDP("912828FQ Govt","IDX_RATIO")</f>
        <v>#N/A Field Not Applicable</v>
      </c>
    </row>
    <row r="535" spans="1:20" x14ac:dyDescent="0.25">
      <c r="A535" t="s">
        <v>14</v>
      </c>
      <c r="B535" t="str">
        <f>_xll.BDP("912828LX Govt","TICKER")</f>
        <v>T</v>
      </c>
      <c r="C535">
        <f>_xll.BDP("912828LX Govt","CPN")</f>
        <v>1.375</v>
      </c>
      <c r="D535" t="str">
        <f>_xll.BDP("912828LX Govt","YLD_YTM_BID")</f>
        <v>#N/A N/A</v>
      </c>
      <c r="E535" t="str">
        <f>_xll.BDP("912828LX Govt","MATURITY")</f>
        <v>11/15/2012</v>
      </c>
      <c r="F535" t="str">
        <f>_xll.BDP("912828LX Govt","MTY_TYP")</f>
        <v>NORMAL</v>
      </c>
      <c r="G535" t="str">
        <f>_xll.BDP("912828LX Govt","CRNCY")</f>
        <v>USD</v>
      </c>
      <c r="H535" t="str">
        <f>_xll.BDP("912828LX Govt","COUNTRY_FULL_NAME")</f>
        <v>UNITED STATES</v>
      </c>
      <c r="I535" t="str">
        <f>_xll.BDP("912828LX Govt","FIRST_CPN_DT")</f>
        <v>5/15/2010</v>
      </c>
      <c r="J535" t="str">
        <f>_xll.BDP("912828LX Govt","COUPON_FREQUENCY_DESCRIPTION")</f>
        <v>S/A</v>
      </c>
      <c r="K535" t="str">
        <f>_xll.BDP("912828LX Govt","CPN_TYP")</f>
        <v>FIXED</v>
      </c>
      <c r="L535" t="str">
        <f>_xll.BDP("912828LX Govt","ID_ISIN")</f>
        <v>US912828LX61</v>
      </c>
      <c r="M535">
        <v>44975000000</v>
      </c>
      <c r="N535">
        <v>0</v>
      </c>
      <c r="O535" t="str">
        <f>_xll.BDP("912828LX Govt","ISSUE_DT")</f>
        <v>11/16/2009</v>
      </c>
      <c r="P535" t="str">
        <f>_xll.BDP("912828LX Govt","SECURITY_NAME")</f>
        <v>T 1 3/8 11/15/12</v>
      </c>
      <c r="Q535" t="str">
        <f>_xll.BDP("912828LX Govt","DAY_CNT_DES")</f>
        <v>ACT/ACT</v>
      </c>
      <c r="R535">
        <v>100</v>
      </c>
      <c r="S535" t="str">
        <f>_xll.BDP("912828LX Govt","ID_CUSIP")</f>
        <v>912828LX6</v>
      </c>
      <c r="T535" t="str">
        <f>_xll.BDP("912828LX Govt","IDX_RATIO")</f>
        <v>#N/A Field Not Applicable</v>
      </c>
    </row>
    <row r="536" spans="1:20" x14ac:dyDescent="0.25">
      <c r="A536" t="s">
        <v>14</v>
      </c>
      <c r="B536" t="str">
        <f>_xll.BDP("912828XM Govt","TICKER")</f>
        <v>T</v>
      </c>
      <c r="C536">
        <f>_xll.BDP("912828XM Govt","CPN")</f>
        <v>1.625</v>
      </c>
      <c r="D536" t="str">
        <f>_xll.BDP("912828XM Govt","YLD_YTM_BID")</f>
        <v>#N/A N/A</v>
      </c>
      <c r="E536" t="str">
        <f>_xll.BDP("912828XM Govt","MATURITY")</f>
        <v>7/31/2020</v>
      </c>
      <c r="F536" t="str">
        <f>_xll.BDP("912828XM Govt","MTY_TYP")</f>
        <v>NORMAL</v>
      </c>
      <c r="G536" t="str">
        <f>_xll.BDP("912828XM Govt","CRNCY")</f>
        <v>USD</v>
      </c>
      <c r="H536" t="str">
        <f>_xll.BDP("912828XM Govt","COUNTRY_FULL_NAME")</f>
        <v>UNITED STATES</v>
      </c>
      <c r="I536" t="str">
        <f>_xll.BDP("912828XM Govt","FIRST_CPN_DT")</f>
        <v>1/31/2016</v>
      </c>
      <c r="J536" t="str">
        <f>_xll.BDP("912828XM Govt","COUPON_FREQUENCY_DESCRIPTION")</f>
        <v>S/A</v>
      </c>
      <c r="K536" t="str">
        <f>_xll.BDP("912828XM Govt","CPN_TYP")</f>
        <v>FIXED</v>
      </c>
      <c r="L536" t="str">
        <f>_xll.BDP("912828XM Govt","ID_ISIN")</f>
        <v>US912828XM78</v>
      </c>
      <c r="M536">
        <v>35000000000</v>
      </c>
      <c r="N536">
        <v>0</v>
      </c>
      <c r="O536" t="str">
        <f>_xll.BDP("912828XM Govt","ISSUE_DT")</f>
        <v>7/31/2015</v>
      </c>
      <c r="P536" t="str">
        <f>_xll.BDP("912828XM Govt","SECURITY_NAME")</f>
        <v>T 1 5/8 07/31/20</v>
      </c>
      <c r="Q536" t="str">
        <f>_xll.BDP("912828XM Govt","DAY_CNT_DES")</f>
        <v>ACT/ACT</v>
      </c>
      <c r="R536">
        <v>100</v>
      </c>
      <c r="S536" t="str">
        <f>_xll.BDP("912828XM Govt","ID_CUSIP")</f>
        <v>912828XM7</v>
      </c>
      <c r="T536" t="str">
        <f>_xll.BDP("912828XM Govt","IDX_RATIO")</f>
        <v>#N/A Field Not Applicable</v>
      </c>
    </row>
    <row r="537" spans="1:20" x14ac:dyDescent="0.25">
      <c r="A537" t="s">
        <v>14</v>
      </c>
      <c r="B537" t="str">
        <f>_xll.BDP("912828JF Govt","TICKER")</f>
        <v>T</v>
      </c>
      <c r="C537">
        <f>_xll.BDP("912828JF Govt","CPN")</f>
        <v>2.75</v>
      </c>
      <c r="D537" t="str">
        <f>_xll.BDP("912828JF Govt","YLD_YTM_BID")</f>
        <v>#N/A N/A</v>
      </c>
      <c r="E537" t="str">
        <f>_xll.BDP("912828JF Govt","MATURITY")</f>
        <v>7/31/2010</v>
      </c>
      <c r="F537" t="str">
        <f>_xll.BDP("912828JF Govt","MTY_TYP")</f>
        <v>NORMAL</v>
      </c>
      <c r="G537" t="str">
        <f>_xll.BDP("912828JF Govt","CRNCY")</f>
        <v>USD</v>
      </c>
      <c r="H537" t="str">
        <f>_xll.BDP("912828JF Govt","COUNTRY_FULL_NAME")</f>
        <v>UNITED STATES</v>
      </c>
      <c r="I537" t="str">
        <f>_xll.BDP("912828JF Govt","FIRST_CPN_DT")</f>
        <v>1/31/2009</v>
      </c>
      <c r="J537" t="str">
        <f>_xll.BDP("912828JF Govt","COUPON_FREQUENCY_DESCRIPTION")</f>
        <v>S/A</v>
      </c>
      <c r="K537" t="str">
        <f>_xll.BDP("912828JF Govt","CPN_TYP")</f>
        <v>FIXED</v>
      </c>
      <c r="L537" t="str">
        <f>_xll.BDP("912828JF Govt","ID_ISIN")</f>
        <v>US912828JF83</v>
      </c>
      <c r="M537">
        <v>34421000000</v>
      </c>
      <c r="N537">
        <v>0</v>
      </c>
      <c r="O537" t="str">
        <f>_xll.BDP("912828JF Govt","ISSUE_DT")</f>
        <v>7/31/2008</v>
      </c>
      <c r="P537" t="str">
        <f>_xll.BDP("912828JF Govt","SECURITY_NAME")</f>
        <v>T 2 3/4 07/31/10</v>
      </c>
      <c r="Q537" t="str">
        <f>_xll.BDP("912828JF Govt","DAY_CNT_DES")</f>
        <v>ACT/ACT</v>
      </c>
      <c r="R537">
        <v>100</v>
      </c>
      <c r="S537" t="str">
        <f>_xll.BDP("912828JF Govt","ID_CUSIP")</f>
        <v>912828JF8</v>
      </c>
      <c r="T537" t="str">
        <f>_xll.BDP("912828JF Govt","IDX_RATIO")</f>
        <v>#N/A Field Not Applicable</v>
      </c>
    </row>
    <row r="538" spans="1:20" x14ac:dyDescent="0.25">
      <c r="A538" t="s">
        <v>14</v>
      </c>
      <c r="B538" t="str">
        <f>_xll.BDP("912828MK Govt","TICKER")</f>
        <v>T</v>
      </c>
      <c r="C538">
        <f>_xll.BDP("912828MK Govt","CPN")</f>
        <v>3.125</v>
      </c>
      <c r="D538" t="str">
        <f>_xll.BDP("912828MK Govt","YLD_YTM_BID")</f>
        <v>#N/A N/A</v>
      </c>
      <c r="E538" t="str">
        <f>_xll.BDP("912828MK Govt","MATURITY")</f>
        <v>1/31/2017</v>
      </c>
      <c r="F538" t="str">
        <f>_xll.BDP("912828MK Govt","MTY_TYP")</f>
        <v>NORMAL</v>
      </c>
      <c r="G538" t="str">
        <f>_xll.BDP("912828MK Govt","CRNCY")</f>
        <v>USD</v>
      </c>
      <c r="H538" t="str">
        <f>_xll.BDP("912828MK Govt","COUNTRY_FULL_NAME")</f>
        <v>UNITED STATES</v>
      </c>
      <c r="I538" t="str">
        <f>_xll.BDP("912828MK Govt","FIRST_CPN_DT")</f>
        <v>7/31/2010</v>
      </c>
      <c r="J538" t="str">
        <f>_xll.BDP("912828MK Govt","COUPON_FREQUENCY_DESCRIPTION")</f>
        <v>S/A</v>
      </c>
      <c r="K538" t="str">
        <f>_xll.BDP("912828MK Govt","CPN_TYP")</f>
        <v>FIXED</v>
      </c>
      <c r="L538" t="str">
        <f>_xll.BDP("912828MK Govt","ID_ISIN")</f>
        <v>US912828MK32</v>
      </c>
      <c r="M538">
        <v>32521000000</v>
      </c>
      <c r="N538">
        <v>0</v>
      </c>
      <c r="O538" t="str">
        <f>_xll.BDP("912828MK Govt","ISSUE_DT")</f>
        <v>2/1/2010</v>
      </c>
      <c r="P538" t="str">
        <f>_xll.BDP("912828MK Govt","SECURITY_NAME")</f>
        <v>T 3 1/8 01/31/17</v>
      </c>
      <c r="Q538" t="str">
        <f>_xll.BDP("912828MK Govt","DAY_CNT_DES")</f>
        <v>ACT/ACT</v>
      </c>
      <c r="R538">
        <v>100</v>
      </c>
      <c r="S538" t="str">
        <f>_xll.BDP("912828MK Govt","ID_CUSIP")</f>
        <v>912828MK3</v>
      </c>
      <c r="T538" t="str">
        <f>_xll.BDP("912828MK Govt","IDX_RATIO")</f>
        <v>#N/A Field Not Applicable</v>
      </c>
    </row>
    <row r="539" spans="1:20" x14ac:dyDescent="0.25">
      <c r="A539" t="s">
        <v>14</v>
      </c>
      <c r="B539" t="str">
        <f>_xll.BDP("912828TU Govt","TICKER")</f>
        <v>T</v>
      </c>
      <c r="C539">
        <f>_xll.BDP("912828TU Govt","CPN")</f>
        <v>0.25</v>
      </c>
      <c r="D539" t="str">
        <f>_xll.BDP("912828TU Govt","YLD_YTM_BID")</f>
        <v>#N/A N/A</v>
      </c>
      <c r="E539" t="str">
        <f>_xll.BDP("912828TU Govt","MATURITY")</f>
        <v>10/31/2014</v>
      </c>
      <c r="F539" t="str">
        <f>_xll.BDP("912828TU Govt","MTY_TYP")</f>
        <v>NORMAL</v>
      </c>
      <c r="G539" t="str">
        <f>_xll.BDP("912828TU Govt","CRNCY")</f>
        <v>USD</v>
      </c>
      <c r="H539" t="str">
        <f>_xll.BDP("912828TU Govt","COUNTRY_FULL_NAME")</f>
        <v>UNITED STATES</v>
      </c>
      <c r="I539" t="str">
        <f>_xll.BDP("912828TU Govt","FIRST_CPN_DT")</f>
        <v>4/30/2013</v>
      </c>
      <c r="J539" t="str">
        <f>_xll.BDP("912828TU Govt","COUPON_FREQUENCY_DESCRIPTION")</f>
        <v>S/A</v>
      </c>
      <c r="K539" t="str">
        <f>_xll.BDP("912828TU Govt","CPN_TYP")</f>
        <v>FIXED</v>
      </c>
      <c r="L539" t="str">
        <f>_xll.BDP("912828TU Govt","ID_ISIN")</f>
        <v>US912828TU41</v>
      </c>
      <c r="M539">
        <v>35000000000</v>
      </c>
      <c r="N539">
        <v>0</v>
      </c>
      <c r="O539" t="str">
        <f>_xll.BDP("912828TU Govt","ISSUE_DT")</f>
        <v>10/31/2012</v>
      </c>
      <c r="P539" t="str">
        <f>_xll.BDP("912828TU Govt","SECURITY_NAME")</f>
        <v>T 0 1/4 10/31/14</v>
      </c>
      <c r="Q539" t="str">
        <f>_xll.BDP("912828TU Govt","DAY_CNT_DES")</f>
        <v>ACT/ACT</v>
      </c>
      <c r="R539">
        <v>100</v>
      </c>
      <c r="S539" t="str">
        <f>_xll.BDP("912828TU Govt","ID_CUSIP")</f>
        <v>912828TU4</v>
      </c>
      <c r="T539" t="str">
        <f>_xll.BDP("912828TU Govt","IDX_RATIO")</f>
        <v>#N/A Field Not Applicable</v>
      </c>
    </row>
    <row r="540" spans="1:20" x14ac:dyDescent="0.25">
      <c r="A540" t="s">
        <v>14</v>
      </c>
      <c r="B540" t="str">
        <f>_xll.BDP("912828UB Govt","TICKER")</f>
        <v>T</v>
      </c>
      <c r="C540">
        <f>_xll.BDP("912828UB Govt","CPN")</f>
        <v>1</v>
      </c>
      <c r="D540" t="str">
        <f>_xll.BDP("912828UB Govt","YLD_YTM_BID")</f>
        <v>#N/A N/A</v>
      </c>
      <c r="E540" t="str">
        <f>_xll.BDP("912828UB Govt","MATURITY")</f>
        <v>11/30/2019</v>
      </c>
      <c r="F540" t="str">
        <f>_xll.BDP("912828UB Govt","MTY_TYP")</f>
        <v>NORMAL</v>
      </c>
      <c r="G540" t="str">
        <f>_xll.BDP("912828UB Govt","CRNCY")</f>
        <v>USD</v>
      </c>
      <c r="H540" t="str">
        <f>_xll.BDP("912828UB Govt","COUNTRY_FULL_NAME")</f>
        <v>UNITED STATES</v>
      </c>
      <c r="I540" t="str">
        <f>_xll.BDP("912828UB Govt","FIRST_CPN_DT")</f>
        <v>5/31/2013</v>
      </c>
      <c r="J540" t="str">
        <f>_xll.BDP("912828UB Govt","COUPON_FREQUENCY_DESCRIPTION")</f>
        <v>S/A</v>
      </c>
      <c r="K540" t="str">
        <f>_xll.BDP("912828UB Govt","CPN_TYP")</f>
        <v>FIXED</v>
      </c>
      <c r="L540" t="str">
        <f>_xll.BDP("912828UB Govt","ID_ISIN")</f>
        <v>US912828UB41</v>
      </c>
      <c r="M540">
        <v>29000000000</v>
      </c>
      <c r="N540">
        <v>0</v>
      </c>
      <c r="O540" t="str">
        <f>_xll.BDP("912828UB Govt","ISSUE_DT")</f>
        <v>11/30/2012</v>
      </c>
      <c r="P540" t="str">
        <f>_xll.BDP("912828UB Govt","SECURITY_NAME")</f>
        <v>T 1 11/30/19</v>
      </c>
      <c r="Q540" t="str">
        <f>_xll.BDP("912828UB Govt","DAY_CNT_DES")</f>
        <v>ACT/ACT</v>
      </c>
      <c r="R540">
        <v>100</v>
      </c>
      <c r="S540" t="str">
        <f>_xll.BDP("912828UB Govt","ID_CUSIP")</f>
        <v>912828UB4</v>
      </c>
      <c r="T540" t="str">
        <f>_xll.BDP("912828UB Govt","IDX_RATIO")</f>
        <v>#N/A Field Not Applicable</v>
      </c>
    </row>
    <row r="541" spans="1:20" x14ac:dyDescent="0.25">
      <c r="A541" t="s">
        <v>14</v>
      </c>
      <c r="B541" t="str">
        <f>_xll.BDP("912828BR Govt","TICKER")</f>
        <v>T</v>
      </c>
      <c r="C541">
        <f>_xll.BDP("912828BR Govt","CPN")</f>
        <v>4.25</v>
      </c>
      <c r="D541" t="str">
        <f>_xll.BDP("912828BR Govt","YLD_YTM_BID")</f>
        <v>#N/A N/A</v>
      </c>
      <c r="E541" t="str">
        <f>_xll.BDP("912828BR Govt","MATURITY")</f>
        <v>11/15/2013</v>
      </c>
      <c r="F541" t="str">
        <f>_xll.BDP("912828BR Govt","MTY_TYP")</f>
        <v>NORMAL</v>
      </c>
      <c r="G541" t="str">
        <f>_xll.BDP("912828BR Govt","CRNCY")</f>
        <v>USD</v>
      </c>
      <c r="H541" t="str">
        <f>_xll.BDP("912828BR Govt","COUNTRY_FULL_NAME")</f>
        <v>UNITED STATES</v>
      </c>
      <c r="I541" t="str">
        <f>_xll.BDP("912828BR Govt","FIRST_CPN_DT")</f>
        <v>5/15/2004</v>
      </c>
      <c r="J541" t="str">
        <f>_xll.BDP("912828BR Govt","COUPON_FREQUENCY_DESCRIPTION")</f>
        <v>S/A</v>
      </c>
      <c r="K541" t="str">
        <f>_xll.BDP("912828BR Govt","CPN_TYP")</f>
        <v>FIXED</v>
      </c>
      <c r="L541" t="str">
        <f>_xll.BDP("912828BR Govt","ID_ISIN")</f>
        <v>US912828BR04</v>
      </c>
      <c r="M541">
        <v>30637000000</v>
      </c>
      <c r="N541">
        <v>0</v>
      </c>
      <c r="O541" t="str">
        <f>_xll.BDP("912828BR Govt","ISSUE_DT")</f>
        <v>11/17/2003</v>
      </c>
      <c r="P541" t="str">
        <f>_xll.BDP("912828BR Govt","SECURITY_NAME")</f>
        <v>T 4 1/4 11/15/13</v>
      </c>
      <c r="Q541" t="str">
        <f>_xll.BDP("912828BR Govt","DAY_CNT_DES")</f>
        <v>ACT/ACT</v>
      </c>
      <c r="R541">
        <v>100</v>
      </c>
      <c r="S541" t="str">
        <f>_xll.BDP("912828BR Govt","ID_CUSIP")</f>
        <v>912828BR0</v>
      </c>
      <c r="T541" t="str">
        <f>_xll.BDP("912828BR Govt","IDX_RATIO")</f>
        <v>#N/A Field Not Applicable</v>
      </c>
    </row>
    <row r="542" spans="1:20" x14ac:dyDescent="0.25">
      <c r="A542" t="s">
        <v>14</v>
      </c>
      <c r="B542" t="str">
        <f>_xll.BDP("912828JH Govt","TICKER")</f>
        <v>T</v>
      </c>
      <c r="C542">
        <f>_xll.BDP("912828JH Govt","CPN")</f>
        <v>4</v>
      </c>
      <c r="D542" t="str">
        <f>_xll.BDP("912828JH Govt","YLD_YTM_BID")</f>
        <v>#N/A N/A</v>
      </c>
      <c r="E542" t="str">
        <f>_xll.BDP("912828JH Govt","MATURITY")</f>
        <v>8/15/2018</v>
      </c>
      <c r="F542" t="str">
        <f>_xll.BDP("912828JH Govt","MTY_TYP")</f>
        <v>NORMAL</v>
      </c>
      <c r="G542" t="str">
        <f>_xll.BDP("912828JH Govt","CRNCY")</f>
        <v>USD</v>
      </c>
      <c r="H542" t="str">
        <f>_xll.BDP("912828JH Govt","COUNTRY_FULL_NAME")</f>
        <v>UNITED STATES</v>
      </c>
      <c r="I542" t="str">
        <f>_xll.BDP("912828JH Govt","FIRST_CPN_DT")</f>
        <v>2/15/2009</v>
      </c>
      <c r="J542" t="str">
        <f>_xll.BDP("912828JH Govt","COUPON_FREQUENCY_DESCRIPTION")</f>
        <v>S/A</v>
      </c>
      <c r="K542" t="str">
        <f>_xll.BDP("912828JH Govt","CPN_TYP")</f>
        <v>FIXED</v>
      </c>
      <c r="L542" t="str">
        <f>_xll.BDP("912828JH Govt","ID_ISIN")</f>
        <v>US912828JH40</v>
      </c>
      <c r="M542">
        <v>36803000000</v>
      </c>
      <c r="N542">
        <v>0</v>
      </c>
      <c r="O542" t="str">
        <f>_xll.BDP("912828JH Govt","ISSUE_DT")</f>
        <v>8/15/2008</v>
      </c>
      <c r="P542" t="str">
        <f>_xll.BDP("912828JH Govt","SECURITY_NAME")</f>
        <v>T 4 08/15/18</v>
      </c>
      <c r="Q542" t="str">
        <f>_xll.BDP("912828JH Govt","DAY_CNT_DES")</f>
        <v>ACT/ACT</v>
      </c>
      <c r="R542">
        <v>100</v>
      </c>
      <c r="S542" t="str">
        <f>_xll.BDP("912828JH Govt","ID_CUSIP")</f>
        <v>912828JH4</v>
      </c>
      <c r="T542" t="str">
        <f>_xll.BDP("912828JH Govt","IDX_RATIO")</f>
        <v>#N/A Field Not Applicable</v>
      </c>
    </row>
    <row r="543" spans="1:20" x14ac:dyDescent="0.25">
      <c r="A543" t="s">
        <v>14</v>
      </c>
      <c r="B543" t="str">
        <f>_xll.BDP("912828WS Govt","TICKER")</f>
        <v>T</v>
      </c>
      <c r="C543">
        <f>_xll.BDP("912828WS Govt","CPN")</f>
        <v>1.625</v>
      </c>
      <c r="D543" t="str">
        <f>_xll.BDP("912828WS Govt","YLD_YTM_BID")</f>
        <v>#N/A N/A</v>
      </c>
      <c r="E543" t="str">
        <f>_xll.BDP("912828WS Govt","MATURITY")</f>
        <v>6/30/2019</v>
      </c>
      <c r="F543" t="str">
        <f>_xll.BDP("912828WS Govt","MTY_TYP")</f>
        <v>NORMAL</v>
      </c>
      <c r="G543" t="str">
        <f>_xll.BDP("912828WS Govt","CRNCY")</f>
        <v>USD</v>
      </c>
      <c r="H543" t="str">
        <f>_xll.BDP("912828WS Govt","COUNTRY_FULL_NAME")</f>
        <v>UNITED STATES</v>
      </c>
      <c r="I543" t="str">
        <f>_xll.BDP("912828WS Govt","FIRST_CPN_DT")</f>
        <v>12/31/2014</v>
      </c>
      <c r="J543" t="str">
        <f>_xll.BDP("912828WS Govt","COUPON_FREQUENCY_DESCRIPTION")</f>
        <v>S/A</v>
      </c>
      <c r="K543" t="str">
        <f>_xll.BDP("912828WS Govt","CPN_TYP")</f>
        <v>FIXED</v>
      </c>
      <c r="L543" t="str">
        <f>_xll.BDP("912828WS Govt","ID_ISIN")</f>
        <v>US912828WS57</v>
      </c>
      <c r="M543">
        <v>35000000000</v>
      </c>
      <c r="N543">
        <v>0</v>
      </c>
      <c r="O543" t="str">
        <f>_xll.BDP("912828WS Govt","ISSUE_DT")</f>
        <v>6/30/2014</v>
      </c>
      <c r="P543" t="str">
        <f>_xll.BDP("912828WS Govt","SECURITY_NAME")</f>
        <v>T 1 5/8 06/30/19</v>
      </c>
      <c r="Q543" t="str">
        <f>_xll.BDP("912828WS Govt","DAY_CNT_DES")</f>
        <v>ACT/ACT</v>
      </c>
      <c r="R543">
        <v>100</v>
      </c>
      <c r="S543" t="str">
        <f>_xll.BDP("912828WS Govt","ID_CUSIP")</f>
        <v>912828WS5</v>
      </c>
      <c r="T543" t="str">
        <f>_xll.BDP("912828WS Govt","IDX_RATIO")</f>
        <v>#N/A Field Not Applicable</v>
      </c>
    </row>
    <row r="544" spans="1:20" x14ac:dyDescent="0.25">
      <c r="A544" t="s">
        <v>14</v>
      </c>
      <c r="B544" t="str">
        <f>_xll.BDP("912827MH Govt","TICKER")</f>
        <v>T</v>
      </c>
      <c r="C544">
        <f>_xll.BDP("912827MH Govt","CPN")</f>
        <v>16</v>
      </c>
      <c r="D544" t="str">
        <f>_xll.BDP("912827MH Govt","YLD_YTM_BID")</f>
        <v>#N/A N/A</v>
      </c>
      <c r="E544" t="str">
        <f>_xll.BDP("912827MH Govt","MATURITY")</f>
        <v>9/30/1983</v>
      </c>
      <c r="F544" t="str">
        <f>_xll.BDP("912827MH Govt","MTY_TYP")</f>
        <v>NORMAL</v>
      </c>
      <c r="G544" t="str">
        <f>_xll.BDP("912827MH Govt","CRNCY")</f>
        <v>USD</v>
      </c>
      <c r="H544" t="str">
        <f>_xll.BDP("912827MH Govt","COUNTRY_FULL_NAME")</f>
        <v>UNITED STATES</v>
      </c>
      <c r="I544" t="str">
        <f>_xll.BDP("912827MH Govt","FIRST_CPN_DT")</f>
        <v>3/31/1982</v>
      </c>
      <c r="J544" t="str">
        <f>_xll.BDP("912827MH Govt","COUPON_FREQUENCY_DESCRIPTION")</f>
        <v>S/A</v>
      </c>
      <c r="K544" t="str">
        <f>_xll.BDP("912827MH Govt","CPN_TYP")</f>
        <v>FIXED</v>
      </c>
      <c r="L544" t="str">
        <f>_xll.BDP("912827MH Govt","ID_ISIN")</f>
        <v>US912827MH20</v>
      </c>
      <c r="N544">
        <v>0</v>
      </c>
      <c r="O544" t="str">
        <f>_xll.BDP("912827MH Govt","ISSUE_DT")</f>
        <v>9/30/1981</v>
      </c>
      <c r="P544" t="str">
        <f>_xll.BDP("912827MH Govt","SECURITY_NAME")</f>
        <v>T 16 09/30/83</v>
      </c>
      <c r="Q544" t="str">
        <f>_xll.BDP("912827MH Govt","DAY_CNT_DES")</f>
        <v>ACT/ACT</v>
      </c>
      <c r="R544">
        <v>100</v>
      </c>
      <c r="S544" t="str">
        <f>_xll.BDP("912827MH Govt","ID_CUSIP")</f>
        <v>912827MH2</v>
      </c>
      <c r="T544" t="str">
        <f>_xll.BDP("912827MH Govt","IDX_RATIO")</f>
        <v>#N/A Field Not Applicable</v>
      </c>
    </row>
    <row r="545" spans="1:20" x14ac:dyDescent="0.25">
      <c r="A545" t="s">
        <v>14</v>
      </c>
      <c r="B545" t="str">
        <f>_xll.BDP("912828D8 Govt","TICKER")</f>
        <v>T</v>
      </c>
      <c r="C545">
        <f>_xll.BDP("912828D8 Govt","CPN")</f>
        <v>1.625</v>
      </c>
      <c r="D545" t="str">
        <f>_xll.BDP("912828D8 Govt","YLD_YTM_BID")</f>
        <v>#N/A N/A</v>
      </c>
      <c r="E545" t="str">
        <f>_xll.BDP("912828D8 Govt","MATURITY")</f>
        <v>8/31/2019</v>
      </c>
      <c r="F545" t="str">
        <f>_xll.BDP("912828D8 Govt","MTY_TYP")</f>
        <v>NORMAL</v>
      </c>
      <c r="G545" t="str">
        <f>_xll.BDP("912828D8 Govt","CRNCY")</f>
        <v>USD</v>
      </c>
      <c r="H545" t="str">
        <f>_xll.BDP("912828D8 Govt","COUNTRY_FULL_NAME")</f>
        <v>UNITED STATES</v>
      </c>
      <c r="I545" t="str">
        <f>_xll.BDP("912828D8 Govt","FIRST_CPN_DT")</f>
        <v>2/28/2015</v>
      </c>
      <c r="J545" t="str">
        <f>_xll.BDP("912828D8 Govt","COUPON_FREQUENCY_DESCRIPTION")</f>
        <v>S/A</v>
      </c>
      <c r="K545" t="str">
        <f>_xll.BDP("912828D8 Govt","CPN_TYP")</f>
        <v>FIXED</v>
      </c>
      <c r="L545" t="str">
        <f>_xll.BDP("912828D8 Govt","ID_ISIN")</f>
        <v>US912828D804</v>
      </c>
      <c r="M545">
        <v>35002000000</v>
      </c>
      <c r="N545">
        <v>0</v>
      </c>
      <c r="O545" t="str">
        <f>_xll.BDP("912828D8 Govt","ISSUE_DT")</f>
        <v>9/2/2014</v>
      </c>
      <c r="P545" t="str">
        <f>_xll.BDP("912828D8 Govt","SECURITY_NAME")</f>
        <v>T 1 5/8 08/31/19</v>
      </c>
      <c r="Q545" t="str">
        <f>_xll.BDP("912828D8 Govt","DAY_CNT_DES")</f>
        <v>ACT/ACT</v>
      </c>
      <c r="R545">
        <v>100</v>
      </c>
      <c r="S545" t="str">
        <f>_xll.BDP("912828D8 Govt","ID_CUSIP")</f>
        <v>912828D80</v>
      </c>
      <c r="T545" t="str">
        <f>_xll.BDP("912828D8 Govt","IDX_RATIO")</f>
        <v>#N/A Field Not Applicable</v>
      </c>
    </row>
    <row r="546" spans="1:20" x14ac:dyDescent="0.25">
      <c r="A546" t="s">
        <v>14</v>
      </c>
      <c r="B546" t="str">
        <f>_xll.BDP("912828LK Govt","TICKER")</f>
        <v>T</v>
      </c>
      <c r="C546">
        <f>_xll.BDP("912828LK Govt","CPN")</f>
        <v>2.375</v>
      </c>
      <c r="D546" t="str">
        <f>_xll.BDP("912828LK Govt","YLD_YTM_BID")</f>
        <v>#N/A N/A</v>
      </c>
      <c r="E546" t="str">
        <f>_xll.BDP("912828LK Govt","MATURITY")</f>
        <v>8/31/2014</v>
      </c>
      <c r="F546" t="str">
        <f>_xll.BDP("912828LK Govt","MTY_TYP")</f>
        <v>NORMAL</v>
      </c>
      <c r="G546" t="str">
        <f>_xll.BDP("912828LK Govt","CRNCY")</f>
        <v>USD</v>
      </c>
      <c r="H546" t="str">
        <f>_xll.BDP("912828LK Govt","COUNTRY_FULL_NAME")</f>
        <v>UNITED STATES</v>
      </c>
      <c r="I546" t="str">
        <f>_xll.BDP("912828LK Govt","FIRST_CPN_DT")</f>
        <v>2/28/2010</v>
      </c>
      <c r="J546" t="str">
        <f>_xll.BDP("912828LK Govt","COUPON_FREQUENCY_DESCRIPTION")</f>
        <v>S/A</v>
      </c>
      <c r="K546" t="str">
        <f>_xll.BDP("912828LK Govt","CPN_TYP")</f>
        <v>FIXED</v>
      </c>
      <c r="L546" t="str">
        <f>_xll.BDP("912828LK Govt","ID_ISIN")</f>
        <v>US912828LK41</v>
      </c>
      <c r="M546">
        <v>40175000000</v>
      </c>
      <c r="N546">
        <v>0</v>
      </c>
      <c r="O546" t="str">
        <f>_xll.BDP("912828LK Govt","ISSUE_DT")</f>
        <v>8/31/2009</v>
      </c>
      <c r="P546" t="str">
        <f>_xll.BDP("912828LK Govt","SECURITY_NAME")</f>
        <v>T 2 3/8 08/31/14</v>
      </c>
      <c r="Q546" t="str">
        <f>_xll.BDP("912828LK Govt","DAY_CNT_DES")</f>
        <v>ACT/ACT</v>
      </c>
      <c r="R546">
        <v>100</v>
      </c>
      <c r="S546" t="str">
        <f>_xll.BDP("912828LK Govt","ID_CUSIP")</f>
        <v>912828LK4</v>
      </c>
      <c r="T546" t="str">
        <f>_xll.BDP("912828LK Govt","IDX_RATIO")</f>
        <v>#N/A Field Not Applicable</v>
      </c>
    </row>
    <row r="547" spans="1:20" x14ac:dyDescent="0.25">
      <c r="A547" t="s">
        <v>14</v>
      </c>
      <c r="B547" t="str">
        <f>_xll.BDP("912828NU Govt","TICKER")</f>
        <v>T</v>
      </c>
      <c r="C547">
        <f>_xll.BDP("912828NU Govt","CPN")</f>
        <v>0.75</v>
      </c>
      <c r="D547" t="str">
        <f>_xll.BDP("912828NU Govt","YLD_YTM_BID")</f>
        <v>#N/A N/A</v>
      </c>
      <c r="E547" t="str">
        <f>_xll.BDP("912828NU Govt","MATURITY")</f>
        <v>8/15/2013</v>
      </c>
      <c r="F547" t="str">
        <f>_xll.BDP("912828NU Govt","MTY_TYP")</f>
        <v>NORMAL</v>
      </c>
      <c r="G547" t="str">
        <f>_xll.BDP("912828NU Govt","CRNCY")</f>
        <v>USD</v>
      </c>
      <c r="H547" t="str">
        <f>_xll.BDP("912828NU Govt","COUNTRY_FULL_NAME")</f>
        <v>UNITED STATES</v>
      </c>
      <c r="I547" t="str">
        <f>_xll.BDP("912828NU Govt","FIRST_CPN_DT")</f>
        <v>2/15/2011</v>
      </c>
      <c r="J547" t="str">
        <f>_xll.BDP("912828NU Govt","COUPON_FREQUENCY_DESCRIPTION")</f>
        <v>S/A</v>
      </c>
      <c r="K547" t="str">
        <f>_xll.BDP("912828NU Govt","CPN_TYP")</f>
        <v>FIXED</v>
      </c>
      <c r="L547" t="str">
        <f>_xll.BDP("912828NU Govt","ID_ISIN")</f>
        <v>US912828NU05</v>
      </c>
      <c r="M547">
        <v>36036000000</v>
      </c>
      <c r="N547">
        <v>0</v>
      </c>
      <c r="O547" t="str">
        <f>_xll.BDP("912828NU Govt","ISSUE_DT")</f>
        <v>8/16/2010</v>
      </c>
      <c r="P547" t="str">
        <f>_xll.BDP("912828NU Govt","SECURITY_NAME")</f>
        <v>T 0 3/4 08/15/13</v>
      </c>
      <c r="Q547" t="str">
        <f>_xll.BDP("912828NU Govt","DAY_CNT_DES")</f>
        <v>ACT/ACT</v>
      </c>
      <c r="R547">
        <v>100</v>
      </c>
      <c r="S547" t="str">
        <f>_xll.BDP("912828NU Govt","ID_CUSIP")</f>
        <v>912828NU0</v>
      </c>
      <c r="T547" t="str">
        <f>_xll.BDP("912828NU Govt","IDX_RATIO")</f>
        <v>#N/A Field Not Applicable</v>
      </c>
    </row>
    <row r="548" spans="1:20" x14ac:dyDescent="0.25">
      <c r="A548" t="s">
        <v>14</v>
      </c>
      <c r="B548" t="str">
        <f>_xll.BDP("912828PE Govt","TICKER")</f>
        <v>T</v>
      </c>
      <c r="C548">
        <f>_xll.BDP("912828PE Govt","CPN")</f>
        <v>1.25</v>
      </c>
      <c r="D548" t="str">
        <f>_xll.BDP("912828PE Govt","YLD_YTM_BID")</f>
        <v>#N/A N/A</v>
      </c>
      <c r="E548" t="str">
        <f>_xll.BDP("912828PE Govt","MATURITY")</f>
        <v>10/31/2015</v>
      </c>
      <c r="F548" t="str">
        <f>_xll.BDP("912828PE Govt","MTY_TYP")</f>
        <v>NORMAL</v>
      </c>
      <c r="G548" t="str">
        <f>_xll.BDP("912828PE Govt","CRNCY")</f>
        <v>USD</v>
      </c>
      <c r="H548" t="str">
        <f>_xll.BDP("912828PE Govt","COUNTRY_FULL_NAME")</f>
        <v>UNITED STATES</v>
      </c>
      <c r="I548" t="str">
        <f>_xll.BDP("912828PE Govt","FIRST_CPN_DT")</f>
        <v>4/30/2011</v>
      </c>
      <c r="J548" t="str">
        <f>_xll.BDP("912828PE Govt","COUPON_FREQUENCY_DESCRIPTION")</f>
        <v>S/A</v>
      </c>
      <c r="K548" t="str">
        <f>_xll.BDP("912828PE Govt","CPN_TYP")</f>
        <v>FIXED</v>
      </c>
      <c r="L548" t="str">
        <f>_xll.BDP("912828PE Govt","ID_ISIN")</f>
        <v>US912828PE45</v>
      </c>
      <c r="M548">
        <v>35718000000</v>
      </c>
      <c r="N548">
        <v>0</v>
      </c>
      <c r="O548" t="str">
        <f>_xll.BDP("912828PE Govt","ISSUE_DT")</f>
        <v>11/1/2010</v>
      </c>
      <c r="P548" t="str">
        <f>_xll.BDP("912828PE Govt","SECURITY_NAME")</f>
        <v>T 1 1/4 10/31/15</v>
      </c>
      <c r="Q548" t="str">
        <f>_xll.BDP("912828PE Govt","DAY_CNT_DES")</f>
        <v>ACT/ACT</v>
      </c>
      <c r="R548">
        <v>100</v>
      </c>
      <c r="S548" t="str">
        <f>_xll.BDP("912828PE Govt","ID_CUSIP")</f>
        <v>912828PE4</v>
      </c>
      <c r="T548" t="str">
        <f>_xll.BDP("912828PE Govt","IDX_RATIO")</f>
        <v>#N/A Field Not Applicable</v>
      </c>
    </row>
    <row r="549" spans="1:20" x14ac:dyDescent="0.25">
      <c r="A549" t="s">
        <v>14</v>
      </c>
      <c r="B549" t="str">
        <f>_xll.BDP("912828RP Govt","TICKER")</f>
        <v>T</v>
      </c>
      <c r="C549">
        <f>_xll.BDP("912828RP Govt","CPN")</f>
        <v>1.75</v>
      </c>
      <c r="D549" t="str">
        <f>_xll.BDP("912828RP Govt","YLD_YTM_BID")</f>
        <v>#N/A N/A</v>
      </c>
      <c r="E549" t="str">
        <f>_xll.BDP("912828RP Govt","MATURITY")</f>
        <v>10/31/2018</v>
      </c>
      <c r="F549" t="str">
        <f>_xll.BDP("912828RP Govt","MTY_TYP")</f>
        <v>NORMAL</v>
      </c>
      <c r="G549" t="str">
        <f>_xll.BDP("912828RP Govt","CRNCY")</f>
        <v>USD</v>
      </c>
      <c r="H549" t="str">
        <f>_xll.BDP("912828RP Govt","COUNTRY_FULL_NAME")</f>
        <v>UNITED STATES</v>
      </c>
      <c r="I549" t="str">
        <f>_xll.BDP("912828RP Govt","FIRST_CPN_DT")</f>
        <v>4/30/2012</v>
      </c>
      <c r="J549" t="str">
        <f>_xll.BDP("912828RP Govt","COUPON_FREQUENCY_DESCRIPTION")</f>
        <v>S/A</v>
      </c>
      <c r="K549" t="str">
        <f>_xll.BDP("912828RP Govt","CPN_TYP")</f>
        <v>FIXED</v>
      </c>
      <c r="L549" t="str">
        <f>_xll.BDP("912828RP Govt","ID_ISIN")</f>
        <v>US912828RP73</v>
      </c>
      <c r="M549">
        <v>30103000000</v>
      </c>
      <c r="N549">
        <v>0</v>
      </c>
      <c r="O549" t="str">
        <f>_xll.BDP("912828RP Govt","ISSUE_DT")</f>
        <v>10/31/2011</v>
      </c>
      <c r="P549" t="str">
        <f>_xll.BDP("912828RP Govt","SECURITY_NAME")</f>
        <v>T 1 3/4 10/31/18</v>
      </c>
      <c r="Q549" t="str">
        <f>_xll.BDP("912828RP Govt","DAY_CNT_DES")</f>
        <v>ACT/ACT</v>
      </c>
      <c r="R549">
        <v>100</v>
      </c>
      <c r="S549" t="str">
        <f>_xll.BDP("912828RP Govt","ID_CUSIP")</f>
        <v>912828RP7</v>
      </c>
      <c r="T549" t="str">
        <f>_xll.BDP("912828RP Govt","IDX_RATIO")</f>
        <v>#N/A Field Not Applicable</v>
      </c>
    </row>
    <row r="550" spans="1:20" x14ac:dyDescent="0.25">
      <c r="A550" t="s">
        <v>14</v>
      </c>
      <c r="B550" t="str">
        <f>_xll.BDP("912828QP Govt","TICKER")</f>
        <v>T</v>
      </c>
      <c r="C550">
        <f>_xll.BDP("912828QP Govt","CPN")</f>
        <v>1.75</v>
      </c>
      <c r="D550" t="str">
        <f>_xll.BDP("912828QP Govt","YLD_YTM_BID")</f>
        <v>#N/A N/A</v>
      </c>
      <c r="E550" t="str">
        <f>_xll.BDP("912828QP Govt","MATURITY")</f>
        <v>5/31/2016</v>
      </c>
      <c r="F550" t="str">
        <f>_xll.BDP("912828QP Govt","MTY_TYP")</f>
        <v>NORMAL</v>
      </c>
      <c r="G550" t="str">
        <f>_xll.BDP("912828QP Govt","CRNCY")</f>
        <v>USD</v>
      </c>
      <c r="H550" t="str">
        <f>_xll.BDP("912828QP Govt","COUNTRY_FULL_NAME")</f>
        <v>UNITED STATES</v>
      </c>
      <c r="I550" t="str">
        <f>_xll.BDP("912828QP Govt","FIRST_CPN_DT")</f>
        <v>11/30/2011</v>
      </c>
      <c r="J550" t="str">
        <f>_xll.BDP("912828QP Govt","COUPON_FREQUENCY_DESCRIPTION")</f>
        <v>S/A</v>
      </c>
      <c r="K550" t="str">
        <f>_xll.BDP("912828QP Govt","CPN_TYP")</f>
        <v>FIXED</v>
      </c>
      <c r="L550" t="str">
        <f>_xll.BDP("912828QP Govt","ID_ISIN")</f>
        <v>US912828QP82</v>
      </c>
      <c r="M550">
        <v>37946000000</v>
      </c>
      <c r="N550">
        <v>0</v>
      </c>
      <c r="O550" t="str">
        <f>_xll.BDP("912828QP Govt","ISSUE_DT")</f>
        <v>5/31/2011</v>
      </c>
      <c r="P550" t="str">
        <f>_xll.BDP("912828QP Govt","SECURITY_NAME")</f>
        <v>T 1 3/4 05/31/16</v>
      </c>
      <c r="Q550" t="str">
        <f>_xll.BDP("912828QP Govt","DAY_CNT_DES")</f>
        <v>ACT/ACT</v>
      </c>
      <c r="R550">
        <v>100</v>
      </c>
      <c r="S550" t="str">
        <f>_xll.BDP("912828QP Govt","ID_CUSIP")</f>
        <v>912828QP8</v>
      </c>
      <c r="T550" t="str">
        <f>_xll.BDP("912828QP Govt","IDX_RATIO")</f>
        <v>#N/A Field Not Applicable</v>
      </c>
    </row>
    <row r="551" spans="1:20" x14ac:dyDescent="0.25">
      <c r="A551" t="s">
        <v>14</v>
      </c>
      <c r="B551" t="str">
        <f>_xll.BDP("912828SZ Govt","TICKER")</f>
        <v>T</v>
      </c>
      <c r="C551">
        <f>_xll.BDP("912828SZ Govt","CPN")</f>
        <v>0.375</v>
      </c>
      <c r="D551" t="str">
        <f>_xll.BDP("912828SZ Govt","YLD_YTM_BID")</f>
        <v>#N/A N/A</v>
      </c>
      <c r="E551" t="str">
        <f>_xll.BDP("912828SZ Govt","MATURITY")</f>
        <v>6/15/2015</v>
      </c>
      <c r="F551" t="str">
        <f>_xll.BDP("912828SZ Govt","MTY_TYP")</f>
        <v>NORMAL</v>
      </c>
      <c r="G551" t="str">
        <f>_xll.BDP("912828SZ Govt","CRNCY")</f>
        <v>USD</v>
      </c>
      <c r="H551" t="str">
        <f>_xll.BDP("912828SZ Govt","COUNTRY_FULL_NAME")</f>
        <v>UNITED STATES</v>
      </c>
      <c r="I551" t="str">
        <f>_xll.BDP("912828SZ Govt","FIRST_CPN_DT")</f>
        <v>12/15/2012</v>
      </c>
      <c r="J551" t="str">
        <f>_xll.BDP("912828SZ Govt","COUPON_FREQUENCY_DESCRIPTION")</f>
        <v>S/A</v>
      </c>
      <c r="K551" t="str">
        <f>_xll.BDP("912828SZ Govt","CPN_TYP")</f>
        <v>FIXED</v>
      </c>
      <c r="L551" t="str">
        <f>_xll.BDP("912828SZ Govt","ID_ISIN")</f>
        <v>US912828SZ47</v>
      </c>
      <c r="M551">
        <v>34260000000</v>
      </c>
      <c r="N551">
        <v>0</v>
      </c>
      <c r="O551" t="str">
        <f>_xll.BDP("912828SZ Govt","ISSUE_DT")</f>
        <v>6/15/2012</v>
      </c>
      <c r="P551" t="str">
        <f>_xll.BDP("912828SZ Govt","SECURITY_NAME")</f>
        <v>T 0 3/8 06/15/15</v>
      </c>
      <c r="Q551" t="str">
        <f>_xll.BDP("912828SZ Govt","DAY_CNT_DES")</f>
        <v>ACT/ACT</v>
      </c>
      <c r="R551">
        <v>100</v>
      </c>
      <c r="S551" t="str">
        <f>_xll.BDP("912828SZ Govt","ID_CUSIP")</f>
        <v>912828SZ4</v>
      </c>
      <c r="T551" t="str">
        <f>_xll.BDP("912828SZ Govt","IDX_RATIO")</f>
        <v>#N/A Field Not Applicable</v>
      </c>
    </row>
    <row r="552" spans="1:20" x14ac:dyDescent="0.25">
      <c r="A552" t="s">
        <v>14</v>
      </c>
      <c r="B552" t="str">
        <f>_xll.BDP("912828UT Govt","TICKER")</f>
        <v>T</v>
      </c>
      <c r="C552">
        <f>_xll.BDP("912828UT Govt","CPN")</f>
        <v>0.25</v>
      </c>
      <c r="D552" t="str">
        <f>_xll.BDP("912828UT Govt","YLD_YTM_BID")</f>
        <v>#N/A N/A</v>
      </c>
      <c r="E552" t="str">
        <f>_xll.BDP("912828UT Govt","MATURITY")</f>
        <v>3/31/2015</v>
      </c>
      <c r="F552" t="str">
        <f>_xll.BDP("912828UT Govt","MTY_TYP")</f>
        <v>NORMAL</v>
      </c>
      <c r="G552" t="str">
        <f>_xll.BDP("912828UT Govt","CRNCY")</f>
        <v>USD</v>
      </c>
      <c r="H552" t="str">
        <f>_xll.BDP("912828UT Govt","COUNTRY_FULL_NAME")</f>
        <v>UNITED STATES</v>
      </c>
      <c r="I552" t="str">
        <f>_xll.BDP("912828UT Govt","FIRST_CPN_DT")</f>
        <v>9/30/2013</v>
      </c>
      <c r="J552" t="str">
        <f>_xll.BDP("912828UT Govt","COUPON_FREQUENCY_DESCRIPTION")</f>
        <v>S/A</v>
      </c>
      <c r="K552" t="str">
        <f>_xll.BDP("912828UT Govt","CPN_TYP")</f>
        <v>FIXED</v>
      </c>
      <c r="L552" t="str">
        <f>_xll.BDP("912828UT Govt","ID_ISIN")</f>
        <v>US912828UT58</v>
      </c>
      <c r="M552">
        <v>35000000000</v>
      </c>
      <c r="N552">
        <v>0</v>
      </c>
      <c r="O552" t="str">
        <f>_xll.BDP("912828UT Govt","ISSUE_DT")</f>
        <v>4/1/2013</v>
      </c>
      <c r="P552" t="str">
        <f>_xll.BDP("912828UT Govt","SECURITY_NAME")</f>
        <v>T 0 1/4 03/31/15</v>
      </c>
      <c r="Q552" t="str">
        <f>_xll.BDP("912828UT Govt","DAY_CNT_DES")</f>
        <v>ACT/ACT</v>
      </c>
      <c r="R552">
        <v>100</v>
      </c>
      <c r="S552" t="str">
        <f>_xll.BDP("912828UT Govt","ID_CUSIP")</f>
        <v>912828UT5</v>
      </c>
      <c r="T552" t="str">
        <f>_xll.BDP("912828UT Govt","IDX_RATIO")</f>
        <v>#N/A Field Not Applicable</v>
      </c>
    </row>
    <row r="553" spans="1:20" x14ac:dyDescent="0.25">
      <c r="A553" t="s">
        <v>14</v>
      </c>
      <c r="B553" t="str">
        <f>_xll.BDP("9128275E Govt","TICKER")</f>
        <v>T</v>
      </c>
      <c r="C553">
        <f>_xll.BDP("9128275E Govt","CPN")</f>
        <v>5</v>
      </c>
      <c r="D553" t="str">
        <f>_xll.BDP("9128275E Govt","YLD_YTM_BID")</f>
        <v>#N/A N/A</v>
      </c>
      <c r="E553" t="str">
        <f>_xll.BDP("9128275E Govt","MATURITY")</f>
        <v>4/30/2001</v>
      </c>
      <c r="F553" t="str">
        <f>_xll.BDP("9128275E Govt","MTY_TYP")</f>
        <v>NORMAL</v>
      </c>
      <c r="G553" t="str">
        <f>_xll.BDP("9128275E Govt","CRNCY")</f>
        <v>USD</v>
      </c>
      <c r="H553" t="str">
        <f>_xll.BDP("9128275E Govt","COUNTRY_FULL_NAME")</f>
        <v>UNITED STATES</v>
      </c>
      <c r="I553" t="str">
        <f>_xll.BDP("9128275E Govt","FIRST_CPN_DT")</f>
        <v>10/31/1999</v>
      </c>
      <c r="J553" t="str">
        <f>_xll.BDP("9128275E Govt","COUPON_FREQUENCY_DESCRIPTION")</f>
        <v>S/A</v>
      </c>
      <c r="K553" t="str">
        <f>_xll.BDP("9128275E Govt","CPN_TYP")</f>
        <v>FIXED</v>
      </c>
      <c r="L553" t="str">
        <f>_xll.BDP("9128275E Govt","ID_ISIN")</f>
        <v>US9128275E83</v>
      </c>
      <c r="M553">
        <v>21034000000</v>
      </c>
      <c r="N553">
        <v>0</v>
      </c>
      <c r="O553" t="str">
        <f>_xll.BDP("9128275E Govt","ISSUE_DT")</f>
        <v>4/30/1999</v>
      </c>
      <c r="P553" t="str">
        <f>_xll.BDP("9128275E Govt","SECURITY_NAME")</f>
        <v>T 5 04/30/01</v>
      </c>
      <c r="Q553" t="str">
        <f>_xll.BDP("9128275E Govt","DAY_CNT_DES")</f>
        <v>ACT/ACT</v>
      </c>
      <c r="R553">
        <v>100</v>
      </c>
      <c r="S553" t="str">
        <f>_xll.BDP("9128275E Govt","ID_CUSIP")</f>
        <v>9128275E8</v>
      </c>
      <c r="T553" t="str">
        <f>_xll.BDP("9128275E Govt","IDX_RATIO")</f>
        <v>#N/A Field Not Applicable</v>
      </c>
    </row>
    <row r="554" spans="1:20" x14ac:dyDescent="0.25">
      <c r="A554" t="s">
        <v>14</v>
      </c>
      <c r="B554" t="str">
        <f>_xll.BDP("9128282X Govt","TICKER")</f>
        <v>T</v>
      </c>
      <c r="C554">
        <f>_xll.BDP("9128282X Govt","CPN")</f>
        <v>1.375</v>
      </c>
      <c r="D554" t="str">
        <f>_xll.BDP("9128282X Govt","YLD_YTM_BID")</f>
        <v>#N/A N/A</v>
      </c>
      <c r="E554" t="str">
        <f>_xll.BDP("9128282X Govt","MATURITY")</f>
        <v>9/30/2019</v>
      </c>
      <c r="F554" t="str">
        <f>_xll.BDP("9128282X Govt","MTY_TYP")</f>
        <v>NORMAL</v>
      </c>
      <c r="G554" t="str">
        <f>_xll.BDP("9128282X Govt","CRNCY")</f>
        <v>USD</v>
      </c>
      <c r="H554" t="str">
        <f>_xll.BDP("9128282X Govt","COUNTRY_FULL_NAME")</f>
        <v>UNITED STATES</v>
      </c>
      <c r="I554" t="str">
        <f>_xll.BDP("9128282X Govt","FIRST_CPN_DT")</f>
        <v>3/31/2018</v>
      </c>
      <c r="J554" t="str">
        <f>_xll.BDP("9128282X Govt","COUPON_FREQUENCY_DESCRIPTION")</f>
        <v>S/A</v>
      </c>
      <c r="K554" t="str">
        <f>_xll.BDP("9128282X Govt","CPN_TYP")</f>
        <v>FIXED</v>
      </c>
      <c r="L554" t="str">
        <f>_xll.BDP("9128282X Govt","ID_ISIN")</f>
        <v>US9128282X73</v>
      </c>
      <c r="M554">
        <v>29234000000</v>
      </c>
      <c r="N554">
        <v>0</v>
      </c>
      <c r="O554" t="str">
        <f>_xll.BDP("9128282X Govt","ISSUE_DT")</f>
        <v>10/2/2017</v>
      </c>
      <c r="P554" t="str">
        <f>_xll.BDP("9128282X Govt","SECURITY_NAME")</f>
        <v>T 1 3/8 09/30/19</v>
      </c>
      <c r="Q554" t="str">
        <f>_xll.BDP("9128282X Govt","DAY_CNT_DES")</f>
        <v>ACT/ACT</v>
      </c>
      <c r="R554">
        <v>100</v>
      </c>
      <c r="S554" t="str">
        <f>_xll.BDP("9128282X Govt","ID_CUSIP")</f>
        <v>9128282X7</v>
      </c>
      <c r="T554" t="str">
        <f>_xll.BDP("9128282X Govt","IDX_RATIO")</f>
        <v>#N/A Field Not Applicable</v>
      </c>
    </row>
    <row r="555" spans="1:20" x14ac:dyDescent="0.25">
      <c r="A555" t="s">
        <v>14</v>
      </c>
      <c r="B555" t="str">
        <f>_xll.BDP("912828A4 Govt","TICKER")</f>
        <v>T</v>
      </c>
      <c r="C555">
        <f>_xll.BDP("912828A4 Govt","CPN")</f>
        <v>2</v>
      </c>
      <c r="D555" t="str">
        <f>_xll.BDP("912828A4 Govt","YLD_YTM_BID")</f>
        <v>#N/A N/A</v>
      </c>
      <c r="E555" t="str">
        <f>_xll.BDP("912828A4 Govt","MATURITY")</f>
        <v>11/30/2020</v>
      </c>
      <c r="F555" t="str">
        <f>_xll.BDP("912828A4 Govt","MTY_TYP")</f>
        <v>NORMAL</v>
      </c>
      <c r="G555" t="str">
        <f>_xll.BDP("912828A4 Govt","CRNCY")</f>
        <v>USD</v>
      </c>
      <c r="H555" t="str">
        <f>_xll.BDP("912828A4 Govt","COUNTRY_FULL_NAME")</f>
        <v>UNITED STATES</v>
      </c>
      <c r="I555" t="str">
        <f>_xll.BDP("912828A4 Govt","FIRST_CPN_DT")</f>
        <v>5/31/2014</v>
      </c>
      <c r="J555" t="str">
        <f>_xll.BDP("912828A4 Govt","COUPON_FREQUENCY_DESCRIPTION")</f>
        <v>S/A</v>
      </c>
      <c r="K555" t="str">
        <f>_xll.BDP("912828A4 Govt","CPN_TYP")</f>
        <v>FIXED</v>
      </c>
      <c r="L555" t="str">
        <f>_xll.BDP("912828A4 Govt","ID_ISIN")</f>
        <v>US912828A420</v>
      </c>
      <c r="M555">
        <v>29000000000</v>
      </c>
      <c r="N555">
        <v>0</v>
      </c>
      <c r="O555" t="str">
        <f>_xll.BDP("912828A4 Govt","ISSUE_DT")</f>
        <v>12/2/2013</v>
      </c>
      <c r="P555" t="str">
        <f>_xll.BDP("912828A4 Govt","SECURITY_NAME")</f>
        <v>T 2 11/30/20</v>
      </c>
      <c r="Q555" t="str">
        <f>_xll.BDP("912828A4 Govt","DAY_CNT_DES")</f>
        <v>ACT/ACT</v>
      </c>
      <c r="R555">
        <v>100</v>
      </c>
      <c r="S555" t="str">
        <f>_xll.BDP("912828A4 Govt","ID_CUSIP")</f>
        <v>912828A42</v>
      </c>
      <c r="T555" t="str">
        <f>_xll.BDP("912828A4 Govt","IDX_RATIO")</f>
        <v>#N/A Field Not Applicable</v>
      </c>
    </row>
    <row r="556" spans="1:20" x14ac:dyDescent="0.25">
      <c r="A556" t="s">
        <v>14</v>
      </c>
      <c r="B556" t="str">
        <f>_xll.BDP("912828BX Govt","TICKER")</f>
        <v>T</v>
      </c>
      <c r="C556">
        <f>_xll.BDP("912828BX Govt","CPN")</f>
        <v>1.875</v>
      </c>
      <c r="D556" t="str">
        <f>_xll.BDP("912828BX Govt","YLD_YTM_BID")</f>
        <v>#N/A N/A</v>
      </c>
      <c r="E556" t="str">
        <f>_xll.BDP("912828BX Govt","MATURITY")</f>
        <v>1/31/2006</v>
      </c>
      <c r="F556" t="str">
        <f>_xll.BDP("912828BX Govt","MTY_TYP")</f>
        <v>NORMAL</v>
      </c>
      <c r="G556" t="str">
        <f>_xll.BDP("912828BX Govt","CRNCY")</f>
        <v>USD</v>
      </c>
      <c r="H556" t="str">
        <f>_xll.BDP("912828BX Govt","COUNTRY_FULL_NAME")</f>
        <v>UNITED STATES</v>
      </c>
      <c r="I556" t="str">
        <f>_xll.BDP("912828BX Govt","FIRST_CPN_DT")</f>
        <v>7/31/2004</v>
      </c>
      <c r="J556" t="str">
        <f>_xll.BDP("912828BX Govt","COUPON_FREQUENCY_DESCRIPTION")</f>
        <v>S/A</v>
      </c>
      <c r="K556" t="str">
        <f>_xll.BDP("912828BX Govt","CPN_TYP")</f>
        <v>FIXED</v>
      </c>
      <c r="L556" t="str">
        <f>_xll.BDP("912828BX Govt","ID_ISIN")</f>
        <v>US912828BX71</v>
      </c>
      <c r="M556">
        <v>32533000000</v>
      </c>
      <c r="N556">
        <v>0</v>
      </c>
      <c r="O556" t="str">
        <f>_xll.BDP("912828BX Govt","ISSUE_DT")</f>
        <v>2/2/2004</v>
      </c>
      <c r="P556" t="str">
        <f>_xll.BDP("912828BX Govt","SECURITY_NAME")</f>
        <v>T 1 7/8 01/31/06</v>
      </c>
      <c r="Q556" t="str">
        <f>_xll.BDP("912828BX Govt","DAY_CNT_DES")</f>
        <v>ACT/ACT</v>
      </c>
      <c r="R556">
        <v>100</v>
      </c>
      <c r="S556" t="str">
        <f>_xll.BDP("912828BX Govt","ID_CUSIP")</f>
        <v>912828BX7</v>
      </c>
      <c r="T556" t="str">
        <f>_xll.BDP("912828BX Govt","IDX_RATIO")</f>
        <v>#N/A Field Not Applicable</v>
      </c>
    </row>
    <row r="557" spans="1:20" x14ac:dyDescent="0.25">
      <c r="A557" t="s">
        <v>14</v>
      </c>
      <c r="B557" t="str">
        <f>_xll.BDP("912828CL Govt","TICKER")</f>
        <v>T</v>
      </c>
      <c r="C557">
        <f>_xll.BDP("912828CL Govt","CPN")</f>
        <v>4</v>
      </c>
      <c r="D557" t="str">
        <f>_xll.BDP("912828CL Govt","YLD_YTM_BID")</f>
        <v>#N/A N/A</v>
      </c>
      <c r="E557" t="str">
        <f>_xll.BDP("912828CL Govt","MATURITY")</f>
        <v>6/15/2009</v>
      </c>
      <c r="F557" t="str">
        <f>_xll.BDP("912828CL Govt","MTY_TYP")</f>
        <v>NORMAL</v>
      </c>
      <c r="G557" t="str">
        <f>_xll.BDP("912828CL Govt","CRNCY")</f>
        <v>USD</v>
      </c>
      <c r="H557" t="str">
        <f>_xll.BDP("912828CL Govt","COUNTRY_FULL_NAME")</f>
        <v>UNITED STATES</v>
      </c>
      <c r="I557" t="str">
        <f>_xll.BDP("912828CL Govt","FIRST_CPN_DT")</f>
        <v>12/15/2004</v>
      </c>
      <c r="J557" t="str">
        <f>_xll.BDP("912828CL Govt","COUPON_FREQUENCY_DESCRIPTION")</f>
        <v>S/A</v>
      </c>
      <c r="K557" t="str">
        <f>_xll.BDP("912828CL Govt","CPN_TYP")</f>
        <v>FIXED</v>
      </c>
      <c r="L557" t="str">
        <f>_xll.BDP("912828CL Govt","ID_ISIN")</f>
        <v>US912828CL25</v>
      </c>
      <c r="M557">
        <v>15005000000</v>
      </c>
      <c r="N557">
        <v>0</v>
      </c>
      <c r="O557" t="str">
        <f>_xll.BDP("912828CL Govt","ISSUE_DT")</f>
        <v>6/15/2004</v>
      </c>
      <c r="P557" t="str">
        <f>_xll.BDP("912828CL Govt","SECURITY_NAME")</f>
        <v>T 4 06/15/09</v>
      </c>
      <c r="Q557" t="str">
        <f>_xll.BDP("912828CL Govt","DAY_CNT_DES")</f>
        <v>ACT/ACT</v>
      </c>
      <c r="R557">
        <v>100</v>
      </c>
      <c r="S557" t="str">
        <f>_xll.BDP("912828CL Govt","ID_CUSIP")</f>
        <v>912828CL2</v>
      </c>
      <c r="T557" t="str">
        <f>_xll.BDP("912828CL Govt","IDX_RATIO")</f>
        <v>#N/A Field Not Applicable</v>
      </c>
    </row>
    <row r="558" spans="1:20" x14ac:dyDescent="0.25">
      <c r="A558" t="s">
        <v>14</v>
      </c>
      <c r="B558" t="str">
        <f>_xll.BDP("912828LB Govt","TICKER")</f>
        <v>T</v>
      </c>
      <c r="C558">
        <f>_xll.BDP("912828LB Govt","CPN")</f>
        <v>1.5</v>
      </c>
      <c r="D558" t="str">
        <f>_xll.BDP("912828LB Govt","YLD_YTM_BID")</f>
        <v>#N/A N/A</v>
      </c>
      <c r="E558" t="str">
        <f>_xll.BDP("912828LB Govt","MATURITY")</f>
        <v>7/15/2012</v>
      </c>
      <c r="F558" t="str">
        <f>_xll.BDP("912828LB Govt","MTY_TYP")</f>
        <v>NORMAL</v>
      </c>
      <c r="G558" t="str">
        <f>_xll.BDP("912828LB Govt","CRNCY")</f>
        <v>USD</v>
      </c>
      <c r="H558" t="str">
        <f>_xll.BDP("912828LB Govt","COUNTRY_FULL_NAME")</f>
        <v>UNITED STATES</v>
      </c>
      <c r="I558" t="str">
        <f>_xll.BDP("912828LB Govt","FIRST_CPN_DT")</f>
        <v>1/15/2010</v>
      </c>
      <c r="J558" t="str">
        <f>_xll.BDP("912828LB Govt","COUPON_FREQUENCY_DESCRIPTION")</f>
        <v>S/A</v>
      </c>
      <c r="K558" t="str">
        <f>_xll.BDP("912828LB Govt","CPN_TYP")</f>
        <v>FIXED</v>
      </c>
      <c r="L558" t="str">
        <f>_xll.BDP("912828LB Govt","ID_ISIN")</f>
        <v>US912828LB42</v>
      </c>
      <c r="M558">
        <v>35592000000</v>
      </c>
      <c r="N558">
        <v>0</v>
      </c>
      <c r="O558" t="str">
        <f>_xll.BDP("912828LB Govt","ISSUE_DT")</f>
        <v>7/15/2009</v>
      </c>
      <c r="P558" t="str">
        <f>_xll.BDP("912828LB Govt","SECURITY_NAME")</f>
        <v>T 1 1/2 07/15/12</v>
      </c>
      <c r="Q558" t="str">
        <f>_xll.BDP("912828LB Govt","DAY_CNT_DES")</f>
        <v>ACT/ACT</v>
      </c>
      <c r="R558">
        <v>100</v>
      </c>
      <c r="S558" t="str">
        <f>_xll.BDP("912828LB Govt","ID_CUSIP")</f>
        <v>912828LB4</v>
      </c>
      <c r="T558" t="str">
        <f>_xll.BDP("912828LB Govt","IDX_RATIO")</f>
        <v>#N/A Field Not Applicable</v>
      </c>
    </row>
    <row r="559" spans="1:20" x14ac:dyDescent="0.25">
      <c r="A559" t="s">
        <v>14</v>
      </c>
      <c r="B559" t="str">
        <f>_xll.BDP("912828CH Govt","TICKER")</f>
        <v>T</v>
      </c>
      <c r="C559">
        <f>_xll.BDP("912828CH Govt","CPN")</f>
        <v>3.875</v>
      </c>
      <c r="D559" t="str">
        <f>_xll.BDP("912828CH Govt","YLD_YTM_BID")</f>
        <v>#N/A N/A</v>
      </c>
      <c r="E559" t="str">
        <f>_xll.BDP("912828CH Govt","MATURITY")</f>
        <v>5/15/2009</v>
      </c>
      <c r="F559" t="str">
        <f>_xll.BDP("912828CH Govt","MTY_TYP")</f>
        <v>NORMAL</v>
      </c>
      <c r="G559" t="str">
        <f>_xll.BDP("912828CH Govt","CRNCY")</f>
        <v>USD</v>
      </c>
      <c r="H559" t="str">
        <f>_xll.BDP("912828CH Govt","COUNTRY_FULL_NAME")</f>
        <v>UNITED STATES</v>
      </c>
      <c r="I559" t="str">
        <f>_xll.BDP("912828CH Govt","FIRST_CPN_DT")</f>
        <v>11/15/2004</v>
      </c>
      <c r="J559" t="str">
        <f>_xll.BDP("912828CH Govt","COUPON_FREQUENCY_DESCRIPTION")</f>
        <v>S/A</v>
      </c>
      <c r="K559" t="str">
        <f>_xll.BDP("912828CH Govt","CPN_TYP")</f>
        <v>FIXED</v>
      </c>
      <c r="L559" t="str">
        <f>_xll.BDP("912828CH Govt","ID_ISIN")</f>
        <v>US912828CH13</v>
      </c>
      <c r="M559">
        <v>18060000000</v>
      </c>
      <c r="N559">
        <v>0</v>
      </c>
      <c r="O559" t="str">
        <f>_xll.BDP("912828CH Govt","ISSUE_DT")</f>
        <v>5/17/2004</v>
      </c>
      <c r="P559" t="str">
        <f>_xll.BDP("912828CH Govt","SECURITY_NAME")</f>
        <v>T 3 7/8 05/15/09</v>
      </c>
      <c r="Q559" t="str">
        <f>_xll.BDP("912828CH Govt","DAY_CNT_DES")</f>
        <v>ACT/ACT</v>
      </c>
      <c r="R559">
        <v>100</v>
      </c>
      <c r="S559" t="str">
        <f>_xll.BDP("912828CH Govt","ID_CUSIP")</f>
        <v>912828CH1</v>
      </c>
      <c r="T559" t="str">
        <f>_xll.BDP("912828CH Govt","IDX_RATIO")</f>
        <v>#N/A Field Not Applicable</v>
      </c>
    </row>
    <row r="560" spans="1:20" x14ac:dyDescent="0.25">
      <c r="A560" t="s">
        <v>14</v>
      </c>
      <c r="B560" t="str">
        <f>_xll.BDP("912828G7 Govt","TICKER")</f>
        <v>T</v>
      </c>
      <c r="C560">
        <f>_xll.BDP("912828G7 Govt","CPN")</f>
        <v>1</v>
      </c>
      <c r="D560" t="str">
        <f>_xll.BDP("912828G7 Govt","YLD_YTM_BID")</f>
        <v>#N/A N/A</v>
      </c>
      <c r="E560" t="str">
        <f>_xll.BDP("912828G7 Govt","MATURITY")</f>
        <v>12/15/2017</v>
      </c>
      <c r="F560" t="str">
        <f>_xll.BDP("912828G7 Govt","MTY_TYP")</f>
        <v>NORMAL</v>
      </c>
      <c r="G560" t="str">
        <f>_xll.BDP("912828G7 Govt","CRNCY")</f>
        <v>USD</v>
      </c>
      <c r="H560" t="str">
        <f>_xll.BDP("912828G7 Govt","COUNTRY_FULL_NAME")</f>
        <v>UNITED STATES</v>
      </c>
      <c r="I560" t="str">
        <f>_xll.BDP("912828G7 Govt","FIRST_CPN_DT")</f>
        <v>6/15/2015</v>
      </c>
      <c r="J560" t="str">
        <f>_xll.BDP("912828G7 Govt","COUPON_FREQUENCY_DESCRIPTION")</f>
        <v>S/A</v>
      </c>
      <c r="K560" t="str">
        <f>_xll.BDP("912828G7 Govt","CPN_TYP")</f>
        <v>FIXED</v>
      </c>
      <c r="L560" t="str">
        <f>_xll.BDP("912828G7 Govt","ID_ISIN")</f>
        <v>US912828G799</v>
      </c>
      <c r="M560">
        <v>25000000000</v>
      </c>
      <c r="N560">
        <v>0</v>
      </c>
      <c r="O560" t="str">
        <f>_xll.BDP("912828G7 Govt","ISSUE_DT")</f>
        <v>12/15/2014</v>
      </c>
      <c r="P560" t="str">
        <f>_xll.BDP("912828G7 Govt","SECURITY_NAME")</f>
        <v>T 1 12/15/17</v>
      </c>
      <c r="Q560" t="str">
        <f>_xll.BDP("912828G7 Govt","DAY_CNT_DES")</f>
        <v>ACT/ACT</v>
      </c>
      <c r="R560">
        <v>100</v>
      </c>
      <c r="S560" t="str">
        <f>_xll.BDP("912828G7 Govt","ID_CUSIP")</f>
        <v>912828G79</v>
      </c>
      <c r="T560" t="str">
        <f>_xll.BDP("912828G7 Govt","IDX_RATIO")</f>
        <v>#N/A Field Not Applicable</v>
      </c>
    </row>
    <row r="561" spans="1:20" x14ac:dyDescent="0.25">
      <c r="A561" t="s">
        <v>14</v>
      </c>
      <c r="B561" t="str">
        <f>_xll.BDP("912828KJ Govt","TICKER")</f>
        <v>T</v>
      </c>
      <c r="C561">
        <f>_xll.BDP("912828KJ Govt","CPN")</f>
        <v>1.75</v>
      </c>
      <c r="D561" t="str">
        <f>_xll.BDP("912828KJ Govt","YLD_YTM_BID")</f>
        <v>#N/A N/A</v>
      </c>
      <c r="E561" t="str">
        <f>_xll.BDP("912828KJ Govt","MATURITY")</f>
        <v>3/31/2014</v>
      </c>
      <c r="F561" t="str">
        <f>_xll.BDP("912828KJ Govt","MTY_TYP")</f>
        <v>NORMAL</v>
      </c>
      <c r="G561" t="str">
        <f>_xll.BDP("912828KJ Govt","CRNCY")</f>
        <v>USD</v>
      </c>
      <c r="H561" t="str">
        <f>_xll.BDP("912828KJ Govt","COUNTRY_FULL_NAME")</f>
        <v>UNITED STATES</v>
      </c>
      <c r="I561" t="str">
        <f>_xll.BDP("912828KJ Govt","FIRST_CPN_DT")</f>
        <v>9/30/2009</v>
      </c>
      <c r="J561" t="str">
        <f>_xll.BDP("912828KJ Govt","COUPON_FREQUENCY_DESCRIPTION")</f>
        <v>S/A</v>
      </c>
      <c r="K561" t="str">
        <f>_xll.BDP("912828KJ Govt","CPN_TYP")</f>
        <v>FIXED</v>
      </c>
      <c r="L561" t="str">
        <f>_xll.BDP("912828KJ Govt","ID_ISIN")</f>
        <v>US912828KJ86</v>
      </c>
      <c r="M561">
        <v>35612000000</v>
      </c>
      <c r="N561">
        <v>0</v>
      </c>
      <c r="O561" t="str">
        <f>_xll.BDP("912828KJ Govt","ISSUE_DT")</f>
        <v>3/31/2009</v>
      </c>
      <c r="P561" t="str">
        <f>_xll.BDP("912828KJ Govt","SECURITY_NAME")</f>
        <v>T 1 3/4 03/31/14</v>
      </c>
      <c r="Q561" t="str">
        <f>_xll.BDP("912828KJ Govt","DAY_CNT_DES")</f>
        <v>ACT/ACT</v>
      </c>
      <c r="R561">
        <v>100</v>
      </c>
      <c r="S561" t="str">
        <f>_xll.BDP("912828KJ Govt","ID_CUSIP")</f>
        <v>912828KJ8</v>
      </c>
      <c r="T561" t="str">
        <f>_xll.BDP("912828KJ Govt","IDX_RATIO")</f>
        <v>#N/A Field Not Applicable</v>
      </c>
    </row>
    <row r="562" spans="1:20" x14ac:dyDescent="0.25">
      <c r="A562" t="s">
        <v>14</v>
      </c>
      <c r="B562" t="str">
        <f>_xll.BDP("912828NG Govt","TICKER")</f>
        <v>T</v>
      </c>
      <c r="C562">
        <f>_xll.BDP("912828NG Govt","CPN")</f>
        <v>2.75</v>
      </c>
      <c r="D562" t="str">
        <f>_xll.BDP("912828NG Govt","YLD_YTM_BID")</f>
        <v>#N/A N/A</v>
      </c>
      <c r="E562" t="str">
        <f>_xll.BDP("912828NG Govt","MATURITY")</f>
        <v>5/31/2017</v>
      </c>
      <c r="F562" t="str">
        <f>_xll.BDP("912828NG Govt","MTY_TYP")</f>
        <v>NORMAL</v>
      </c>
      <c r="G562" t="str">
        <f>_xll.BDP("912828NG Govt","CRNCY")</f>
        <v>USD</v>
      </c>
      <c r="H562" t="str">
        <f>_xll.BDP("912828NG Govt","COUNTRY_FULL_NAME")</f>
        <v>UNITED STATES</v>
      </c>
      <c r="I562" t="str">
        <f>_xll.BDP("912828NG Govt","FIRST_CPN_DT")</f>
        <v>11/30/2010</v>
      </c>
      <c r="J562" t="str">
        <f>_xll.BDP("912828NG Govt","COUPON_FREQUENCY_DESCRIPTION")</f>
        <v>S/A</v>
      </c>
      <c r="K562" t="str">
        <f>_xll.BDP("912828NG Govt","CPN_TYP")</f>
        <v>FIXED</v>
      </c>
      <c r="L562" t="str">
        <f>_xll.BDP("912828NG Govt","ID_ISIN")</f>
        <v>US912828NG11</v>
      </c>
      <c r="M562">
        <v>31674000000</v>
      </c>
      <c r="N562">
        <v>0</v>
      </c>
      <c r="O562" t="str">
        <f>_xll.BDP("912828NG Govt","ISSUE_DT")</f>
        <v>6/1/2010</v>
      </c>
      <c r="P562" t="str">
        <f>_xll.BDP("912828NG Govt","SECURITY_NAME")</f>
        <v>T 2 3/4 05/31/17</v>
      </c>
      <c r="Q562" t="str">
        <f>_xll.BDP("912828NG Govt","DAY_CNT_DES")</f>
        <v>ACT/ACT</v>
      </c>
      <c r="R562">
        <v>100</v>
      </c>
      <c r="S562" t="str">
        <f>_xll.BDP("912828NG Govt","ID_CUSIP")</f>
        <v>912828NG1</v>
      </c>
      <c r="T562" t="str">
        <f>_xll.BDP("912828NG Govt","IDX_RATIO")</f>
        <v>#N/A Field Not Applicable</v>
      </c>
    </row>
    <row r="563" spans="1:20" x14ac:dyDescent="0.25">
      <c r="A563" t="s">
        <v>14</v>
      </c>
      <c r="B563" t="str">
        <f>_xll.BDP("912828RM Govt","TICKER")</f>
        <v>T</v>
      </c>
      <c r="C563">
        <f>_xll.BDP("912828RM Govt","CPN")</f>
        <v>1</v>
      </c>
      <c r="D563" t="str">
        <f>_xll.BDP("912828RM Govt","YLD_YTM_BID")</f>
        <v>#N/A N/A</v>
      </c>
      <c r="E563" t="str">
        <f>_xll.BDP("912828RM Govt","MATURITY")</f>
        <v>10/31/2016</v>
      </c>
      <c r="F563" t="str">
        <f>_xll.BDP("912828RM Govt","MTY_TYP")</f>
        <v>NORMAL</v>
      </c>
      <c r="G563" t="str">
        <f>_xll.BDP("912828RM Govt","CRNCY")</f>
        <v>USD</v>
      </c>
      <c r="H563" t="str">
        <f>_xll.BDP("912828RM Govt","COUNTRY_FULL_NAME")</f>
        <v>UNITED STATES</v>
      </c>
      <c r="I563" t="str">
        <f>_xll.BDP("912828RM Govt","FIRST_CPN_DT")</f>
        <v>4/30/2012</v>
      </c>
      <c r="J563" t="str">
        <f>_xll.BDP("912828RM Govt","COUPON_FREQUENCY_DESCRIPTION")</f>
        <v>S/A</v>
      </c>
      <c r="K563" t="str">
        <f>_xll.BDP("912828RM Govt","CPN_TYP")</f>
        <v>FIXED</v>
      </c>
      <c r="L563" t="str">
        <f>_xll.BDP("912828RM Govt","ID_ISIN")</f>
        <v>US912828RM43</v>
      </c>
      <c r="M563">
        <v>36330000000</v>
      </c>
      <c r="N563">
        <v>0</v>
      </c>
      <c r="O563" t="str">
        <f>_xll.BDP("912828RM Govt","ISSUE_DT")</f>
        <v>10/31/2011</v>
      </c>
      <c r="P563" t="str">
        <f>_xll.BDP("912828RM Govt","SECURITY_NAME")</f>
        <v>T 1 10/31/16</v>
      </c>
      <c r="Q563" t="str">
        <f>_xll.BDP("912828RM Govt","DAY_CNT_DES")</f>
        <v>ACT/ACT</v>
      </c>
      <c r="R563">
        <v>100</v>
      </c>
      <c r="S563" t="str">
        <f>_xll.BDP("912828RM Govt","ID_CUSIP")</f>
        <v>912828RM4</v>
      </c>
      <c r="T563" t="str">
        <f>_xll.BDP("912828RM Govt","IDX_RATIO")</f>
        <v>#N/A Field Not Applicable</v>
      </c>
    </row>
    <row r="564" spans="1:20" x14ac:dyDescent="0.25">
      <c r="A564" t="s">
        <v>14</v>
      </c>
      <c r="B564" t="str">
        <f>_xll.BDP("912828SB Govt","TICKER")</f>
        <v>T</v>
      </c>
      <c r="C564">
        <f>_xll.BDP("912828SB Govt","CPN")</f>
        <v>0.25</v>
      </c>
      <c r="D564" t="str">
        <f>_xll.BDP("912828SB Govt","YLD_YTM_BID")</f>
        <v>#N/A N/A</v>
      </c>
      <c r="E564" t="str">
        <f>_xll.BDP("912828SB Govt","MATURITY")</f>
        <v>1/31/2014</v>
      </c>
      <c r="F564" t="str">
        <f>_xll.BDP("912828SB Govt","MTY_TYP")</f>
        <v>NORMAL</v>
      </c>
      <c r="G564" t="str">
        <f>_xll.BDP("912828SB Govt","CRNCY")</f>
        <v>USD</v>
      </c>
      <c r="H564" t="str">
        <f>_xll.BDP("912828SB Govt","COUNTRY_FULL_NAME")</f>
        <v>UNITED STATES</v>
      </c>
      <c r="I564" t="str">
        <f>_xll.BDP("912828SB Govt","FIRST_CPN_DT")</f>
        <v>7/31/2012</v>
      </c>
      <c r="J564" t="str">
        <f>_xll.BDP("912828SB Govt","COUPON_FREQUENCY_DESCRIPTION")</f>
        <v>S/A</v>
      </c>
      <c r="K564" t="str">
        <f>_xll.BDP("912828SB Govt","CPN_TYP")</f>
        <v>FIXED</v>
      </c>
      <c r="L564" t="str">
        <f>_xll.BDP("912828SB Govt","ID_ISIN")</f>
        <v>US912828SB78</v>
      </c>
      <c r="M564">
        <v>35660000000</v>
      </c>
      <c r="N564">
        <v>0</v>
      </c>
      <c r="O564" t="str">
        <f>_xll.BDP("912828SB Govt","ISSUE_DT")</f>
        <v>1/31/2012</v>
      </c>
      <c r="P564" t="str">
        <f>_xll.BDP("912828SB Govt","SECURITY_NAME")</f>
        <v>T 0 1/4 01/31/14</v>
      </c>
      <c r="Q564" t="str">
        <f>_xll.BDP("912828SB Govt","DAY_CNT_DES")</f>
        <v>ACT/ACT</v>
      </c>
      <c r="R564">
        <v>100</v>
      </c>
      <c r="S564" t="str">
        <f>_xll.BDP("912828SB Govt","ID_CUSIP")</f>
        <v>912828SB7</v>
      </c>
      <c r="T564" t="str">
        <f>_xll.BDP("912828SB Govt","IDX_RATIO")</f>
        <v>#N/A Field Not Applicable</v>
      </c>
    </row>
    <row r="565" spans="1:20" x14ac:dyDescent="0.25">
      <c r="A565" t="s">
        <v>14</v>
      </c>
      <c r="B565" t="str">
        <f>_xll.BDP("912828TK Govt","TICKER")</f>
        <v>T</v>
      </c>
      <c r="C565">
        <f>_xll.BDP("912828TK Govt","CPN")</f>
        <v>0.25</v>
      </c>
      <c r="D565" t="str">
        <f>_xll.BDP("912828TK Govt","YLD_YTM_BID")</f>
        <v>#N/A N/A</v>
      </c>
      <c r="E565" t="str">
        <f>_xll.BDP("912828TK Govt","MATURITY")</f>
        <v>8/15/2015</v>
      </c>
      <c r="F565" t="str">
        <f>_xll.BDP("912828TK Govt","MTY_TYP")</f>
        <v>NORMAL</v>
      </c>
      <c r="G565" t="str">
        <f>_xll.BDP("912828TK Govt","CRNCY")</f>
        <v>USD</v>
      </c>
      <c r="H565" t="str">
        <f>_xll.BDP("912828TK Govt","COUNTRY_FULL_NAME")</f>
        <v>UNITED STATES</v>
      </c>
      <c r="I565" t="str">
        <f>_xll.BDP("912828TK Govt","FIRST_CPN_DT")</f>
        <v>2/15/2013</v>
      </c>
      <c r="J565" t="str">
        <f>_xll.BDP("912828TK Govt","COUPON_FREQUENCY_DESCRIPTION")</f>
        <v>S/A</v>
      </c>
      <c r="K565" t="str">
        <f>_xll.BDP("912828TK Govt","CPN_TYP")</f>
        <v>FIXED</v>
      </c>
      <c r="L565" t="str">
        <f>_xll.BDP("912828TK Govt","ID_ISIN")</f>
        <v>US912828TK68</v>
      </c>
      <c r="M565">
        <v>32000000000</v>
      </c>
      <c r="N565">
        <v>0</v>
      </c>
      <c r="O565" t="str">
        <f>_xll.BDP("912828TK Govt","ISSUE_DT")</f>
        <v>8/15/2012</v>
      </c>
      <c r="P565" t="str">
        <f>_xll.BDP("912828TK Govt","SECURITY_NAME")</f>
        <v>T 0 1/4 08/15/15</v>
      </c>
      <c r="Q565" t="str">
        <f>_xll.BDP("912828TK Govt","DAY_CNT_DES")</f>
        <v>ACT/ACT</v>
      </c>
      <c r="R565">
        <v>100</v>
      </c>
      <c r="S565" t="str">
        <f>_xll.BDP("912828TK Govt","ID_CUSIP")</f>
        <v>912828TK6</v>
      </c>
      <c r="T565" t="str">
        <f>_xll.BDP("912828TK Govt","IDX_RATIO")</f>
        <v>#N/A Field Not Applicable</v>
      </c>
    </row>
    <row r="566" spans="1:20" x14ac:dyDescent="0.25">
      <c r="A566" t="s">
        <v>14</v>
      </c>
      <c r="B566" t="str">
        <f>_xll.BDP("912828VR Govt","TICKER")</f>
        <v>T</v>
      </c>
      <c r="C566">
        <f>_xll.BDP("912828VR Govt","CPN")</f>
        <v>0.625</v>
      </c>
      <c r="D566" t="str">
        <f>_xll.BDP("912828VR Govt","YLD_YTM_BID")</f>
        <v>#N/A N/A</v>
      </c>
      <c r="E566" t="str">
        <f>_xll.BDP("912828VR Govt","MATURITY")</f>
        <v>8/15/2016</v>
      </c>
      <c r="F566" t="str">
        <f>_xll.BDP("912828VR Govt","MTY_TYP")</f>
        <v>NORMAL</v>
      </c>
      <c r="G566" t="str">
        <f>_xll.BDP("912828VR Govt","CRNCY")</f>
        <v>USD</v>
      </c>
      <c r="H566" t="str">
        <f>_xll.BDP("912828VR Govt","COUNTRY_FULL_NAME")</f>
        <v>UNITED STATES</v>
      </c>
      <c r="I566" t="str">
        <f>_xll.BDP("912828VR Govt","FIRST_CPN_DT")</f>
        <v>2/15/2014</v>
      </c>
      <c r="J566" t="str">
        <f>_xll.BDP("912828VR Govt","COUPON_FREQUENCY_DESCRIPTION")</f>
        <v>S/A</v>
      </c>
      <c r="K566" t="str">
        <f>_xll.BDP("912828VR Govt","CPN_TYP")</f>
        <v>FIXED</v>
      </c>
      <c r="L566" t="str">
        <f>_xll.BDP("912828VR Govt","ID_ISIN")</f>
        <v>US912828VR83</v>
      </c>
      <c r="M566">
        <v>32000000000</v>
      </c>
      <c r="N566">
        <v>0</v>
      </c>
      <c r="O566" t="str">
        <f>_xll.BDP("912828VR Govt","ISSUE_DT")</f>
        <v>8/15/2013</v>
      </c>
      <c r="P566" t="str">
        <f>_xll.BDP("912828VR Govt","SECURITY_NAME")</f>
        <v>T 0 5/8 08/15/16</v>
      </c>
      <c r="Q566" t="str">
        <f>_xll.BDP("912828VR Govt","DAY_CNT_DES")</f>
        <v>ACT/ACT</v>
      </c>
      <c r="R566">
        <v>100</v>
      </c>
      <c r="S566" t="str">
        <f>_xll.BDP("912828VR Govt","ID_CUSIP")</f>
        <v>912828VR8</v>
      </c>
      <c r="T566" t="str">
        <f>_xll.BDP("912828VR Govt","IDX_RATIO")</f>
        <v>#N/A Field Not Applicable</v>
      </c>
    </row>
    <row r="567" spans="1:20" x14ac:dyDescent="0.25">
      <c r="A567" t="s">
        <v>14</v>
      </c>
      <c r="B567" t="str">
        <f>_xll.BDP("912828WM Govt","TICKER")</f>
        <v>T</v>
      </c>
      <c r="C567">
        <f>_xll.BDP("912828WM Govt","CPN")</f>
        <v>0.375</v>
      </c>
      <c r="D567" t="str">
        <f>_xll.BDP("912828WM Govt","YLD_YTM_BID")</f>
        <v>#N/A N/A</v>
      </c>
      <c r="E567" t="str">
        <f>_xll.BDP("912828WM Govt","MATURITY")</f>
        <v>5/31/2016</v>
      </c>
      <c r="F567" t="str">
        <f>_xll.BDP("912828WM Govt","MTY_TYP")</f>
        <v>NORMAL</v>
      </c>
      <c r="G567" t="str">
        <f>_xll.BDP("912828WM Govt","CRNCY")</f>
        <v>USD</v>
      </c>
      <c r="H567" t="str">
        <f>_xll.BDP("912828WM Govt","COUNTRY_FULL_NAME")</f>
        <v>UNITED STATES</v>
      </c>
      <c r="I567" t="str">
        <f>_xll.BDP("912828WM Govt","FIRST_CPN_DT")</f>
        <v>11/30/2014</v>
      </c>
      <c r="J567" t="str">
        <f>_xll.BDP("912828WM Govt","COUPON_FREQUENCY_DESCRIPTION")</f>
        <v>S/A</v>
      </c>
      <c r="K567" t="str">
        <f>_xll.BDP("912828WM Govt","CPN_TYP")</f>
        <v>FIXED</v>
      </c>
      <c r="L567" t="str">
        <f>_xll.BDP("912828WM Govt","ID_ISIN")</f>
        <v>US912828WM87</v>
      </c>
      <c r="M567">
        <v>31012000000</v>
      </c>
      <c r="N567">
        <v>0</v>
      </c>
      <c r="O567" t="str">
        <f>_xll.BDP("912828WM Govt","ISSUE_DT")</f>
        <v>6/2/2014</v>
      </c>
      <c r="P567" t="str">
        <f>_xll.BDP("912828WM Govt","SECURITY_NAME")</f>
        <v>T 0 3/8 05/31/16</v>
      </c>
      <c r="Q567" t="str">
        <f>_xll.BDP("912828WM Govt","DAY_CNT_DES")</f>
        <v>ACT/ACT</v>
      </c>
      <c r="R567">
        <v>100</v>
      </c>
      <c r="S567" t="str">
        <f>_xll.BDP("912828WM Govt","ID_CUSIP")</f>
        <v>912828WM8</v>
      </c>
      <c r="T567" t="str">
        <f>_xll.BDP("912828WM Govt","IDX_RATIO")</f>
        <v>#N/A Field Not Applicable</v>
      </c>
    </row>
    <row r="568" spans="1:20" x14ac:dyDescent="0.25">
      <c r="A568" t="s">
        <v>14</v>
      </c>
      <c r="B568" t="str">
        <f>_xll.BDP("912827K4 Govt","TICKER")</f>
        <v>T</v>
      </c>
      <c r="C568">
        <f>_xll.BDP("912827K4 Govt","CPN")</f>
        <v>5.5</v>
      </c>
      <c r="D568" t="str">
        <f>_xll.BDP("912827K4 Govt","YLD_YTM_BID")</f>
        <v>#N/A N/A</v>
      </c>
      <c r="E568" t="str">
        <f>_xll.BDP("912827K4 Govt","MATURITY")</f>
        <v>4/15/2000</v>
      </c>
      <c r="F568" t="str">
        <f>_xll.BDP("912827K4 Govt","MTY_TYP")</f>
        <v>NORMAL</v>
      </c>
      <c r="G568" t="str">
        <f>_xll.BDP("912827K4 Govt","CRNCY")</f>
        <v>USD</v>
      </c>
      <c r="H568" t="str">
        <f>_xll.BDP("912827K4 Govt","COUNTRY_FULL_NAME")</f>
        <v>UNITED STATES</v>
      </c>
      <c r="I568" t="str">
        <f>_xll.BDP("912827K4 Govt","FIRST_CPN_DT")</f>
        <v>10/15/1993</v>
      </c>
      <c r="J568" t="str">
        <f>_xll.BDP("912827K4 Govt","COUPON_FREQUENCY_DESCRIPTION")</f>
        <v>S/A</v>
      </c>
      <c r="K568" t="str">
        <f>_xll.BDP("912827K4 Govt","CPN_TYP")</f>
        <v>FIXED</v>
      </c>
      <c r="L568" t="str">
        <f>_xll.BDP("912827K4 Govt","ID_ISIN")</f>
        <v>US912827K439</v>
      </c>
      <c r="M568">
        <v>10535000000</v>
      </c>
      <c r="N568">
        <v>0</v>
      </c>
      <c r="O568" t="str">
        <f>_xll.BDP("912827K4 Govt","ISSUE_DT")</f>
        <v>4/15/1993</v>
      </c>
      <c r="P568" t="str">
        <f>_xll.BDP("912827K4 Govt","SECURITY_NAME")</f>
        <v>T 5 1/2 04/15/00</v>
      </c>
      <c r="Q568" t="str">
        <f>_xll.BDP("912827K4 Govt","DAY_CNT_DES")</f>
        <v>ACT/ACT</v>
      </c>
      <c r="R568">
        <v>100</v>
      </c>
      <c r="S568" t="str">
        <f>_xll.BDP("912827K4 Govt","ID_CUSIP")</f>
        <v>912827K43</v>
      </c>
      <c r="T568" t="str">
        <f>_xll.BDP("912827K4 Govt","IDX_RATIO")</f>
        <v>#N/A Field Not Applicable</v>
      </c>
    </row>
    <row r="569" spans="1:20" x14ac:dyDescent="0.25">
      <c r="A569" t="s">
        <v>14</v>
      </c>
      <c r="B569" t="str">
        <f>_xll.BDP("912827KN Govt","TICKER")</f>
        <v>T</v>
      </c>
      <c r="C569">
        <f>_xll.BDP("912827KN Govt","CPN")</f>
        <v>15</v>
      </c>
      <c r="D569" t="str">
        <f>_xll.BDP("912827KN Govt","YLD_YTM_BID")</f>
        <v>#N/A N/A</v>
      </c>
      <c r="E569" t="str">
        <f>_xll.BDP("912827KN Govt","MATURITY")</f>
        <v>3/31/1982</v>
      </c>
      <c r="F569" t="str">
        <f>_xll.BDP("912827KN Govt","MTY_TYP")</f>
        <v>NORMAL</v>
      </c>
      <c r="G569" t="str">
        <f>_xll.BDP("912827KN Govt","CRNCY")</f>
        <v>USD</v>
      </c>
      <c r="H569" t="str">
        <f>_xll.BDP("912827KN Govt","COUNTRY_FULL_NAME")</f>
        <v>UNITED STATES</v>
      </c>
      <c r="I569" t="str">
        <f>_xll.BDP("912827KN Govt","FIRST_CPN_DT")</f>
        <v>9/30/1980</v>
      </c>
      <c r="J569" t="str">
        <f>_xll.BDP("912827KN Govt","COUPON_FREQUENCY_DESCRIPTION")</f>
        <v>S/A</v>
      </c>
      <c r="K569" t="str">
        <f>_xll.BDP("912827KN Govt","CPN_TYP")</f>
        <v>FIXED</v>
      </c>
      <c r="L569" t="str">
        <f>_xll.BDP("912827KN Govt","ID_ISIN")</f>
        <v>US912827KN16</v>
      </c>
      <c r="N569">
        <v>0</v>
      </c>
      <c r="O569" t="str">
        <f>_xll.BDP("912827KN Govt","ISSUE_DT")</f>
        <v>3/31/1980</v>
      </c>
      <c r="P569" t="str">
        <f>_xll.BDP("912827KN Govt","SECURITY_NAME")</f>
        <v>T 15 03/31/82</v>
      </c>
      <c r="Q569" t="str">
        <f>_xll.BDP("912827KN Govt","DAY_CNT_DES")</f>
        <v>ACT/ACT</v>
      </c>
      <c r="R569">
        <v>100</v>
      </c>
      <c r="S569" t="str">
        <f>_xll.BDP("912827KN Govt","ID_CUSIP")</f>
        <v>912827KN1</v>
      </c>
      <c r="T569" t="str">
        <f>_xll.BDP("912827KN Govt","IDX_RATIO")</f>
        <v>#N/A Field Not Applicable</v>
      </c>
    </row>
    <row r="570" spans="1:20" x14ac:dyDescent="0.25">
      <c r="A570" t="s">
        <v>14</v>
      </c>
      <c r="B570" t="str">
        <f>_xll.BDP("912827XE Govt","TICKER")</f>
        <v>T</v>
      </c>
      <c r="C570">
        <f>_xll.BDP("912827XE Govt","CPN")</f>
        <v>8.875</v>
      </c>
      <c r="D570" t="str">
        <f>_xll.BDP("912827XE Govt","YLD_YTM_BID")</f>
        <v>#N/A N/A</v>
      </c>
      <c r="E570" t="str">
        <f>_xll.BDP("912827XE Govt","MATURITY")</f>
        <v>2/15/1999</v>
      </c>
      <c r="F570" t="str">
        <f>_xll.BDP("912827XE Govt","MTY_TYP")</f>
        <v>NORMAL</v>
      </c>
      <c r="G570" t="str">
        <f>_xll.BDP("912827XE Govt","CRNCY")</f>
        <v>USD</v>
      </c>
      <c r="H570" t="str">
        <f>_xll.BDP("912827XE Govt","COUNTRY_FULL_NAME")</f>
        <v>UNITED STATES</v>
      </c>
      <c r="I570" t="str">
        <f>_xll.BDP("912827XE Govt","FIRST_CPN_DT")</f>
        <v>8/15/1989</v>
      </c>
      <c r="J570" t="str">
        <f>_xll.BDP("912827XE Govt","COUPON_FREQUENCY_DESCRIPTION")</f>
        <v>S/A</v>
      </c>
      <c r="K570" t="str">
        <f>_xll.BDP("912827XE Govt","CPN_TYP")</f>
        <v>FIXED</v>
      </c>
      <c r="L570" t="str">
        <f>_xll.BDP("912827XE Govt","ID_ISIN")</f>
        <v>US912827XE79</v>
      </c>
      <c r="M570">
        <v>9720000000</v>
      </c>
      <c r="N570">
        <v>0</v>
      </c>
      <c r="O570" t="str">
        <f>_xll.BDP("912827XE Govt","ISSUE_DT")</f>
        <v>2/15/1989</v>
      </c>
      <c r="P570" t="str">
        <f>_xll.BDP("912827XE Govt","SECURITY_NAME")</f>
        <v>T 8 7/8 02/15/99</v>
      </c>
      <c r="Q570" t="str">
        <f>_xll.BDP("912827XE Govt","DAY_CNT_DES")</f>
        <v>ACT/ACT</v>
      </c>
      <c r="R570">
        <v>100</v>
      </c>
      <c r="S570" t="str">
        <f>_xll.BDP("912827XE Govt","ID_CUSIP")</f>
        <v>912827XE7</v>
      </c>
      <c r="T570" t="str">
        <f>_xll.BDP("912827XE Govt","IDX_RATIO")</f>
        <v>#N/A Field Not Applicable</v>
      </c>
    </row>
    <row r="571" spans="1:20" x14ac:dyDescent="0.25">
      <c r="A571" t="s">
        <v>14</v>
      </c>
      <c r="B571" t="str">
        <f>_xll.BDP("912828B8 Govt","TICKER")</f>
        <v>T</v>
      </c>
      <c r="C571">
        <f>_xll.BDP("912828B8 Govt","CPN")</f>
        <v>0.25</v>
      </c>
      <c r="D571" t="str">
        <f>_xll.BDP("912828B8 Govt","YLD_YTM_BID")</f>
        <v>#N/A N/A</v>
      </c>
      <c r="E571" t="str">
        <f>_xll.BDP("912828B8 Govt","MATURITY")</f>
        <v>2/29/2016</v>
      </c>
      <c r="F571" t="str">
        <f>_xll.BDP("912828B8 Govt","MTY_TYP")</f>
        <v>NORMAL</v>
      </c>
      <c r="G571" t="str">
        <f>_xll.BDP("912828B8 Govt","CRNCY")</f>
        <v>USD</v>
      </c>
      <c r="H571" t="str">
        <f>_xll.BDP("912828B8 Govt","COUNTRY_FULL_NAME")</f>
        <v>UNITED STATES</v>
      </c>
      <c r="I571" t="str">
        <f>_xll.BDP("912828B8 Govt","FIRST_CPN_DT")</f>
        <v>8/31/2014</v>
      </c>
      <c r="J571" t="str">
        <f>_xll.BDP("912828B8 Govt","COUPON_FREQUENCY_DESCRIPTION")</f>
        <v>S/A</v>
      </c>
      <c r="K571" t="str">
        <f>_xll.BDP("912828B8 Govt","CPN_TYP")</f>
        <v>FIXED</v>
      </c>
      <c r="L571" t="str">
        <f>_xll.BDP("912828B8 Govt","ID_ISIN")</f>
        <v>US912828B824</v>
      </c>
      <c r="M571">
        <v>32090000000</v>
      </c>
      <c r="N571">
        <v>0</v>
      </c>
      <c r="O571" t="str">
        <f>_xll.BDP("912828B8 Govt","ISSUE_DT")</f>
        <v>2/28/2014</v>
      </c>
      <c r="P571" t="str">
        <f>_xll.BDP("912828B8 Govt","SECURITY_NAME")</f>
        <v>T 0 1/4 02/29/16</v>
      </c>
      <c r="Q571" t="str">
        <f>_xll.BDP("912828B8 Govt","DAY_CNT_DES")</f>
        <v>ACT/ACT</v>
      </c>
      <c r="R571">
        <v>100</v>
      </c>
      <c r="S571" t="str">
        <f>_xll.BDP("912828B8 Govt","ID_CUSIP")</f>
        <v>912828B82</v>
      </c>
      <c r="T571" t="str">
        <f>_xll.BDP("912828B8 Govt","IDX_RATIO")</f>
        <v>#N/A Field Not Applicable</v>
      </c>
    </row>
    <row r="572" spans="1:20" x14ac:dyDescent="0.25">
      <c r="A572" t="s">
        <v>14</v>
      </c>
      <c r="B572" t="str">
        <f>_xll.BDP("912828EZ Govt","TICKER")</f>
        <v>T</v>
      </c>
      <c r="C572">
        <f>_xll.BDP("912828EZ Govt","CPN")</f>
        <v>4.625</v>
      </c>
      <c r="D572" t="str">
        <f>_xll.BDP("912828EZ Govt","YLD_YTM_BID")</f>
        <v>#N/A N/A</v>
      </c>
      <c r="E572" t="str">
        <f>_xll.BDP("912828EZ Govt","MATURITY")</f>
        <v>3/31/2008</v>
      </c>
      <c r="F572" t="str">
        <f>_xll.BDP("912828EZ Govt","MTY_TYP")</f>
        <v>NORMAL</v>
      </c>
      <c r="G572" t="str">
        <f>_xll.BDP("912828EZ Govt","CRNCY")</f>
        <v>USD</v>
      </c>
      <c r="H572" t="str">
        <f>_xll.BDP("912828EZ Govt","COUNTRY_FULL_NAME")</f>
        <v>UNITED STATES</v>
      </c>
      <c r="I572" t="str">
        <f>_xll.BDP("912828EZ Govt","FIRST_CPN_DT")</f>
        <v>9/30/2006</v>
      </c>
      <c r="J572" t="str">
        <f>_xll.BDP("912828EZ Govt","COUPON_FREQUENCY_DESCRIPTION")</f>
        <v>S/A</v>
      </c>
      <c r="K572" t="str">
        <f>_xll.BDP("912828EZ Govt","CPN_TYP")</f>
        <v>FIXED</v>
      </c>
      <c r="L572" t="str">
        <f>_xll.BDP("912828EZ Govt","ID_ISIN")</f>
        <v>US912828EZ92</v>
      </c>
      <c r="M572">
        <v>26842000000</v>
      </c>
      <c r="N572">
        <v>0</v>
      </c>
      <c r="O572" t="str">
        <f>_xll.BDP("912828EZ Govt","ISSUE_DT")</f>
        <v>3/31/2006</v>
      </c>
      <c r="P572" t="str">
        <f>_xll.BDP("912828EZ Govt","SECURITY_NAME")</f>
        <v>T 4 5/8 03/31/08</v>
      </c>
      <c r="Q572" t="str">
        <f>_xll.BDP("912828EZ Govt","DAY_CNT_DES")</f>
        <v>ACT/ACT</v>
      </c>
      <c r="R572">
        <v>100</v>
      </c>
      <c r="S572" t="str">
        <f>_xll.BDP("912828EZ Govt","ID_CUSIP")</f>
        <v>912828EZ9</v>
      </c>
      <c r="T572" t="str">
        <f>_xll.BDP("912828EZ Govt","IDX_RATIO")</f>
        <v>#N/A Field Not Applicable</v>
      </c>
    </row>
    <row r="573" spans="1:20" x14ac:dyDescent="0.25">
      <c r="A573" t="s">
        <v>14</v>
      </c>
      <c r="B573" t="str">
        <f>_xll.BDP("912828HM Govt","TICKER")</f>
        <v>T</v>
      </c>
      <c r="C573">
        <f>_xll.BDP("912828HM Govt","CPN")</f>
        <v>3.625</v>
      </c>
      <c r="D573" t="str">
        <f>_xll.BDP("912828HM Govt","YLD_YTM_BID")</f>
        <v>#N/A N/A</v>
      </c>
      <c r="E573" t="str">
        <f>_xll.BDP("912828HM Govt","MATURITY")</f>
        <v>12/31/2012</v>
      </c>
      <c r="F573" t="str">
        <f>_xll.BDP("912828HM Govt","MTY_TYP")</f>
        <v>NORMAL</v>
      </c>
      <c r="G573" t="str">
        <f>_xll.BDP("912828HM Govt","CRNCY")</f>
        <v>USD</v>
      </c>
      <c r="H573" t="str">
        <f>_xll.BDP("912828HM Govt","COUNTRY_FULL_NAME")</f>
        <v>UNITED STATES</v>
      </c>
      <c r="I573" t="str">
        <f>_xll.BDP("912828HM Govt","FIRST_CPN_DT")</f>
        <v>6/30/2008</v>
      </c>
      <c r="J573" t="str">
        <f>_xll.BDP("912828HM Govt","COUPON_FREQUENCY_DESCRIPTION")</f>
        <v>S/A</v>
      </c>
      <c r="K573" t="str">
        <f>_xll.BDP("912828HM Govt","CPN_TYP")</f>
        <v>FIXED</v>
      </c>
      <c r="L573" t="str">
        <f>_xll.BDP("912828HM Govt","ID_ISIN")</f>
        <v>US912828HM52</v>
      </c>
      <c r="M573">
        <v>15657000000</v>
      </c>
      <c r="N573">
        <v>0</v>
      </c>
      <c r="O573" t="str">
        <f>_xll.BDP("912828HM Govt","ISSUE_DT")</f>
        <v>12/31/2007</v>
      </c>
      <c r="P573" t="str">
        <f>_xll.BDP("912828HM Govt","SECURITY_NAME")</f>
        <v>T 3 5/8 12/31/12</v>
      </c>
      <c r="Q573" t="str">
        <f>_xll.BDP("912828HM Govt","DAY_CNT_DES")</f>
        <v>ACT/ACT</v>
      </c>
      <c r="R573">
        <v>100</v>
      </c>
      <c r="S573" t="str">
        <f>_xll.BDP("912828HM Govt","ID_CUSIP")</f>
        <v>912828HM5</v>
      </c>
      <c r="T573" t="str">
        <f>_xll.BDP("912828HM Govt","IDX_RATIO")</f>
        <v>#N/A Field Not Applicable</v>
      </c>
    </row>
    <row r="574" spans="1:20" x14ac:dyDescent="0.25">
      <c r="A574" t="s">
        <v>14</v>
      </c>
      <c r="B574" t="str">
        <f>_xll.BDP("912828ME Govt","TICKER")</f>
        <v>T</v>
      </c>
      <c r="C574">
        <f>_xll.BDP("912828ME Govt","CPN")</f>
        <v>2.625</v>
      </c>
      <c r="D574" t="str">
        <f>_xll.BDP("912828ME Govt","YLD_YTM_BID")</f>
        <v>#N/A N/A</v>
      </c>
      <c r="E574" t="str">
        <f>_xll.BDP("912828ME Govt","MATURITY")</f>
        <v>12/31/2014</v>
      </c>
      <c r="F574" t="str">
        <f>_xll.BDP("912828ME Govt","MTY_TYP")</f>
        <v>NORMAL</v>
      </c>
      <c r="G574" t="str">
        <f>_xll.BDP("912828ME Govt","CRNCY")</f>
        <v>USD</v>
      </c>
      <c r="H574" t="str">
        <f>_xll.BDP("912828ME Govt","COUNTRY_FULL_NAME")</f>
        <v>UNITED STATES</v>
      </c>
      <c r="I574" t="str">
        <f>_xll.BDP("912828ME Govt","FIRST_CPN_DT")</f>
        <v>6/30/2010</v>
      </c>
      <c r="J574" t="str">
        <f>_xll.BDP("912828ME Govt","COUPON_FREQUENCY_DESCRIPTION")</f>
        <v>S/A</v>
      </c>
      <c r="K574" t="str">
        <f>_xll.BDP("912828ME Govt","CPN_TYP")</f>
        <v>FIXED</v>
      </c>
      <c r="L574" t="str">
        <f>_xll.BDP("912828ME Govt","ID_ISIN")</f>
        <v>US912828ME71</v>
      </c>
      <c r="M574">
        <v>43245000000</v>
      </c>
      <c r="N574">
        <v>0</v>
      </c>
      <c r="O574" t="str">
        <f>_xll.BDP("912828ME Govt","ISSUE_DT")</f>
        <v>12/31/2009</v>
      </c>
      <c r="P574" t="str">
        <f>_xll.BDP("912828ME Govt","SECURITY_NAME")</f>
        <v>T 2 5/8 12/31/14</v>
      </c>
      <c r="Q574" t="str">
        <f>_xll.BDP("912828ME Govt","DAY_CNT_DES")</f>
        <v>ACT/ACT</v>
      </c>
      <c r="R574">
        <v>100</v>
      </c>
      <c r="S574" t="str">
        <f>_xll.BDP("912828ME Govt","ID_CUSIP")</f>
        <v>912828ME7</v>
      </c>
      <c r="T574" t="str">
        <f>_xll.BDP("912828ME Govt","IDX_RATIO")</f>
        <v>#N/A Field Not Applicable</v>
      </c>
    </row>
    <row r="575" spans="1:20" x14ac:dyDescent="0.25">
      <c r="A575" t="s">
        <v>14</v>
      </c>
      <c r="B575" t="str">
        <f>_xll.BDP("912828PZ Govt","TICKER")</f>
        <v>T</v>
      </c>
      <c r="C575">
        <f>_xll.BDP("912828PZ Govt","CPN")</f>
        <v>1.25</v>
      </c>
      <c r="D575" t="str">
        <f>_xll.BDP("912828PZ Govt","YLD_YTM_BID")</f>
        <v>#N/A N/A</v>
      </c>
      <c r="E575" t="str">
        <f>_xll.BDP("912828PZ Govt","MATURITY")</f>
        <v>3/15/2014</v>
      </c>
      <c r="F575" t="str">
        <f>_xll.BDP("912828PZ Govt","MTY_TYP")</f>
        <v>NORMAL</v>
      </c>
      <c r="G575" t="str">
        <f>_xll.BDP("912828PZ Govt","CRNCY")</f>
        <v>USD</v>
      </c>
      <c r="H575" t="str">
        <f>_xll.BDP("912828PZ Govt","COUNTRY_FULL_NAME")</f>
        <v>UNITED STATES</v>
      </c>
      <c r="I575" t="str">
        <f>_xll.BDP("912828PZ Govt","FIRST_CPN_DT")</f>
        <v>9/15/2011</v>
      </c>
      <c r="J575" t="str">
        <f>_xll.BDP("912828PZ Govt","COUPON_FREQUENCY_DESCRIPTION")</f>
        <v>S/A</v>
      </c>
      <c r="K575" t="str">
        <f>_xll.BDP("912828PZ Govt","CPN_TYP")</f>
        <v>FIXED</v>
      </c>
      <c r="L575" t="str">
        <f>_xll.BDP("912828PZ Govt","ID_ISIN")</f>
        <v>US912828PZ73</v>
      </c>
      <c r="M575">
        <v>32000000000</v>
      </c>
      <c r="N575">
        <v>0</v>
      </c>
      <c r="O575" t="str">
        <f>_xll.BDP("912828PZ Govt","ISSUE_DT")</f>
        <v>3/15/2011</v>
      </c>
      <c r="P575" t="str">
        <f>_xll.BDP("912828PZ Govt","SECURITY_NAME")</f>
        <v>T 1 1/4 03/15/14</v>
      </c>
      <c r="Q575" t="str">
        <f>_xll.BDP("912828PZ Govt","DAY_CNT_DES")</f>
        <v>ACT/ACT</v>
      </c>
      <c r="R575">
        <v>100</v>
      </c>
      <c r="S575" t="str">
        <f>_xll.BDP("912828PZ Govt","ID_CUSIP")</f>
        <v>912828PZ7</v>
      </c>
      <c r="T575" t="str">
        <f>_xll.BDP("912828PZ Govt","IDX_RATIO")</f>
        <v>#N/A Field Not Applicable</v>
      </c>
    </row>
    <row r="576" spans="1:20" x14ac:dyDescent="0.25">
      <c r="A576" t="s">
        <v>14</v>
      </c>
      <c r="B576" t="str">
        <f>_xll.BDP("912828QF Govt","TICKER")</f>
        <v>T</v>
      </c>
      <c r="C576">
        <f>_xll.BDP("912828QF Govt","CPN")</f>
        <v>2</v>
      </c>
      <c r="D576" t="str">
        <f>_xll.BDP("912828QF Govt","YLD_YTM_BID")</f>
        <v>#N/A N/A</v>
      </c>
      <c r="E576" t="str">
        <f>_xll.BDP("912828QF Govt","MATURITY")</f>
        <v>4/30/2016</v>
      </c>
      <c r="F576" t="str">
        <f>_xll.BDP("912828QF Govt","MTY_TYP")</f>
        <v>NORMAL</v>
      </c>
      <c r="G576" t="str">
        <f>_xll.BDP("912828QF Govt","CRNCY")</f>
        <v>USD</v>
      </c>
      <c r="H576" t="str">
        <f>_xll.BDP("912828QF Govt","COUNTRY_FULL_NAME")</f>
        <v>UNITED STATES</v>
      </c>
      <c r="I576" t="str">
        <f>_xll.BDP("912828QF Govt","FIRST_CPN_DT")</f>
        <v>10/31/2011</v>
      </c>
      <c r="J576" t="str">
        <f>_xll.BDP("912828QF Govt","COUPON_FREQUENCY_DESCRIPTION")</f>
        <v>S/A</v>
      </c>
      <c r="K576" t="str">
        <f>_xll.BDP("912828QF Govt","CPN_TYP")</f>
        <v>FIXED</v>
      </c>
      <c r="L576" t="str">
        <f>_xll.BDP("912828QF Govt","ID_ISIN")</f>
        <v>US912828QF01</v>
      </c>
      <c r="M576">
        <v>37209000000</v>
      </c>
      <c r="N576">
        <v>0</v>
      </c>
      <c r="O576" t="str">
        <f>_xll.BDP("912828QF Govt","ISSUE_DT")</f>
        <v>5/2/2011</v>
      </c>
      <c r="P576" t="str">
        <f>_xll.BDP("912828QF Govt","SECURITY_NAME")</f>
        <v>T 2 04/30/16</v>
      </c>
      <c r="Q576" t="str">
        <f>_xll.BDP("912828QF Govt","DAY_CNT_DES")</f>
        <v>ACT/ACT</v>
      </c>
      <c r="R576">
        <v>100</v>
      </c>
      <c r="S576" t="str">
        <f>_xll.BDP("912828QF Govt","ID_CUSIP")</f>
        <v>912828QF0</v>
      </c>
      <c r="T576" t="str">
        <f>_xll.BDP("912828QF Govt","IDX_RATIO")</f>
        <v>#N/A Field Not Applicable</v>
      </c>
    </row>
    <row r="577" spans="1:20" x14ac:dyDescent="0.25">
      <c r="A577" t="s">
        <v>14</v>
      </c>
      <c r="B577" t="str">
        <f>_xll.BDP("912828VC Govt","TICKER")</f>
        <v>T</v>
      </c>
      <c r="C577">
        <f>_xll.BDP("912828VC Govt","CPN")</f>
        <v>0.25</v>
      </c>
      <c r="D577" t="str">
        <f>_xll.BDP("912828VC Govt","YLD_YTM_BID")</f>
        <v>#N/A N/A</v>
      </c>
      <c r="E577" t="str">
        <f>_xll.BDP("912828VC Govt","MATURITY")</f>
        <v>5/15/2016</v>
      </c>
      <c r="F577" t="str">
        <f>_xll.BDP("912828VC Govt","MTY_TYP")</f>
        <v>NORMAL</v>
      </c>
      <c r="G577" t="str">
        <f>_xll.BDP("912828VC Govt","CRNCY")</f>
        <v>USD</v>
      </c>
      <c r="H577" t="str">
        <f>_xll.BDP("912828VC Govt","COUNTRY_FULL_NAME")</f>
        <v>UNITED STATES</v>
      </c>
      <c r="I577" t="str">
        <f>_xll.BDP("912828VC Govt","FIRST_CPN_DT")</f>
        <v>11/15/2013</v>
      </c>
      <c r="J577" t="str">
        <f>_xll.BDP("912828VC Govt","COUPON_FREQUENCY_DESCRIPTION")</f>
        <v>S/A</v>
      </c>
      <c r="K577" t="str">
        <f>_xll.BDP("912828VC Govt","CPN_TYP")</f>
        <v>FIXED</v>
      </c>
      <c r="L577" t="str">
        <f>_xll.BDP("912828VC Govt","ID_ISIN")</f>
        <v>US912828VC15</v>
      </c>
      <c r="M577">
        <v>31997000000</v>
      </c>
      <c r="N577">
        <v>0</v>
      </c>
      <c r="O577" t="str">
        <f>_xll.BDP("912828VC Govt","ISSUE_DT")</f>
        <v>5/15/2013</v>
      </c>
      <c r="P577" t="str">
        <f>_xll.BDP("912828VC Govt","SECURITY_NAME")</f>
        <v>T 0 1/4 05/15/16</v>
      </c>
      <c r="Q577" t="str">
        <f>_xll.BDP("912828VC Govt","DAY_CNT_DES")</f>
        <v>ACT/ACT</v>
      </c>
      <c r="R577">
        <v>100</v>
      </c>
      <c r="S577" t="str">
        <f>_xll.BDP("912828VC Govt","ID_CUSIP")</f>
        <v>912828VC1</v>
      </c>
      <c r="T577" t="str">
        <f>_xll.BDP("912828VC Govt","IDX_RATIO")</f>
        <v>#N/A Field Not Applicable</v>
      </c>
    </row>
    <row r="578" spans="1:20" x14ac:dyDescent="0.25">
      <c r="A578" t="s">
        <v>14</v>
      </c>
      <c r="B578" t="str">
        <f>_xll.BDP("9128274F Govt","TICKER")</f>
        <v>T</v>
      </c>
      <c r="C578">
        <f>_xll.BDP("9128274F Govt","CPN")</f>
        <v>5.625</v>
      </c>
      <c r="D578" t="str">
        <f>_xll.BDP("9128274F Govt","YLD_YTM_BID")</f>
        <v>#N/A N/A</v>
      </c>
      <c r="E578" t="str">
        <f>_xll.BDP("9128274F Govt","MATURITY")</f>
        <v>5/15/2008</v>
      </c>
      <c r="F578" t="str">
        <f>_xll.BDP("9128274F Govt","MTY_TYP")</f>
        <v>NORMAL</v>
      </c>
      <c r="G578" t="str">
        <f>_xll.BDP("9128274F Govt","CRNCY")</f>
        <v>USD</v>
      </c>
      <c r="H578" t="str">
        <f>_xll.BDP("9128274F Govt","COUNTRY_FULL_NAME")</f>
        <v>UNITED STATES</v>
      </c>
      <c r="I578" t="str">
        <f>_xll.BDP("9128274F Govt","FIRST_CPN_DT")</f>
        <v>11/15/1998</v>
      </c>
      <c r="J578" t="str">
        <f>_xll.BDP("9128274F Govt","COUPON_FREQUENCY_DESCRIPTION")</f>
        <v>S/A</v>
      </c>
      <c r="K578" t="str">
        <f>_xll.BDP("9128274F Govt","CPN_TYP")</f>
        <v>FIXED</v>
      </c>
      <c r="L578" t="str">
        <f>_xll.BDP("9128274F Govt","ID_ISIN")</f>
        <v>US9128274F67</v>
      </c>
      <c r="M578">
        <v>27191000000</v>
      </c>
      <c r="N578">
        <v>0</v>
      </c>
      <c r="O578" t="str">
        <f>_xll.BDP("9128274F Govt","ISSUE_DT")</f>
        <v>5/15/1998</v>
      </c>
      <c r="P578" t="str">
        <f>_xll.BDP("9128274F Govt","SECURITY_NAME")</f>
        <v>T 5 5/8 05/15/08</v>
      </c>
      <c r="Q578" t="str">
        <f>_xll.BDP("9128274F Govt","DAY_CNT_DES")</f>
        <v>ACT/ACT</v>
      </c>
      <c r="R578">
        <v>100</v>
      </c>
      <c r="S578" t="str">
        <f>_xll.BDP("9128274F Govt","ID_CUSIP")</f>
        <v>9128274F6</v>
      </c>
      <c r="T578" t="str">
        <f>_xll.BDP("9128274F Govt","IDX_RATIO")</f>
        <v>#N/A Field Not Applicable</v>
      </c>
    </row>
    <row r="579" spans="1:20" x14ac:dyDescent="0.25">
      <c r="A579" t="s">
        <v>14</v>
      </c>
      <c r="B579" t="str">
        <f>_xll.BDP("912827E5 Govt","TICKER")</f>
        <v>T</v>
      </c>
      <c r="C579">
        <f>_xll.BDP("912827E5 Govt","CPN")</f>
        <v>6.75</v>
      </c>
      <c r="D579" t="str">
        <f>_xll.BDP("912827E5 Govt","YLD_YTM_BID")</f>
        <v>#N/A N/A</v>
      </c>
      <c r="E579" t="str">
        <f>_xll.BDP("912827E5 Govt","MATURITY")</f>
        <v>2/28/1997</v>
      </c>
      <c r="F579" t="str">
        <f>_xll.BDP("912827E5 Govt","MTY_TYP")</f>
        <v>NORMAL</v>
      </c>
      <c r="G579" t="str">
        <f>_xll.BDP("912827E5 Govt","CRNCY")</f>
        <v>USD</v>
      </c>
      <c r="H579" t="str">
        <f>_xll.BDP("912827E5 Govt","COUNTRY_FULL_NAME")</f>
        <v>UNITED STATES</v>
      </c>
      <c r="I579" t="str">
        <f>_xll.BDP("912827E5 Govt","FIRST_CPN_DT")</f>
        <v>8/31/1992</v>
      </c>
      <c r="J579" t="str">
        <f>_xll.BDP("912827E5 Govt","COUPON_FREQUENCY_DESCRIPTION")</f>
        <v>S/A</v>
      </c>
      <c r="K579" t="str">
        <f>_xll.BDP("912827E5 Govt","CPN_TYP")</f>
        <v>FIXED</v>
      </c>
      <c r="L579" t="str">
        <f>_xll.BDP("912827E5 Govt","ID_ISIN")</f>
        <v>US912827E572</v>
      </c>
      <c r="N579">
        <v>0</v>
      </c>
      <c r="O579" t="str">
        <f>_xll.BDP("912827E5 Govt","ISSUE_DT")</f>
        <v>3/2/1992</v>
      </c>
      <c r="P579" t="str">
        <f>_xll.BDP("912827E5 Govt","SECURITY_NAME")</f>
        <v>T 6 3/4 02/28/97</v>
      </c>
      <c r="Q579" t="str">
        <f>_xll.BDP("912827E5 Govt","DAY_CNT_DES")</f>
        <v>ACT/ACT</v>
      </c>
      <c r="R579">
        <v>100</v>
      </c>
      <c r="S579" t="str">
        <f>_xll.BDP("912827E5 Govt","ID_CUSIP")</f>
        <v>912827E57</v>
      </c>
      <c r="T579" t="str">
        <f>_xll.BDP("912827E5 Govt","IDX_RATIO")</f>
        <v>#N/A Field Not Applicable</v>
      </c>
    </row>
    <row r="580" spans="1:20" x14ac:dyDescent="0.25">
      <c r="A580" t="s">
        <v>14</v>
      </c>
      <c r="B580" t="str">
        <f>_xll.BDP("912828A6 Govt","TICKER")</f>
        <v>T</v>
      </c>
      <c r="C580">
        <f>_xll.BDP("912828A6 Govt","CPN")</f>
        <v>0.25</v>
      </c>
      <c r="D580" t="str">
        <f>_xll.BDP("912828A6 Govt","YLD_YTM_BID")</f>
        <v>#N/A N/A</v>
      </c>
      <c r="E580" t="str">
        <f>_xll.BDP("912828A6 Govt","MATURITY")</f>
        <v>12/31/2015</v>
      </c>
      <c r="F580" t="str">
        <f>_xll.BDP("912828A6 Govt","MTY_TYP")</f>
        <v>NORMAL</v>
      </c>
      <c r="G580" t="str">
        <f>_xll.BDP("912828A6 Govt","CRNCY")</f>
        <v>USD</v>
      </c>
      <c r="H580" t="str">
        <f>_xll.BDP("912828A6 Govt","COUNTRY_FULL_NAME")</f>
        <v>UNITED STATES</v>
      </c>
      <c r="I580" t="str">
        <f>_xll.BDP("912828A6 Govt","FIRST_CPN_DT")</f>
        <v>6/30/2014</v>
      </c>
      <c r="J580" t="str">
        <f>_xll.BDP("912828A6 Govt","COUPON_FREQUENCY_DESCRIPTION")</f>
        <v>S/A</v>
      </c>
      <c r="K580" t="str">
        <f>_xll.BDP("912828A6 Govt","CPN_TYP")</f>
        <v>FIXED</v>
      </c>
      <c r="L580" t="str">
        <f>_xll.BDP("912828A6 Govt","ID_ISIN")</f>
        <v>US912828A677</v>
      </c>
      <c r="M580">
        <v>31995000000</v>
      </c>
      <c r="N580">
        <v>0</v>
      </c>
      <c r="O580" t="str">
        <f>_xll.BDP("912828A6 Govt","ISSUE_DT")</f>
        <v>12/31/2013</v>
      </c>
      <c r="P580" t="str">
        <f>_xll.BDP("912828A6 Govt","SECURITY_NAME")</f>
        <v>T 0 1/4 12/31/15</v>
      </c>
      <c r="Q580" t="str">
        <f>_xll.BDP("912828A6 Govt","DAY_CNT_DES")</f>
        <v>ACT/ACT</v>
      </c>
      <c r="R580">
        <v>100</v>
      </c>
      <c r="S580" t="str">
        <f>_xll.BDP("912828A6 Govt","ID_CUSIP")</f>
        <v>912828A67</v>
      </c>
      <c r="T580" t="str">
        <f>_xll.BDP("912828A6 Govt","IDX_RATIO")</f>
        <v>#N/A Field Not Applicable</v>
      </c>
    </row>
    <row r="581" spans="1:20" x14ac:dyDescent="0.25">
      <c r="A581" t="s">
        <v>14</v>
      </c>
      <c r="B581" t="str">
        <f>_xll.BDP("912828H2 Govt","TICKER")</f>
        <v>T</v>
      </c>
      <c r="C581">
        <f>_xll.BDP("912828H2 Govt","CPN")</f>
        <v>0.625</v>
      </c>
      <c r="D581" t="str">
        <f>_xll.BDP("912828H2 Govt","YLD_YTM_BID")</f>
        <v>#N/A N/A</v>
      </c>
      <c r="E581" t="str">
        <f>_xll.BDP("912828H2 Govt","MATURITY")</f>
        <v>12/31/2016</v>
      </c>
      <c r="F581" t="str">
        <f>_xll.BDP("912828H2 Govt","MTY_TYP")</f>
        <v>NORMAL</v>
      </c>
      <c r="G581" t="str">
        <f>_xll.BDP("912828H2 Govt","CRNCY")</f>
        <v>USD</v>
      </c>
      <c r="H581" t="str">
        <f>_xll.BDP("912828H2 Govt","COUNTRY_FULL_NAME")</f>
        <v>UNITED STATES</v>
      </c>
      <c r="I581" t="str">
        <f>_xll.BDP("912828H2 Govt","FIRST_CPN_DT")</f>
        <v>6/30/2015</v>
      </c>
      <c r="J581" t="str">
        <f>_xll.BDP("912828H2 Govt","COUPON_FREQUENCY_DESCRIPTION")</f>
        <v>S/A</v>
      </c>
      <c r="K581" t="str">
        <f>_xll.BDP("912828H2 Govt","CPN_TYP")</f>
        <v>FIXED</v>
      </c>
      <c r="L581" t="str">
        <f>_xll.BDP("912828H2 Govt","ID_ISIN")</f>
        <v>US912828H292</v>
      </c>
      <c r="M581">
        <v>26999000000</v>
      </c>
      <c r="N581">
        <v>0</v>
      </c>
      <c r="O581" t="str">
        <f>_xll.BDP("912828H2 Govt","ISSUE_DT")</f>
        <v>12/31/2014</v>
      </c>
      <c r="P581" t="str">
        <f>_xll.BDP("912828H2 Govt","SECURITY_NAME")</f>
        <v>T 0 5/8 12/31/16</v>
      </c>
      <c r="Q581" t="str">
        <f>_xll.BDP("912828H2 Govt","DAY_CNT_DES")</f>
        <v>ACT/ACT</v>
      </c>
      <c r="R581">
        <v>100</v>
      </c>
      <c r="S581" t="str">
        <f>_xll.BDP("912828H2 Govt","ID_CUSIP")</f>
        <v>912828H29</v>
      </c>
      <c r="T581" t="str">
        <f>_xll.BDP("912828H2 Govt","IDX_RATIO")</f>
        <v>#N/A Field Not Applicable</v>
      </c>
    </row>
    <row r="582" spans="1:20" x14ac:dyDescent="0.25">
      <c r="A582" t="s">
        <v>14</v>
      </c>
      <c r="B582" t="str">
        <f>_xll.BDP("912828KE Govt","TICKER")</f>
        <v>T</v>
      </c>
      <c r="C582">
        <f>_xll.BDP("912828KE Govt","CPN")</f>
        <v>0.875</v>
      </c>
      <c r="D582" t="str">
        <f>_xll.BDP("912828KE Govt","YLD_YTM_BID")</f>
        <v>#N/A N/A</v>
      </c>
      <c r="E582" t="str">
        <f>_xll.BDP("912828KE Govt","MATURITY")</f>
        <v>2/28/2011</v>
      </c>
      <c r="F582" t="str">
        <f>_xll.BDP("912828KE Govt","MTY_TYP")</f>
        <v>NORMAL</v>
      </c>
      <c r="G582" t="str">
        <f>_xll.BDP("912828KE Govt","CRNCY")</f>
        <v>USD</v>
      </c>
      <c r="H582" t="str">
        <f>_xll.BDP("912828KE Govt","COUNTRY_FULL_NAME")</f>
        <v>UNITED STATES</v>
      </c>
      <c r="I582" t="str">
        <f>_xll.BDP("912828KE Govt","FIRST_CPN_DT")</f>
        <v>8/31/2009</v>
      </c>
      <c r="J582" t="str">
        <f>_xll.BDP("912828KE Govt","COUPON_FREQUENCY_DESCRIPTION")</f>
        <v>S/A</v>
      </c>
      <c r="K582" t="str">
        <f>_xll.BDP("912828KE Govt","CPN_TYP")</f>
        <v>FIXED</v>
      </c>
      <c r="L582" t="str">
        <f>_xll.BDP("912828KE Govt","ID_ISIN")</f>
        <v>US912828KE99</v>
      </c>
      <c r="M582">
        <v>42145000000</v>
      </c>
      <c r="N582">
        <v>0</v>
      </c>
      <c r="O582" t="str">
        <f>_xll.BDP("912828KE Govt","ISSUE_DT")</f>
        <v>3/2/2009</v>
      </c>
      <c r="P582" t="str">
        <f>_xll.BDP("912828KE Govt","SECURITY_NAME")</f>
        <v>T 0 7/8 02/28/11</v>
      </c>
      <c r="Q582" t="str">
        <f>_xll.BDP("912828KE Govt","DAY_CNT_DES")</f>
        <v>ACT/ACT</v>
      </c>
      <c r="R582">
        <v>100</v>
      </c>
      <c r="S582" t="str">
        <f>_xll.BDP("912828KE Govt","ID_CUSIP")</f>
        <v>912828KE9</v>
      </c>
      <c r="T582" t="str">
        <f>_xll.BDP("912828KE Govt","IDX_RATIO")</f>
        <v>#N/A Field Not Applicable</v>
      </c>
    </row>
    <row r="583" spans="1:20" x14ac:dyDescent="0.25">
      <c r="A583" t="s">
        <v>14</v>
      </c>
      <c r="B583" t="str">
        <f>_xll.BDP("912828KQ Govt","TICKER")</f>
        <v>T</v>
      </c>
      <c r="C583">
        <f>_xll.BDP("912828KQ Govt","CPN")</f>
        <v>3.125</v>
      </c>
      <c r="D583" t="str">
        <f>_xll.BDP("912828KQ Govt","YLD_YTM_BID")</f>
        <v>#N/A N/A</v>
      </c>
      <c r="E583" t="str">
        <f>_xll.BDP("912828KQ Govt","MATURITY")</f>
        <v>5/15/2019</v>
      </c>
      <c r="F583" t="str">
        <f>_xll.BDP("912828KQ Govt","MTY_TYP")</f>
        <v>NORMAL</v>
      </c>
      <c r="G583" t="str">
        <f>_xll.BDP("912828KQ Govt","CRNCY")</f>
        <v>USD</v>
      </c>
      <c r="H583" t="str">
        <f>_xll.BDP("912828KQ Govt","COUNTRY_FULL_NAME")</f>
        <v>UNITED STATES</v>
      </c>
      <c r="I583" t="str">
        <f>_xll.BDP("912828KQ Govt","FIRST_CPN_DT")</f>
        <v>11/15/2009</v>
      </c>
      <c r="J583" t="str">
        <f>_xll.BDP("912828KQ Govt","COUPON_FREQUENCY_DESCRIPTION")</f>
        <v>S/A</v>
      </c>
      <c r="K583" t="str">
        <f>_xll.BDP("912828KQ Govt","CPN_TYP")</f>
        <v>FIXED</v>
      </c>
      <c r="L583" t="str">
        <f>_xll.BDP("912828KQ Govt","ID_ISIN")</f>
        <v>US912828KQ20</v>
      </c>
      <c r="M583">
        <v>64411000000</v>
      </c>
      <c r="N583">
        <v>0</v>
      </c>
      <c r="O583" t="str">
        <f>_xll.BDP("912828KQ Govt","ISSUE_DT")</f>
        <v>5/15/2009</v>
      </c>
      <c r="P583" t="str">
        <f>_xll.BDP("912828KQ Govt","SECURITY_NAME")</f>
        <v>T 3 1/8 05/15/19</v>
      </c>
      <c r="Q583" t="str">
        <f>_xll.BDP("912828KQ Govt","DAY_CNT_DES")</f>
        <v>ACT/ACT</v>
      </c>
      <c r="R583">
        <v>100</v>
      </c>
      <c r="S583" t="str">
        <f>_xll.BDP("912828KQ Govt","ID_CUSIP")</f>
        <v>912828KQ2</v>
      </c>
      <c r="T583" t="str">
        <f>_xll.BDP("912828KQ Govt","IDX_RATIO")</f>
        <v>#N/A Field Not Applicable</v>
      </c>
    </row>
    <row r="584" spans="1:20" x14ac:dyDescent="0.25">
      <c r="A584" t="s">
        <v>14</v>
      </c>
      <c r="B584" t="str">
        <f>_xll.BDP("912828LF Govt","TICKER")</f>
        <v>T</v>
      </c>
      <c r="C584">
        <f>_xll.BDP("912828LF Govt","CPN")</f>
        <v>1.125</v>
      </c>
      <c r="D584" t="str">
        <f>_xll.BDP("912828LF Govt","YLD_YTM_BID")</f>
        <v>#N/A N/A</v>
      </c>
      <c r="E584" t="str">
        <f>_xll.BDP("912828LF Govt","MATURITY")</f>
        <v>6/30/2011</v>
      </c>
      <c r="F584" t="str">
        <f>_xll.BDP("912828LF Govt","MTY_TYP")</f>
        <v>NORMAL</v>
      </c>
      <c r="G584" t="str">
        <f>_xll.BDP("912828LF Govt","CRNCY")</f>
        <v>USD</v>
      </c>
      <c r="H584" t="str">
        <f>_xll.BDP("912828LF Govt","COUNTRY_FULL_NAME")</f>
        <v>UNITED STATES</v>
      </c>
      <c r="I584" t="str">
        <f>_xll.BDP("912828LF Govt","FIRST_CPN_DT")</f>
        <v>12/31/2009</v>
      </c>
      <c r="J584" t="str">
        <f>_xll.BDP("912828LF Govt","COUPON_FREQUENCY_DESCRIPTION")</f>
        <v>S/A</v>
      </c>
      <c r="K584" t="str">
        <f>_xll.BDP("912828LF Govt","CPN_TYP")</f>
        <v>FIXED</v>
      </c>
      <c r="L584" t="str">
        <f>_xll.BDP("912828LF Govt","ID_ISIN")</f>
        <v>US912828LF55</v>
      </c>
      <c r="M584">
        <v>41162000000</v>
      </c>
      <c r="N584">
        <v>0</v>
      </c>
      <c r="O584" t="str">
        <f>_xll.BDP("912828LF Govt","ISSUE_DT")</f>
        <v>6/30/2009</v>
      </c>
      <c r="P584" t="str">
        <f>_xll.BDP("912828LF Govt","SECURITY_NAME")</f>
        <v>T 1 1/8 06/30/11</v>
      </c>
      <c r="Q584" t="str">
        <f>_xll.BDP("912828LF Govt","DAY_CNT_DES")</f>
        <v>ACT/ACT</v>
      </c>
      <c r="R584">
        <v>100</v>
      </c>
      <c r="S584" t="str">
        <f>_xll.BDP("912828LF Govt","ID_CUSIP")</f>
        <v>912828LF5</v>
      </c>
      <c r="T584" t="str">
        <f>_xll.BDP("912828LF Govt","IDX_RATIO")</f>
        <v>#N/A Field Not Applicable</v>
      </c>
    </row>
    <row r="585" spans="1:20" x14ac:dyDescent="0.25">
      <c r="A585" t="s">
        <v>14</v>
      </c>
      <c r="B585" t="str">
        <f>_xll.BDP("912828TH Govt","TICKER")</f>
        <v>T</v>
      </c>
      <c r="C585">
        <f>_xll.BDP("912828TH Govt","CPN")</f>
        <v>0.875</v>
      </c>
      <c r="D585" t="str">
        <f>_xll.BDP("912828TH Govt","YLD_YTM_BID")</f>
        <v>#N/A N/A</v>
      </c>
      <c r="E585" t="str">
        <f>_xll.BDP("912828TH Govt","MATURITY")</f>
        <v>7/31/2019</v>
      </c>
      <c r="F585" t="str">
        <f>_xll.BDP("912828TH Govt","MTY_TYP")</f>
        <v>NORMAL</v>
      </c>
      <c r="G585" t="str">
        <f>_xll.BDP("912828TH Govt","CRNCY")</f>
        <v>USD</v>
      </c>
      <c r="H585" t="str">
        <f>_xll.BDP("912828TH Govt","COUNTRY_FULL_NAME")</f>
        <v>UNITED STATES</v>
      </c>
      <c r="I585" t="str">
        <f>_xll.BDP("912828TH Govt","FIRST_CPN_DT")</f>
        <v>1/31/2013</v>
      </c>
      <c r="J585" t="str">
        <f>_xll.BDP("912828TH Govt","COUPON_FREQUENCY_DESCRIPTION")</f>
        <v>S/A</v>
      </c>
      <c r="K585" t="str">
        <f>_xll.BDP("912828TH Govt","CPN_TYP")</f>
        <v>FIXED</v>
      </c>
      <c r="L585" t="str">
        <f>_xll.BDP("912828TH Govt","ID_ISIN")</f>
        <v>US912828TH30</v>
      </c>
      <c r="M585">
        <v>29000000000</v>
      </c>
      <c r="N585">
        <v>0</v>
      </c>
      <c r="O585" t="str">
        <f>_xll.BDP("912828TH Govt","ISSUE_DT")</f>
        <v>7/31/2012</v>
      </c>
      <c r="P585" t="str">
        <f>_xll.BDP("912828TH Govt","SECURITY_NAME")</f>
        <v>T 0 7/8 07/31/19</v>
      </c>
      <c r="Q585" t="str">
        <f>_xll.BDP("912828TH Govt","DAY_CNT_DES")</f>
        <v>ACT/ACT</v>
      </c>
      <c r="R585">
        <v>100</v>
      </c>
      <c r="S585" t="str">
        <f>_xll.BDP("912828TH Govt","ID_CUSIP")</f>
        <v>912828TH3</v>
      </c>
      <c r="T585" t="str">
        <f>_xll.BDP("912828TH Govt","IDX_RATIO")</f>
        <v>#N/A Field Not Applicable</v>
      </c>
    </row>
    <row r="586" spans="1:20" x14ac:dyDescent="0.25">
      <c r="A586" t="s">
        <v>14</v>
      </c>
      <c r="B586" t="str">
        <f>_xll.BDP("912828UD Govt","TICKER")</f>
        <v>T</v>
      </c>
      <c r="C586">
        <f>_xll.BDP("912828UD Govt","CPN")</f>
        <v>0.125</v>
      </c>
      <c r="D586" t="str">
        <f>_xll.BDP("912828UD Govt","YLD_YTM_BID")</f>
        <v>#N/A N/A</v>
      </c>
      <c r="E586" t="str">
        <f>_xll.BDP("912828UD Govt","MATURITY")</f>
        <v>12/31/2014</v>
      </c>
      <c r="F586" t="str">
        <f>_xll.BDP("912828UD Govt","MTY_TYP")</f>
        <v>NORMAL</v>
      </c>
      <c r="G586" t="str">
        <f>_xll.BDP("912828UD Govt","CRNCY")</f>
        <v>USD</v>
      </c>
      <c r="H586" t="str">
        <f>_xll.BDP("912828UD Govt","COUNTRY_FULL_NAME")</f>
        <v>UNITED STATES</v>
      </c>
      <c r="I586" t="str">
        <f>_xll.BDP("912828UD Govt","FIRST_CPN_DT")</f>
        <v>6/30/2013</v>
      </c>
      <c r="J586" t="str">
        <f>_xll.BDP("912828UD Govt","COUPON_FREQUENCY_DESCRIPTION")</f>
        <v>S/A</v>
      </c>
      <c r="K586" t="str">
        <f>_xll.BDP("912828UD Govt","CPN_TYP")</f>
        <v>FIXED</v>
      </c>
      <c r="L586" t="str">
        <f>_xll.BDP("912828UD Govt","ID_ISIN")</f>
        <v>US912828UD07</v>
      </c>
      <c r="M586">
        <v>35000000000</v>
      </c>
      <c r="N586">
        <v>0</v>
      </c>
      <c r="O586" t="str">
        <f>_xll.BDP("912828UD Govt","ISSUE_DT")</f>
        <v>12/31/2012</v>
      </c>
      <c r="P586" t="str">
        <f>_xll.BDP("912828UD Govt","SECURITY_NAME")</f>
        <v>T 0 1/8 12/31/14</v>
      </c>
      <c r="Q586" t="str">
        <f>_xll.BDP("912828UD Govt","DAY_CNT_DES")</f>
        <v>ACT/ACT</v>
      </c>
      <c r="R586">
        <v>100</v>
      </c>
      <c r="S586" t="str">
        <f>_xll.BDP("912828UD Govt","ID_CUSIP")</f>
        <v>912828UD0</v>
      </c>
      <c r="T586" t="str">
        <f>_xll.BDP("912828UD Govt","IDX_RATIO")</f>
        <v>#N/A Field Not Applicable</v>
      </c>
    </row>
    <row r="587" spans="1:20" x14ac:dyDescent="0.25">
      <c r="A587" t="s">
        <v>14</v>
      </c>
      <c r="B587" t="str">
        <f>_xll.BDP("912828VG Govt","TICKER")</f>
        <v>T</v>
      </c>
      <c r="C587">
        <f>_xll.BDP("912828VG Govt","CPN")</f>
        <v>0.5</v>
      </c>
      <c r="D587" t="str">
        <f>_xll.BDP("912828VG Govt","YLD_YTM_BID")</f>
        <v>#N/A N/A</v>
      </c>
      <c r="E587" t="str">
        <f>_xll.BDP("912828VG Govt","MATURITY")</f>
        <v>6/15/2016</v>
      </c>
      <c r="F587" t="str">
        <f>_xll.BDP("912828VG Govt","MTY_TYP")</f>
        <v>NORMAL</v>
      </c>
      <c r="G587" t="str">
        <f>_xll.BDP("912828VG Govt","CRNCY")</f>
        <v>USD</v>
      </c>
      <c r="H587" t="str">
        <f>_xll.BDP("912828VG Govt","COUNTRY_FULL_NAME")</f>
        <v>UNITED STATES</v>
      </c>
      <c r="I587" t="str">
        <f>_xll.BDP("912828VG Govt","FIRST_CPN_DT")</f>
        <v>12/15/2013</v>
      </c>
      <c r="J587" t="str">
        <f>_xll.BDP("912828VG Govt","COUPON_FREQUENCY_DESCRIPTION")</f>
        <v>S/A</v>
      </c>
      <c r="K587" t="str">
        <f>_xll.BDP("912828VG Govt","CPN_TYP")</f>
        <v>FIXED</v>
      </c>
      <c r="L587" t="str">
        <f>_xll.BDP("912828VG Govt","ID_ISIN")</f>
        <v>US912828VG29</v>
      </c>
      <c r="M587">
        <v>32000000000</v>
      </c>
      <c r="N587">
        <v>0</v>
      </c>
      <c r="O587" t="str">
        <f>_xll.BDP("912828VG Govt","ISSUE_DT")</f>
        <v>6/17/2013</v>
      </c>
      <c r="P587" t="str">
        <f>_xll.BDP("912828VG Govt","SECURITY_NAME")</f>
        <v>T 0 1/2 06/15/16</v>
      </c>
      <c r="Q587" t="str">
        <f>_xll.BDP("912828VG Govt","DAY_CNT_DES")</f>
        <v>ACT/ACT</v>
      </c>
      <c r="R587">
        <v>100</v>
      </c>
      <c r="S587" t="str">
        <f>_xll.BDP("912828VG Govt","ID_CUSIP")</f>
        <v>912828VG2</v>
      </c>
      <c r="T587" t="str">
        <f>_xll.BDP("912828VG Govt","IDX_RATIO")</f>
        <v>#N/A Field Not Applicable</v>
      </c>
    </row>
    <row r="588" spans="1:20" x14ac:dyDescent="0.25">
      <c r="A588" t="s">
        <v>14</v>
      </c>
      <c r="B588" t="str">
        <f>_xll.BDP("912828XP Govt","TICKER")</f>
        <v>T</v>
      </c>
      <c r="C588">
        <f>_xll.BDP("912828XP Govt","CPN")</f>
        <v>0.625</v>
      </c>
      <c r="D588" t="str">
        <f>_xll.BDP("912828XP Govt","YLD_YTM_BID")</f>
        <v>#N/A N/A</v>
      </c>
      <c r="E588" t="str">
        <f>_xll.BDP("912828XP Govt","MATURITY")</f>
        <v>7/31/2017</v>
      </c>
      <c r="F588" t="str">
        <f>_xll.BDP("912828XP Govt","MTY_TYP")</f>
        <v>NORMAL</v>
      </c>
      <c r="G588" t="str">
        <f>_xll.BDP("912828XP Govt","CRNCY")</f>
        <v>USD</v>
      </c>
      <c r="H588" t="str">
        <f>_xll.BDP("912828XP Govt","COUNTRY_FULL_NAME")</f>
        <v>UNITED STATES</v>
      </c>
      <c r="I588" t="str">
        <f>_xll.BDP("912828XP Govt","FIRST_CPN_DT")</f>
        <v>1/31/2016</v>
      </c>
      <c r="J588" t="str">
        <f>_xll.BDP("912828XP Govt","COUPON_FREQUENCY_DESCRIPTION")</f>
        <v>S/A</v>
      </c>
      <c r="K588" t="str">
        <f>_xll.BDP("912828XP Govt","CPN_TYP")</f>
        <v>FIXED</v>
      </c>
      <c r="L588" t="str">
        <f>_xll.BDP("912828XP Govt","ID_ISIN")</f>
        <v>US912828XP00</v>
      </c>
      <c r="M588">
        <v>26000000000</v>
      </c>
      <c r="N588">
        <v>0</v>
      </c>
      <c r="O588" t="str">
        <f>_xll.BDP("912828XP Govt","ISSUE_DT")</f>
        <v>7/31/2015</v>
      </c>
      <c r="P588" t="str">
        <f>_xll.BDP("912828XP Govt","SECURITY_NAME")</f>
        <v>T 0 5/8 07/31/17</v>
      </c>
      <c r="Q588" t="str">
        <f>_xll.BDP("912828XP Govt","DAY_CNT_DES")</f>
        <v>ACT/ACT</v>
      </c>
      <c r="R588">
        <v>100</v>
      </c>
      <c r="S588" t="str">
        <f>_xll.BDP("912828XP Govt","ID_CUSIP")</f>
        <v>912828XP0</v>
      </c>
      <c r="T588" t="str">
        <f>_xll.BDP("912828XP Govt","IDX_RATIO")</f>
        <v>#N/A Field Not Applicable</v>
      </c>
    </row>
    <row r="589" spans="1:20" x14ac:dyDescent="0.25">
      <c r="A589" t="s">
        <v>14</v>
      </c>
      <c r="B589" t="str">
        <f>_xll.BDP("912828Y4 Govt","TICKER")</f>
        <v>T</v>
      </c>
      <c r="C589">
        <f>_xll.BDP("912828Y4 Govt","CPN")</f>
        <v>2.625</v>
      </c>
      <c r="D589" t="str">
        <f>_xll.BDP("912828Y4 Govt","YLD_YTM_BID")</f>
        <v>#N/A N/A</v>
      </c>
      <c r="E589" t="str">
        <f>_xll.BDP("912828Y4 Govt","MATURITY")</f>
        <v>7/31/2020</v>
      </c>
      <c r="F589" t="str">
        <f>_xll.BDP("912828Y4 Govt","MTY_TYP")</f>
        <v>NORMAL</v>
      </c>
      <c r="G589" t="str">
        <f>_xll.BDP("912828Y4 Govt","CRNCY")</f>
        <v>USD</v>
      </c>
      <c r="H589" t="str">
        <f>_xll.BDP("912828Y4 Govt","COUNTRY_FULL_NAME")</f>
        <v>UNITED STATES</v>
      </c>
      <c r="I589" t="str">
        <f>_xll.BDP("912828Y4 Govt","FIRST_CPN_DT")</f>
        <v>1/31/2019</v>
      </c>
      <c r="J589" t="str">
        <f>_xll.BDP("912828Y4 Govt","COUPON_FREQUENCY_DESCRIPTION")</f>
        <v>S/A</v>
      </c>
      <c r="K589" t="str">
        <f>_xll.BDP("912828Y4 Govt","CPN_TYP")</f>
        <v>FIXED</v>
      </c>
      <c r="L589" t="str">
        <f>_xll.BDP("912828Y4 Govt","ID_ISIN")</f>
        <v>US912828Y461</v>
      </c>
      <c r="M589">
        <v>36899000000</v>
      </c>
      <c r="N589">
        <v>0</v>
      </c>
      <c r="O589" t="str">
        <f>_xll.BDP("912828Y4 Govt","ISSUE_DT")</f>
        <v>7/31/2018</v>
      </c>
      <c r="P589" t="str">
        <f>_xll.BDP("912828Y4 Govt","SECURITY_NAME")</f>
        <v>T 2 5/8 07/31/20</v>
      </c>
      <c r="Q589" t="str">
        <f>_xll.BDP("912828Y4 Govt","DAY_CNT_DES")</f>
        <v>ACT/ACT</v>
      </c>
      <c r="R589">
        <v>100</v>
      </c>
      <c r="S589" t="str">
        <f>_xll.BDP("912828Y4 Govt","ID_CUSIP")</f>
        <v>912828Y46</v>
      </c>
      <c r="T589" t="str">
        <f>_xll.BDP("912828Y4 Govt","IDX_RATIO")</f>
        <v>#N/A Field Not Applicable</v>
      </c>
    </row>
    <row r="590" spans="1:20" x14ac:dyDescent="0.25">
      <c r="A590" t="s">
        <v>14</v>
      </c>
      <c r="B590" t="str">
        <f>_xll.BDP("912827E7 Govt","TICKER")</f>
        <v>T</v>
      </c>
      <c r="C590">
        <f>_xll.BDP("912827E7 Govt","CPN")</f>
        <v>6.875</v>
      </c>
      <c r="D590" t="str">
        <f>_xll.BDP("912827E7 Govt","YLD_YTM_BID")</f>
        <v>#N/A N/A</v>
      </c>
      <c r="E590" t="str">
        <f>_xll.BDP("912827E7 Govt","MATURITY")</f>
        <v>3/31/1997</v>
      </c>
      <c r="F590" t="str">
        <f>_xll.BDP("912827E7 Govt","MTY_TYP")</f>
        <v>NORMAL</v>
      </c>
      <c r="G590" t="str">
        <f>_xll.BDP("912827E7 Govt","CRNCY")</f>
        <v>USD</v>
      </c>
      <c r="H590" t="str">
        <f>_xll.BDP("912827E7 Govt","COUNTRY_FULL_NAME")</f>
        <v>UNITED STATES</v>
      </c>
      <c r="I590" t="str">
        <f>_xll.BDP("912827E7 Govt","FIRST_CPN_DT")</f>
        <v>9/30/1992</v>
      </c>
      <c r="J590" t="str">
        <f>_xll.BDP("912827E7 Govt","COUPON_FREQUENCY_DESCRIPTION")</f>
        <v>S/A</v>
      </c>
      <c r="K590" t="str">
        <f>_xll.BDP("912827E7 Govt","CPN_TYP")</f>
        <v>FIXED</v>
      </c>
      <c r="L590" t="str">
        <f>_xll.BDP("912827E7 Govt","ID_ISIN")</f>
        <v>US912827E739</v>
      </c>
      <c r="N590">
        <v>0</v>
      </c>
      <c r="O590" t="str">
        <f>_xll.BDP("912827E7 Govt","ISSUE_DT")</f>
        <v>3/31/1992</v>
      </c>
      <c r="P590" t="str">
        <f>_xll.BDP("912827E7 Govt","SECURITY_NAME")</f>
        <v>T 6 7/8 03/31/97</v>
      </c>
      <c r="Q590" t="str">
        <f>_xll.BDP("912827E7 Govt","DAY_CNT_DES")</f>
        <v>ACT/ACT</v>
      </c>
      <c r="R590">
        <v>100</v>
      </c>
      <c r="S590" t="str">
        <f>_xll.BDP("912827E7 Govt","ID_CUSIP")</f>
        <v>912827E73</v>
      </c>
      <c r="T590" t="str">
        <f>_xll.BDP("912827E7 Govt","IDX_RATIO")</f>
        <v>#N/A Field Not Applicable</v>
      </c>
    </row>
    <row r="591" spans="1:20" x14ac:dyDescent="0.25">
      <c r="A591" t="s">
        <v>14</v>
      </c>
      <c r="B591" t="str">
        <f>_xll.BDP("912828DB Govt","TICKER")</f>
        <v>T</v>
      </c>
      <c r="C591">
        <f>_xll.BDP("912828DB Govt","CPN")</f>
        <v>3.5</v>
      </c>
      <c r="D591" t="str">
        <f>_xll.BDP("912828DB Govt","YLD_YTM_BID")</f>
        <v>#N/A N/A</v>
      </c>
      <c r="E591" t="str">
        <f>_xll.BDP("912828DB Govt","MATURITY")</f>
        <v>11/15/2009</v>
      </c>
      <c r="F591" t="str">
        <f>_xll.BDP("912828DB Govt","MTY_TYP")</f>
        <v>NORMAL</v>
      </c>
      <c r="G591" t="str">
        <f>_xll.BDP("912828DB Govt","CRNCY")</f>
        <v>USD</v>
      </c>
      <c r="H591" t="str">
        <f>_xll.BDP("912828DB Govt","COUNTRY_FULL_NAME")</f>
        <v>UNITED STATES</v>
      </c>
      <c r="I591" t="str">
        <f>_xll.BDP("912828DB Govt","FIRST_CPN_DT")</f>
        <v>5/15/2005</v>
      </c>
      <c r="J591" t="str">
        <f>_xll.BDP("912828DB Govt","COUPON_FREQUENCY_DESCRIPTION")</f>
        <v>S/A</v>
      </c>
      <c r="K591" t="str">
        <f>_xll.BDP("912828DB Govt","CPN_TYP")</f>
        <v>FIXED</v>
      </c>
      <c r="L591" t="str">
        <f>_xll.BDP("912828DB Govt","ID_ISIN")</f>
        <v>US912828DB34</v>
      </c>
      <c r="M591">
        <v>18752000000</v>
      </c>
      <c r="N591">
        <v>0</v>
      </c>
      <c r="O591" t="str">
        <f>_xll.BDP("912828DB Govt","ISSUE_DT")</f>
        <v>11/15/2004</v>
      </c>
      <c r="P591" t="str">
        <f>_xll.BDP("912828DB Govt","SECURITY_NAME")</f>
        <v>T 3 1/2 11/15/09</v>
      </c>
      <c r="Q591" t="str">
        <f>_xll.BDP("912828DB Govt","DAY_CNT_DES")</f>
        <v>ACT/ACT</v>
      </c>
      <c r="R591">
        <v>100</v>
      </c>
      <c r="S591" t="str">
        <f>_xll.BDP("912828DB Govt","ID_CUSIP")</f>
        <v>912828DB3</v>
      </c>
      <c r="T591" t="str">
        <f>_xll.BDP("912828DB Govt","IDX_RATIO")</f>
        <v>#N/A Field Not Applicable</v>
      </c>
    </row>
    <row r="592" spans="1:20" x14ac:dyDescent="0.25">
      <c r="A592" t="s">
        <v>14</v>
      </c>
      <c r="B592" t="str">
        <f>_xll.BDP("912828M9 Govt","TICKER")</f>
        <v>T</v>
      </c>
      <c r="C592">
        <f>_xll.BDP("912828M9 Govt","CPN")</f>
        <v>1.625</v>
      </c>
      <c r="D592" t="str">
        <f>_xll.BDP("912828M9 Govt","YLD_YTM_BID")</f>
        <v>#N/A N/A</v>
      </c>
      <c r="E592" t="str">
        <f>_xll.BDP("912828M9 Govt","MATURITY")</f>
        <v>11/30/2020</v>
      </c>
      <c r="F592" t="str">
        <f>_xll.BDP("912828M9 Govt","MTY_TYP")</f>
        <v>NORMAL</v>
      </c>
      <c r="G592" t="str">
        <f>_xll.BDP("912828M9 Govt","CRNCY")</f>
        <v>USD</v>
      </c>
      <c r="H592" t="str">
        <f>_xll.BDP("912828M9 Govt","COUNTRY_FULL_NAME")</f>
        <v>UNITED STATES</v>
      </c>
      <c r="I592" t="str">
        <f>_xll.BDP("912828M9 Govt","FIRST_CPN_DT")</f>
        <v>5/31/2016</v>
      </c>
      <c r="J592" t="str">
        <f>_xll.BDP("912828M9 Govt","COUPON_FREQUENCY_DESCRIPTION")</f>
        <v>S/A</v>
      </c>
      <c r="K592" t="str">
        <f>_xll.BDP("912828M9 Govt","CPN_TYP")</f>
        <v>FIXED</v>
      </c>
      <c r="L592" t="str">
        <f>_xll.BDP("912828M9 Govt","ID_ISIN")</f>
        <v>US912828M987</v>
      </c>
      <c r="M592">
        <v>35001000000</v>
      </c>
      <c r="N592">
        <v>0</v>
      </c>
      <c r="O592" t="str">
        <f>_xll.BDP("912828M9 Govt","ISSUE_DT")</f>
        <v>11/30/2015</v>
      </c>
      <c r="P592" t="str">
        <f>_xll.BDP("912828M9 Govt","SECURITY_NAME")</f>
        <v>T 1 5/8 11/30/20</v>
      </c>
      <c r="Q592" t="str">
        <f>_xll.BDP("912828M9 Govt","DAY_CNT_DES")</f>
        <v>ACT/ACT</v>
      </c>
      <c r="R592">
        <v>100</v>
      </c>
      <c r="S592" t="str">
        <f>_xll.BDP("912828M9 Govt","ID_CUSIP")</f>
        <v>912828M98</v>
      </c>
      <c r="T592" t="str">
        <f>_xll.BDP("912828M9 Govt","IDX_RATIO")</f>
        <v>#N/A Field Not Applicable</v>
      </c>
    </row>
    <row r="593" spans="1:20" x14ac:dyDescent="0.25">
      <c r="A593" t="s">
        <v>14</v>
      </c>
      <c r="B593" t="str">
        <f>_xll.BDP("912828PM Govt","TICKER")</f>
        <v>T</v>
      </c>
      <c r="C593">
        <f>_xll.BDP("912828PM Govt","CPN")</f>
        <v>2.125</v>
      </c>
      <c r="D593" t="str">
        <f>_xll.BDP("912828PM Govt","YLD_YTM_BID")</f>
        <v>#N/A N/A</v>
      </c>
      <c r="E593" t="str">
        <f>_xll.BDP("912828PM Govt","MATURITY")</f>
        <v>12/31/2015</v>
      </c>
      <c r="F593" t="str">
        <f>_xll.BDP("912828PM Govt","MTY_TYP")</f>
        <v>NORMAL</v>
      </c>
      <c r="G593" t="str">
        <f>_xll.BDP("912828PM Govt","CRNCY")</f>
        <v>USD</v>
      </c>
      <c r="H593" t="str">
        <f>_xll.BDP("912828PM Govt","COUNTRY_FULL_NAME")</f>
        <v>UNITED STATES</v>
      </c>
      <c r="I593" t="str">
        <f>_xll.BDP("912828PM Govt","FIRST_CPN_DT")</f>
        <v>6/30/2011</v>
      </c>
      <c r="J593" t="str">
        <f>_xll.BDP("912828PM Govt","COUPON_FREQUENCY_DESCRIPTION")</f>
        <v>S/A</v>
      </c>
      <c r="K593" t="str">
        <f>_xll.BDP("912828PM Govt","CPN_TYP")</f>
        <v>FIXED</v>
      </c>
      <c r="L593" t="str">
        <f>_xll.BDP("912828PM Govt","ID_ISIN")</f>
        <v>US912828PM60</v>
      </c>
      <c r="M593">
        <v>36757000000</v>
      </c>
      <c r="N593">
        <v>0</v>
      </c>
      <c r="O593" t="str">
        <f>_xll.BDP("912828PM Govt","ISSUE_DT")</f>
        <v>12/31/2010</v>
      </c>
      <c r="P593" t="str">
        <f>_xll.BDP("912828PM Govt","SECURITY_NAME")</f>
        <v>T 2 1/8 12/31/15</v>
      </c>
      <c r="Q593" t="str">
        <f>_xll.BDP("912828PM Govt","DAY_CNT_DES")</f>
        <v>ACT/ACT</v>
      </c>
      <c r="R593">
        <v>100</v>
      </c>
      <c r="S593" t="str">
        <f>_xll.BDP("912828PM Govt","ID_CUSIP")</f>
        <v>912828PM6</v>
      </c>
      <c r="T593" t="str">
        <f>_xll.BDP("912828PM Govt","IDX_RATIO")</f>
        <v>#N/A Field Not Applicable</v>
      </c>
    </row>
    <row r="594" spans="1:20" x14ac:dyDescent="0.25">
      <c r="A594" t="s">
        <v>14</v>
      </c>
      <c r="B594" t="str">
        <f>_xll.BDP("912828PY Govt","TICKER")</f>
        <v>T</v>
      </c>
      <c r="C594">
        <f>_xll.BDP("912828PY Govt","CPN")</f>
        <v>2.75</v>
      </c>
      <c r="D594" t="str">
        <f>_xll.BDP("912828PY Govt","YLD_YTM_BID")</f>
        <v>#N/A N/A</v>
      </c>
      <c r="E594" t="str">
        <f>_xll.BDP("912828PY Govt","MATURITY")</f>
        <v>2/28/2018</v>
      </c>
      <c r="F594" t="str">
        <f>_xll.BDP("912828PY Govt","MTY_TYP")</f>
        <v>NORMAL</v>
      </c>
      <c r="G594" t="str">
        <f>_xll.BDP("912828PY Govt","CRNCY")</f>
        <v>USD</v>
      </c>
      <c r="H594" t="str">
        <f>_xll.BDP("912828PY Govt","COUNTRY_FULL_NAME")</f>
        <v>UNITED STATES</v>
      </c>
      <c r="I594" t="str">
        <f>_xll.BDP("912828PY Govt","FIRST_CPN_DT")</f>
        <v>8/31/2011</v>
      </c>
      <c r="J594" t="str">
        <f>_xll.BDP("912828PY Govt","COUPON_FREQUENCY_DESCRIPTION")</f>
        <v>S/A</v>
      </c>
      <c r="K594" t="str">
        <f>_xll.BDP("912828PY Govt","CPN_TYP")</f>
        <v>FIXED</v>
      </c>
      <c r="L594" t="str">
        <f>_xll.BDP("912828PY Govt","ID_ISIN")</f>
        <v>US912828PY09</v>
      </c>
      <c r="M594">
        <v>30593000000</v>
      </c>
      <c r="N594">
        <v>0</v>
      </c>
      <c r="O594" t="str">
        <f>_xll.BDP("912828PY Govt","ISSUE_DT")</f>
        <v>2/28/2011</v>
      </c>
      <c r="P594" t="str">
        <f>_xll.BDP("912828PY Govt","SECURITY_NAME")</f>
        <v>T 2 3/4 02/28/18</v>
      </c>
      <c r="Q594" t="str">
        <f>_xll.BDP("912828PY Govt","DAY_CNT_DES")</f>
        <v>ACT/ACT</v>
      </c>
      <c r="R594">
        <v>100</v>
      </c>
      <c r="S594" t="str">
        <f>_xll.BDP("912828PY Govt","ID_CUSIP")</f>
        <v>912828PY0</v>
      </c>
      <c r="T594" t="str">
        <f>_xll.BDP("912828PY Govt","IDX_RATIO")</f>
        <v>#N/A Field Not Applicable</v>
      </c>
    </row>
    <row r="595" spans="1:20" x14ac:dyDescent="0.25">
      <c r="A595" t="s">
        <v>14</v>
      </c>
      <c r="B595" t="str">
        <f>_xll.BDP("912828QH Govt","TICKER")</f>
        <v>T</v>
      </c>
      <c r="C595">
        <f>_xll.BDP("912828QH Govt","CPN")</f>
        <v>1.25</v>
      </c>
      <c r="D595" t="str">
        <f>_xll.BDP("912828QH Govt","YLD_YTM_BID")</f>
        <v>#N/A N/A</v>
      </c>
      <c r="E595" t="str">
        <f>_xll.BDP("912828QH Govt","MATURITY")</f>
        <v>2/15/2014</v>
      </c>
      <c r="F595" t="str">
        <f>_xll.BDP("912828QH Govt","MTY_TYP")</f>
        <v>NORMAL</v>
      </c>
      <c r="G595" t="str">
        <f>_xll.BDP("912828QH Govt","CRNCY")</f>
        <v>USD</v>
      </c>
      <c r="H595" t="str">
        <f>_xll.BDP("912828QH Govt","COUNTRY_FULL_NAME")</f>
        <v>UNITED STATES</v>
      </c>
      <c r="I595" t="str">
        <f>_xll.BDP("912828QH Govt","FIRST_CPN_DT")</f>
        <v>8/15/2011</v>
      </c>
      <c r="J595" t="str">
        <f>_xll.BDP("912828QH Govt","COUPON_FREQUENCY_DESCRIPTION")</f>
        <v>S/A</v>
      </c>
      <c r="K595" t="str">
        <f>_xll.BDP("912828QH Govt","CPN_TYP")</f>
        <v>FIXED</v>
      </c>
      <c r="L595" t="str">
        <f>_xll.BDP("912828QH Govt","ID_ISIN")</f>
        <v>US912828QH66</v>
      </c>
      <c r="M595">
        <v>32735000000</v>
      </c>
      <c r="N595">
        <v>0</v>
      </c>
      <c r="O595" t="str">
        <f>_xll.BDP("912828QH Govt","ISSUE_DT")</f>
        <v>2/15/2011</v>
      </c>
      <c r="P595" t="str">
        <f>_xll.BDP("912828QH Govt","SECURITY_NAME")</f>
        <v>T 1 1/4 02/15/14</v>
      </c>
      <c r="Q595" t="str">
        <f>_xll.BDP("912828QH Govt","DAY_CNT_DES")</f>
        <v>ACT/ACT</v>
      </c>
      <c r="R595">
        <v>100</v>
      </c>
      <c r="S595" t="str">
        <f>_xll.BDP("912828QH Govt","ID_CUSIP")</f>
        <v>912828QH6</v>
      </c>
      <c r="T595" t="str">
        <f>_xll.BDP("912828QH Govt","IDX_RATIO")</f>
        <v>#N/A Field Not Applicable</v>
      </c>
    </row>
    <row r="596" spans="1:20" x14ac:dyDescent="0.25">
      <c r="A596" t="s">
        <v>14</v>
      </c>
      <c r="B596" t="str">
        <f>_xll.BDP("912828EG Govt","TICKER")</f>
        <v>T</v>
      </c>
      <c r="C596">
        <f>_xll.BDP("912828EG Govt","CPN")</f>
        <v>3.875</v>
      </c>
      <c r="D596" t="str">
        <f>_xll.BDP("912828EG Govt","YLD_YTM_BID")</f>
        <v>#N/A N/A</v>
      </c>
      <c r="E596" t="str">
        <f>_xll.BDP("912828EG Govt","MATURITY")</f>
        <v>9/15/2010</v>
      </c>
      <c r="F596" t="str">
        <f>_xll.BDP("912828EG Govt","MTY_TYP")</f>
        <v>NORMAL</v>
      </c>
      <c r="G596" t="str">
        <f>_xll.BDP("912828EG Govt","CRNCY")</f>
        <v>USD</v>
      </c>
      <c r="H596" t="str">
        <f>_xll.BDP("912828EG Govt","COUNTRY_FULL_NAME")</f>
        <v>UNITED STATES</v>
      </c>
      <c r="I596" t="str">
        <f>_xll.BDP("912828EG Govt","FIRST_CPN_DT")</f>
        <v>3/15/2006</v>
      </c>
      <c r="J596" t="str">
        <f>_xll.BDP("912828EG Govt","COUPON_FREQUENCY_DESCRIPTION")</f>
        <v>S/A</v>
      </c>
      <c r="K596" t="str">
        <f>_xll.BDP("912828EG Govt","CPN_TYP")</f>
        <v>FIXED</v>
      </c>
      <c r="L596" t="str">
        <f>_xll.BDP("912828EG Govt","ID_ISIN")</f>
        <v>US912828EG12</v>
      </c>
      <c r="M596">
        <v>13001000000</v>
      </c>
      <c r="N596">
        <v>0</v>
      </c>
      <c r="O596" t="str">
        <f>_xll.BDP("912828EG Govt","ISSUE_DT")</f>
        <v>9/15/2005</v>
      </c>
      <c r="P596" t="str">
        <f>_xll.BDP("912828EG Govt","SECURITY_NAME")</f>
        <v>T 3 7/8 09/15/10</v>
      </c>
      <c r="Q596" t="str">
        <f>_xll.BDP("912828EG Govt","DAY_CNT_DES")</f>
        <v>ACT/ACT</v>
      </c>
      <c r="R596">
        <v>100</v>
      </c>
      <c r="S596" t="str">
        <f>_xll.BDP("912828EG Govt","ID_CUSIP")</f>
        <v>912828EG1</v>
      </c>
      <c r="T596" t="str">
        <f>_xll.BDP("912828EG Govt","IDX_RATIO")</f>
        <v>#N/A Field Not Applicable</v>
      </c>
    </row>
    <row r="597" spans="1:20" x14ac:dyDescent="0.25">
      <c r="A597" t="s">
        <v>14</v>
      </c>
      <c r="B597" t="str">
        <f>_xll.BDP("912828FT Govt","TICKER")</f>
        <v>T</v>
      </c>
      <c r="C597">
        <f>_xll.BDP("912828FT Govt","CPN")</f>
        <v>4.625</v>
      </c>
      <c r="D597" t="str">
        <f>_xll.BDP("912828FT Govt","YLD_YTM_BID")</f>
        <v>#N/A N/A</v>
      </c>
      <c r="E597" t="str">
        <f>_xll.BDP("912828FT Govt","MATURITY")</f>
        <v>9/30/2008</v>
      </c>
      <c r="F597" t="str">
        <f>_xll.BDP("912828FT Govt","MTY_TYP")</f>
        <v>NORMAL</v>
      </c>
      <c r="G597" t="str">
        <f>_xll.BDP("912828FT Govt","CRNCY")</f>
        <v>USD</v>
      </c>
      <c r="H597" t="str">
        <f>_xll.BDP("912828FT Govt","COUNTRY_FULL_NAME")</f>
        <v>UNITED STATES</v>
      </c>
      <c r="I597" t="str">
        <f>_xll.BDP("912828FT Govt","FIRST_CPN_DT")</f>
        <v>3/31/2007</v>
      </c>
      <c r="J597" t="str">
        <f>_xll.BDP("912828FT Govt","COUPON_FREQUENCY_DESCRIPTION")</f>
        <v>S/A</v>
      </c>
      <c r="K597" t="str">
        <f>_xll.BDP("912828FT Govt","CPN_TYP")</f>
        <v>FIXED</v>
      </c>
      <c r="L597" t="str">
        <f>_xll.BDP("912828FT Govt","ID_ISIN")</f>
        <v>US912828FT24</v>
      </c>
      <c r="M597">
        <v>24499000000</v>
      </c>
      <c r="N597">
        <v>0</v>
      </c>
      <c r="O597" t="str">
        <f>_xll.BDP("912828FT Govt","ISSUE_DT")</f>
        <v>10/2/2006</v>
      </c>
      <c r="P597" t="str">
        <f>_xll.BDP("912828FT Govt","SECURITY_NAME")</f>
        <v>T 4 5/8 09/30/08</v>
      </c>
      <c r="Q597" t="str">
        <f>_xll.BDP("912828FT Govt","DAY_CNT_DES")</f>
        <v>ACT/ACT</v>
      </c>
      <c r="R597">
        <v>100</v>
      </c>
      <c r="S597" t="str">
        <f>_xll.BDP("912828FT Govt","ID_CUSIP")</f>
        <v>912828FT2</v>
      </c>
      <c r="T597" t="str">
        <f>_xll.BDP("912828FT Govt","IDX_RATIO")</f>
        <v>#N/A Field Not Applicable</v>
      </c>
    </row>
    <row r="598" spans="1:20" x14ac:dyDescent="0.25">
      <c r="A598" t="s">
        <v>14</v>
      </c>
      <c r="B598" t="str">
        <f>_xll.BDP("912828JB Govt","TICKER")</f>
        <v>T</v>
      </c>
      <c r="C598">
        <f>_xll.BDP("912828JB Govt","CPN")</f>
        <v>3.5</v>
      </c>
      <c r="D598" t="str">
        <f>_xll.BDP("912828JB Govt","YLD_YTM_BID")</f>
        <v>#N/A N/A</v>
      </c>
      <c r="E598" t="str">
        <f>_xll.BDP("912828JB Govt","MATURITY")</f>
        <v>5/31/2013</v>
      </c>
      <c r="F598" t="str">
        <f>_xll.BDP("912828JB Govt","MTY_TYP")</f>
        <v>NORMAL</v>
      </c>
      <c r="G598" t="str">
        <f>_xll.BDP("912828JB Govt","CRNCY")</f>
        <v>USD</v>
      </c>
      <c r="H598" t="str">
        <f>_xll.BDP("912828JB Govt","COUNTRY_FULL_NAME")</f>
        <v>UNITED STATES</v>
      </c>
      <c r="I598" t="str">
        <f>_xll.BDP("912828JB Govt","FIRST_CPN_DT")</f>
        <v>11/30/2008</v>
      </c>
      <c r="J598" t="str">
        <f>_xll.BDP("912828JB Govt","COUPON_FREQUENCY_DESCRIPTION")</f>
        <v>S/A</v>
      </c>
      <c r="K598" t="str">
        <f>_xll.BDP("912828JB Govt","CPN_TYP")</f>
        <v>FIXED</v>
      </c>
      <c r="L598" t="str">
        <f>_xll.BDP("912828JB Govt","ID_ISIN")</f>
        <v>US912828JB79</v>
      </c>
      <c r="M598">
        <v>20518000000</v>
      </c>
      <c r="N598">
        <v>0</v>
      </c>
      <c r="O598" t="str">
        <f>_xll.BDP("912828JB Govt","ISSUE_DT")</f>
        <v>6/2/2008</v>
      </c>
      <c r="P598" t="str">
        <f>_xll.BDP("912828JB Govt","SECURITY_NAME")</f>
        <v>T 3 1/2 05/31/13</v>
      </c>
      <c r="Q598" t="str">
        <f>_xll.BDP("912828JB Govt","DAY_CNT_DES")</f>
        <v>ACT/ACT</v>
      </c>
      <c r="R598">
        <v>100</v>
      </c>
      <c r="S598" t="str">
        <f>_xll.BDP("912828JB Govt","ID_CUSIP")</f>
        <v>912828JB7</v>
      </c>
      <c r="T598" t="str">
        <f>_xll.BDP("912828JB Govt","IDX_RATIO")</f>
        <v>#N/A Field Not Applicable</v>
      </c>
    </row>
    <row r="599" spans="1:20" x14ac:dyDescent="0.25">
      <c r="A599" t="s">
        <v>14</v>
      </c>
      <c r="B599" t="str">
        <f>_xll.BDP("912828MW Govt","TICKER")</f>
        <v>T</v>
      </c>
      <c r="C599">
        <f>_xll.BDP("912828MW Govt","CPN")</f>
        <v>2.5</v>
      </c>
      <c r="D599" t="str">
        <f>_xll.BDP("912828MW Govt","YLD_YTM_BID")</f>
        <v>#N/A N/A</v>
      </c>
      <c r="E599" t="str">
        <f>_xll.BDP("912828MW Govt","MATURITY")</f>
        <v>3/31/2015</v>
      </c>
      <c r="F599" t="str">
        <f>_xll.BDP("912828MW Govt","MTY_TYP")</f>
        <v>NORMAL</v>
      </c>
      <c r="G599" t="str">
        <f>_xll.BDP("912828MW Govt","CRNCY")</f>
        <v>USD</v>
      </c>
      <c r="H599" t="str">
        <f>_xll.BDP("912828MW Govt","COUNTRY_FULL_NAME")</f>
        <v>UNITED STATES</v>
      </c>
      <c r="I599" t="str">
        <f>_xll.BDP("912828MW Govt","FIRST_CPN_DT")</f>
        <v>9/30/2010</v>
      </c>
      <c r="J599" t="str">
        <f>_xll.BDP("912828MW Govt","COUPON_FREQUENCY_DESCRIPTION")</f>
        <v>S/A</v>
      </c>
      <c r="K599" t="str">
        <f>_xll.BDP("912828MW Govt","CPN_TYP")</f>
        <v>FIXED</v>
      </c>
      <c r="L599" t="str">
        <f>_xll.BDP("912828MW Govt","ID_ISIN")</f>
        <v>US912828MW79</v>
      </c>
      <c r="M599">
        <v>43421000000</v>
      </c>
      <c r="N599">
        <v>0</v>
      </c>
      <c r="O599" t="str">
        <f>_xll.BDP("912828MW Govt","ISSUE_DT")</f>
        <v>3/31/2010</v>
      </c>
      <c r="P599" t="str">
        <f>_xll.BDP("912828MW Govt","SECURITY_NAME")</f>
        <v>T 2 1/2 03/31/15</v>
      </c>
      <c r="Q599" t="str">
        <f>_xll.BDP("912828MW Govt","DAY_CNT_DES")</f>
        <v>ACT/ACT</v>
      </c>
      <c r="R599">
        <v>100</v>
      </c>
      <c r="S599" t="str">
        <f>_xll.BDP("912828MW Govt","ID_CUSIP")</f>
        <v>912828MW7</v>
      </c>
      <c r="T599" t="str">
        <f>_xll.BDP("912828MW Govt","IDX_RATIO")</f>
        <v>#N/A Field Not Applicable</v>
      </c>
    </row>
    <row r="600" spans="1:20" x14ac:dyDescent="0.25">
      <c r="A600" t="s">
        <v>14</v>
      </c>
      <c r="B600" t="str">
        <f>_xll.BDP("912828N5 Govt","TICKER")</f>
        <v>T</v>
      </c>
      <c r="C600">
        <f>_xll.BDP("912828N5 Govt","CPN")</f>
        <v>1</v>
      </c>
      <c r="D600" t="str">
        <f>_xll.BDP("912828N5 Govt","YLD_YTM_BID")</f>
        <v>#N/A N/A</v>
      </c>
      <c r="E600" t="str">
        <f>_xll.BDP("912828N5 Govt","MATURITY")</f>
        <v>12/31/2017</v>
      </c>
      <c r="F600" t="str">
        <f>_xll.BDP("912828N5 Govt","MTY_TYP")</f>
        <v>NORMAL</v>
      </c>
      <c r="G600" t="str">
        <f>_xll.BDP("912828N5 Govt","CRNCY")</f>
        <v>USD</v>
      </c>
      <c r="H600" t="str">
        <f>_xll.BDP("912828N5 Govt","COUNTRY_FULL_NAME")</f>
        <v>UNITED STATES</v>
      </c>
      <c r="I600" t="str">
        <f>_xll.BDP("912828N5 Govt","FIRST_CPN_DT")</f>
        <v>6/30/2016</v>
      </c>
      <c r="J600" t="str">
        <f>_xll.BDP("912828N5 Govt","COUPON_FREQUENCY_DESCRIPTION")</f>
        <v>S/A</v>
      </c>
      <c r="K600" t="str">
        <f>_xll.BDP("912828N5 Govt","CPN_TYP")</f>
        <v>FIXED</v>
      </c>
      <c r="L600" t="str">
        <f>_xll.BDP("912828N5 Govt","ID_ISIN")</f>
        <v>US912828N555</v>
      </c>
      <c r="M600">
        <v>25998000000</v>
      </c>
      <c r="N600">
        <v>0</v>
      </c>
      <c r="O600" t="str">
        <f>_xll.BDP("912828N5 Govt","ISSUE_DT")</f>
        <v>12/31/2015</v>
      </c>
      <c r="P600" t="str">
        <f>_xll.BDP("912828N5 Govt","SECURITY_NAME")</f>
        <v>T 1 12/31/17</v>
      </c>
      <c r="Q600" t="str">
        <f>_xll.BDP("912828N5 Govt","DAY_CNT_DES")</f>
        <v>ACT/ACT</v>
      </c>
      <c r="R600">
        <v>100</v>
      </c>
      <c r="S600" t="str">
        <f>_xll.BDP("912828N5 Govt","ID_CUSIP")</f>
        <v>912828N55</v>
      </c>
      <c r="T600" t="str">
        <f>_xll.BDP("912828N5 Govt","IDX_RATIO")</f>
        <v>#N/A Field Not Applicable</v>
      </c>
    </row>
    <row r="601" spans="1:20" x14ac:dyDescent="0.25">
      <c r="A601" t="s">
        <v>14</v>
      </c>
      <c r="B601" t="str">
        <f>_xll.BDP("912827WE Govt","TICKER")</f>
        <v>T</v>
      </c>
      <c r="C601">
        <f>_xll.BDP("912827WE Govt","CPN")</f>
        <v>9</v>
      </c>
      <c r="D601" t="str">
        <f>_xll.BDP("912827WE Govt","YLD_YTM_BID")</f>
        <v>#N/A N/A</v>
      </c>
      <c r="E601" t="str">
        <f>_xll.BDP("912827WE Govt","MATURITY")</f>
        <v>5/15/1998</v>
      </c>
      <c r="F601" t="str">
        <f>_xll.BDP("912827WE Govt","MTY_TYP")</f>
        <v>NORMAL</v>
      </c>
      <c r="G601" t="str">
        <f>_xll.BDP("912827WE Govt","CRNCY")</f>
        <v>USD</v>
      </c>
      <c r="H601" t="str">
        <f>_xll.BDP("912827WE Govt","COUNTRY_FULL_NAME")</f>
        <v>UNITED STATES</v>
      </c>
      <c r="I601" t="str">
        <f>_xll.BDP("912827WE Govt","FIRST_CPN_DT")</f>
        <v>11/15/1988</v>
      </c>
      <c r="J601" t="str">
        <f>_xll.BDP("912827WE Govt","COUPON_FREQUENCY_DESCRIPTION")</f>
        <v>S/A</v>
      </c>
      <c r="K601" t="str">
        <f>_xll.BDP("912827WE Govt","CPN_TYP")</f>
        <v>FIXED</v>
      </c>
      <c r="L601" t="str">
        <f>_xll.BDP("912827WE Govt","ID_ISIN")</f>
        <v>US912827WE88</v>
      </c>
      <c r="M601">
        <v>9165000000</v>
      </c>
      <c r="N601">
        <v>0</v>
      </c>
      <c r="O601" t="str">
        <f>_xll.BDP("912827WE Govt","ISSUE_DT")</f>
        <v>5/15/1988</v>
      </c>
      <c r="P601" t="str">
        <f>_xll.BDP("912827WE Govt","SECURITY_NAME")</f>
        <v>T 9 05/15/98</v>
      </c>
      <c r="Q601" t="str">
        <f>_xll.BDP("912827WE Govt","DAY_CNT_DES")</f>
        <v>ACT/ACT</v>
      </c>
      <c r="R601">
        <v>100</v>
      </c>
      <c r="S601" t="str">
        <f>_xll.BDP("912827WE Govt","ID_CUSIP")</f>
        <v>912827WE8</v>
      </c>
      <c r="T601" t="str">
        <f>_xll.BDP("912827WE Govt","IDX_RATIO")</f>
        <v>#N/A Field Not Applicable</v>
      </c>
    </row>
    <row r="602" spans="1:20" x14ac:dyDescent="0.25">
      <c r="A602" t="s">
        <v>14</v>
      </c>
      <c r="B602" t="str">
        <f>_xll.BDP("912828AV Govt","TICKER")</f>
        <v>T</v>
      </c>
      <c r="C602">
        <f>_xll.BDP("912828AV Govt","CPN")</f>
        <v>1.5</v>
      </c>
      <c r="D602" t="str">
        <f>_xll.BDP("912828AV Govt","YLD_YTM_BID")</f>
        <v>#N/A N/A</v>
      </c>
      <c r="E602" t="str">
        <f>_xll.BDP("912828AV Govt","MATURITY")</f>
        <v>2/28/2005</v>
      </c>
      <c r="F602" t="str">
        <f>_xll.BDP("912828AV Govt","MTY_TYP")</f>
        <v>NORMAL</v>
      </c>
      <c r="G602" t="str">
        <f>_xll.BDP("912828AV Govt","CRNCY")</f>
        <v>USD</v>
      </c>
      <c r="H602" t="str">
        <f>_xll.BDP("912828AV Govt","COUNTRY_FULL_NAME")</f>
        <v>UNITED STATES</v>
      </c>
      <c r="I602" t="str">
        <f>_xll.BDP("912828AV Govt","FIRST_CPN_DT")</f>
        <v>8/31/2003</v>
      </c>
      <c r="J602" t="str">
        <f>_xll.BDP("912828AV Govt","COUPON_FREQUENCY_DESCRIPTION")</f>
        <v>S/A</v>
      </c>
      <c r="K602" t="str">
        <f>_xll.BDP("912828AV Govt","CPN_TYP")</f>
        <v>FIXED</v>
      </c>
      <c r="L602" t="str">
        <f>_xll.BDP("912828AV Govt","ID_ISIN")</f>
        <v>US912828AV25</v>
      </c>
      <c r="M602">
        <v>35332000000</v>
      </c>
      <c r="N602">
        <v>0</v>
      </c>
      <c r="O602" t="str">
        <f>_xll.BDP("912828AV Govt","ISSUE_DT")</f>
        <v>2/28/2003</v>
      </c>
      <c r="P602" t="str">
        <f>_xll.BDP("912828AV Govt","SECURITY_NAME")</f>
        <v>T 1 1/2 02/28/05</v>
      </c>
      <c r="Q602" t="str">
        <f>_xll.BDP("912828AV Govt","DAY_CNT_DES")</f>
        <v>ACT/ACT</v>
      </c>
      <c r="R602">
        <v>100</v>
      </c>
      <c r="S602" t="str">
        <f>_xll.BDP("912828AV Govt","ID_CUSIP")</f>
        <v>912828AV2</v>
      </c>
      <c r="T602" t="str">
        <f>_xll.BDP("912828AV Govt","IDX_RATIO")</f>
        <v>#N/A Field Not Applicable</v>
      </c>
    </row>
    <row r="603" spans="1:20" x14ac:dyDescent="0.25">
      <c r="A603" t="s">
        <v>14</v>
      </c>
      <c r="B603" t="str">
        <f>_xll.BDP("912828CW Govt","TICKER")</f>
        <v>T</v>
      </c>
      <c r="C603">
        <f>_xll.BDP("912828CW Govt","CPN")</f>
        <v>2.5</v>
      </c>
      <c r="D603" t="str">
        <f>_xll.BDP("912828CW Govt","YLD_YTM_BID")</f>
        <v>#N/A N/A</v>
      </c>
      <c r="E603" t="str">
        <f>_xll.BDP("912828CW Govt","MATURITY")</f>
        <v>9/30/2006</v>
      </c>
      <c r="F603" t="str">
        <f>_xll.BDP("912828CW Govt","MTY_TYP")</f>
        <v>NORMAL</v>
      </c>
      <c r="G603" t="str">
        <f>_xll.BDP("912828CW Govt","CRNCY")</f>
        <v>USD</v>
      </c>
      <c r="H603" t="str">
        <f>_xll.BDP("912828CW Govt","COUNTRY_FULL_NAME")</f>
        <v>UNITED STATES</v>
      </c>
      <c r="I603" t="str">
        <f>_xll.BDP("912828CW Govt","FIRST_CPN_DT")</f>
        <v>3/31/2005</v>
      </c>
      <c r="J603" t="str">
        <f>_xll.BDP("912828CW Govt","COUPON_FREQUENCY_DESCRIPTION")</f>
        <v>S/A</v>
      </c>
      <c r="K603" t="str">
        <f>_xll.BDP("912828CW Govt","CPN_TYP")</f>
        <v>FIXED</v>
      </c>
      <c r="L603" t="str">
        <f>_xll.BDP("912828CW Govt","ID_ISIN")</f>
        <v>US912828CW89</v>
      </c>
      <c r="M603">
        <v>31656000000</v>
      </c>
      <c r="N603">
        <v>0</v>
      </c>
      <c r="O603" t="str">
        <f>_xll.BDP("912828CW Govt","ISSUE_DT")</f>
        <v>9/30/2004</v>
      </c>
      <c r="P603" t="str">
        <f>_xll.BDP("912828CW Govt","SECURITY_NAME")</f>
        <v>T 2 1/2 09/30/06</v>
      </c>
      <c r="Q603" t="str">
        <f>_xll.BDP("912828CW Govt","DAY_CNT_DES")</f>
        <v>ACT/ACT</v>
      </c>
      <c r="R603">
        <v>100</v>
      </c>
      <c r="S603" t="str">
        <f>_xll.BDP("912828CW Govt","ID_CUSIP")</f>
        <v>912828CW8</v>
      </c>
      <c r="T603" t="str">
        <f>_xll.BDP("912828CW Govt","IDX_RATIO")</f>
        <v>#N/A Field Not Applicable</v>
      </c>
    </row>
    <row r="604" spans="1:20" x14ac:dyDescent="0.25">
      <c r="A604" t="s">
        <v>14</v>
      </c>
      <c r="B604" t="str">
        <f>_xll.BDP("912828ER Govt","TICKER")</f>
        <v>T</v>
      </c>
      <c r="C604">
        <f>_xll.BDP("912828ER Govt","CPN")</f>
        <v>4.375</v>
      </c>
      <c r="D604" t="str">
        <f>_xll.BDP("912828ER Govt","YLD_YTM_BID")</f>
        <v>#N/A N/A</v>
      </c>
      <c r="E604" t="str">
        <f>_xll.BDP("912828ER Govt","MATURITY")</f>
        <v>12/31/2007</v>
      </c>
      <c r="F604" t="str">
        <f>_xll.BDP("912828ER Govt","MTY_TYP")</f>
        <v>NORMAL</v>
      </c>
      <c r="G604" t="str">
        <f>_xll.BDP("912828ER Govt","CRNCY")</f>
        <v>USD</v>
      </c>
      <c r="H604" t="str">
        <f>_xll.BDP("912828ER Govt","COUNTRY_FULL_NAME")</f>
        <v>UNITED STATES</v>
      </c>
      <c r="I604" t="str">
        <f>_xll.BDP("912828ER Govt","FIRST_CPN_DT")</f>
        <v>6/30/2006</v>
      </c>
      <c r="J604" t="str">
        <f>_xll.BDP("912828ER Govt","COUPON_FREQUENCY_DESCRIPTION")</f>
        <v>S/A</v>
      </c>
      <c r="K604" t="str">
        <f>_xll.BDP("912828ER Govt","CPN_TYP")</f>
        <v>FIXED</v>
      </c>
      <c r="L604" t="str">
        <f>_xll.BDP("912828ER Govt","ID_ISIN")</f>
        <v>US912828ER76</v>
      </c>
      <c r="M604">
        <v>26667000000</v>
      </c>
      <c r="N604">
        <v>0</v>
      </c>
      <c r="O604" t="str">
        <f>_xll.BDP("912828ER Govt","ISSUE_DT")</f>
        <v>1/3/2006</v>
      </c>
      <c r="P604" t="str">
        <f>_xll.BDP("912828ER Govt","SECURITY_NAME")</f>
        <v>T 4 3/8 12/31/07</v>
      </c>
      <c r="Q604" t="str">
        <f>_xll.BDP("912828ER Govt","DAY_CNT_DES")</f>
        <v>ACT/ACT</v>
      </c>
      <c r="R604">
        <v>100</v>
      </c>
      <c r="S604" t="str">
        <f>_xll.BDP("912828ER Govt","ID_CUSIP")</f>
        <v>912828ER7</v>
      </c>
      <c r="T604" t="str">
        <f>_xll.BDP("912828ER Govt","IDX_RATIO")</f>
        <v>#N/A Field Not Applicable</v>
      </c>
    </row>
    <row r="605" spans="1:20" x14ac:dyDescent="0.25">
      <c r="A605" t="s">
        <v>14</v>
      </c>
      <c r="B605" t="str">
        <f>_xll.BDP("912828H7 Govt","TICKER")</f>
        <v>T</v>
      </c>
      <c r="C605">
        <f>_xll.BDP("912828H7 Govt","CPN")</f>
        <v>0.5</v>
      </c>
      <c r="D605" t="str">
        <f>_xll.BDP("912828H7 Govt","YLD_YTM_BID")</f>
        <v>#N/A N/A</v>
      </c>
      <c r="E605" t="str">
        <f>_xll.BDP("912828H7 Govt","MATURITY")</f>
        <v>1/31/2017</v>
      </c>
      <c r="F605" t="str">
        <f>_xll.BDP("912828H7 Govt","MTY_TYP")</f>
        <v>NORMAL</v>
      </c>
      <c r="G605" t="str">
        <f>_xll.BDP("912828H7 Govt","CRNCY")</f>
        <v>USD</v>
      </c>
      <c r="H605" t="str">
        <f>_xll.BDP("912828H7 Govt","COUNTRY_FULL_NAME")</f>
        <v>UNITED STATES</v>
      </c>
      <c r="I605" t="str">
        <f>_xll.BDP("912828H7 Govt","FIRST_CPN_DT")</f>
        <v>7/31/2015</v>
      </c>
      <c r="J605" t="str">
        <f>_xll.BDP("912828H7 Govt","COUPON_FREQUENCY_DESCRIPTION")</f>
        <v>S/A</v>
      </c>
      <c r="K605" t="str">
        <f>_xll.BDP("912828H7 Govt","CPN_TYP")</f>
        <v>FIXED</v>
      </c>
      <c r="L605" t="str">
        <f>_xll.BDP("912828H7 Govt","ID_ISIN")</f>
        <v>US912828H789</v>
      </c>
      <c r="M605">
        <v>26000000000</v>
      </c>
      <c r="N605">
        <v>0</v>
      </c>
      <c r="O605" t="str">
        <f>_xll.BDP("912828H7 Govt","ISSUE_DT")</f>
        <v>2/2/2015</v>
      </c>
      <c r="P605" t="str">
        <f>_xll.BDP("912828H7 Govt","SECURITY_NAME")</f>
        <v>T 0 1/2 01/31/17</v>
      </c>
      <c r="Q605" t="str">
        <f>_xll.BDP("912828H7 Govt","DAY_CNT_DES")</f>
        <v>ACT/ACT</v>
      </c>
      <c r="R605">
        <v>100</v>
      </c>
      <c r="S605" t="str">
        <f>_xll.BDP("912828H7 Govt","ID_CUSIP")</f>
        <v>912828H78</v>
      </c>
      <c r="T605" t="str">
        <f>_xll.BDP("912828H7 Govt","IDX_RATIO")</f>
        <v>#N/A Field Not Applicable</v>
      </c>
    </row>
    <row r="606" spans="1:20" x14ac:dyDescent="0.25">
      <c r="A606" t="s">
        <v>14</v>
      </c>
      <c r="B606" t="str">
        <f>_xll.BDP("912810EF Govt","TICKER")</f>
        <v>T</v>
      </c>
      <c r="C606">
        <f>_xll.BDP("912810EF Govt","CPN")</f>
        <v>8.75</v>
      </c>
      <c r="D606" t="str">
        <f>_xll.BDP("912810EF Govt","YLD_YTM_BID")</f>
        <v>#N/A N/A</v>
      </c>
      <c r="E606" t="str">
        <f>_xll.BDP("912810EF Govt","MATURITY")</f>
        <v>5/15/2020</v>
      </c>
      <c r="F606" t="str">
        <f>_xll.BDP("912810EF Govt","MTY_TYP")</f>
        <v>NORMAL</v>
      </c>
      <c r="G606" t="str">
        <f>_xll.BDP("912810EF Govt","CRNCY")</f>
        <v>USD</v>
      </c>
      <c r="H606" t="str">
        <f>_xll.BDP("912810EF Govt","COUNTRY_FULL_NAME")</f>
        <v>UNITED STATES</v>
      </c>
      <c r="I606" t="str">
        <f>_xll.BDP("912810EF Govt","FIRST_CPN_DT")</f>
        <v>11/15/1990</v>
      </c>
      <c r="J606" t="str">
        <f>_xll.BDP("912810EF Govt","COUPON_FREQUENCY_DESCRIPTION")</f>
        <v>S/A</v>
      </c>
      <c r="K606" t="str">
        <f>_xll.BDP("912810EF Govt","CPN_TYP")</f>
        <v>FIXED</v>
      </c>
      <c r="L606" t="str">
        <f>_xll.BDP("912810EF Govt","ID_ISIN")</f>
        <v>US912810EF13</v>
      </c>
      <c r="M606">
        <v>10159000000</v>
      </c>
      <c r="N606">
        <v>0</v>
      </c>
      <c r="O606" t="str">
        <f>_xll.BDP("912810EF Govt","ISSUE_DT")</f>
        <v>5/15/1990</v>
      </c>
      <c r="P606" t="str">
        <f>_xll.BDP("912810EF Govt","SECURITY_NAME")</f>
        <v>T 8 3/4 05/15/20</v>
      </c>
      <c r="Q606" t="str">
        <f>_xll.BDP("912810EF Govt","DAY_CNT_DES")</f>
        <v>ACT/ACT</v>
      </c>
      <c r="R606">
        <v>100</v>
      </c>
      <c r="S606" t="str">
        <f>_xll.BDP("912810EF Govt","ID_CUSIP")</f>
        <v>912810EF1</v>
      </c>
      <c r="T606" t="str">
        <f>_xll.BDP("912810EF Govt","IDX_RATIO")</f>
        <v>#N/A Field Not Applicable</v>
      </c>
    </row>
    <row r="607" spans="1:20" x14ac:dyDescent="0.25">
      <c r="A607" t="s">
        <v>14</v>
      </c>
      <c r="B607" t="str">
        <f>_xll.BDP("9128273Y Govt","TICKER")</f>
        <v>T</v>
      </c>
      <c r="C607">
        <f>_xll.BDP("9128273Y Govt","CPN")</f>
        <v>5.5</v>
      </c>
      <c r="D607" t="str">
        <f>_xll.BDP("9128273Y Govt","YLD_YTM_BID")</f>
        <v>#N/A N/A</v>
      </c>
      <c r="E607" t="str">
        <f>_xll.BDP("9128273Y Govt","MATURITY")</f>
        <v>2/29/2000</v>
      </c>
      <c r="F607" t="str">
        <f>_xll.BDP("9128273Y Govt","MTY_TYP")</f>
        <v>NORMAL</v>
      </c>
      <c r="G607" t="str">
        <f>_xll.BDP("9128273Y Govt","CRNCY")</f>
        <v>USD</v>
      </c>
      <c r="H607" t="str">
        <f>_xll.BDP("9128273Y Govt","COUNTRY_FULL_NAME")</f>
        <v>UNITED STATES</v>
      </c>
      <c r="I607" t="str">
        <f>_xll.BDP("9128273Y Govt","FIRST_CPN_DT")</f>
        <v>8/31/1998</v>
      </c>
      <c r="J607" t="str">
        <f>_xll.BDP("9128273Y Govt","COUPON_FREQUENCY_DESCRIPTION")</f>
        <v>S/A</v>
      </c>
      <c r="K607" t="str">
        <f>_xll.BDP("9128273Y Govt","CPN_TYP")</f>
        <v>FIXED</v>
      </c>
      <c r="L607" t="str">
        <f>_xll.BDP("9128273Y Govt","ID_ISIN")</f>
        <v>US9128273Y65</v>
      </c>
      <c r="M607">
        <v>17776000000</v>
      </c>
      <c r="N607">
        <v>0</v>
      </c>
      <c r="O607" t="str">
        <f>_xll.BDP("9128273Y Govt","ISSUE_DT")</f>
        <v>3/2/1998</v>
      </c>
      <c r="P607" t="str">
        <f>_xll.BDP("9128273Y Govt","SECURITY_NAME")</f>
        <v>T 5 1/2 02/29/00</v>
      </c>
      <c r="Q607" t="str">
        <f>_xll.BDP("9128273Y Govt","DAY_CNT_DES")</f>
        <v>ACT/ACT</v>
      </c>
      <c r="R607">
        <v>100</v>
      </c>
      <c r="S607" t="str">
        <f>_xll.BDP("9128273Y Govt","ID_CUSIP")</f>
        <v>9128273Y6</v>
      </c>
      <c r="T607" t="str">
        <f>_xll.BDP("9128273Y Govt","IDX_RATIO")</f>
        <v>#N/A Field Not Applicable</v>
      </c>
    </row>
    <row r="608" spans="1:20" x14ac:dyDescent="0.25">
      <c r="A608" t="s">
        <v>14</v>
      </c>
      <c r="B608" t="str">
        <f>_xll.BDP("912827KC Govt","TICKER")</f>
        <v>T</v>
      </c>
      <c r="C608">
        <f>_xll.BDP("912827KC Govt","CPN")</f>
        <v>10.75</v>
      </c>
      <c r="D608" t="str">
        <f>_xll.BDP("912827KC Govt","YLD_YTM_BID")</f>
        <v>#N/A N/A</v>
      </c>
      <c r="E608" t="str">
        <f>_xll.BDP("912827KC Govt","MATURITY")</f>
        <v>11/15/1989</v>
      </c>
      <c r="F608" t="str">
        <f>_xll.BDP("912827KC Govt","MTY_TYP")</f>
        <v>NORMAL</v>
      </c>
      <c r="G608" t="str">
        <f>_xll.BDP("912827KC Govt","CRNCY")</f>
        <v>USD</v>
      </c>
      <c r="H608" t="str">
        <f>_xll.BDP("912827KC Govt","COUNTRY_FULL_NAME")</f>
        <v>UNITED STATES</v>
      </c>
      <c r="I608" t="str">
        <f>_xll.BDP("912827KC Govt","FIRST_CPN_DT")</f>
        <v>11/15/1980</v>
      </c>
      <c r="J608" t="str">
        <f>_xll.BDP("912827KC Govt","COUPON_FREQUENCY_DESCRIPTION")</f>
        <v>S/A</v>
      </c>
      <c r="K608" t="str">
        <f>_xll.BDP("912827KC Govt","CPN_TYP")</f>
        <v>FIXED</v>
      </c>
      <c r="L608" t="str">
        <f>_xll.BDP("912827KC Govt","ID_ISIN")</f>
        <v>US912827KC50</v>
      </c>
      <c r="N608">
        <v>0</v>
      </c>
      <c r="O608" t="str">
        <f>_xll.BDP("912827KC Govt","ISSUE_DT")</f>
        <v>5/15/1980</v>
      </c>
      <c r="P608" t="str">
        <f>_xll.BDP("912827KC Govt","SECURITY_NAME")</f>
        <v>T 10 3/4 11/15/89</v>
      </c>
      <c r="Q608" t="str">
        <f>_xll.BDP("912827KC Govt","DAY_CNT_DES")</f>
        <v>ACT/ACT</v>
      </c>
      <c r="R608">
        <v>100</v>
      </c>
      <c r="S608" t="str">
        <f>_xll.BDP("912827KC Govt","ID_CUSIP")</f>
        <v>912827KC5</v>
      </c>
      <c r="T608" t="str">
        <f>_xll.BDP("912827KC Govt","IDX_RATIO")</f>
        <v>#N/A Field Not Applicable</v>
      </c>
    </row>
    <row r="609" spans="1:20" x14ac:dyDescent="0.25">
      <c r="A609" t="s">
        <v>14</v>
      </c>
      <c r="B609" t="str">
        <f>_xll.BDP("912810DW Govt","TICKER")</f>
        <v>T</v>
      </c>
      <c r="C609">
        <f>_xll.BDP("912810DW Govt","CPN")</f>
        <v>7.25</v>
      </c>
      <c r="D609" t="str">
        <f>_xll.BDP("912810DW Govt","YLD_YTM_BID")</f>
        <v>#N/A N/A</v>
      </c>
      <c r="E609" t="str">
        <f>_xll.BDP("912810DW Govt","MATURITY")</f>
        <v>5/15/2016</v>
      </c>
      <c r="F609" t="str">
        <f>_xll.BDP("912810DW Govt","MTY_TYP")</f>
        <v>NORMAL</v>
      </c>
      <c r="G609" t="str">
        <f>_xll.BDP("912810DW Govt","CRNCY")</f>
        <v>USD</v>
      </c>
      <c r="H609" t="str">
        <f>_xll.BDP("912810DW Govt","COUNTRY_FULL_NAME")</f>
        <v>UNITED STATES</v>
      </c>
      <c r="I609" t="str">
        <f>_xll.BDP("912810DW Govt","FIRST_CPN_DT")</f>
        <v>11/15/1986</v>
      </c>
      <c r="J609" t="str">
        <f>_xll.BDP("912810DW Govt","COUPON_FREQUENCY_DESCRIPTION")</f>
        <v>S/A</v>
      </c>
      <c r="K609" t="str">
        <f>_xll.BDP("912810DW Govt","CPN_TYP")</f>
        <v>FIXED</v>
      </c>
      <c r="L609" t="str">
        <f>_xll.BDP("912810DW Govt","ID_ISIN")</f>
        <v>US912810DW54</v>
      </c>
      <c r="M609">
        <v>18824000000</v>
      </c>
      <c r="N609">
        <v>0</v>
      </c>
      <c r="O609" t="str">
        <f>_xll.BDP("912810DW Govt","ISSUE_DT")</f>
        <v>5/15/1986</v>
      </c>
      <c r="P609" t="str">
        <f>_xll.BDP("912810DW Govt","SECURITY_NAME")</f>
        <v>T 7 1/4 05/15/16</v>
      </c>
      <c r="Q609" t="str">
        <f>_xll.BDP("912810DW Govt","DAY_CNT_DES")</f>
        <v>ACT/ACT</v>
      </c>
      <c r="R609">
        <v>100</v>
      </c>
      <c r="S609" t="str">
        <f>_xll.BDP("912810DW Govt","ID_CUSIP")</f>
        <v>912810DW5</v>
      </c>
      <c r="T609" t="str">
        <f>_xll.BDP("912810DW Govt","IDX_RATIO")</f>
        <v>#N/A Field Not Applicable</v>
      </c>
    </row>
    <row r="610" spans="1:20" x14ac:dyDescent="0.25">
      <c r="A610" t="s">
        <v>14</v>
      </c>
      <c r="B610" t="str">
        <f>_xll.BDP("9128274T Govt","TICKER")</f>
        <v>T</v>
      </c>
      <c r="C610">
        <f>_xll.BDP("9128274T Govt","CPN")</f>
        <v>4</v>
      </c>
      <c r="D610" t="str">
        <f>_xll.BDP("9128274T Govt","YLD_YTM_BID")</f>
        <v>#N/A N/A</v>
      </c>
      <c r="E610" t="str">
        <f>_xll.BDP("9128274T Govt","MATURITY")</f>
        <v>10/31/2000</v>
      </c>
      <c r="F610" t="str">
        <f>_xll.BDP("9128274T Govt","MTY_TYP")</f>
        <v>NORMAL</v>
      </c>
      <c r="G610" t="str">
        <f>_xll.BDP("9128274T Govt","CRNCY")</f>
        <v>USD</v>
      </c>
      <c r="H610" t="str">
        <f>_xll.BDP("9128274T Govt","COUNTRY_FULL_NAME")</f>
        <v>UNITED STATES</v>
      </c>
      <c r="I610" t="str">
        <f>_xll.BDP("9128274T Govt","FIRST_CPN_DT")</f>
        <v>4/30/1999</v>
      </c>
      <c r="J610" t="str">
        <f>_xll.BDP("9128274T Govt","COUPON_FREQUENCY_DESCRIPTION")</f>
        <v>S/A</v>
      </c>
      <c r="K610" t="str">
        <f>_xll.BDP("9128274T Govt","CPN_TYP")</f>
        <v>FIXED</v>
      </c>
      <c r="L610" t="str">
        <f>_xll.BDP("9128274T Govt","ID_ISIN")</f>
        <v>US9128274T61</v>
      </c>
      <c r="M610">
        <v>20525000000</v>
      </c>
      <c r="N610">
        <v>0</v>
      </c>
      <c r="O610" t="str">
        <f>_xll.BDP("9128274T Govt","ISSUE_DT")</f>
        <v>11/2/1998</v>
      </c>
      <c r="P610" t="str">
        <f>_xll.BDP("9128274T Govt","SECURITY_NAME")</f>
        <v>T 4 10/31/00</v>
      </c>
      <c r="Q610" t="str">
        <f>_xll.BDP("9128274T Govt","DAY_CNT_DES")</f>
        <v>ACT/ACT</v>
      </c>
      <c r="R610">
        <v>100</v>
      </c>
      <c r="S610" t="str">
        <f>_xll.BDP("9128274T Govt","ID_CUSIP")</f>
        <v>9128274T6</v>
      </c>
      <c r="T610" t="str">
        <f>_xll.BDP("9128274T Govt","IDX_RATIO")</f>
        <v>#N/A Field Not Applicable</v>
      </c>
    </row>
    <row r="611" spans="1:20" x14ac:dyDescent="0.25">
      <c r="A611" t="s">
        <v>14</v>
      </c>
      <c r="B611" t="str">
        <f>_xll.BDP("9128282J Govt","TICKER")</f>
        <v>T</v>
      </c>
      <c r="C611">
        <f>_xll.BDP("9128282J Govt","CPN")</f>
        <v>1.5</v>
      </c>
      <c r="D611" t="str">
        <f>_xll.BDP("9128282J Govt","YLD_YTM_BID")</f>
        <v>#N/A N/A</v>
      </c>
      <c r="E611" t="str">
        <f>_xll.BDP("9128282J Govt","MATURITY")</f>
        <v>7/15/2020</v>
      </c>
      <c r="F611" t="str">
        <f>_xll.BDP("9128282J Govt","MTY_TYP")</f>
        <v>NORMAL</v>
      </c>
      <c r="G611" t="str">
        <f>_xll.BDP("9128282J Govt","CRNCY")</f>
        <v>USD</v>
      </c>
      <c r="H611" t="str">
        <f>_xll.BDP("9128282J Govt","COUNTRY_FULL_NAME")</f>
        <v>UNITED STATES</v>
      </c>
      <c r="I611" t="str">
        <f>_xll.BDP("9128282J Govt","FIRST_CPN_DT")</f>
        <v>1/15/2018</v>
      </c>
      <c r="J611" t="str">
        <f>_xll.BDP("9128282J Govt","COUPON_FREQUENCY_DESCRIPTION")</f>
        <v>S/A</v>
      </c>
      <c r="K611" t="str">
        <f>_xll.BDP("9128282J Govt","CPN_TYP")</f>
        <v>FIXED</v>
      </c>
      <c r="L611" t="str">
        <f>_xll.BDP("9128282J Govt","ID_ISIN")</f>
        <v>US9128282J89</v>
      </c>
      <c r="M611">
        <v>24548000000</v>
      </c>
      <c r="N611">
        <v>0</v>
      </c>
      <c r="O611" t="str">
        <f>_xll.BDP("9128282J Govt","ISSUE_DT")</f>
        <v>7/17/2017</v>
      </c>
      <c r="P611" t="str">
        <f>_xll.BDP("9128282J Govt","SECURITY_NAME")</f>
        <v>T 1 1/2 07/15/20</v>
      </c>
      <c r="Q611" t="str">
        <f>_xll.BDP("9128282J Govt","DAY_CNT_DES")</f>
        <v>ACT/ACT</v>
      </c>
      <c r="R611">
        <v>100</v>
      </c>
      <c r="S611" t="str">
        <f>_xll.BDP("9128282J Govt","ID_CUSIP")</f>
        <v>9128282J8</v>
      </c>
      <c r="T611" t="str">
        <f>_xll.BDP("9128282J Govt","IDX_RATIO")</f>
        <v>#N/A Field Not Applicable</v>
      </c>
    </row>
    <row r="612" spans="1:20" x14ac:dyDescent="0.25">
      <c r="A612" t="s">
        <v>14</v>
      </c>
      <c r="B612" t="str">
        <f>_xll.BDP("912810EC Govt","TICKER")</f>
        <v>T</v>
      </c>
      <c r="C612">
        <f>_xll.BDP("912810EC Govt","CPN")</f>
        <v>8.875</v>
      </c>
      <c r="D612" t="str">
        <f>_xll.BDP("912810EC Govt","YLD_YTM_BID")</f>
        <v>#N/A N/A</v>
      </c>
      <c r="E612" t="str">
        <f>_xll.BDP("912810EC Govt","MATURITY")</f>
        <v>2/15/2019</v>
      </c>
      <c r="F612" t="str">
        <f>_xll.BDP("912810EC Govt","MTY_TYP")</f>
        <v>NORMAL</v>
      </c>
      <c r="G612" t="str">
        <f>_xll.BDP("912810EC Govt","CRNCY")</f>
        <v>USD</v>
      </c>
      <c r="H612" t="str">
        <f>_xll.BDP("912810EC Govt","COUNTRY_FULL_NAME")</f>
        <v>UNITED STATES</v>
      </c>
      <c r="I612" t="str">
        <f>_xll.BDP("912810EC Govt","FIRST_CPN_DT")</f>
        <v>8/15/1989</v>
      </c>
      <c r="J612" t="str">
        <f>_xll.BDP("912810EC Govt","COUPON_FREQUENCY_DESCRIPTION")</f>
        <v>S/A</v>
      </c>
      <c r="K612" t="str">
        <f>_xll.BDP("912810EC Govt","CPN_TYP")</f>
        <v>FIXED</v>
      </c>
      <c r="L612" t="str">
        <f>_xll.BDP("912810EC Govt","ID_ISIN")</f>
        <v>US912810EC81</v>
      </c>
      <c r="M612">
        <v>19251000000</v>
      </c>
      <c r="N612">
        <v>0</v>
      </c>
      <c r="O612" t="str">
        <f>_xll.BDP("912810EC Govt","ISSUE_DT")</f>
        <v>2/15/1989</v>
      </c>
      <c r="P612" t="str">
        <f>_xll.BDP("912810EC Govt","SECURITY_NAME")</f>
        <v>T 8 7/8 02/15/19</v>
      </c>
      <c r="Q612" t="str">
        <f>_xll.BDP("912810EC Govt","DAY_CNT_DES")</f>
        <v>ACT/ACT</v>
      </c>
      <c r="R612">
        <v>100</v>
      </c>
      <c r="S612" t="str">
        <f>_xll.BDP("912810EC Govt","ID_CUSIP")</f>
        <v>912810EC8</v>
      </c>
      <c r="T612" t="str">
        <f>_xll.BDP("912810EC Govt","IDX_RATIO")</f>
        <v>#N/A Field Not Applicable</v>
      </c>
    </row>
    <row r="613" spans="1:20" x14ac:dyDescent="0.25">
      <c r="A613" t="s">
        <v>14</v>
      </c>
      <c r="B613" t="str">
        <f>_xll.BDP("912828D6 Govt","TICKER")</f>
        <v>T</v>
      </c>
      <c r="C613">
        <f>_xll.BDP("912828D6 Govt","CPN")</f>
        <v>0.5</v>
      </c>
      <c r="D613" t="str">
        <f>_xll.BDP("912828D6 Govt","YLD_YTM_BID")</f>
        <v>#N/A N/A</v>
      </c>
      <c r="E613" t="str">
        <f>_xll.BDP("912828D6 Govt","MATURITY")</f>
        <v>8/31/2016</v>
      </c>
      <c r="F613" t="str">
        <f>_xll.BDP("912828D6 Govt","MTY_TYP")</f>
        <v>NORMAL</v>
      </c>
      <c r="G613" t="str">
        <f>_xll.BDP("912828D6 Govt","CRNCY")</f>
        <v>USD</v>
      </c>
      <c r="H613" t="str">
        <f>_xll.BDP("912828D6 Govt","COUNTRY_FULL_NAME")</f>
        <v>UNITED STATES</v>
      </c>
      <c r="I613" t="str">
        <f>_xll.BDP("912828D6 Govt","FIRST_CPN_DT")</f>
        <v>2/28/2015</v>
      </c>
      <c r="J613" t="str">
        <f>_xll.BDP("912828D6 Govt","COUPON_FREQUENCY_DESCRIPTION")</f>
        <v>S/A</v>
      </c>
      <c r="K613" t="str">
        <f>_xll.BDP("912828D6 Govt","CPN_TYP")</f>
        <v>FIXED</v>
      </c>
      <c r="L613" t="str">
        <f>_xll.BDP("912828D6 Govt","ID_ISIN")</f>
        <v>US912828D648</v>
      </c>
      <c r="M613">
        <v>28997000000</v>
      </c>
      <c r="N613">
        <v>0</v>
      </c>
      <c r="O613" t="str">
        <f>_xll.BDP("912828D6 Govt","ISSUE_DT")</f>
        <v>9/2/2014</v>
      </c>
      <c r="P613" t="str">
        <f>_xll.BDP("912828D6 Govt","SECURITY_NAME")</f>
        <v>T 0 1/2 08/31/16</v>
      </c>
      <c r="Q613" t="str">
        <f>_xll.BDP("912828D6 Govt","DAY_CNT_DES")</f>
        <v>ACT/ACT</v>
      </c>
      <c r="R613">
        <v>100</v>
      </c>
      <c r="S613" t="str">
        <f>_xll.BDP("912828D6 Govt","ID_CUSIP")</f>
        <v>912828D64</v>
      </c>
      <c r="T613" t="str">
        <f>_xll.BDP("912828D6 Govt","IDX_RATIO")</f>
        <v>#N/A Field Not Applicable</v>
      </c>
    </row>
    <row r="614" spans="1:20" x14ac:dyDescent="0.25">
      <c r="A614" t="s">
        <v>14</v>
      </c>
      <c r="B614" t="str">
        <f>_xll.BDP("912828FU Govt","TICKER")</f>
        <v>T</v>
      </c>
      <c r="C614">
        <f>_xll.BDP("912828FU Govt","CPN")</f>
        <v>4.5</v>
      </c>
      <c r="D614" t="str">
        <f>_xll.BDP("912828FU Govt","YLD_YTM_BID")</f>
        <v>#N/A N/A</v>
      </c>
      <c r="E614" t="str">
        <f>_xll.BDP("912828FU Govt","MATURITY")</f>
        <v>9/30/2011</v>
      </c>
      <c r="F614" t="str">
        <f>_xll.BDP("912828FU Govt","MTY_TYP")</f>
        <v>NORMAL</v>
      </c>
      <c r="G614" t="str">
        <f>_xll.BDP("912828FU Govt","CRNCY")</f>
        <v>USD</v>
      </c>
      <c r="H614" t="str">
        <f>_xll.BDP("912828FU Govt","COUNTRY_FULL_NAME")</f>
        <v>UNITED STATES</v>
      </c>
      <c r="I614" t="str">
        <f>_xll.BDP("912828FU Govt","FIRST_CPN_DT")</f>
        <v>3/31/2007</v>
      </c>
      <c r="J614" t="str">
        <f>_xll.BDP("912828FU Govt","COUPON_FREQUENCY_DESCRIPTION")</f>
        <v>S/A</v>
      </c>
      <c r="K614" t="str">
        <f>_xll.BDP("912828FU Govt","CPN_TYP")</f>
        <v>FIXED</v>
      </c>
      <c r="L614" t="str">
        <f>_xll.BDP("912828FU Govt","ID_ISIN")</f>
        <v>US912828FU96</v>
      </c>
      <c r="M614">
        <v>17500000000</v>
      </c>
      <c r="N614">
        <v>0</v>
      </c>
      <c r="O614" t="str">
        <f>_xll.BDP("912828FU Govt","ISSUE_DT")</f>
        <v>10/2/2006</v>
      </c>
      <c r="P614" t="str">
        <f>_xll.BDP("912828FU Govt","SECURITY_NAME")</f>
        <v>T 4 1/2 09/30/11</v>
      </c>
      <c r="Q614" t="str">
        <f>_xll.BDP("912828FU Govt","DAY_CNT_DES")</f>
        <v>ACT/ACT</v>
      </c>
      <c r="R614">
        <v>100</v>
      </c>
      <c r="S614" t="str">
        <f>_xll.BDP("912828FU Govt","ID_CUSIP")</f>
        <v>912828FU9</v>
      </c>
      <c r="T614" t="str">
        <f>_xll.BDP("912828FU Govt","IDX_RATIO")</f>
        <v>#N/A Field Not Applicable</v>
      </c>
    </row>
    <row r="615" spans="1:20" x14ac:dyDescent="0.25">
      <c r="A615" t="s">
        <v>14</v>
      </c>
      <c r="B615" t="str">
        <f>_xll.BDP("912828GS Govt","TICKER")</f>
        <v>T</v>
      </c>
      <c r="C615">
        <f>_xll.BDP("912828GS Govt","CPN")</f>
        <v>4.5</v>
      </c>
      <c r="D615" t="str">
        <f>_xll.BDP("912828GS Govt","YLD_YTM_BID")</f>
        <v>#N/A N/A</v>
      </c>
      <c r="E615" t="str">
        <f>_xll.BDP("912828GS Govt","MATURITY")</f>
        <v>5/15/2017</v>
      </c>
      <c r="F615" t="str">
        <f>_xll.BDP("912828GS Govt","MTY_TYP")</f>
        <v>NORMAL</v>
      </c>
      <c r="G615" t="str">
        <f>_xll.BDP("912828GS Govt","CRNCY")</f>
        <v>USD</v>
      </c>
      <c r="H615" t="str">
        <f>_xll.BDP("912828GS Govt","COUNTRY_FULL_NAME")</f>
        <v>UNITED STATES</v>
      </c>
      <c r="I615" t="str">
        <f>_xll.BDP("912828GS Govt","FIRST_CPN_DT")</f>
        <v>11/15/2007</v>
      </c>
      <c r="J615" t="str">
        <f>_xll.BDP("912828GS Govt","COUPON_FREQUENCY_DESCRIPTION")</f>
        <v>S/A</v>
      </c>
      <c r="K615" t="str">
        <f>_xll.BDP("912828GS Govt","CPN_TYP")</f>
        <v>FIXED</v>
      </c>
      <c r="L615" t="str">
        <f>_xll.BDP("912828GS Govt","ID_ISIN")</f>
        <v>US912828GS32</v>
      </c>
      <c r="M615">
        <v>25587000000</v>
      </c>
      <c r="N615">
        <v>0</v>
      </c>
      <c r="O615" t="str">
        <f>_xll.BDP("912828GS Govt","ISSUE_DT")</f>
        <v>5/15/2007</v>
      </c>
      <c r="P615" t="str">
        <f>_xll.BDP("912828GS Govt","SECURITY_NAME")</f>
        <v>T 4 1/2 05/15/17</v>
      </c>
      <c r="Q615" t="str">
        <f>_xll.BDP("912828GS Govt","DAY_CNT_DES")</f>
        <v>ACT/ACT</v>
      </c>
      <c r="R615">
        <v>100</v>
      </c>
      <c r="S615" t="str">
        <f>_xll.BDP("912828GS Govt","ID_CUSIP")</f>
        <v>912828GS3</v>
      </c>
      <c r="T615" t="str">
        <f>_xll.BDP("912828GS Govt","IDX_RATIO")</f>
        <v>#N/A Field Not Applicable</v>
      </c>
    </row>
    <row r="616" spans="1:20" x14ac:dyDescent="0.25">
      <c r="A616" t="s">
        <v>14</v>
      </c>
      <c r="B616" t="str">
        <f>_xll.BDP("912828KV Govt","TICKER")</f>
        <v>T</v>
      </c>
      <c r="C616">
        <f>_xll.BDP("912828KV Govt","CPN")</f>
        <v>2.25</v>
      </c>
      <c r="D616" t="str">
        <f>_xll.BDP("912828KV Govt","YLD_YTM_BID")</f>
        <v>#N/A N/A</v>
      </c>
      <c r="E616" t="str">
        <f>_xll.BDP("912828KV Govt","MATURITY")</f>
        <v>5/31/2014</v>
      </c>
      <c r="F616" t="str">
        <f>_xll.BDP("912828KV Govt","MTY_TYP")</f>
        <v>NORMAL</v>
      </c>
      <c r="G616" t="str">
        <f>_xll.BDP("912828KV Govt","CRNCY")</f>
        <v>USD</v>
      </c>
      <c r="H616" t="str">
        <f>_xll.BDP("912828KV Govt","COUNTRY_FULL_NAME")</f>
        <v>UNITED STATES</v>
      </c>
      <c r="I616" t="str">
        <f>_xll.BDP("912828KV Govt","FIRST_CPN_DT")</f>
        <v>11/30/2009</v>
      </c>
      <c r="J616" t="str">
        <f>_xll.BDP("912828KV Govt","COUPON_FREQUENCY_DESCRIPTION")</f>
        <v>S/A</v>
      </c>
      <c r="K616" t="str">
        <f>_xll.BDP("912828KV Govt","CPN_TYP")</f>
        <v>FIXED</v>
      </c>
      <c r="L616" t="str">
        <f>_xll.BDP("912828KV Govt","ID_ISIN")</f>
        <v>US912828KV15</v>
      </c>
      <c r="M616">
        <v>36170000000</v>
      </c>
      <c r="N616">
        <v>0</v>
      </c>
      <c r="O616" t="str">
        <f>_xll.BDP("912828KV Govt","ISSUE_DT")</f>
        <v>6/1/2009</v>
      </c>
      <c r="P616" t="str">
        <f>_xll.BDP("912828KV Govt","SECURITY_NAME")</f>
        <v>T 2 1/4 05/31/14</v>
      </c>
      <c r="Q616" t="str">
        <f>_xll.BDP("912828KV Govt","DAY_CNT_DES")</f>
        <v>ACT/ACT</v>
      </c>
      <c r="R616">
        <v>100</v>
      </c>
      <c r="S616" t="str">
        <f>_xll.BDP("912828KV Govt","ID_CUSIP")</f>
        <v>912828KV1</v>
      </c>
      <c r="T616" t="str">
        <f>_xll.BDP("912828KV Govt","IDX_RATIO")</f>
        <v>#N/A Field Not Applicable</v>
      </c>
    </row>
    <row r="617" spans="1:20" x14ac:dyDescent="0.25">
      <c r="A617" t="s">
        <v>14</v>
      </c>
      <c r="B617" t="str">
        <f>_xll.BDP("912828KW Govt","TICKER")</f>
        <v>T</v>
      </c>
      <c r="C617">
        <f>_xll.BDP("912828KW Govt","CPN")</f>
        <v>3.25</v>
      </c>
      <c r="D617" t="str">
        <f>_xll.BDP("912828KW Govt","YLD_YTM_BID")</f>
        <v>#N/A N/A</v>
      </c>
      <c r="E617" t="str">
        <f>_xll.BDP("912828KW Govt","MATURITY")</f>
        <v>5/31/2016</v>
      </c>
      <c r="F617" t="str">
        <f>_xll.BDP("912828KW Govt","MTY_TYP")</f>
        <v>NORMAL</v>
      </c>
      <c r="G617" t="str">
        <f>_xll.BDP("912828KW Govt","CRNCY")</f>
        <v>USD</v>
      </c>
      <c r="H617" t="str">
        <f>_xll.BDP("912828KW Govt","COUNTRY_FULL_NAME")</f>
        <v>UNITED STATES</v>
      </c>
      <c r="I617" t="str">
        <f>_xll.BDP("912828KW Govt","FIRST_CPN_DT")</f>
        <v>11/30/2009</v>
      </c>
      <c r="J617" t="str">
        <f>_xll.BDP("912828KW Govt","COUPON_FREQUENCY_DESCRIPTION")</f>
        <v>S/A</v>
      </c>
      <c r="K617" t="str">
        <f>_xll.BDP("912828KW Govt","CPN_TYP")</f>
        <v>FIXED</v>
      </c>
      <c r="L617" t="str">
        <f>_xll.BDP("912828KW Govt","ID_ISIN")</f>
        <v>US912828KW97</v>
      </c>
      <c r="M617">
        <v>26896000000</v>
      </c>
      <c r="N617">
        <v>0</v>
      </c>
      <c r="O617" t="str">
        <f>_xll.BDP("912828KW Govt","ISSUE_DT")</f>
        <v>6/1/2009</v>
      </c>
      <c r="P617" t="str">
        <f>_xll.BDP("912828KW Govt","SECURITY_NAME")</f>
        <v>T 3 1/4 05/31/16</v>
      </c>
      <c r="Q617" t="str">
        <f>_xll.BDP("912828KW Govt","DAY_CNT_DES")</f>
        <v>ACT/ACT</v>
      </c>
      <c r="R617">
        <v>100</v>
      </c>
      <c r="S617" t="str">
        <f>_xll.BDP("912828KW Govt","ID_CUSIP")</f>
        <v>912828KW9</v>
      </c>
      <c r="T617" t="str">
        <f>_xll.BDP("912828KW Govt","IDX_RATIO")</f>
        <v>#N/A Field Not Applicable</v>
      </c>
    </row>
    <row r="618" spans="1:20" x14ac:dyDescent="0.25">
      <c r="A618" t="s">
        <v>14</v>
      </c>
      <c r="B618" t="str">
        <f>_xll.BDP("912828SE Govt","TICKER")</f>
        <v>T</v>
      </c>
      <c r="C618">
        <f>_xll.BDP("912828SE Govt","CPN")</f>
        <v>0.25</v>
      </c>
      <c r="D618" t="str">
        <f>_xll.BDP("912828SE Govt","YLD_YTM_BID")</f>
        <v>#N/A N/A</v>
      </c>
      <c r="E618" t="str">
        <f>_xll.BDP("912828SE Govt","MATURITY")</f>
        <v>2/15/2015</v>
      </c>
      <c r="F618" t="str">
        <f>_xll.BDP("912828SE Govt","MTY_TYP")</f>
        <v>NORMAL</v>
      </c>
      <c r="G618" t="str">
        <f>_xll.BDP("912828SE Govt","CRNCY")</f>
        <v>USD</v>
      </c>
      <c r="H618" t="str">
        <f>_xll.BDP("912828SE Govt","COUNTRY_FULL_NAME")</f>
        <v>UNITED STATES</v>
      </c>
      <c r="I618" t="str">
        <f>_xll.BDP("912828SE Govt","FIRST_CPN_DT")</f>
        <v>8/15/2012</v>
      </c>
      <c r="J618" t="str">
        <f>_xll.BDP("912828SE Govt","COUPON_FREQUENCY_DESCRIPTION")</f>
        <v>S/A</v>
      </c>
      <c r="K618" t="str">
        <f>_xll.BDP("912828SE Govt","CPN_TYP")</f>
        <v>FIXED</v>
      </c>
      <c r="L618" t="str">
        <f>_xll.BDP("912828SE Govt","ID_ISIN")</f>
        <v>US912828SE18</v>
      </c>
      <c r="M618">
        <v>35901000000</v>
      </c>
      <c r="N618">
        <v>0</v>
      </c>
      <c r="O618" t="str">
        <f>_xll.BDP("912828SE Govt","ISSUE_DT")</f>
        <v>2/15/2012</v>
      </c>
      <c r="P618" t="str">
        <f>_xll.BDP("912828SE Govt","SECURITY_NAME")</f>
        <v>T 0 1/4 02/15/15</v>
      </c>
      <c r="Q618" t="str">
        <f>_xll.BDP("912828SE Govt","DAY_CNT_DES")</f>
        <v>ACT/ACT</v>
      </c>
      <c r="R618">
        <v>100</v>
      </c>
      <c r="S618" t="str">
        <f>_xll.BDP("912828SE Govt","ID_CUSIP")</f>
        <v>912828SE1</v>
      </c>
      <c r="T618" t="str">
        <f>_xll.BDP("912828SE Govt","IDX_RATIO")</f>
        <v>#N/A Field Not Applicable</v>
      </c>
    </row>
    <row r="619" spans="1:20" x14ac:dyDescent="0.25">
      <c r="A619" t="s">
        <v>14</v>
      </c>
      <c r="B619" t="str">
        <f>_xll.BDP("912828D2 Govt","TICKER")</f>
        <v>T</v>
      </c>
      <c r="C619">
        <f>_xll.BDP("912828D2 Govt","CPN")</f>
        <v>1.625</v>
      </c>
      <c r="D619" t="str">
        <f>_xll.BDP("912828D2 Govt","YLD_YTM_BID")</f>
        <v>#N/A N/A</v>
      </c>
      <c r="E619" t="str">
        <f>_xll.BDP("912828D2 Govt","MATURITY")</f>
        <v>4/30/2019</v>
      </c>
      <c r="F619" t="str">
        <f>_xll.BDP("912828D2 Govt","MTY_TYP")</f>
        <v>NORMAL</v>
      </c>
      <c r="G619" t="str">
        <f>_xll.BDP("912828D2 Govt","CRNCY")</f>
        <v>USD</v>
      </c>
      <c r="H619" t="str">
        <f>_xll.BDP("912828D2 Govt","COUNTRY_FULL_NAME")</f>
        <v>UNITED STATES</v>
      </c>
      <c r="I619" t="str">
        <f>_xll.BDP("912828D2 Govt","FIRST_CPN_DT")</f>
        <v>10/31/2014</v>
      </c>
      <c r="J619" t="str">
        <f>_xll.BDP("912828D2 Govt","COUPON_FREQUENCY_DESCRIPTION")</f>
        <v>S/A</v>
      </c>
      <c r="K619" t="str">
        <f>_xll.BDP("912828D2 Govt","CPN_TYP")</f>
        <v>FIXED</v>
      </c>
      <c r="L619" t="str">
        <f>_xll.BDP("912828D2 Govt","ID_ISIN")</f>
        <v>US912828D234</v>
      </c>
      <c r="M619">
        <v>35000000000</v>
      </c>
      <c r="N619">
        <v>0</v>
      </c>
      <c r="O619" t="str">
        <f>_xll.BDP("912828D2 Govt","ISSUE_DT")</f>
        <v>4/30/2014</v>
      </c>
      <c r="P619" t="str">
        <f>_xll.BDP("912828D2 Govt","SECURITY_NAME")</f>
        <v>T 1 5/8 04/30/19</v>
      </c>
      <c r="Q619" t="str">
        <f>_xll.BDP("912828D2 Govt","DAY_CNT_DES")</f>
        <v>ACT/ACT</v>
      </c>
      <c r="R619">
        <v>100</v>
      </c>
      <c r="S619" t="str">
        <f>_xll.BDP("912828D2 Govt","ID_CUSIP")</f>
        <v>912828D23</v>
      </c>
      <c r="T619" t="str">
        <f>_xll.BDP("912828D2 Govt","IDX_RATIO")</f>
        <v>#N/A Field Not Applicable</v>
      </c>
    </row>
    <row r="620" spans="1:20" x14ac:dyDescent="0.25">
      <c r="A620" t="s">
        <v>14</v>
      </c>
      <c r="B620" t="str">
        <f>_xll.BDP("912828DV Govt","TICKER")</f>
        <v>T</v>
      </c>
      <c r="C620">
        <f>_xll.BDP("912828DV Govt","CPN")</f>
        <v>4.125</v>
      </c>
      <c r="D620" t="str">
        <f>_xll.BDP("912828DV Govt","YLD_YTM_BID")</f>
        <v>#N/A N/A</v>
      </c>
      <c r="E620" t="str">
        <f>_xll.BDP("912828DV Govt","MATURITY")</f>
        <v>5/15/2015</v>
      </c>
      <c r="F620" t="str">
        <f>_xll.BDP("912828DV Govt","MTY_TYP")</f>
        <v>NORMAL</v>
      </c>
      <c r="G620" t="str">
        <f>_xll.BDP("912828DV Govt","CRNCY")</f>
        <v>USD</v>
      </c>
      <c r="H620" t="str">
        <f>_xll.BDP("912828DV Govt","COUNTRY_FULL_NAME")</f>
        <v>UNITED STATES</v>
      </c>
      <c r="I620" t="str">
        <f>_xll.BDP("912828DV Govt","FIRST_CPN_DT")</f>
        <v>11/15/2005</v>
      </c>
      <c r="J620" t="str">
        <f>_xll.BDP("912828DV Govt","COUPON_FREQUENCY_DESCRIPTION")</f>
        <v>S/A</v>
      </c>
      <c r="K620" t="str">
        <f>_xll.BDP("912828DV Govt","CPN_TYP")</f>
        <v>FIXED</v>
      </c>
      <c r="L620" t="str">
        <f>_xll.BDP("912828DV Govt","ID_ISIN")</f>
        <v>US912828DV97</v>
      </c>
      <c r="M620">
        <v>34472000000</v>
      </c>
      <c r="N620">
        <v>0</v>
      </c>
      <c r="O620" t="str">
        <f>_xll.BDP("912828DV Govt","ISSUE_DT")</f>
        <v>5/16/2005</v>
      </c>
      <c r="P620" t="str">
        <f>_xll.BDP("912828DV Govt","SECURITY_NAME")</f>
        <v>T 4 1/8 05/15/15</v>
      </c>
      <c r="Q620" t="str">
        <f>_xll.BDP("912828DV Govt","DAY_CNT_DES")</f>
        <v>ACT/ACT</v>
      </c>
      <c r="R620">
        <v>100</v>
      </c>
      <c r="S620" t="str">
        <f>_xll.BDP("912828DV Govt","ID_CUSIP")</f>
        <v>912828DV9</v>
      </c>
      <c r="T620" t="str">
        <f>_xll.BDP("912828DV Govt","IDX_RATIO")</f>
        <v>#N/A Field Not Applicable</v>
      </c>
    </row>
    <row r="621" spans="1:20" x14ac:dyDescent="0.25">
      <c r="A621" t="s">
        <v>14</v>
      </c>
      <c r="B621" t="str">
        <f>_xll.BDP("912828N6 Govt","TICKER")</f>
        <v>T</v>
      </c>
      <c r="C621">
        <f>_xll.BDP("912828N6 Govt","CPN")</f>
        <v>1.125</v>
      </c>
      <c r="D621" t="str">
        <f>_xll.BDP("912828N6 Govt","YLD_YTM_BID")</f>
        <v>#N/A N/A</v>
      </c>
      <c r="E621" t="str">
        <f>_xll.BDP("912828N6 Govt","MATURITY")</f>
        <v>1/15/2019</v>
      </c>
      <c r="F621" t="str">
        <f>_xll.BDP("912828N6 Govt","MTY_TYP")</f>
        <v>NORMAL</v>
      </c>
      <c r="G621" t="str">
        <f>_xll.BDP("912828N6 Govt","CRNCY")</f>
        <v>USD</v>
      </c>
      <c r="H621" t="str">
        <f>_xll.BDP("912828N6 Govt","COUNTRY_FULL_NAME")</f>
        <v>UNITED STATES</v>
      </c>
      <c r="I621" t="str">
        <f>_xll.BDP("912828N6 Govt","FIRST_CPN_DT")</f>
        <v>7/15/2016</v>
      </c>
      <c r="J621" t="str">
        <f>_xll.BDP("912828N6 Govt","COUPON_FREQUENCY_DESCRIPTION")</f>
        <v>S/A</v>
      </c>
      <c r="K621" t="str">
        <f>_xll.BDP("912828N6 Govt","CPN_TYP")</f>
        <v>FIXED</v>
      </c>
      <c r="L621" t="str">
        <f>_xll.BDP("912828N6 Govt","ID_ISIN")</f>
        <v>US912828N639</v>
      </c>
      <c r="M621">
        <v>24000000000</v>
      </c>
      <c r="N621">
        <v>0</v>
      </c>
      <c r="O621" t="str">
        <f>_xll.BDP("912828N6 Govt","ISSUE_DT")</f>
        <v>1/15/2016</v>
      </c>
      <c r="P621" t="str">
        <f>_xll.BDP("912828N6 Govt","SECURITY_NAME")</f>
        <v>T 1 1/8 01/15/19</v>
      </c>
      <c r="Q621" t="str">
        <f>_xll.BDP("912828N6 Govt","DAY_CNT_DES")</f>
        <v>ACT/ACT</v>
      </c>
      <c r="R621">
        <v>100</v>
      </c>
      <c r="S621" t="str">
        <f>_xll.BDP("912828N6 Govt","ID_CUSIP")</f>
        <v>912828N63</v>
      </c>
      <c r="T621" t="str">
        <f>_xll.BDP("912828N6 Govt","IDX_RATIO")</f>
        <v>#N/A Field Not Applicable</v>
      </c>
    </row>
    <row r="622" spans="1:20" x14ac:dyDescent="0.25">
      <c r="A622" t="s">
        <v>14</v>
      </c>
      <c r="B622" t="str">
        <f>_xll.BDP("912828NH Govt","TICKER")</f>
        <v>T</v>
      </c>
      <c r="C622">
        <f>_xll.BDP("912828NH Govt","CPN")</f>
        <v>1.125</v>
      </c>
      <c r="D622" t="str">
        <f>_xll.BDP("912828NH Govt","YLD_YTM_BID")</f>
        <v>#N/A N/A</v>
      </c>
      <c r="E622" t="str">
        <f>_xll.BDP("912828NH Govt","MATURITY")</f>
        <v>6/15/2013</v>
      </c>
      <c r="F622" t="str">
        <f>_xll.BDP("912828NH Govt","MTY_TYP")</f>
        <v>NORMAL</v>
      </c>
      <c r="G622" t="str">
        <f>_xll.BDP("912828NH Govt","CRNCY")</f>
        <v>USD</v>
      </c>
      <c r="H622" t="str">
        <f>_xll.BDP("912828NH Govt","COUNTRY_FULL_NAME")</f>
        <v>UNITED STATES</v>
      </c>
      <c r="I622" t="str">
        <f>_xll.BDP("912828NH Govt","FIRST_CPN_DT")</f>
        <v>12/15/2010</v>
      </c>
      <c r="J622" t="str">
        <f>_xll.BDP("912828NH Govt","COUPON_FREQUENCY_DESCRIPTION")</f>
        <v>S/A</v>
      </c>
      <c r="K622" t="str">
        <f>_xll.BDP("912828NH Govt","CPN_TYP")</f>
        <v>FIXED</v>
      </c>
      <c r="L622" t="str">
        <f>_xll.BDP("912828NH Govt","ID_ISIN")</f>
        <v>US912828NH93</v>
      </c>
      <c r="M622">
        <v>36208000000</v>
      </c>
      <c r="N622">
        <v>0</v>
      </c>
      <c r="O622" t="str">
        <f>_xll.BDP("912828NH Govt","ISSUE_DT")</f>
        <v>6/15/2010</v>
      </c>
      <c r="P622" t="str">
        <f>_xll.BDP("912828NH Govt","SECURITY_NAME")</f>
        <v>T 1 1/8 06/15/13</v>
      </c>
      <c r="Q622" t="str">
        <f>_xll.BDP("912828NH Govt","DAY_CNT_DES")</f>
        <v>ACT/ACT</v>
      </c>
      <c r="R622">
        <v>100</v>
      </c>
      <c r="S622" t="str">
        <f>_xll.BDP("912828NH Govt","ID_CUSIP")</f>
        <v>912828NH9</v>
      </c>
      <c r="T622" t="str">
        <f>_xll.BDP("912828NH Govt","IDX_RATIO")</f>
        <v>#N/A Field Not Applicable</v>
      </c>
    </row>
    <row r="623" spans="1:20" x14ac:dyDescent="0.25">
      <c r="A623" t="s">
        <v>14</v>
      </c>
      <c r="B623" t="str">
        <f>_xll.BDP("912828SD Govt","TICKER")</f>
        <v>T</v>
      </c>
      <c r="C623">
        <f>_xll.BDP("912828SD Govt","CPN")</f>
        <v>1.25</v>
      </c>
      <c r="D623" t="str">
        <f>_xll.BDP("912828SD Govt","YLD_YTM_BID")</f>
        <v>#N/A N/A</v>
      </c>
      <c r="E623" t="str">
        <f>_xll.BDP("912828SD Govt","MATURITY")</f>
        <v>1/31/2019</v>
      </c>
      <c r="F623" t="str">
        <f>_xll.BDP("912828SD Govt","MTY_TYP")</f>
        <v>NORMAL</v>
      </c>
      <c r="G623" t="str">
        <f>_xll.BDP("912828SD Govt","CRNCY")</f>
        <v>USD</v>
      </c>
      <c r="H623" t="str">
        <f>_xll.BDP("912828SD Govt","COUNTRY_FULL_NAME")</f>
        <v>UNITED STATES</v>
      </c>
      <c r="I623" t="str">
        <f>_xll.BDP("912828SD Govt","FIRST_CPN_DT")</f>
        <v>7/31/2012</v>
      </c>
      <c r="J623" t="str">
        <f>_xll.BDP("912828SD Govt","COUPON_FREQUENCY_DESCRIPTION")</f>
        <v>S/A</v>
      </c>
      <c r="K623" t="str">
        <f>_xll.BDP("912828SD Govt","CPN_TYP")</f>
        <v>FIXED</v>
      </c>
      <c r="L623" t="str">
        <f>_xll.BDP("912828SD Govt","ID_ISIN")</f>
        <v>US912828SD35</v>
      </c>
      <c r="M623">
        <v>29546000000</v>
      </c>
      <c r="N623">
        <v>0</v>
      </c>
      <c r="O623" t="str">
        <f>_xll.BDP("912828SD Govt","ISSUE_DT")</f>
        <v>1/31/2012</v>
      </c>
      <c r="P623" t="str">
        <f>_xll.BDP("912828SD Govt","SECURITY_NAME")</f>
        <v>T 1 1/4 01/31/19</v>
      </c>
      <c r="Q623" t="str">
        <f>_xll.BDP("912828SD Govt","DAY_CNT_DES")</f>
        <v>ACT/ACT</v>
      </c>
      <c r="R623">
        <v>100</v>
      </c>
      <c r="S623" t="str">
        <f>_xll.BDP("912828SD Govt","ID_CUSIP")</f>
        <v>912828SD3</v>
      </c>
      <c r="T623" t="str">
        <f>_xll.BDP("912828SD Govt","IDX_RATIO")</f>
        <v>#N/A Field Not Applicable</v>
      </c>
    </row>
    <row r="624" spans="1:20" x14ac:dyDescent="0.25">
      <c r="A624" t="s">
        <v>14</v>
      </c>
      <c r="B624" t="str">
        <f>_xll.BDP("912828X2 Govt","TICKER")</f>
        <v>T</v>
      </c>
      <c r="C624">
        <f>_xll.BDP("912828X2 Govt","CPN")</f>
        <v>1.5</v>
      </c>
      <c r="D624" t="str">
        <f>_xll.BDP("912828X2 Govt","YLD_YTM_BID")</f>
        <v>#N/A N/A</v>
      </c>
      <c r="E624" t="str">
        <f>_xll.BDP("912828X2 Govt","MATURITY")</f>
        <v>4/15/2020</v>
      </c>
      <c r="F624" t="str">
        <f>_xll.BDP("912828X2 Govt","MTY_TYP")</f>
        <v>NORMAL</v>
      </c>
      <c r="G624" t="str">
        <f>_xll.BDP("912828X2 Govt","CRNCY")</f>
        <v>USD</v>
      </c>
      <c r="H624" t="str">
        <f>_xll.BDP("912828X2 Govt","COUNTRY_FULL_NAME")</f>
        <v>UNITED STATES</v>
      </c>
      <c r="I624" t="str">
        <f>_xll.BDP("912828X2 Govt","FIRST_CPN_DT")</f>
        <v>10/15/2017</v>
      </c>
      <c r="J624" t="str">
        <f>_xll.BDP("912828X2 Govt","COUPON_FREQUENCY_DESCRIPTION")</f>
        <v>S/A</v>
      </c>
      <c r="K624" t="str">
        <f>_xll.BDP("912828X2 Govt","CPN_TYP")</f>
        <v>FIXED</v>
      </c>
      <c r="L624" t="str">
        <f>_xll.BDP("912828X2 Govt","ID_ISIN")</f>
        <v>US912828X216</v>
      </c>
      <c r="M624">
        <v>24197000000</v>
      </c>
      <c r="N624">
        <v>0</v>
      </c>
      <c r="O624" t="str">
        <f>_xll.BDP("912828X2 Govt","ISSUE_DT")</f>
        <v>4/17/2017</v>
      </c>
      <c r="P624" t="str">
        <f>_xll.BDP("912828X2 Govt","SECURITY_NAME")</f>
        <v>T 1 1/2 04/15/20</v>
      </c>
      <c r="Q624" t="str">
        <f>_xll.BDP("912828X2 Govt","DAY_CNT_DES")</f>
        <v>ACT/ACT</v>
      </c>
      <c r="R624">
        <v>100</v>
      </c>
      <c r="S624" t="str">
        <f>_xll.BDP("912828X2 Govt","ID_CUSIP")</f>
        <v>912828X21</v>
      </c>
      <c r="T624" t="str">
        <f>_xll.BDP("912828X2 Govt","IDX_RATIO")</f>
        <v>#N/A Field Not Applicable</v>
      </c>
    </row>
    <row r="625" spans="1:20" x14ac:dyDescent="0.25">
      <c r="A625" t="s">
        <v>14</v>
      </c>
      <c r="B625" t="str">
        <f>_xll.BDP("912828XK Govt","TICKER")</f>
        <v>T</v>
      </c>
      <c r="C625">
        <f>_xll.BDP("912828XK Govt","CPN")</f>
        <v>0.875</v>
      </c>
      <c r="D625" t="str">
        <f>_xll.BDP("912828XK Govt","YLD_YTM_BID")</f>
        <v>#N/A N/A</v>
      </c>
      <c r="E625" t="str">
        <f>_xll.BDP("912828XK Govt","MATURITY")</f>
        <v>7/15/2018</v>
      </c>
      <c r="F625" t="str">
        <f>_xll.BDP("912828XK Govt","MTY_TYP")</f>
        <v>NORMAL</v>
      </c>
      <c r="G625" t="str">
        <f>_xll.BDP("912828XK Govt","CRNCY")</f>
        <v>USD</v>
      </c>
      <c r="H625" t="str">
        <f>_xll.BDP("912828XK Govt","COUNTRY_FULL_NAME")</f>
        <v>UNITED STATES</v>
      </c>
      <c r="I625" t="str">
        <f>_xll.BDP("912828XK Govt","FIRST_CPN_DT")</f>
        <v>1/15/2016</v>
      </c>
      <c r="J625" t="str">
        <f>_xll.BDP("912828XK Govt","COUPON_FREQUENCY_DESCRIPTION")</f>
        <v>S/A</v>
      </c>
      <c r="K625" t="str">
        <f>_xll.BDP("912828XK Govt","CPN_TYP")</f>
        <v>FIXED</v>
      </c>
      <c r="L625" t="str">
        <f>_xll.BDP("912828XK Govt","ID_ISIN")</f>
        <v>US912828XK13</v>
      </c>
      <c r="M625">
        <v>24000000000</v>
      </c>
      <c r="N625">
        <v>0</v>
      </c>
      <c r="O625" t="str">
        <f>_xll.BDP("912828XK Govt","ISSUE_DT")</f>
        <v>7/15/2015</v>
      </c>
      <c r="P625" t="str">
        <f>_xll.BDP("912828XK Govt","SECURITY_NAME")</f>
        <v>T 0 7/8 07/15/18</v>
      </c>
      <c r="Q625" t="str">
        <f>_xll.BDP("912828XK Govt","DAY_CNT_DES")</f>
        <v>ACT/ACT</v>
      </c>
      <c r="R625">
        <v>100</v>
      </c>
      <c r="S625" t="str">
        <f>_xll.BDP("912828XK Govt","ID_CUSIP")</f>
        <v>912828XK1</v>
      </c>
      <c r="T625" t="str">
        <f>_xll.BDP("912828XK Govt","IDX_RATIO")</f>
        <v>#N/A Field Not Applicable</v>
      </c>
    </row>
    <row r="626" spans="1:20" x14ac:dyDescent="0.25">
      <c r="A626" t="s">
        <v>14</v>
      </c>
      <c r="B626" t="str">
        <f>_xll.BDP("912827VE Govt","TICKER")</f>
        <v>T</v>
      </c>
      <c r="C626">
        <f>_xll.BDP("912827VE Govt","CPN")</f>
        <v>8.625</v>
      </c>
      <c r="D626" t="str">
        <f>_xll.BDP("912827VE Govt","YLD_YTM_BID")</f>
        <v>#N/A N/A</v>
      </c>
      <c r="E626" t="str">
        <f>_xll.BDP("912827VE Govt","MATURITY")</f>
        <v>8/15/1997</v>
      </c>
      <c r="F626" t="str">
        <f>_xll.BDP("912827VE Govt","MTY_TYP")</f>
        <v>NORMAL</v>
      </c>
      <c r="G626" t="str">
        <f>_xll.BDP("912827VE Govt","CRNCY")</f>
        <v>USD</v>
      </c>
      <c r="H626" t="str">
        <f>_xll.BDP("912827VE Govt","COUNTRY_FULL_NAME")</f>
        <v>UNITED STATES</v>
      </c>
      <c r="I626" t="str">
        <f>_xll.BDP("912827VE Govt","FIRST_CPN_DT")</f>
        <v>2/15/1988</v>
      </c>
      <c r="J626" t="str">
        <f>_xll.BDP("912827VE Govt","COUPON_FREQUENCY_DESCRIPTION")</f>
        <v>S/A</v>
      </c>
      <c r="K626" t="str">
        <f>_xll.BDP("912827VE Govt","CPN_TYP")</f>
        <v>FIXED</v>
      </c>
      <c r="L626" t="str">
        <f>_xll.BDP("912827VE Govt","ID_ISIN")</f>
        <v>US912827VE97</v>
      </c>
      <c r="M626">
        <v>9363000000</v>
      </c>
      <c r="N626">
        <v>0</v>
      </c>
      <c r="O626" t="str">
        <f>_xll.BDP("912827VE Govt","ISSUE_DT")</f>
        <v>8/15/1987</v>
      </c>
      <c r="P626" t="str">
        <f>_xll.BDP("912827VE Govt","SECURITY_NAME")</f>
        <v>T 8 5/8 08/15/97</v>
      </c>
      <c r="Q626" t="str">
        <f>_xll.BDP("912827VE Govt","DAY_CNT_DES")</f>
        <v>ACT/ACT</v>
      </c>
      <c r="R626">
        <v>100</v>
      </c>
      <c r="S626" t="str">
        <f>_xll.BDP("912827VE Govt","ID_CUSIP")</f>
        <v>912827VE9</v>
      </c>
      <c r="T626" t="str">
        <f>_xll.BDP("912827VE Govt","IDX_RATIO")</f>
        <v>#N/A Field Not Applicable</v>
      </c>
    </row>
    <row r="627" spans="1:20" x14ac:dyDescent="0.25">
      <c r="A627" t="s">
        <v>14</v>
      </c>
      <c r="B627" t="str">
        <f>_xll.BDP("912828A3 Govt","TICKER")</f>
        <v>T</v>
      </c>
      <c r="C627">
        <f>_xll.BDP("912828A3 Govt","CPN")</f>
        <v>1.25</v>
      </c>
      <c r="D627" t="str">
        <f>_xll.BDP("912828A3 Govt","YLD_YTM_BID")</f>
        <v>#N/A N/A</v>
      </c>
      <c r="E627" t="str">
        <f>_xll.BDP("912828A3 Govt","MATURITY")</f>
        <v>11/30/2018</v>
      </c>
      <c r="F627" t="str">
        <f>_xll.BDP("912828A3 Govt","MTY_TYP")</f>
        <v>NORMAL</v>
      </c>
      <c r="G627" t="str">
        <f>_xll.BDP("912828A3 Govt","CRNCY")</f>
        <v>USD</v>
      </c>
      <c r="H627" t="str">
        <f>_xll.BDP("912828A3 Govt","COUNTRY_FULL_NAME")</f>
        <v>UNITED STATES</v>
      </c>
      <c r="I627" t="str">
        <f>_xll.BDP("912828A3 Govt","FIRST_CPN_DT")</f>
        <v>5/31/2014</v>
      </c>
      <c r="J627" t="str">
        <f>_xll.BDP("912828A3 Govt","COUPON_FREQUENCY_DESCRIPTION")</f>
        <v>S/A</v>
      </c>
      <c r="K627" t="str">
        <f>_xll.BDP("912828A3 Govt","CPN_TYP")</f>
        <v>FIXED</v>
      </c>
      <c r="L627" t="str">
        <f>_xll.BDP("912828A3 Govt","ID_ISIN")</f>
        <v>US912828A347</v>
      </c>
      <c r="M627">
        <v>35000000000</v>
      </c>
      <c r="N627">
        <v>0</v>
      </c>
      <c r="O627" t="str">
        <f>_xll.BDP("912828A3 Govt","ISSUE_DT")</f>
        <v>12/2/2013</v>
      </c>
      <c r="P627" t="str">
        <f>_xll.BDP("912828A3 Govt","SECURITY_NAME")</f>
        <v>T 1 1/4 11/30/18</v>
      </c>
      <c r="Q627" t="str">
        <f>_xll.BDP("912828A3 Govt","DAY_CNT_DES")</f>
        <v>ACT/ACT</v>
      </c>
      <c r="R627">
        <v>100</v>
      </c>
      <c r="S627" t="str">
        <f>_xll.BDP("912828A3 Govt","ID_CUSIP")</f>
        <v>912828A34</v>
      </c>
      <c r="T627" t="str">
        <f>_xll.BDP("912828A3 Govt","IDX_RATIO")</f>
        <v>#N/A Field Not Applicable</v>
      </c>
    </row>
    <row r="628" spans="1:20" x14ac:dyDescent="0.25">
      <c r="A628" t="s">
        <v>14</v>
      </c>
      <c r="B628" t="str">
        <f>_xll.BDP("912828BS Govt","TICKER")</f>
        <v>T</v>
      </c>
      <c r="C628">
        <f>_xll.BDP("912828BS Govt","CPN")</f>
        <v>1.875</v>
      </c>
      <c r="D628" t="str">
        <f>_xll.BDP("912828BS Govt","YLD_YTM_BID")</f>
        <v>#N/A N/A</v>
      </c>
      <c r="E628" t="str">
        <f>_xll.BDP("912828BS Govt","MATURITY")</f>
        <v>11/30/2005</v>
      </c>
      <c r="F628" t="str">
        <f>_xll.BDP("912828BS Govt","MTY_TYP")</f>
        <v>NORMAL</v>
      </c>
      <c r="G628" t="str">
        <f>_xll.BDP("912828BS Govt","CRNCY")</f>
        <v>USD</v>
      </c>
      <c r="H628" t="str">
        <f>_xll.BDP("912828BS Govt","COUNTRY_FULL_NAME")</f>
        <v>UNITED STATES</v>
      </c>
      <c r="I628" t="str">
        <f>_xll.BDP("912828BS Govt","FIRST_CPN_DT")</f>
        <v>5/31/2004</v>
      </c>
      <c r="J628" t="str">
        <f>_xll.BDP("912828BS Govt","COUPON_FREQUENCY_DESCRIPTION")</f>
        <v>S/A</v>
      </c>
      <c r="K628" t="str">
        <f>_xll.BDP("912828BS Govt","CPN_TYP")</f>
        <v>FIXED</v>
      </c>
      <c r="L628" t="str">
        <f>_xll.BDP("912828BS Govt","ID_ISIN")</f>
        <v>US912828BS86</v>
      </c>
      <c r="M628">
        <v>32204000000</v>
      </c>
      <c r="N628">
        <v>0</v>
      </c>
      <c r="O628" t="str">
        <f>_xll.BDP("912828BS Govt","ISSUE_DT")</f>
        <v>12/1/2003</v>
      </c>
      <c r="P628" t="str">
        <f>_xll.BDP("912828BS Govt","SECURITY_NAME")</f>
        <v>T 1 7/8 11/30/05</v>
      </c>
      <c r="Q628" t="str">
        <f>_xll.BDP("912828BS Govt","DAY_CNT_DES")</f>
        <v>ACT/ACT</v>
      </c>
      <c r="R628">
        <v>100</v>
      </c>
      <c r="S628" t="str">
        <f>_xll.BDP("912828BS Govt","ID_CUSIP")</f>
        <v>912828BS8</v>
      </c>
      <c r="T628" t="str">
        <f>_xll.BDP("912828BS Govt","IDX_RATIO")</f>
        <v>#N/A Field Not Applicable</v>
      </c>
    </row>
    <row r="629" spans="1:20" x14ac:dyDescent="0.25">
      <c r="A629" t="s">
        <v>14</v>
      </c>
      <c r="B629" t="str">
        <f>_xll.BDP("912828LW Govt","TICKER")</f>
        <v>T</v>
      </c>
      <c r="C629">
        <f>_xll.BDP("912828LW Govt","CPN")</f>
        <v>1</v>
      </c>
      <c r="D629" t="str">
        <f>_xll.BDP("912828LW Govt","YLD_YTM_BID")</f>
        <v>#N/A N/A</v>
      </c>
      <c r="E629" t="str">
        <f>_xll.BDP("912828LW Govt","MATURITY")</f>
        <v>9/30/2011</v>
      </c>
      <c r="F629" t="str">
        <f>_xll.BDP("912828LW Govt","MTY_TYP")</f>
        <v>NORMAL</v>
      </c>
      <c r="G629" t="str">
        <f>_xll.BDP("912828LW Govt","CRNCY")</f>
        <v>USD</v>
      </c>
      <c r="H629" t="str">
        <f>_xll.BDP("912828LW Govt","COUNTRY_FULL_NAME")</f>
        <v>UNITED STATES</v>
      </c>
      <c r="I629" t="str">
        <f>_xll.BDP("912828LW Govt","FIRST_CPN_DT")</f>
        <v>3/31/2010</v>
      </c>
      <c r="J629" t="str">
        <f>_xll.BDP("912828LW Govt","COUPON_FREQUENCY_DESCRIPTION")</f>
        <v>S/A</v>
      </c>
      <c r="K629" t="str">
        <f>_xll.BDP("912828LW Govt","CPN_TYP")</f>
        <v>FIXED</v>
      </c>
      <c r="L629" t="str">
        <f>_xll.BDP("912828LW Govt","ID_ISIN")</f>
        <v>US912828LW88</v>
      </c>
      <c r="M629">
        <v>43762000000</v>
      </c>
      <c r="N629">
        <v>0</v>
      </c>
      <c r="O629" t="str">
        <f>_xll.BDP("912828LW Govt","ISSUE_DT")</f>
        <v>9/30/2009</v>
      </c>
      <c r="P629" t="str">
        <f>_xll.BDP("912828LW Govt","SECURITY_NAME")</f>
        <v>T 1 09/30/11</v>
      </c>
      <c r="Q629" t="str">
        <f>_xll.BDP("912828LW Govt","DAY_CNT_DES")</f>
        <v>ACT/ACT</v>
      </c>
      <c r="R629">
        <v>100</v>
      </c>
      <c r="S629" t="str">
        <f>_xll.BDP("912828LW Govt","ID_CUSIP")</f>
        <v>912828LW8</v>
      </c>
      <c r="T629" t="str">
        <f>_xll.BDP("912828LW Govt","IDX_RATIO")</f>
        <v>#N/A Field Not Applicable</v>
      </c>
    </row>
    <row r="630" spans="1:20" x14ac:dyDescent="0.25">
      <c r="A630" t="s">
        <v>14</v>
      </c>
      <c r="B630" t="str">
        <f>_xll.BDP("912828PJ Govt","TICKER")</f>
        <v>T</v>
      </c>
      <c r="C630">
        <f>_xll.BDP("912828PJ Govt","CPN")</f>
        <v>1.375</v>
      </c>
      <c r="D630" t="str">
        <f>_xll.BDP("912828PJ Govt","YLD_YTM_BID")</f>
        <v>#N/A N/A</v>
      </c>
      <c r="E630" t="str">
        <f>_xll.BDP("912828PJ Govt","MATURITY")</f>
        <v>11/30/2015</v>
      </c>
      <c r="F630" t="str">
        <f>_xll.BDP("912828PJ Govt","MTY_TYP")</f>
        <v>NORMAL</v>
      </c>
      <c r="G630" t="str">
        <f>_xll.BDP("912828PJ Govt","CRNCY")</f>
        <v>USD</v>
      </c>
      <c r="H630" t="str">
        <f>_xll.BDP("912828PJ Govt","COUNTRY_FULL_NAME")</f>
        <v>UNITED STATES</v>
      </c>
      <c r="I630" t="str">
        <f>_xll.BDP("912828PJ Govt","FIRST_CPN_DT")</f>
        <v>5/31/2011</v>
      </c>
      <c r="J630" t="str">
        <f>_xll.BDP("912828PJ Govt","COUPON_FREQUENCY_DESCRIPTION")</f>
        <v>S/A</v>
      </c>
      <c r="K630" t="str">
        <f>_xll.BDP("912828PJ Govt","CPN_TYP")</f>
        <v>FIXED</v>
      </c>
      <c r="L630" t="str">
        <f>_xll.BDP("912828PJ Govt","ID_ISIN")</f>
        <v>US912828PJ32</v>
      </c>
      <c r="M630">
        <v>36379000000</v>
      </c>
      <c r="N630">
        <v>0</v>
      </c>
      <c r="O630" t="str">
        <f>_xll.BDP("912828PJ Govt","ISSUE_DT")</f>
        <v>11/30/2010</v>
      </c>
      <c r="P630" t="str">
        <f>_xll.BDP("912828PJ Govt","SECURITY_NAME")</f>
        <v>T 1 3/8 11/30/15</v>
      </c>
      <c r="Q630" t="str">
        <f>_xll.BDP("912828PJ Govt","DAY_CNT_DES")</f>
        <v>ACT/ACT</v>
      </c>
      <c r="R630">
        <v>100</v>
      </c>
      <c r="S630" t="str">
        <f>_xll.BDP("912828PJ Govt","ID_CUSIP")</f>
        <v>912828PJ3</v>
      </c>
      <c r="T630" t="str">
        <f>_xll.BDP("912828PJ Govt","IDX_RATIO")</f>
        <v>#N/A Field Not Applicable</v>
      </c>
    </row>
    <row r="631" spans="1:20" x14ac:dyDescent="0.25">
      <c r="A631" t="s">
        <v>14</v>
      </c>
      <c r="B631" t="str">
        <f>_xll.BDP("912828T5 Govt","TICKER")</f>
        <v>T</v>
      </c>
      <c r="C631">
        <f>_xll.BDP("912828T5 Govt","CPN")</f>
        <v>1</v>
      </c>
      <c r="D631" t="str">
        <f>_xll.BDP("912828T5 Govt","YLD_YTM_BID")</f>
        <v>#N/A N/A</v>
      </c>
      <c r="E631" t="str">
        <f>_xll.BDP("912828T5 Govt","MATURITY")</f>
        <v>10/15/2019</v>
      </c>
      <c r="F631" t="str">
        <f>_xll.BDP("912828T5 Govt","MTY_TYP")</f>
        <v>NORMAL</v>
      </c>
      <c r="G631" t="str">
        <f>_xll.BDP("912828T5 Govt","CRNCY")</f>
        <v>USD</v>
      </c>
      <c r="H631" t="str">
        <f>_xll.BDP("912828T5 Govt","COUNTRY_FULL_NAME")</f>
        <v>UNITED STATES</v>
      </c>
      <c r="I631" t="str">
        <f>_xll.BDP("912828T5 Govt","FIRST_CPN_DT")</f>
        <v>4/15/2017</v>
      </c>
      <c r="J631" t="str">
        <f>_xll.BDP("912828T5 Govt","COUPON_FREQUENCY_DESCRIPTION")</f>
        <v>S/A</v>
      </c>
      <c r="K631" t="str">
        <f>_xll.BDP("912828T5 Govt","CPN_TYP")</f>
        <v>FIXED</v>
      </c>
      <c r="L631" t="str">
        <f>_xll.BDP("912828T5 Govt","ID_ISIN")</f>
        <v>US912828T594</v>
      </c>
      <c r="M631">
        <v>24003000000</v>
      </c>
      <c r="N631">
        <v>0</v>
      </c>
      <c r="O631" t="str">
        <f>_xll.BDP("912828T5 Govt","ISSUE_DT")</f>
        <v>10/17/2016</v>
      </c>
      <c r="P631" t="str">
        <f>_xll.BDP("912828T5 Govt","SECURITY_NAME")</f>
        <v>T 1 10/15/19</v>
      </c>
      <c r="Q631" t="str">
        <f>_xll.BDP("912828T5 Govt","DAY_CNT_DES")</f>
        <v>ACT/ACT</v>
      </c>
      <c r="R631">
        <v>100</v>
      </c>
      <c r="S631" t="str">
        <f>_xll.BDP("912828T5 Govt","ID_CUSIP")</f>
        <v>912828T59</v>
      </c>
      <c r="T631" t="str">
        <f>_xll.BDP("912828T5 Govt","IDX_RATIO")</f>
        <v>#N/A Field Not Applicable</v>
      </c>
    </row>
    <row r="632" spans="1:20" x14ac:dyDescent="0.25">
      <c r="A632" t="s">
        <v>14</v>
      </c>
      <c r="B632" t="str">
        <f>_xll.BDP("912828VH Govt","TICKER")</f>
        <v>T</v>
      </c>
      <c r="C632">
        <f>_xll.BDP("912828VH Govt","CPN")</f>
        <v>0.375</v>
      </c>
      <c r="D632" t="str">
        <f>_xll.BDP("912828VH Govt","YLD_YTM_BID")</f>
        <v>#N/A N/A</v>
      </c>
      <c r="E632" t="str">
        <f>_xll.BDP("912828VH Govt","MATURITY")</f>
        <v>6/30/2015</v>
      </c>
      <c r="F632" t="str">
        <f>_xll.BDP("912828VH Govt","MTY_TYP")</f>
        <v>NORMAL</v>
      </c>
      <c r="G632" t="str">
        <f>_xll.BDP("912828VH Govt","CRNCY")</f>
        <v>USD</v>
      </c>
      <c r="H632" t="str">
        <f>_xll.BDP("912828VH Govt","COUNTRY_FULL_NAME")</f>
        <v>UNITED STATES</v>
      </c>
      <c r="I632" t="str">
        <f>_xll.BDP("912828VH Govt","FIRST_CPN_DT")</f>
        <v>12/31/2013</v>
      </c>
      <c r="J632" t="str">
        <f>_xll.BDP("912828VH Govt","COUPON_FREQUENCY_DESCRIPTION")</f>
        <v>S/A</v>
      </c>
      <c r="K632" t="str">
        <f>_xll.BDP("912828VH Govt","CPN_TYP")</f>
        <v>FIXED</v>
      </c>
      <c r="L632" t="str">
        <f>_xll.BDP("912828VH Govt","ID_ISIN")</f>
        <v>US912828VH02</v>
      </c>
      <c r="M632">
        <v>35000000000</v>
      </c>
      <c r="N632">
        <v>0</v>
      </c>
      <c r="O632" t="str">
        <f>_xll.BDP("912828VH Govt","ISSUE_DT")</f>
        <v>7/1/2013</v>
      </c>
      <c r="P632" t="str">
        <f>_xll.BDP("912828VH Govt","SECURITY_NAME")</f>
        <v>T 0 3/8 06/30/15</v>
      </c>
      <c r="Q632" t="str">
        <f>_xll.BDP("912828VH Govt","DAY_CNT_DES")</f>
        <v>ACT/ACT</v>
      </c>
      <c r="R632">
        <v>100</v>
      </c>
      <c r="S632" t="str">
        <f>_xll.BDP("912828VH Govt","ID_CUSIP")</f>
        <v>912828VH0</v>
      </c>
      <c r="T632" t="str">
        <f>_xll.BDP("912828VH Govt","IDX_RATIO")</f>
        <v>#N/A Field Not Applicable</v>
      </c>
    </row>
    <row r="633" spans="1:20" x14ac:dyDescent="0.25">
      <c r="A633" t="s">
        <v>14</v>
      </c>
      <c r="B633" t="str">
        <f>_xll.BDP("9128275X Govt","TICKER")</f>
        <v>T</v>
      </c>
      <c r="C633">
        <f>_xll.BDP("9128275X Govt","CPN")</f>
        <v>6.375</v>
      </c>
      <c r="D633" t="str">
        <f>_xll.BDP("9128275X Govt","YLD_YTM_BID")</f>
        <v>#N/A N/A</v>
      </c>
      <c r="E633" t="str">
        <f>_xll.BDP("9128275X Govt","MATURITY")</f>
        <v>1/31/2002</v>
      </c>
      <c r="F633" t="str">
        <f>_xll.BDP("9128275X Govt","MTY_TYP")</f>
        <v>NORMAL</v>
      </c>
      <c r="G633" t="str">
        <f>_xll.BDP("9128275X Govt","CRNCY")</f>
        <v>USD</v>
      </c>
      <c r="H633" t="str">
        <f>_xll.BDP("9128275X Govt","COUNTRY_FULL_NAME")</f>
        <v>UNITED STATES</v>
      </c>
      <c r="I633" t="str">
        <f>_xll.BDP("9128275X Govt","FIRST_CPN_DT")</f>
        <v>7/31/2000</v>
      </c>
      <c r="J633" t="str">
        <f>_xll.BDP("9128275X Govt","COUPON_FREQUENCY_DESCRIPTION")</f>
        <v>S/A</v>
      </c>
      <c r="K633" t="str">
        <f>_xll.BDP("9128275X Govt","CPN_TYP")</f>
        <v>FIXED</v>
      </c>
      <c r="L633" t="str">
        <f>_xll.BDP("9128275X Govt","ID_ISIN")</f>
        <v>US9128275X64</v>
      </c>
      <c r="M633">
        <v>19381000000</v>
      </c>
      <c r="N633">
        <v>0</v>
      </c>
      <c r="O633" t="str">
        <f>_xll.BDP("9128275X Govt","ISSUE_DT")</f>
        <v>1/31/2000</v>
      </c>
      <c r="P633" t="str">
        <f>_xll.BDP("9128275X Govt","SECURITY_NAME")</f>
        <v>T 6 3/8 01/31/02</v>
      </c>
      <c r="Q633" t="str">
        <f>_xll.BDP("9128275X Govt","DAY_CNT_DES")</f>
        <v>ACT/ACT</v>
      </c>
      <c r="R633">
        <v>100</v>
      </c>
      <c r="S633" t="str">
        <f>_xll.BDP("9128275X Govt","ID_CUSIP")</f>
        <v>9128275X6</v>
      </c>
      <c r="T633" t="str">
        <f>_xll.BDP("9128275X Govt","IDX_RATIO")</f>
        <v>#N/A Field Not Applicable</v>
      </c>
    </row>
    <row r="634" spans="1:20" x14ac:dyDescent="0.25">
      <c r="A634" t="s">
        <v>14</v>
      </c>
      <c r="B634" t="str">
        <f>_xll.BDP("912827ZH Govt","TICKER")</f>
        <v>T</v>
      </c>
      <c r="C634">
        <f>_xll.BDP("912827ZH Govt","CPN")</f>
        <v>8.125</v>
      </c>
      <c r="D634" t="str">
        <f>_xll.BDP("912827ZH Govt","YLD_YTM_BID")</f>
        <v>#N/A N/A</v>
      </c>
      <c r="E634" t="str">
        <f>_xll.BDP("912827ZH Govt","MATURITY")</f>
        <v>9/30/1992</v>
      </c>
      <c r="F634" t="str">
        <f>_xll.BDP("912827ZH Govt","MTY_TYP")</f>
        <v>NORMAL</v>
      </c>
      <c r="G634" t="str">
        <f>_xll.BDP("912827ZH Govt","CRNCY")</f>
        <v>USD</v>
      </c>
      <c r="H634" t="str">
        <f>_xll.BDP("912827ZH Govt","COUNTRY_FULL_NAME")</f>
        <v>UNITED STATES</v>
      </c>
      <c r="I634" t="str">
        <f>_xll.BDP("912827ZH Govt","FIRST_CPN_DT")</f>
        <v>3/31/1991</v>
      </c>
      <c r="J634" t="str">
        <f>_xll.BDP("912827ZH Govt","COUPON_FREQUENCY_DESCRIPTION")</f>
        <v>S/A</v>
      </c>
      <c r="K634" t="str">
        <f>_xll.BDP("912827ZH Govt","CPN_TYP")</f>
        <v>FIXED</v>
      </c>
      <c r="L634" t="str">
        <f>_xll.BDP("912827ZH Govt","ID_ISIN")</f>
        <v>US912827ZH82</v>
      </c>
      <c r="N634">
        <v>0</v>
      </c>
      <c r="O634" t="str">
        <f>_xll.BDP("912827ZH Govt","ISSUE_DT")</f>
        <v>10/1/1990</v>
      </c>
      <c r="P634" t="str">
        <f>_xll.BDP("912827ZH Govt","SECURITY_NAME")</f>
        <v>T 8 1/8 09/30/92</v>
      </c>
      <c r="Q634" t="str">
        <f>_xll.BDP("912827ZH Govt","DAY_CNT_DES")</f>
        <v>ACT/ACT</v>
      </c>
      <c r="R634">
        <v>100</v>
      </c>
      <c r="S634" t="str">
        <f>_xll.BDP("912827ZH Govt","ID_CUSIP")</f>
        <v>912827ZH8</v>
      </c>
      <c r="T634" t="str">
        <f>_xll.BDP("912827ZH Govt","IDX_RATIO")</f>
        <v>#N/A Field Not Applicable</v>
      </c>
    </row>
    <row r="635" spans="1:20" x14ac:dyDescent="0.25">
      <c r="A635" t="s">
        <v>14</v>
      </c>
      <c r="B635" t="str">
        <f>_xll.BDP("912828AT Govt","TICKER")</f>
        <v>T</v>
      </c>
      <c r="C635">
        <f>_xll.BDP("912828AT Govt","CPN")</f>
        <v>3</v>
      </c>
      <c r="D635" t="str">
        <f>_xll.BDP("912828AT Govt","YLD_YTM_BID")</f>
        <v>#N/A N/A</v>
      </c>
      <c r="E635" t="str">
        <f>_xll.BDP("912828AT Govt","MATURITY")</f>
        <v>2/15/2008</v>
      </c>
      <c r="F635" t="str">
        <f>_xll.BDP("912828AT Govt","MTY_TYP")</f>
        <v>NORMAL</v>
      </c>
      <c r="G635" t="str">
        <f>_xll.BDP("912828AT Govt","CRNCY")</f>
        <v>USD</v>
      </c>
      <c r="H635" t="str">
        <f>_xll.BDP("912828AT Govt","COUNTRY_FULL_NAME")</f>
        <v>UNITED STATES</v>
      </c>
      <c r="I635" t="str">
        <f>_xll.BDP("912828AT Govt","FIRST_CPN_DT")</f>
        <v>8/15/2003</v>
      </c>
      <c r="J635" t="str">
        <f>_xll.BDP("912828AT Govt","COUPON_FREQUENCY_DESCRIPTION")</f>
        <v>S/A</v>
      </c>
      <c r="K635" t="str">
        <f>_xll.BDP("912828AT Govt","CPN_TYP")</f>
        <v>FIXED</v>
      </c>
      <c r="L635" t="str">
        <f>_xll.BDP("912828AT Govt","ID_ISIN")</f>
        <v>US912828AT78</v>
      </c>
      <c r="M635">
        <v>27489000000</v>
      </c>
      <c r="N635">
        <v>0</v>
      </c>
      <c r="O635" t="str">
        <f>_xll.BDP("912828AT Govt","ISSUE_DT")</f>
        <v>2/18/2003</v>
      </c>
      <c r="P635" t="str">
        <f>_xll.BDP("912828AT Govt","SECURITY_NAME")</f>
        <v>T 3 02/15/08</v>
      </c>
      <c r="Q635" t="str">
        <f>_xll.BDP("912828AT Govt","DAY_CNT_DES")</f>
        <v>ACT/ACT</v>
      </c>
      <c r="R635">
        <v>100</v>
      </c>
      <c r="S635" t="str">
        <f>_xll.BDP("912828AT Govt","ID_CUSIP")</f>
        <v>912828AT7</v>
      </c>
      <c r="T635" t="str">
        <f>_xll.BDP("912828AT Govt","IDX_RATIO")</f>
        <v>#N/A Field Not Applicable</v>
      </c>
    </row>
    <row r="636" spans="1:20" x14ac:dyDescent="0.25">
      <c r="A636" t="s">
        <v>14</v>
      </c>
      <c r="B636" t="str">
        <f>_xll.BDP("912828CU Govt","TICKER")</f>
        <v>T</v>
      </c>
      <c r="C636">
        <f>_xll.BDP("912828CU Govt","CPN")</f>
        <v>2.375</v>
      </c>
      <c r="D636" t="str">
        <f>_xll.BDP("912828CU Govt","YLD_YTM_BID")</f>
        <v>#N/A N/A</v>
      </c>
      <c r="E636" t="str">
        <f>_xll.BDP("912828CU Govt","MATURITY")</f>
        <v>8/31/2006</v>
      </c>
      <c r="F636" t="str">
        <f>_xll.BDP("912828CU Govt","MTY_TYP")</f>
        <v>NORMAL</v>
      </c>
      <c r="G636" t="str">
        <f>_xll.BDP("912828CU Govt","CRNCY")</f>
        <v>USD</v>
      </c>
      <c r="H636" t="str">
        <f>_xll.BDP("912828CU Govt","COUNTRY_FULL_NAME")</f>
        <v>UNITED STATES</v>
      </c>
      <c r="I636" t="str">
        <f>_xll.BDP("912828CU Govt","FIRST_CPN_DT")</f>
        <v>2/28/2005</v>
      </c>
      <c r="J636" t="str">
        <f>_xll.BDP("912828CU Govt","COUPON_FREQUENCY_DESCRIPTION")</f>
        <v>S/A</v>
      </c>
      <c r="K636" t="str">
        <f>_xll.BDP("912828CU Govt","CPN_TYP")</f>
        <v>FIXED</v>
      </c>
      <c r="L636" t="str">
        <f>_xll.BDP("912828CU Govt","ID_ISIN")</f>
        <v>US912828CU24</v>
      </c>
      <c r="M636">
        <v>31814000000</v>
      </c>
      <c r="N636">
        <v>0</v>
      </c>
      <c r="O636" t="str">
        <f>_xll.BDP("912828CU Govt","ISSUE_DT")</f>
        <v>8/31/2004</v>
      </c>
      <c r="P636" t="str">
        <f>_xll.BDP("912828CU Govt","SECURITY_NAME")</f>
        <v>T 2 3/8 08/31/06</v>
      </c>
      <c r="Q636" t="str">
        <f>_xll.BDP("912828CU Govt","DAY_CNT_DES")</f>
        <v>ACT/ACT</v>
      </c>
      <c r="R636">
        <v>100</v>
      </c>
      <c r="S636" t="str">
        <f>_xll.BDP("912828CU Govt","ID_CUSIP")</f>
        <v>912828CU2</v>
      </c>
      <c r="T636" t="str">
        <f>_xll.BDP("912828CU Govt","IDX_RATIO")</f>
        <v>#N/A Field Not Applicable</v>
      </c>
    </row>
    <row r="637" spans="1:20" x14ac:dyDescent="0.25">
      <c r="A637" t="s">
        <v>14</v>
      </c>
      <c r="B637" t="str">
        <f>_xll.BDP("912828TB Govt","TICKER")</f>
        <v>T</v>
      </c>
      <c r="C637">
        <f>_xll.BDP("912828TB Govt","CPN")</f>
        <v>0.75</v>
      </c>
      <c r="D637" t="str">
        <f>_xll.BDP("912828TB Govt","YLD_YTM_BID")</f>
        <v>#N/A N/A</v>
      </c>
      <c r="E637" t="str">
        <f>_xll.BDP("912828TB Govt","MATURITY")</f>
        <v>6/30/2017</v>
      </c>
      <c r="F637" t="str">
        <f>_xll.BDP("912828TB Govt","MTY_TYP")</f>
        <v>NORMAL</v>
      </c>
      <c r="G637" t="str">
        <f>_xll.BDP("912828TB Govt","CRNCY")</f>
        <v>USD</v>
      </c>
      <c r="H637" t="str">
        <f>_xll.BDP("912828TB Govt","COUNTRY_FULL_NAME")</f>
        <v>UNITED STATES</v>
      </c>
      <c r="I637" t="str">
        <f>_xll.BDP("912828TB Govt","FIRST_CPN_DT")</f>
        <v>12/31/2012</v>
      </c>
      <c r="J637" t="str">
        <f>_xll.BDP("912828TB Govt","COUPON_FREQUENCY_DESCRIPTION")</f>
        <v>S/A</v>
      </c>
      <c r="K637" t="str">
        <f>_xll.BDP("912828TB Govt","CPN_TYP")</f>
        <v>FIXED</v>
      </c>
      <c r="L637" t="str">
        <f>_xll.BDP("912828TB Govt","ID_ISIN")</f>
        <v>US912828TB69</v>
      </c>
      <c r="M637">
        <v>35357000000</v>
      </c>
      <c r="N637">
        <v>0</v>
      </c>
      <c r="O637" t="str">
        <f>_xll.BDP("912828TB Govt","ISSUE_DT")</f>
        <v>7/2/2012</v>
      </c>
      <c r="P637" t="str">
        <f>_xll.BDP("912828TB Govt","SECURITY_NAME")</f>
        <v>T 0 3/4 06/30/17</v>
      </c>
      <c r="Q637" t="str">
        <f>_xll.BDP("912828TB Govt","DAY_CNT_DES")</f>
        <v>ACT/ACT</v>
      </c>
      <c r="R637">
        <v>100</v>
      </c>
      <c r="S637" t="str">
        <f>_xll.BDP("912828TB Govt","ID_CUSIP")</f>
        <v>912828TB6</v>
      </c>
      <c r="T637" t="str">
        <f>_xll.BDP("912828TB Govt","IDX_RATIO")</f>
        <v>#N/A Field Not Applicable</v>
      </c>
    </row>
    <row r="638" spans="1:20" x14ac:dyDescent="0.25">
      <c r="A638" t="s">
        <v>14</v>
      </c>
      <c r="B638" t="str">
        <f>_xll.BDP("912828VA Govt","TICKER")</f>
        <v>T</v>
      </c>
      <c r="C638">
        <f>_xll.BDP("912828VA Govt","CPN")</f>
        <v>1.125</v>
      </c>
      <c r="D638" t="str">
        <f>_xll.BDP("912828VA Govt","YLD_YTM_BID")</f>
        <v>#N/A N/A</v>
      </c>
      <c r="E638" t="str">
        <f>_xll.BDP("912828VA Govt","MATURITY")</f>
        <v>4/30/2020</v>
      </c>
      <c r="F638" t="str">
        <f>_xll.BDP("912828VA Govt","MTY_TYP")</f>
        <v>NORMAL</v>
      </c>
      <c r="G638" t="str">
        <f>_xll.BDP("912828VA Govt","CRNCY")</f>
        <v>USD</v>
      </c>
      <c r="H638" t="str">
        <f>_xll.BDP("912828VA Govt","COUNTRY_FULL_NAME")</f>
        <v>UNITED STATES</v>
      </c>
      <c r="I638" t="str">
        <f>_xll.BDP("912828VA Govt","FIRST_CPN_DT")</f>
        <v>10/31/2013</v>
      </c>
      <c r="J638" t="str">
        <f>_xll.BDP("912828VA Govt","COUPON_FREQUENCY_DESCRIPTION")</f>
        <v>S/A</v>
      </c>
      <c r="K638" t="str">
        <f>_xll.BDP("912828VA Govt","CPN_TYP")</f>
        <v>FIXED</v>
      </c>
      <c r="L638" t="str">
        <f>_xll.BDP("912828VA Govt","ID_ISIN")</f>
        <v>US912828VA58</v>
      </c>
      <c r="M638">
        <v>29000000000</v>
      </c>
      <c r="N638">
        <v>0</v>
      </c>
      <c r="O638" t="str">
        <f>_xll.BDP("912828VA Govt","ISSUE_DT")</f>
        <v>4/30/2013</v>
      </c>
      <c r="P638" t="str">
        <f>_xll.BDP("912828VA Govt","SECURITY_NAME")</f>
        <v>T 1 1/8 04/30/20</v>
      </c>
      <c r="Q638" t="str">
        <f>_xll.BDP("912828VA Govt","DAY_CNT_DES")</f>
        <v>ACT/ACT</v>
      </c>
      <c r="R638">
        <v>100</v>
      </c>
      <c r="S638" t="str">
        <f>_xll.BDP("912828VA Govt","ID_CUSIP")</f>
        <v>912828VA5</v>
      </c>
      <c r="T638" t="str">
        <f>_xll.BDP("912828VA Govt","IDX_RATIO")</f>
        <v>#N/A Field Not Applicable</v>
      </c>
    </row>
    <row r="639" spans="1:20" x14ac:dyDescent="0.25">
      <c r="A639" t="s">
        <v>14</v>
      </c>
      <c r="B639" t="str">
        <f>_xll.BDP("912828XU Govt","TICKER")</f>
        <v>T</v>
      </c>
      <c r="C639">
        <f>_xll.BDP("912828XU Govt","CPN")</f>
        <v>1.5</v>
      </c>
      <c r="D639" t="str">
        <f>_xll.BDP("912828XU Govt","YLD_YTM_BID")</f>
        <v>#N/A N/A</v>
      </c>
      <c r="E639" t="str">
        <f>_xll.BDP("912828XU Govt","MATURITY")</f>
        <v>6/15/2020</v>
      </c>
      <c r="F639" t="str">
        <f>_xll.BDP("912828XU Govt","MTY_TYP")</f>
        <v>NORMAL</v>
      </c>
      <c r="G639" t="str">
        <f>_xll.BDP("912828XU Govt","CRNCY")</f>
        <v>USD</v>
      </c>
      <c r="H639" t="str">
        <f>_xll.BDP("912828XU Govt","COUNTRY_FULL_NAME")</f>
        <v>UNITED STATES</v>
      </c>
      <c r="I639" t="str">
        <f>_xll.BDP("912828XU Govt","FIRST_CPN_DT")</f>
        <v>12/15/2017</v>
      </c>
      <c r="J639" t="str">
        <f>_xll.BDP("912828XU Govt","COUPON_FREQUENCY_DESCRIPTION")</f>
        <v>S/A</v>
      </c>
      <c r="K639" t="str">
        <f>_xll.BDP("912828XU Govt","CPN_TYP")</f>
        <v>FIXED</v>
      </c>
      <c r="L639" t="str">
        <f>_xll.BDP("912828XU Govt","ID_ISIN")</f>
        <v>US912828XU94</v>
      </c>
      <c r="M639">
        <v>24000000000</v>
      </c>
      <c r="N639">
        <v>0</v>
      </c>
      <c r="O639" t="str">
        <f>_xll.BDP("912828XU Govt","ISSUE_DT")</f>
        <v>6/15/2017</v>
      </c>
      <c r="P639" t="str">
        <f>_xll.BDP("912828XU Govt","SECURITY_NAME")</f>
        <v>T 1 1/2 06/15/20</v>
      </c>
      <c r="Q639" t="str">
        <f>_xll.BDP("912828XU Govt","DAY_CNT_DES")</f>
        <v>ACT/ACT</v>
      </c>
      <c r="R639">
        <v>100</v>
      </c>
      <c r="S639" t="str">
        <f>_xll.BDP("912828XU Govt","ID_CUSIP")</f>
        <v>912828XU9</v>
      </c>
      <c r="T639" t="str">
        <f>_xll.BDP("912828XU Govt","IDX_RATIO")</f>
        <v>#N/A Field Not Applicable</v>
      </c>
    </row>
    <row r="640" spans="1:20" x14ac:dyDescent="0.25">
      <c r="A640" t="s">
        <v>14</v>
      </c>
      <c r="B640" t="str">
        <f>_xll.BDP("912828A9 Govt","TICKER")</f>
        <v>T</v>
      </c>
      <c r="C640">
        <f>_xll.BDP("912828A9 Govt","CPN")</f>
        <v>0.75</v>
      </c>
      <c r="D640" t="str">
        <f>_xll.BDP("912828A9 Govt","YLD_YTM_BID")</f>
        <v>#N/A N/A</v>
      </c>
      <c r="E640" t="str">
        <f>_xll.BDP("912828A9 Govt","MATURITY")</f>
        <v>1/15/2017</v>
      </c>
      <c r="F640" t="str">
        <f>_xll.BDP("912828A9 Govt","MTY_TYP")</f>
        <v>NORMAL</v>
      </c>
      <c r="G640" t="str">
        <f>_xll.BDP("912828A9 Govt","CRNCY")</f>
        <v>USD</v>
      </c>
      <c r="H640" t="str">
        <f>_xll.BDP("912828A9 Govt","COUNTRY_FULL_NAME")</f>
        <v>UNITED STATES</v>
      </c>
      <c r="I640" t="str">
        <f>_xll.BDP("912828A9 Govt","FIRST_CPN_DT")</f>
        <v>7/15/2014</v>
      </c>
      <c r="J640" t="str">
        <f>_xll.BDP("912828A9 Govt","COUPON_FREQUENCY_DESCRIPTION")</f>
        <v>S/A</v>
      </c>
      <c r="K640" t="str">
        <f>_xll.BDP("912828A9 Govt","CPN_TYP")</f>
        <v>FIXED</v>
      </c>
      <c r="L640" t="str">
        <f>_xll.BDP("912828A9 Govt","ID_ISIN")</f>
        <v>US912828A917</v>
      </c>
      <c r="M640">
        <v>30000000000</v>
      </c>
      <c r="N640">
        <v>0</v>
      </c>
      <c r="O640" t="str">
        <f>_xll.BDP("912828A9 Govt","ISSUE_DT")</f>
        <v>1/15/2014</v>
      </c>
      <c r="P640" t="str">
        <f>_xll.BDP("912828A9 Govt","SECURITY_NAME")</f>
        <v>T 0 3/4 01/15/17</v>
      </c>
      <c r="Q640" t="str">
        <f>_xll.BDP("912828A9 Govt","DAY_CNT_DES")</f>
        <v>ACT/ACT</v>
      </c>
      <c r="R640">
        <v>100</v>
      </c>
      <c r="S640" t="str">
        <f>_xll.BDP("912828A9 Govt","ID_CUSIP")</f>
        <v>912828A91</v>
      </c>
      <c r="T640" t="str">
        <f>_xll.BDP("912828A9 Govt","IDX_RATIO")</f>
        <v>#N/A Field Not Applicable</v>
      </c>
    </row>
    <row r="641" spans="1:20" x14ac:dyDescent="0.25">
      <c r="A641" t="s">
        <v>14</v>
      </c>
      <c r="B641" t="str">
        <f>_xll.BDP("912828BC Govt","TICKER")</f>
        <v>T</v>
      </c>
      <c r="C641">
        <f>_xll.BDP("912828BC Govt","CPN")</f>
        <v>1.125</v>
      </c>
      <c r="D641" t="str">
        <f>_xll.BDP("912828BC Govt","YLD_YTM_BID")</f>
        <v>#N/A N/A</v>
      </c>
      <c r="E641" t="str">
        <f>_xll.BDP("912828BC Govt","MATURITY")</f>
        <v>6/30/2005</v>
      </c>
      <c r="F641" t="str">
        <f>_xll.BDP("912828BC Govt","MTY_TYP")</f>
        <v>NORMAL</v>
      </c>
      <c r="G641" t="str">
        <f>_xll.BDP("912828BC Govt","CRNCY")</f>
        <v>USD</v>
      </c>
      <c r="H641" t="str">
        <f>_xll.BDP("912828BC Govt","COUNTRY_FULL_NAME")</f>
        <v>UNITED STATES</v>
      </c>
      <c r="I641" t="str">
        <f>_xll.BDP("912828BC Govt","FIRST_CPN_DT")</f>
        <v>12/31/2003</v>
      </c>
      <c r="J641" t="str">
        <f>_xll.BDP("912828BC Govt","COUPON_FREQUENCY_DESCRIPTION")</f>
        <v>S/A</v>
      </c>
      <c r="K641" t="str">
        <f>_xll.BDP("912828BC Govt","CPN_TYP")</f>
        <v>FIXED</v>
      </c>
      <c r="L641" t="str">
        <f>_xll.BDP("912828BC Govt","ID_ISIN")</f>
        <v>US912828BC35</v>
      </c>
      <c r="M641">
        <v>31701000000</v>
      </c>
      <c r="N641">
        <v>0</v>
      </c>
      <c r="O641" t="str">
        <f>_xll.BDP("912828BC Govt","ISSUE_DT")</f>
        <v>6/30/2003</v>
      </c>
      <c r="P641" t="str">
        <f>_xll.BDP("912828BC Govt","SECURITY_NAME")</f>
        <v>T 1 1/8 06/30/05</v>
      </c>
      <c r="Q641" t="str">
        <f>_xll.BDP("912828BC Govt","DAY_CNT_DES")</f>
        <v>ACT/ACT</v>
      </c>
      <c r="R641">
        <v>100</v>
      </c>
      <c r="S641" t="str">
        <f>_xll.BDP("912828BC Govt","ID_CUSIP")</f>
        <v>912828BC3</v>
      </c>
      <c r="T641" t="str">
        <f>_xll.BDP("912828BC Govt","IDX_RATIO")</f>
        <v>#N/A Field Not Applicable</v>
      </c>
    </row>
    <row r="642" spans="1:20" x14ac:dyDescent="0.25">
      <c r="A642" t="s">
        <v>14</v>
      </c>
      <c r="B642" t="str">
        <f>_xll.BDP("912828BJ Govt","TICKER")</f>
        <v>T</v>
      </c>
      <c r="C642">
        <f>_xll.BDP("912828BJ Govt","CPN")</f>
        <v>2</v>
      </c>
      <c r="D642" t="str">
        <f>_xll.BDP("912828BJ Govt","YLD_YTM_BID")</f>
        <v>#N/A N/A</v>
      </c>
      <c r="E642" t="str">
        <f>_xll.BDP("912828BJ Govt","MATURITY")</f>
        <v>8/31/2005</v>
      </c>
      <c r="F642" t="str">
        <f>_xll.BDP("912828BJ Govt","MTY_TYP")</f>
        <v>NORMAL</v>
      </c>
      <c r="G642" t="str">
        <f>_xll.BDP("912828BJ Govt","CRNCY")</f>
        <v>USD</v>
      </c>
      <c r="H642" t="str">
        <f>_xll.BDP("912828BJ Govt","COUNTRY_FULL_NAME")</f>
        <v>UNITED STATES</v>
      </c>
      <c r="I642" t="str">
        <f>_xll.BDP("912828BJ Govt","FIRST_CPN_DT")</f>
        <v>2/29/2004</v>
      </c>
      <c r="J642" t="str">
        <f>_xll.BDP("912828BJ Govt","COUPON_FREQUENCY_DESCRIPTION")</f>
        <v>S/A</v>
      </c>
      <c r="K642" t="str">
        <f>_xll.BDP("912828BJ Govt","CPN_TYP")</f>
        <v>FIXED</v>
      </c>
      <c r="L642" t="str">
        <f>_xll.BDP("912828BJ Govt","ID_ISIN")</f>
        <v>US912828BJ87</v>
      </c>
      <c r="M642">
        <v>30592000000</v>
      </c>
      <c r="N642">
        <v>0</v>
      </c>
      <c r="O642" t="str">
        <f>_xll.BDP("912828BJ Govt","ISSUE_DT")</f>
        <v>9/2/2003</v>
      </c>
      <c r="P642" t="str">
        <f>_xll.BDP("912828BJ Govt","SECURITY_NAME")</f>
        <v>T 2 08/31/05</v>
      </c>
      <c r="Q642" t="str">
        <f>_xll.BDP("912828BJ Govt","DAY_CNT_DES")</f>
        <v>ACT/ACT</v>
      </c>
      <c r="R642">
        <v>100</v>
      </c>
      <c r="S642" t="str">
        <f>_xll.BDP("912828BJ Govt","ID_CUSIP")</f>
        <v>912828BJ8</v>
      </c>
      <c r="T642" t="str">
        <f>_xll.BDP("912828BJ Govt","IDX_RATIO")</f>
        <v>#N/A Field Not Applicable</v>
      </c>
    </row>
    <row r="643" spans="1:20" x14ac:dyDescent="0.25">
      <c r="A643" t="s">
        <v>14</v>
      </c>
      <c r="B643" t="str">
        <f>_xll.BDP("912828JW Govt","TICKER")</f>
        <v>T</v>
      </c>
      <c r="C643">
        <f>_xll.BDP("912828JW Govt","CPN")</f>
        <v>1.5</v>
      </c>
      <c r="D643" t="str">
        <f>_xll.BDP("912828JW Govt","YLD_YTM_BID")</f>
        <v>#N/A N/A</v>
      </c>
      <c r="E643" t="str">
        <f>_xll.BDP("912828JW Govt","MATURITY")</f>
        <v>12/31/2013</v>
      </c>
      <c r="F643" t="str">
        <f>_xll.BDP("912828JW Govt","MTY_TYP")</f>
        <v>NORMAL</v>
      </c>
      <c r="G643" t="str">
        <f>_xll.BDP("912828JW Govt","CRNCY")</f>
        <v>USD</v>
      </c>
      <c r="H643" t="str">
        <f>_xll.BDP("912828JW Govt","COUNTRY_FULL_NAME")</f>
        <v>UNITED STATES</v>
      </c>
      <c r="I643" t="str">
        <f>_xll.BDP("912828JW Govt","FIRST_CPN_DT")</f>
        <v>6/30/2009</v>
      </c>
      <c r="J643" t="str">
        <f>_xll.BDP("912828JW Govt","COUPON_FREQUENCY_DESCRIPTION")</f>
        <v>S/A</v>
      </c>
      <c r="K643" t="str">
        <f>_xll.BDP("912828JW Govt","CPN_TYP")</f>
        <v>FIXED</v>
      </c>
      <c r="L643" t="str">
        <f>_xll.BDP("912828JW Govt","ID_ISIN")</f>
        <v>US912828JW17</v>
      </c>
      <c r="M643">
        <v>30044000000</v>
      </c>
      <c r="N643">
        <v>0</v>
      </c>
      <c r="O643" t="str">
        <f>_xll.BDP("912828JW Govt","ISSUE_DT")</f>
        <v>12/31/2008</v>
      </c>
      <c r="P643" t="str">
        <f>_xll.BDP("912828JW Govt","SECURITY_NAME")</f>
        <v>T 1 1/2 12/31/13</v>
      </c>
      <c r="Q643" t="str">
        <f>_xll.BDP("912828JW Govt","DAY_CNT_DES")</f>
        <v>ACT/ACT</v>
      </c>
      <c r="R643">
        <v>100</v>
      </c>
      <c r="S643" t="str">
        <f>_xll.BDP("912828JW Govt","ID_CUSIP")</f>
        <v>912828JW1</v>
      </c>
      <c r="T643" t="str">
        <f>_xll.BDP("912828JW Govt","IDX_RATIO")</f>
        <v>#N/A Field Not Applicable</v>
      </c>
    </row>
    <row r="644" spans="1:20" x14ac:dyDescent="0.25">
      <c r="A644" t="s">
        <v>14</v>
      </c>
      <c r="B644" t="str">
        <f>_xll.BDP("912828KY Govt","TICKER")</f>
        <v>T</v>
      </c>
      <c r="C644">
        <f>_xll.BDP("912828KY Govt","CPN")</f>
        <v>2.625</v>
      </c>
      <c r="D644" t="str">
        <f>_xll.BDP("912828KY Govt","YLD_YTM_BID")</f>
        <v>#N/A N/A</v>
      </c>
      <c r="E644" t="str">
        <f>_xll.BDP("912828KY Govt","MATURITY")</f>
        <v>6/30/2014</v>
      </c>
      <c r="F644" t="str">
        <f>_xll.BDP("912828KY Govt","MTY_TYP")</f>
        <v>NORMAL</v>
      </c>
      <c r="G644" t="str">
        <f>_xll.BDP("912828KY Govt","CRNCY")</f>
        <v>USD</v>
      </c>
      <c r="H644" t="str">
        <f>_xll.BDP("912828KY Govt","COUNTRY_FULL_NAME")</f>
        <v>UNITED STATES</v>
      </c>
      <c r="I644" t="str">
        <f>_xll.BDP("912828KY Govt","FIRST_CPN_DT")</f>
        <v>12/31/2009</v>
      </c>
      <c r="J644" t="str">
        <f>_xll.BDP("912828KY Govt","COUPON_FREQUENCY_DESCRIPTION")</f>
        <v>S/A</v>
      </c>
      <c r="K644" t="str">
        <f>_xll.BDP("912828KY Govt","CPN_TYP")</f>
        <v>FIXED</v>
      </c>
      <c r="L644" t="str">
        <f>_xll.BDP("912828KY Govt","ID_ISIN")</f>
        <v>US912828KY53</v>
      </c>
      <c r="M644">
        <v>38075000000</v>
      </c>
      <c r="N644">
        <v>0</v>
      </c>
      <c r="O644" t="str">
        <f>_xll.BDP("912828KY Govt","ISSUE_DT")</f>
        <v>6/30/2009</v>
      </c>
      <c r="P644" t="str">
        <f>_xll.BDP("912828KY Govt","SECURITY_NAME")</f>
        <v>T 2 5/8 06/30/14</v>
      </c>
      <c r="Q644" t="str">
        <f>_xll.BDP("912828KY Govt","DAY_CNT_DES")</f>
        <v>ACT/ACT</v>
      </c>
      <c r="R644">
        <v>100</v>
      </c>
      <c r="S644" t="str">
        <f>_xll.BDP("912828KY Govt","ID_CUSIP")</f>
        <v>912828KY5</v>
      </c>
      <c r="T644" t="str">
        <f>_xll.BDP("912828KY Govt","IDX_RATIO")</f>
        <v>#N/A Field Not Applicable</v>
      </c>
    </row>
    <row r="645" spans="1:20" x14ac:dyDescent="0.25">
      <c r="A645" t="s">
        <v>14</v>
      </c>
      <c r="B645" t="str">
        <f>_xll.BDP("912828ND Govt","TICKER")</f>
        <v>T</v>
      </c>
      <c r="C645">
        <f>_xll.BDP("912828ND Govt","CPN")</f>
        <v>3.5</v>
      </c>
      <c r="D645" t="str">
        <f>_xll.BDP("912828ND Govt","YLD_YTM_BID")</f>
        <v>#N/A N/A</v>
      </c>
      <c r="E645" t="str">
        <f>_xll.BDP("912828ND Govt","MATURITY")</f>
        <v>5/15/2020</v>
      </c>
      <c r="F645" t="str">
        <f>_xll.BDP("912828ND Govt","MTY_TYP")</f>
        <v>NORMAL</v>
      </c>
      <c r="G645" t="str">
        <f>_xll.BDP("912828ND Govt","CRNCY")</f>
        <v>USD</v>
      </c>
      <c r="H645" t="str">
        <f>_xll.BDP("912828ND Govt","COUNTRY_FULL_NAME")</f>
        <v>UNITED STATES</v>
      </c>
      <c r="I645" t="str">
        <f>_xll.BDP("912828ND Govt","FIRST_CPN_DT")</f>
        <v>11/15/2010</v>
      </c>
      <c r="J645" t="str">
        <f>_xll.BDP("912828ND Govt","COUPON_FREQUENCY_DESCRIPTION")</f>
        <v>S/A</v>
      </c>
      <c r="K645" t="str">
        <f>_xll.BDP("912828ND Govt","CPN_TYP")</f>
        <v>FIXED</v>
      </c>
      <c r="L645" t="str">
        <f>_xll.BDP("912828ND Govt","ID_ISIN")</f>
        <v>US912828ND89</v>
      </c>
      <c r="M645">
        <v>68219000000</v>
      </c>
      <c r="N645">
        <v>0</v>
      </c>
      <c r="O645" t="str">
        <f>_xll.BDP("912828ND Govt","ISSUE_DT")</f>
        <v>5/17/2010</v>
      </c>
      <c r="P645" t="str">
        <f>_xll.BDP("912828ND Govt","SECURITY_NAME")</f>
        <v>T 3 1/2 05/15/20</v>
      </c>
      <c r="Q645" t="str">
        <f>_xll.BDP("912828ND Govt","DAY_CNT_DES")</f>
        <v>ACT/ACT</v>
      </c>
      <c r="R645">
        <v>100</v>
      </c>
      <c r="S645" t="str">
        <f>_xll.BDP("912828ND Govt","ID_CUSIP")</f>
        <v>912828ND8</v>
      </c>
      <c r="T645" t="str">
        <f>_xll.BDP("912828ND Govt","IDX_RATIO")</f>
        <v>#N/A Field Not Applicable</v>
      </c>
    </row>
    <row r="646" spans="1:20" x14ac:dyDescent="0.25">
      <c r="A646" t="s">
        <v>14</v>
      </c>
      <c r="B646" t="str">
        <f>_xll.BDP("912828QW Govt","TICKER")</f>
        <v>T</v>
      </c>
      <c r="C646">
        <f>_xll.BDP("912828QW Govt","CPN")</f>
        <v>0.375</v>
      </c>
      <c r="D646" t="str">
        <f>_xll.BDP("912828QW Govt","YLD_YTM_BID")</f>
        <v>#N/A N/A</v>
      </c>
      <c r="E646" t="str">
        <f>_xll.BDP("912828QW Govt","MATURITY")</f>
        <v>7/31/2013</v>
      </c>
      <c r="F646" t="str">
        <f>_xll.BDP("912828QW Govt","MTY_TYP")</f>
        <v>NORMAL</v>
      </c>
      <c r="G646" t="str">
        <f>_xll.BDP("912828QW Govt","CRNCY")</f>
        <v>USD</v>
      </c>
      <c r="H646" t="str">
        <f>_xll.BDP("912828QW Govt","COUNTRY_FULL_NAME")</f>
        <v>UNITED STATES</v>
      </c>
      <c r="I646" t="str">
        <f>_xll.BDP("912828QW Govt","FIRST_CPN_DT")</f>
        <v>1/31/2012</v>
      </c>
      <c r="J646" t="str">
        <f>_xll.BDP("912828QW Govt","COUPON_FREQUENCY_DESCRIPTION")</f>
        <v>S/A</v>
      </c>
      <c r="K646" t="str">
        <f>_xll.BDP("912828QW Govt","CPN_TYP")</f>
        <v>FIXED</v>
      </c>
      <c r="L646" t="str">
        <f>_xll.BDP("912828QW Govt","ID_ISIN")</f>
        <v>US912828QW34</v>
      </c>
      <c r="M646">
        <v>36042000000</v>
      </c>
      <c r="N646">
        <v>0</v>
      </c>
      <c r="O646" t="str">
        <f>_xll.BDP("912828QW Govt","ISSUE_DT")</f>
        <v>8/1/2011</v>
      </c>
      <c r="P646" t="str">
        <f>_xll.BDP("912828QW Govt","SECURITY_NAME")</f>
        <v>T 0 3/8 07/31/13</v>
      </c>
      <c r="Q646" t="str">
        <f>_xll.BDP("912828QW Govt","DAY_CNT_DES")</f>
        <v>ACT/ACT</v>
      </c>
      <c r="R646">
        <v>100</v>
      </c>
      <c r="S646" t="str">
        <f>_xll.BDP("912828QW Govt","ID_CUSIP")</f>
        <v>912828QW3</v>
      </c>
      <c r="T646" t="str">
        <f>_xll.BDP("912828QW Govt","IDX_RATIO")</f>
        <v>#N/A Field Not Applicable</v>
      </c>
    </row>
    <row r="647" spans="1:20" x14ac:dyDescent="0.25">
      <c r="A647" t="s">
        <v>14</v>
      </c>
      <c r="B647" t="str">
        <f>_xll.BDP("912828B5 Govt","TICKER")</f>
        <v>T</v>
      </c>
      <c r="C647">
        <f>_xll.BDP("912828B5 Govt","CPN")</f>
        <v>2.125</v>
      </c>
      <c r="D647" t="str">
        <f>_xll.BDP("912828B5 Govt","YLD_YTM_BID")</f>
        <v>#N/A N/A</v>
      </c>
      <c r="E647" t="str">
        <f>_xll.BDP("912828B5 Govt","MATURITY")</f>
        <v>1/31/2021</v>
      </c>
      <c r="F647" t="str">
        <f>_xll.BDP("912828B5 Govt","MTY_TYP")</f>
        <v>NORMAL</v>
      </c>
      <c r="G647" t="str">
        <f>_xll.BDP("912828B5 Govt","CRNCY")</f>
        <v>USD</v>
      </c>
      <c r="H647" t="str">
        <f>_xll.BDP("912828B5 Govt","COUNTRY_FULL_NAME")</f>
        <v>UNITED STATES</v>
      </c>
      <c r="I647" t="str">
        <f>_xll.BDP("912828B5 Govt","FIRST_CPN_DT")</f>
        <v>7/31/2014</v>
      </c>
      <c r="J647" t="str">
        <f>_xll.BDP("912828B5 Govt","COUPON_FREQUENCY_DESCRIPTION")</f>
        <v>S/A</v>
      </c>
      <c r="K647" t="str">
        <f>_xll.BDP("912828B5 Govt","CPN_TYP")</f>
        <v>FIXED</v>
      </c>
      <c r="L647" t="str">
        <f>_xll.BDP("912828B5 Govt","ID_ISIN")</f>
        <v>US912828B584</v>
      </c>
      <c r="M647">
        <v>29000000000</v>
      </c>
      <c r="N647">
        <v>0</v>
      </c>
      <c r="O647" t="str">
        <f>_xll.BDP("912828B5 Govt","ISSUE_DT")</f>
        <v>1/31/2014</v>
      </c>
      <c r="P647" t="str">
        <f>_xll.BDP("912828B5 Govt","SECURITY_NAME")</f>
        <v>T 2 1/8 01/31/21</v>
      </c>
      <c r="Q647" t="str">
        <f>_xll.BDP("912828B5 Govt","DAY_CNT_DES")</f>
        <v>ACT/ACT</v>
      </c>
      <c r="R647">
        <v>100</v>
      </c>
      <c r="S647" t="str">
        <f>_xll.BDP("912828B5 Govt","ID_CUSIP")</f>
        <v>912828B58</v>
      </c>
      <c r="T647" t="str">
        <f>_xll.BDP("912828B5 Govt","IDX_RATIO")</f>
        <v>#N/A Field Not Applicable</v>
      </c>
    </row>
    <row r="648" spans="1:20" x14ac:dyDescent="0.25">
      <c r="A648" t="s">
        <v>14</v>
      </c>
      <c r="B648" t="str">
        <f>_xll.BDP("912828BP Govt","TICKER")</f>
        <v>T</v>
      </c>
      <c r="C648">
        <f>_xll.BDP("912828BP Govt","CPN")</f>
        <v>2.625</v>
      </c>
      <c r="D648" t="str">
        <f>_xll.BDP("912828BP Govt","YLD_YTM_BID")</f>
        <v>#N/A N/A</v>
      </c>
      <c r="E648" t="str">
        <f>_xll.BDP("912828BP Govt","MATURITY")</f>
        <v>11/15/2006</v>
      </c>
      <c r="F648" t="str">
        <f>_xll.BDP("912828BP Govt","MTY_TYP")</f>
        <v>NORMAL</v>
      </c>
      <c r="G648" t="str">
        <f>_xll.BDP("912828BP Govt","CRNCY")</f>
        <v>USD</v>
      </c>
      <c r="H648" t="str">
        <f>_xll.BDP("912828BP Govt","COUNTRY_FULL_NAME")</f>
        <v>UNITED STATES</v>
      </c>
      <c r="I648" t="str">
        <f>_xll.BDP("912828BP Govt","FIRST_CPN_DT")</f>
        <v>5/15/2004</v>
      </c>
      <c r="J648" t="str">
        <f>_xll.BDP("912828BP Govt","COUPON_FREQUENCY_DESCRIPTION")</f>
        <v>S/A</v>
      </c>
      <c r="K648" t="str">
        <f>_xll.BDP("912828BP Govt","CPN_TYP")</f>
        <v>FIXED</v>
      </c>
      <c r="L648" t="str">
        <f>_xll.BDP("912828BP Govt","ID_ISIN")</f>
        <v>US912828BP48</v>
      </c>
      <c r="M648">
        <v>26536000000</v>
      </c>
      <c r="N648">
        <v>0</v>
      </c>
      <c r="O648" t="str">
        <f>_xll.BDP("912828BP Govt","ISSUE_DT")</f>
        <v>11/17/2003</v>
      </c>
      <c r="P648" t="str">
        <f>_xll.BDP("912828BP Govt","SECURITY_NAME")</f>
        <v>T 2 5/8 11/15/06</v>
      </c>
      <c r="Q648" t="str">
        <f>_xll.BDP("912828BP Govt","DAY_CNT_DES")</f>
        <v>ACT/ACT</v>
      </c>
      <c r="R648">
        <v>100</v>
      </c>
      <c r="S648" t="str">
        <f>_xll.BDP("912828BP Govt","ID_CUSIP")</f>
        <v>912828BP4</v>
      </c>
      <c r="T648" t="str">
        <f>_xll.BDP("912828BP Govt","IDX_RATIO")</f>
        <v>#N/A Field Not Applicable</v>
      </c>
    </row>
    <row r="649" spans="1:20" x14ac:dyDescent="0.25">
      <c r="A649" t="s">
        <v>14</v>
      </c>
      <c r="B649" t="str">
        <f>_xll.BDP("912828EN Govt","TICKER")</f>
        <v>T</v>
      </c>
      <c r="C649">
        <f>_xll.BDP("912828EN Govt","CPN")</f>
        <v>4.5</v>
      </c>
      <c r="D649" t="str">
        <f>_xll.BDP("912828EN Govt","YLD_YTM_BID")</f>
        <v>#N/A N/A</v>
      </c>
      <c r="E649" t="str">
        <f>_xll.BDP("912828EN Govt","MATURITY")</f>
        <v>11/15/2015</v>
      </c>
      <c r="F649" t="str">
        <f>_xll.BDP("912828EN Govt","MTY_TYP")</f>
        <v>NORMAL</v>
      </c>
      <c r="G649" t="str">
        <f>_xll.BDP("912828EN Govt","CRNCY")</f>
        <v>USD</v>
      </c>
      <c r="H649" t="str">
        <f>_xll.BDP("912828EN Govt","COUNTRY_FULL_NAME")</f>
        <v>UNITED STATES</v>
      </c>
      <c r="I649" t="str">
        <f>_xll.BDP("912828EN Govt","FIRST_CPN_DT")</f>
        <v>5/15/2006</v>
      </c>
      <c r="J649" t="str">
        <f>_xll.BDP("912828EN Govt","COUPON_FREQUENCY_DESCRIPTION")</f>
        <v>S/A</v>
      </c>
      <c r="K649" t="str">
        <f>_xll.BDP("912828EN Govt","CPN_TYP")</f>
        <v>FIXED</v>
      </c>
      <c r="L649" t="str">
        <f>_xll.BDP("912828EN Govt","ID_ISIN")</f>
        <v>US912828EN62</v>
      </c>
      <c r="M649">
        <v>23221000000</v>
      </c>
      <c r="N649">
        <v>0</v>
      </c>
      <c r="O649" t="str">
        <f>_xll.BDP("912828EN Govt","ISSUE_DT")</f>
        <v>11/15/2005</v>
      </c>
      <c r="P649" t="str">
        <f>_xll.BDP("912828EN Govt","SECURITY_NAME")</f>
        <v>T 4 1/2 11/15/15</v>
      </c>
      <c r="Q649" t="str">
        <f>_xll.BDP("912828EN Govt","DAY_CNT_DES")</f>
        <v>ACT/ACT</v>
      </c>
      <c r="R649">
        <v>100</v>
      </c>
      <c r="S649" t="str">
        <f>_xll.BDP("912828EN Govt","ID_CUSIP")</f>
        <v>912828EN6</v>
      </c>
      <c r="T649" t="str">
        <f>_xll.BDP("912828EN Govt","IDX_RATIO")</f>
        <v>#N/A Field Not Applicable</v>
      </c>
    </row>
    <row r="650" spans="1:20" x14ac:dyDescent="0.25">
      <c r="A650" t="s">
        <v>14</v>
      </c>
      <c r="B650" t="str">
        <f>_xll.BDP("912828FD Govt","TICKER")</f>
        <v>T</v>
      </c>
      <c r="C650">
        <f>_xll.BDP("912828FD Govt","CPN")</f>
        <v>4.875</v>
      </c>
      <c r="D650" t="str">
        <f>_xll.BDP("912828FD Govt","YLD_YTM_BID")</f>
        <v>#N/A N/A</v>
      </c>
      <c r="E650" t="str">
        <f>_xll.BDP("912828FD Govt","MATURITY")</f>
        <v>4/30/2011</v>
      </c>
      <c r="F650" t="str">
        <f>_xll.BDP("912828FD Govt","MTY_TYP")</f>
        <v>NORMAL</v>
      </c>
      <c r="G650" t="str">
        <f>_xll.BDP("912828FD Govt","CRNCY")</f>
        <v>USD</v>
      </c>
      <c r="H650" t="str">
        <f>_xll.BDP("912828FD Govt","COUNTRY_FULL_NAME")</f>
        <v>UNITED STATES</v>
      </c>
      <c r="I650" t="str">
        <f>_xll.BDP("912828FD Govt","FIRST_CPN_DT")</f>
        <v>10/31/2006</v>
      </c>
      <c r="J650" t="str">
        <f>_xll.BDP("912828FD Govt","COUPON_FREQUENCY_DESCRIPTION")</f>
        <v>S/A</v>
      </c>
      <c r="K650" t="str">
        <f>_xll.BDP("912828FD Govt","CPN_TYP")</f>
        <v>FIXED</v>
      </c>
      <c r="L650" t="str">
        <f>_xll.BDP("912828FD Govt","ID_ISIN")</f>
        <v>US912828FD71</v>
      </c>
      <c r="M650">
        <v>17501000000</v>
      </c>
      <c r="N650">
        <v>0</v>
      </c>
      <c r="O650" t="str">
        <f>_xll.BDP("912828FD Govt","ISSUE_DT")</f>
        <v>5/1/2006</v>
      </c>
      <c r="P650" t="str">
        <f>_xll.BDP("912828FD Govt","SECURITY_NAME")</f>
        <v>T 4 7/8 04/30/11</v>
      </c>
      <c r="Q650" t="str">
        <f>_xll.BDP("912828FD Govt","DAY_CNT_DES")</f>
        <v>ACT/ACT</v>
      </c>
      <c r="R650">
        <v>100</v>
      </c>
      <c r="S650" t="str">
        <f>_xll.BDP("912828FD Govt","ID_CUSIP")</f>
        <v>912828FD7</v>
      </c>
      <c r="T650" t="str">
        <f>_xll.BDP("912828FD Govt","IDX_RATIO")</f>
        <v>#N/A Field Not Applicable</v>
      </c>
    </row>
    <row r="651" spans="1:20" x14ac:dyDescent="0.25">
      <c r="A651" t="s">
        <v>14</v>
      </c>
      <c r="B651" t="str">
        <f>_xll.BDP("912828HV Govt","TICKER")</f>
        <v>T</v>
      </c>
      <c r="C651">
        <f>_xll.BDP("912828HV Govt","CPN")</f>
        <v>2.5</v>
      </c>
      <c r="D651" t="str">
        <f>_xll.BDP("912828HV Govt","YLD_YTM_BID")</f>
        <v>#N/A N/A</v>
      </c>
      <c r="E651" t="str">
        <f>_xll.BDP("912828HV Govt","MATURITY")</f>
        <v>3/31/2013</v>
      </c>
      <c r="F651" t="str">
        <f>_xll.BDP("912828HV Govt","MTY_TYP")</f>
        <v>NORMAL</v>
      </c>
      <c r="G651" t="str">
        <f>_xll.BDP("912828HV Govt","CRNCY")</f>
        <v>USD</v>
      </c>
      <c r="H651" t="str">
        <f>_xll.BDP("912828HV Govt","COUNTRY_FULL_NAME")</f>
        <v>UNITED STATES</v>
      </c>
      <c r="I651" t="str">
        <f>_xll.BDP("912828HV Govt","FIRST_CPN_DT")</f>
        <v>9/30/2008</v>
      </c>
      <c r="J651" t="str">
        <f>_xll.BDP("912828HV Govt","COUPON_FREQUENCY_DESCRIPTION")</f>
        <v>S/A</v>
      </c>
      <c r="K651" t="str">
        <f>_xll.BDP("912828HV Govt","CPN_TYP")</f>
        <v>FIXED</v>
      </c>
      <c r="L651" t="str">
        <f>_xll.BDP("912828HV Govt","ID_ISIN")</f>
        <v>US912828HV51</v>
      </c>
      <c r="M651">
        <v>20571000000</v>
      </c>
      <c r="N651">
        <v>0</v>
      </c>
      <c r="O651" t="str">
        <f>_xll.BDP("912828HV Govt","ISSUE_DT")</f>
        <v>3/31/2008</v>
      </c>
      <c r="P651" t="str">
        <f>_xll.BDP("912828HV Govt","SECURITY_NAME")</f>
        <v>T 2 1/2 03/31/13</v>
      </c>
      <c r="Q651" t="str">
        <f>_xll.BDP("912828HV Govt","DAY_CNT_DES")</f>
        <v>ACT/ACT</v>
      </c>
      <c r="R651">
        <v>100</v>
      </c>
      <c r="S651" t="str">
        <f>_xll.BDP("912828HV Govt","ID_CUSIP")</f>
        <v>912828HV5</v>
      </c>
      <c r="T651" t="str">
        <f>_xll.BDP("912828HV Govt","IDX_RATIO")</f>
        <v>#N/A Field Not Applicable</v>
      </c>
    </row>
    <row r="652" spans="1:20" x14ac:dyDescent="0.25">
      <c r="A652" t="s">
        <v>14</v>
      </c>
      <c r="B652" t="str">
        <f>_xll.BDP("912828PV Govt","TICKER")</f>
        <v>T</v>
      </c>
      <c r="C652">
        <f>_xll.BDP("912828PV Govt","CPN")</f>
        <v>0.5</v>
      </c>
      <c r="D652" t="str">
        <f>_xll.BDP("912828PV Govt","YLD_YTM_BID")</f>
        <v>#N/A N/A</v>
      </c>
      <c r="E652" t="str">
        <f>_xll.BDP("912828PV Govt","MATURITY")</f>
        <v>11/30/2012</v>
      </c>
      <c r="F652" t="str">
        <f>_xll.BDP("912828PV Govt","MTY_TYP")</f>
        <v>NORMAL</v>
      </c>
      <c r="G652" t="str">
        <f>_xll.BDP("912828PV Govt","CRNCY")</f>
        <v>USD</v>
      </c>
      <c r="H652" t="str">
        <f>_xll.BDP("912828PV Govt","COUNTRY_FULL_NAME")</f>
        <v>UNITED STATES</v>
      </c>
      <c r="I652" t="str">
        <f>_xll.BDP("912828PV Govt","FIRST_CPN_DT")</f>
        <v>5/31/2011</v>
      </c>
      <c r="J652" t="str">
        <f>_xll.BDP("912828PV Govt","COUPON_FREQUENCY_DESCRIPTION")</f>
        <v>S/A</v>
      </c>
      <c r="K652" t="str">
        <f>_xll.BDP("912828PV Govt","CPN_TYP")</f>
        <v>FIXED</v>
      </c>
      <c r="L652" t="str">
        <f>_xll.BDP("912828PV Govt","ID_ISIN")</f>
        <v>US912828PV69</v>
      </c>
      <c r="M652">
        <v>36383000000</v>
      </c>
      <c r="N652">
        <v>0</v>
      </c>
      <c r="O652" t="str">
        <f>_xll.BDP("912828PV Govt","ISSUE_DT")</f>
        <v>11/30/2010</v>
      </c>
      <c r="P652" t="str">
        <f>_xll.BDP("912828PV Govt","SECURITY_NAME")</f>
        <v>T 0 1/2 11/30/12</v>
      </c>
      <c r="Q652" t="str">
        <f>_xll.BDP("912828PV Govt","DAY_CNT_DES")</f>
        <v>ACT/ACT</v>
      </c>
      <c r="R652">
        <v>100</v>
      </c>
      <c r="S652" t="str">
        <f>_xll.BDP("912828PV Govt","ID_CUSIP")</f>
        <v>912828PV6</v>
      </c>
      <c r="T652" t="str">
        <f>_xll.BDP("912828PV Govt","IDX_RATIO")</f>
        <v>#N/A Field Not Applicable</v>
      </c>
    </row>
    <row r="653" spans="1:20" x14ac:dyDescent="0.25">
      <c r="A653" t="s">
        <v>14</v>
      </c>
      <c r="B653" t="str">
        <f>_xll.BDP("912828SW Govt","TICKER")</f>
        <v>T</v>
      </c>
      <c r="C653">
        <f>_xll.BDP("912828SW Govt","CPN")</f>
        <v>0.25</v>
      </c>
      <c r="D653" t="str">
        <f>_xll.BDP("912828SW Govt","YLD_YTM_BID")</f>
        <v>#N/A N/A</v>
      </c>
      <c r="E653" t="str">
        <f>_xll.BDP("912828SW Govt","MATURITY")</f>
        <v>5/31/2014</v>
      </c>
      <c r="F653" t="str">
        <f>_xll.BDP("912828SW Govt","MTY_TYP")</f>
        <v>NORMAL</v>
      </c>
      <c r="G653" t="str">
        <f>_xll.BDP("912828SW Govt","CRNCY")</f>
        <v>USD</v>
      </c>
      <c r="H653" t="str">
        <f>_xll.BDP("912828SW Govt","COUNTRY_FULL_NAME")</f>
        <v>UNITED STATES</v>
      </c>
      <c r="I653" t="str">
        <f>_xll.BDP("912828SW Govt","FIRST_CPN_DT")</f>
        <v>11/30/2012</v>
      </c>
      <c r="J653" t="str">
        <f>_xll.BDP("912828SW Govt","COUPON_FREQUENCY_DESCRIPTION")</f>
        <v>S/A</v>
      </c>
      <c r="K653" t="str">
        <f>_xll.BDP("912828SW Govt","CPN_TYP")</f>
        <v>FIXED</v>
      </c>
      <c r="L653" t="str">
        <f>_xll.BDP("912828SW Govt","ID_ISIN")</f>
        <v>US912828SW16</v>
      </c>
      <c r="M653">
        <v>35000000000</v>
      </c>
      <c r="N653">
        <v>0</v>
      </c>
      <c r="O653" t="str">
        <f>_xll.BDP("912828SW Govt","ISSUE_DT")</f>
        <v>5/31/2012</v>
      </c>
      <c r="P653" t="str">
        <f>_xll.BDP("912828SW Govt","SECURITY_NAME")</f>
        <v>T 0 1/4 05/31/14</v>
      </c>
      <c r="Q653" t="str">
        <f>_xll.BDP("912828SW Govt","DAY_CNT_DES")</f>
        <v>ACT/ACT</v>
      </c>
      <c r="R653">
        <v>100</v>
      </c>
      <c r="S653" t="str">
        <f>_xll.BDP("912828SW Govt","ID_CUSIP")</f>
        <v>912828SW1</v>
      </c>
      <c r="T653" t="str">
        <f>_xll.BDP("912828SW Govt","IDX_RATIO")</f>
        <v>#N/A Field Not Applicable</v>
      </c>
    </row>
    <row r="654" spans="1:20" x14ac:dyDescent="0.25">
      <c r="A654" t="s">
        <v>14</v>
      </c>
      <c r="B654" t="str">
        <f>_xll.BDP("912828TG Govt","TICKER")</f>
        <v>T</v>
      </c>
      <c r="C654">
        <f>_xll.BDP("912828TG Govt","CPN")</f>
        <v>0.5</v>
      </c>
      <c r="D654" t="str">
        <f>_xll.BDP("912828TG Govt","YLD_YTM_BID")</f>
        <v>#N/A N/A</v>
      </c>
      <c r="E654" t="str">
        <f>_xll.BDP("912828TG Govt","MATURITY")</f>
        <v>7/31/2017</v>
      </c>
      <c r="F654" t="str">
        <f>_xll.BDP("912828TG Govt","MTY_TYP")</f>
        <v>NORMAL</v>
      </c>
      <c r="G654" t="str">
        <f>_xll.BDP("912828TG Govt","CRNCY")</f>
        <v>USD</v>
      </c>
      <c r="H654" t="str">
        <f>_xll.BDP("912828TG Govt","COUNTRY_FULL_NAME")</f>
        <v>UNITED STATES</v>
      </c>
      <c r="I654" t="str">
        <f>_xll.BDP("912828TG Govt","FIRST_CPN_DT")</f>
        <v>1/31/2013</v>
      </c>
      <c r="J654" t="str">
        <f>_xll.BDP("912828TG Govt","COUPON_FREQUENCY_DESCRIPTION")</f>
        <v>S/A</v>
      </c>
      <c r="K654" t="str">
        <f>_xll.BDP("912828TG Govt","CPN_TYP")</f>
        <v>FIXED</v>
      </c>
      <c r="L654" t="str">
        <f>_xll.BDP("912828TG Govt","ID_ISIN")</f>
        <v>US912828TG56</v>
      </c>
      <c r="M654">
        <v>35000000000</v>
      </c>
      <c r="N654">
        <v>0</v>
      </c>
      <c r="O654" t="str">
        <f>_xll.BDP("912828TG Govt","ISSUE_DT")</f>
        <v>7/31/2012</v>
      </c>
      <c r="P654" t="str">
        <f>_xll.BDP("912828TG Govt","SECURITY_NAME")</f>
        <v>T 0 1/2 07/31/17</v>
      </c>
      <c r="Q654" t="str">
        <f>_xll.BDP("912828TG Govt","DAY_CNT_DES")</f>
        <v>ACT/ACT</v>
      </c>
      <c r="R654">
        <v>100</v>
      </c>
      <c r="S654" t="str">
        <f>_xll.BDP("912828TG Govt","ID_CUSIP")</f>
        <v>912828TG5</v>
      </c>
      <c r="T654" t="str">
        <f>_xll.BDP("912828TG Govt","IDX_RATIO")</f>
        <v>#N/A Field Not Applicable</v>
      </c>
    </row>
    <row r="655" spans="1:20" x14ac:dyDescent="0.25">
      <c r="A655" t="s">
        <v>14</v>
      </c>
      <c r="B655" t="str">
        <f>_xll.BDP("912828V5 Govt","TICKER")</f>
        <v>T</v>
      </c>
      <c r="C655">
        <f>_xll.BDP("912828V5 Govt","CPN")</f>
        <v>1.125</v>
      </c>
      <c r="D655" t="str">
        <f>_xll.BDP("912828V5 Govt","YLD_YTM_BID")</f>
        <v>#N/A N/A</v>
      </c>
      <c r="E655" t="str">
        <f>_xll.BDP("912828V5 Govt","MATURITY")</f>
        <v>1/31/2019</v>
      </c>
      <c r="F655" t="str">
        <f>_xll.BDP("912828V5 Govt","MTY_TYP")</f>
        <v>NORMAL</v>
      </c>
      <c r="G655" t="str">
        <f>_xll.BDP("912828V5 Govt","CRNCY")</f>
        <v>USD</v>
      </c>
      <c r="H655" t="str">
        <f>_xll.BDP("912828V5 Govt","COUNTRY_FULL_NAME")</f>
        <v>UNITED STATES</v>
      </c>
      <c r="I655" t="str">
        <f>_xll.BDP("912828V5 Govt","FIRST_CPN_DT")</f>
        <v>7/31/2017</v>
      </c>
      <c r="J655" t="str">
        <f>_xll.BDP("912828V5 Govt","COUPON_FREQUENCY_DESCRIPTION")</f>
        <v>S/A</v>
      </c>
      <c r="K655" t="str">
        <f>_xll.BDP("912828V5 Govt","CPN_TYP")</f>
        <v>FIXED</v>
      </c>
      <c r="L655" t="str">
        <f>_xll.BDP("912828V5 Govt","ID_ISIN")</f>
        <v>US912828V566</v>
      </c>
      <c r="M655">
        <v>27651000000</v>
      </c>
      <c r="N655">
        <v>0</v>
      </c>
      <c r="O655" t="str">
        <f>_xll.BDP("912828V5 Govt","ISSUE_DT")</f>
        <v>1/31/2017</v>
      </c>
      <c r="P655" t="str">
        <f>_xll.BDP("912828V5 Govt","SECURITY_NAME")</f>
        <v>T 1 1/8 01/31/19</v>
      </c>
      <c r="Q655" t="str">
        <f>_xll.BDP("912828V5 Govt","DAY_CNT_DES")</f>
        <v>ACT/ACT</v>
      </c>
      <c r="R655">
        <v>100</v>
      </c>
      <c r="S655" t="str">
        <f>_xll.BDP("912828V5 Govt","ID_CUSIP")</f>
        <v>912828V56</v>
      </c>
      <c r="T655" t="str">
        <f>_xll.BDP("912828V5 Govt","IDX_RATIO")</f>
        <v>#N/A Field Not Applicable</v>
      </c>
    </row>
    <row r="656" spans="1:20" x14ac:dyDescent="0.25">
      <c r="A656" t="s">
        <v>14</v>
      </c>
      <c r="B656" t="str">
        <f>_xll.BDP("912827LF Govt","TICKER")</f>
        <v>T</v>
      </c>
      <c r="C656">
        <f>_xll.BDP("912827LF Govt","CPN")</f>
        <v>13</v>
      </c>
      <c r="D656" t="str">
        <f>_xll.BDP("912827LF Govt","YLD_YTM_BID")</f>
        <v>#N/A N/A</v>
      </c>
      <c r="E656" t="str">
        <f>_xll.BDP("912827LF Govt","MATURITY")</f>
        <v>11/15/1990</v>
      </c>
      <c r="F656" t="str">
        <f>_xll.BDP("912827LF Govt","MTY_TYP")</f>
        <v>NORMAL</v>
      </c>
      <c r="G656" t="str">
        <f>_xll.BDP("912827LF Govt","CRNCY")</f>
        <v>USD</v>
      </c>
      <c r="H656" t="str">
        <f>_xll.BDP("912827LF Govt","COUNTRY_FULL_NAME")</f>
        <v>UNITED STATES</v>
      </c>
      <c r="I656" t="str">
        <f>_xll.BDP("912827LF Govt","FIRST_CPN_DT")</f>
        <v>5/15/1981</v>
      </c>
      <c r="J656" t="str">
        <f>_xll.BDP("912827LF Govt","COUPON_FREQUENCY_DESCRIPTION")</f>
        <v>S/A</v>
      </c>
      <c r="K656" t="str">
        <f>_xll.BDP("912827LF Govt","CPN_TYP")</f>
        <v>FIXED</v>
      </c>
      <c r="L656" t="str">
        <f>_xll.BDP("912827LF Govt","ID_ISIN")</f>
        <v>US912827LF72</v>
      </c>
      <c r="N656">
        <v>0</v>
      </c>
      <c r="O656" t="str">
        <f>_xll.BDP("912827LF Govt","ISSUE_DT")</f>
        <v>11/17/1980</v>
      </c>
      <c r="P656" t="str">
        <f>_xll.BDP("912827LF Govt","SECURITY_NAME")</f>
        <v>T 13 11/15/90</v>
      </c>
      <c r="Q656" t="str">
        <f>_xll.BDP("912827LF Govt","DAY_CNT_DES")</f>
        <v>ACT/ACT</v>
      </c>
      <c r="R656">
        <v>100</v>
      </c>
      <c r="S656" t="str">
        <f>_xll.BDP("912827LF Govt","ID_CUSIP")</f>
        <v>912827LF7</v>
      </c>
      <c r="T656" t="str">
        <f>_xll.BDP("912827LF Govt","IDX_RATIO")</f>
        <v>#N/A Field Not Applicable</v>
      </c>
    </row>
    <row r="657" spans="1:20" x14ac:dyDescent="0.25">
      <c r="A657" t="s">
        <v>14</v>
      </c>
      <c r="B657" t="str">
        <f>_xll.BDP("912828AN Govt","TICKER")</f>
        <v>T</v>
      </c>
      <c r="C657">
        <f>_xll.BDP("912828AN Govt","CPN")</f>
        <v>3</v>
      </c>
      <c r="D657" t="str">
        <f>_xll.BDP("912828AN Govt","YLD_YTM_BID")</f>
        <v>#N/A N/A</v>
      </c>
      <c r="E657" t="str">
        <f>_xll.BDP("912828AN Govt","MATURITY")</f>
        <v>11/15/2007</v>
      </c>
      <c r="F657" t="str">
        <f>_xll.BDP("912828AN Govt","MTY_TYP")</f>
        <v>NORMAL</v>
      </c>
      <c r="G657" t="str">
        <f>_xll.BDP("912828AN Govt","CRNCY")</f>
        <v>USD</v>
      </c>
      <c r="H657" t="str">
        <f>_xll.BDP("912828AN Govt","COUNTRY_FULL_NAME")</f>
        <v>UNITED STATES</v>
      </c>
      <c r="I657" t="str">
        <f>_xll.BDP("912828AN Govt","FIRST_CPN_DT")</f>
        <v>5/15/2003</v>
      </c>
      <c r="J657" t="str">
        <f>_xll.BDP("912828AN Govt","COUPON_FREQUENCY_DESCRIPTION")</f>
        <v>S/A</v>
      </c>
      <c r="K657" t="str">
        <f>_xll.BDP("912828AN Govt","CPN_TYP")</f>
        <v>FIXED</v>
      </c>
      <c r="L657" t="str">
        <f>_xll.BDP("912828AN Govt","ID_ISIN")</f>
        <v>US912828AN09</v>
      </c>
      <c r="M657">
        <v>50620000000</v>
      </c>
      <c r="N657">
        <v>0</v>
      </c>
      <c r="O657" t="str">
        <f>_xll.BDP("912828AN Govt","ISSUE_DT")</f>
        <v>11/15/2002</v>
      </c>
      <c r="P657" t="str">
        <f>_xll.BDP("912828AN Govt","SECURITY_NAME")</f>
        <v>T 3 11/15/07</v>
      </c>
      <c r="Q657" t="str">
        <f>_xll.BDP("912828AN Govt","DAY_CNT_DES")</f>
        <v>ACT/ACT</v>
      </c>
      <c r="R657">
        <v>100</v>
      </c>
      <c r="S657" t="str">
        <f>_xll.BDP("912828AN Govt","ID_CUSIP")</f>
        <v>912828AN0</v>
      </c>
      <c r="T657" t="str">
        <f>_xll.BDP("912828AN Govt","IDX_RATIO")</f>
        <v>#N/A Field Not Applicable</v>
      </c>
    </row>
    <row r="658" spans="1:20" x14ac:dyDescent="0.25">
      <c r="A658" t="s">
        <v>14</v>
      </c>
      <c r="B658" t="str">
        <f>_xll.BDP("912828AR Govt","TICKER")</f>
        <v>T</v>
      </c>
      <c r="C658">
        <f>_xll.BDP("912828AR Govt","CPN")</f>
        <v>1.75</v>
      </c>
      <c r="D658" t="str">
        <f>_xll.BDP("912828AR Govt","YLD_YTM_BID")</f>
        <v>#N/A N/A</v>
      </c>
      <c r="E658" t="str">
        <f>_xll.BDP("912828AR Govt","MATURITY")</f>
        <v>12/31/2004</v>
      </c>
      <c r="F658" t="str">
        <f>_xll.BDP("912828AR Govt","MTY_TYP")</f>
        <v>NORMAL</v>
      </c>
      <c r="G658" t="str">
        <f>_xll.BDP("912828AR Govt","CRNCY")</f>
        <v>USD</v>
      </c>
      <c r="H658" t="str">
        <f>_xll.BDP("912828AR Govt","COUNTRY_FULL_NAME")</f>
        <v>UNITED STATES</v>
      </c>
      <c r="I658" t="str">
        <f>_xll.BDP("912828AR Govt","FIRST_CPN_DT")</f>
        <v>6/30/2003</v>
      </c>
      <c r="J658" t="str">
        <f>_xll.BDP("912828AR Govt","COUPON_FREQUENCY_DESCRIPTION")</f>
        <v>S/A</v>
      </c>
      <c r="K658" t="str">
        <f>_xll.BDP("912828AR Govt","CPN_TYP")</f>
        <v>FIXED</v>
      </c>
      <c r="L658" t="str">
        <f>_xll.BDP("912828AR Govt","ID_ISIN")</f>
        <v>US912828AR13</v>
      </c>
      <c r="M658">
        <v>33203000000</v>
      </c>
      <c r="N658">
        <v>0</v>
      </c>
      <c r="O658" t="str">
        <f>_xll.BDP("912828AR Govt","ISSUE_DT")</f>
        <v>12/31/2002</v>
      </c>
      <c r="P658" t="str">
        <f>_xll.BDP("912828AR Govt","SECURITY_NAME")</f>
        <v>T 1 3/4 12/31/04</v>
      </c>
      <c r="Q658" t="str">
        <f>_xll.BDP("912828AR Govt","DAY_CNT_DES")</f>
        <v>ACT/ACT</v>
      </c>
      <c r="R658">
        <v>100</v>
      </c>
      <c r="S658" t="str">
        <f>_xll.BDP("912828AR Govt","ID_CUSIP")</f>
        <v>912828AR1</v>
      </c>
      <c r="T658" t="str">
        <f>_xll.BDP("912828AR Govt","IDX_RATIO")</f>
        <v>#N/A Field Not Applicable</v>
      </c>
    </row>
    <row r="659" spans="1:20" x14ac:dyDescent="0.25">
      <c r="A659" t="s">
        <v>14</v>
      </c>
      <c r="B659" t="str">
        <f>_xll.BDP("912828CX Govt","TICKER")</f>
        <v>T</v>
      </c>
      <c r="C659">
        <f>_xll.BDP("912828CX Govt","CPN")</f>
        <v>3.375</v>
      </c>
      <c r="D659" t="str">
        <f>_xll.BDP("912828CX Govt","YLD_YTM_BID")</f>
        <v>#N/A N/A</v>
      </c>
      <c r="E659" t="str">
        <f>_xll.BDP("912828CX Govt","MATURITY")</f>
        <v>10/15/2009</v>
      </c>
      <c r="F659" t="str">
        <f>_xll.BDP("912828CX Govt","MTY_TYP")</f>
        <v>NORMAL</v>
      </c>
      <c r="G659" t="str">
        <f>_xll.BDP("912828CX Govt","CRNCY")</f>
        <v>USD</v>
      </c>
      <c r="H659" t="str">
        <f>_xll.BDP("912828CX Govt","COUNTRY_FULL_NAME")</f>
        <v>UNITED STATES</v>
      </c>
      <c r="I659" t="str">
        <f>_xll.BDP("912828CX Govt","FIRST_CPN_DT")</f>
        <v>4/15/2005</v>
      </c>
      <c r="J659" t="str">
        <f>_xll.BDP("912828CX Govt","COUPON_FREQUENCY_DESCRIPTION")</f>
        <v>S/A</v>
      </c>
      <c r="K659" t="str">
        <f>_xll.BDP("912828CX Govt","CPN_TYP")</f>
        <v>FIXED</v>
      </c>
      <c r="L659" t="str">
        <f>_xll.BDP("912828CX Govt","ID_ISIN")</f>
        <v>US912828CX62</v>
      </c>
      <c r="M659">
        <v>15005000000</v>
      </c>
      <c r="N659">
        <v>0</v>
      </c>
      <c r="O659" t="str">
        <f>_xll.BDP("912828CX Govt","ISSUE_DT")</f>
        <v>10/15/2004</v>
      </c>
      <c r="P659" t="str">
        <f>_xll.BDP("912828CX Govt","SECURITY_NAME")</f>
        <v>T 3 3/8 10/15/09</v>
      </c>
      <c r="Q659" t="str">
        <f>_xll.BDP("912828CX Govt","DAY_CNT_DES")</f>
        <v>ACT/ACT</v>
      </c>
      <c r="R659">
        <v>100</v>
      </c>
      <c r="S659" t="str">
        <f>_xll.BDP("912828CX Govt","ID_CUSIP")</f>
        <v>912828CX6</v>
      </c>
      <c r="T659" t="str">
        <f>_xll.BDP("912828CX Govt","IDX_RATIO")</f>
        <v>#N/A Field Not Applicable</v>
      </c>
    </row>
    <row r="660" spans="1:20" x14ac:dyDescent="0.25">
      <c r="A660" t="s">
        <v>14</v>
      </c>
      <c r="B660" t="str">
        <f>_xll.BDP("912810CS Govt","TICKER")</f>
        <v>T</v>
      </c>
      <c r="C660">
        <f>_xll.BDP("912810CS Govt","CPN")</f>
        <v>12.75</v>
      </c>
      <c r="D660" t="str">
        <f>_xll.BDP("912810CS Govt","YLD_YTM_BID")</f>
        <v>#N/A N/A</v>
      </c>
      <c r="E660" t="str">
        <f>_xll.BDP("912810CS Govt","MATURITY")</f>
        <v>11/15/2010</v>
      </c>
      <c r="F660" t="str">
        <f>_xll.BDP("912810CS Govt","MTY_TYP")</f>
        <v>CALLABLE</v>
      </c>
      <c r="G660" t="str">
        <f>_xll.BDP("912810CS Govt","CRNCY")</f>
        <v>USD</v>
      </c>
      <c r="H660" t="str">
        <f>_xll.BDP("912810CS Govt","COUNTRY_FULL_NAME")</f>
        <v>UNITED STATES</v>
      </c>
      <c r="I660" t="str">
        <f>_xll.BDP("912810CS Govt","FIRST_CPN_DT")</f>
        <v>5/15/1981</v>
      </c>
      <c r="J660" t="str">
        <f>_xll.BDP("912810CS Govt","COUPON_FREQUENCY_DESCRIPTION")</f>
        <v>S/A</v>
      </c>
      <c r="K660" t="str">
        <f>_xll.BDP("912810CS Govt","CPN_TYP")</f>
        <v>FIXED</v>
      </c>
      <c r="L660" t="str">
        <f>_xll.BDP("912810CS Govt","ID_ISIN")</f>
        <v>US912810CS51</v>
      </c>
      <c r="M660">
        <v>4081000000</v>
      </c>
      <c r="N660">
        <v>0</v>
      </c>
      <c r="O660" t="str">
        <f>_xll.BDP("912810CS Govt","ISSUE_DT")</f>
        <v>11/17/1980</v>
      </c>
      <c r="P660" t="str">
        <f>_xll.BDP("912810CS Govt","SECURITY_NAME")</f>
        <v>T 12 3/4 11/15/10</v>
      </c>
      <c r="Q660" t="str">
        <f>_xll.BDP("912810CS Govt","DAY_CNT_DES")</f>
        <v>ACT/ACT</v>
      </c>
      <c r="R660">
        <v>100</v>
      </c>
      <c r="S660" t="str">
        <f>_xll.BDP("912810CS Govt","ID_CUSIP")</f>
        <v>912810CS5</v>
      </c>
      <c r="T660" t="str">
        <f>_xll.BDP("912810CS Govt","IDX_RATIO")</f>
        <v>#N/A Field Not Applicable</v>
      </c>
    </row>
    <row r="661" spans="1:20" x14ac:dyDescent="0.25">
      <c r="A661" t="s">
        <v>14</v>
      </c>
      <c r="B661" t="str">
        <f>_xll.BDP("912810CX Govt","TICKER")</f>
        <v>T</v>
      </c>
      <c r="C661">
        <f>_xll.BDP("912810CX Govt","CPN")</f>
        <v>15.75</v>
      </c>
      <c r="D661" t="str">
        <f>_xll.BDP("912810CX Govt","YLD_YTM_BID")</f>
        <v>#N/A N/A</v>
      </c>
      <c r="E661" t="str">
        <f>_xll.BDP("912810CX Govt","MATURITY")</f>
        <v>11/15/2001</v>
      </c>
      <c r="F661" t="str">
        <f>_xll.BDP("912810CX Govt","MTY_TYP")</f>
        <v>NORMAL</v>
      </c>
      <c r="G661" t="str">
        <f>_xll.BDP("912810CX Govt","CRNCY")</f>
        <v>USD</v>
      </c>
      <c r="H661" t="str">
        <f>_xll.BDP("912810CX Govt","COUNTRY_FULL_NAME")</f>
        <v>UNITED STATES</v>
      </c>
      <c r="I661" t="str">
        <f>_xll.BDP("912810CX Govt","FIRST_CPN_DT")</f>
        <v>5/15/1982</v>
      </c>
      <c r="J661" t="str">
        <f>_xll.BDP("912810CX Govt","COUPON_FREQUENCY_DESCRIPTION")</f>
        <v>S/A</v>
      </c>
      <c r="K661" t="str">
        <f>_xll.BDP("912810CX Govt","CPN_TYP")</f>
        <v>FIXED</v>
      </c>
      <c r="L661" t="str">
        <f>_xll.BDP("912810CX Govt","ID_ISIN")</f>
        <v>US912810CX47</v>
      </c>
      <c r="M661">
        <v>1753000000</v>
      </c>
      <c r="N661">
        <v>0</v>
      </c>
      <c r="O661" t="str">
        <f>_xll.BDP("912810CX Govt","ISSUE_DT")</f>
        <v>10/7/1981</v>
      </c>
      <c r="P661" t="str">
        <f>_xll.BDP("912810CX Govt","SECURITY_NAME")</f>
        <v>T 15 3/4 11/15/01</v>
      </c>
      <c r="Q661" t="str">
        <f>_xll.BDP("912810CX Govt","DAY_CNT_DES")</f>
        <v>ACT/ACT</v>
      </c>
      <c r="R661">
        <v>100</v>
      </c>
      <c r="S661" t="str">
        <f>_xll.BDP("912810CX Govt","ID_CUSIP")</f>
        <v>912810CX4</v>
      </c>
      <c r="T661" t="str">
        <f>_xll.BDP("912810CX Govt","IDX_RATIO")</f>
        <v>#N/A Field Not Applicable</v>
      </c>
    </row>
    <row r="662" spans="1:20" x14ac:dyDescent="0.25">
      <c r="A662" t="s">
        <v>14</v>
      </c>
      <c r="B662" t="str">
        <f>_xll.BDP("9128275F Govt","TICKER")</f>
        <v>T</v>
      </c>
      <c r="C662">
        <f>_xll.BDP("9128275F Govt","CPN")</f>
        <v>5.25</v>
      </c>
      <c r="D662" t="str">
        <f>_xll.BDP("9128275F Govt","YLD_YTM_BID")</f>
        <v>#N/A N/A</v>
      </c>
      <c r="E662" t="str">
        <f>_xll.BDP("9128275F Govt","MATURITY")</f>
        <v>5/15/2004</v>
      </c>
      <c r="F662" t="str">
        <f>_xll.BDP("9128275F Govt","MTY_TYP")</f>
        <v>NORMAL</v>
      </c>
      <c r="G662" t="str">
        <f>_xll.BDP("9128275F Govt","CRNCY")</f>
        <v>USD</v>
      </c>
      <c r="H662" t="str">
        <f>_xll.BDP("9128275F Govt","COUNTRY_FULL_NAME")</f>
        <v>UNITED STATES</v>
      </c>
      <c r="I662" t="str">
        <f>_xll.BDP("9128275F Govt","FIRST_CPN_DT")</f>
        <v>11/15/1999</v>
      </c>
      <c r="J662" t="str">
        <f>_xll.BDP("9128275F Govt","COUPON_FREQUENCY_DESCRIPTION")</f>
        <v>S/A</v>
      </c>
      <c r="K662" t="str">
        <f>_xll.BDP("9128275F Govt","CPN_TYP")</f>
        <v>FIXED</v>
      </c>
      <c r="L662" t="str">
        <f>_xll.BDP("9128275F Govt","ID_ISIN")</f>
        <v>US9128275F58</v>
      </c>
      <c r="M662">
        <v>18925000000</v>
      </c>
      <c r="N662">
        <v>0</v>
      </c>
      <c r="O662" t="str">
        <f>_xll.BDP("9128275F Govt","ISSUE_DT")</f>
        <v>5/17/1999</v>
      </c>
      <c r="P662" t="str">
        <f>_xll.BDP("9128275F Govt","SECURITY_NAME")</f>
        <v>T 5 1/4 05/15/04</v>
      </c>
      <c r="Q662" t="str">
        <f>_xll.BDP("9128275F Govt","DAY_CNT_DES")</f>
        <v>ACT/ACT</v>
      </c>
      <c r="R662">
        <v>100</v>
      </c>
      <c r="S662" t="str">
        <f>_xll.BDP("9128275F Govt","ID_CUSIP")</f>
        <v>9128275F5</v>
      </c>
      <c r="T662" t="str">
        <f>_xll.BDP("9128275F Govt","IDX_RATIO")</f>
        <v>#N/A Field Not Applicable</v>
      </c>
    </row>
    <row r="663" spans="1:20" x14ac:dyDescent="0.25">
      <c r="A663" t="s">
        <v>14</v>
      </c>
      <c r="B663" t="str">
        <f>_xll.BDP("912827F2 Govt","TICKER")</f>
        <v>T</v>
      </c>
      <c r="C663">
        <f>_xll.BDP("912827F2 Govt","CPN")</f>
        <v>6.875</v>
      </c>
      <c r="D663" t="str">
        <f>_xll.BDP("912827F2 Govt","YLD_YTM_BID")</f>
        <v>#N/A N/A</v>
      </c>
      <c r="E663" t="str">
        <f>_xll.BDP("912827F2 Govt","MATURITY")</f>
        <v>4/30/1997</v>
      </c>
      <c r="F663" t="str">
        <f>_xll.BDP("912827F2 Govt","MTY_TYP")</f>
        <v>NORMAL</v>
      </c>
      <c r="G663" t="str">
        <f>_xll.BDP("912827F2 Govt","CRNCY")</f>
        <v>USD</v>
      </c>
      <c r="H663" t="str">
        <f>_xll.BDP("912827F2 Govt","COUNTRY_FULL_NAME")</f>
        <v>UNITED STATES</v>
      </c>
      <c r="I663" t="str">
        <f>_xll.BDP("912827F2 Govt","FIRST_CPN_DT")</f>
        <v>10/31/1992</v>
      </c>
      <c r="J663" t="str">
        <f>_xll.BDP("912827F2 Govt","COUPON_FREQUENCY_DESCRIPTION")</f>
        <v>S/A</v>
      </c>
      <c r="K663" t="str">
        <f>_xll.BDP("912827F2 Govt","CPN_TYP")</f>
        <v>FIXED</v>
      </c>
      <c r="L663" t="str">
        <f>_xll.BDP("912827F2 Govt","ID_ISIN")</f>
        <v>US912827F231</v>
      </c>
      <c r="N663">
        <v>0</v>
      </c>
      <c r="O663" t="str">
        <f>_xll.BDP("912827F2 Govt","ISSUE_DT")</f>
        <v>4/30/1992</v>
      </c>
      <c r="P663" t="str">
        <f>_xll.BDP("912827F2 Govt","SECURITY_NAME")</f>
        <v>T 6 7/8 04/30/97</v>
      </c>
      <c r="Q663" t="str">
        <f>_xll.BDP("912827F2 Govt","DAY_CNT_DES")</f>
        <v>ACT/ACT</v>
      </c>
      <c r="R663">
        <v>100</v>
      </c>
      <c r="S663" t="str">
        <f>_xll.BDP("912827F2 Govt","ID_CUSIP")</f>
        <v>912827F23</v>
      </c>
      <c r="T663" t="str">
        <f>_xll.BDP("912827F2 Govt","IDX_RATIO")</f>
        <v>#N/A Field Not Applicable</v>
      </c>
    </row>
    <row r="664" spans="1:20" x14ac:dyDescent="0.25">
      <c r="A664" t="s">
        <v>14</v>
      </c>
      <c r="B664" t="str">
        <f>_xll.BDP("912810ED Govt","TICKER")</f>
        <v>T</v>
      </c>
      <c r="C664">
        <f>_xll.BDP("912810ED Govt","CPN")</f>
        <v>8.125</v>
      </c>
      <c r="D664" t="str">
        <f>_xll.BDP("912810ED Govt","YLD_YTM_BID")</f>
        <v>#N/A N/A</v>
      </c>
      <c r="E664" t="str">
        <f>_xll.BDP("912810ED Govt","MATURITY")</f>
        <v>8/15/2019</v>
      </c>
      <c r="F664" t="str">
        <f>_xll.BDP("912810ED Govt","MTY_TYP")</f>
        <v>NORMAL</v>
      </c>
      <c r="G664" t="str">
        <f>_xll.BDP("912810ED Govt","CRNCY")</f>
        <v>USD</v>
      </c>
      <c r="H664" t="str">
        <f>_xll.BDP("912810ED Govt","COUNTRY_FULL_NAME")</f>
        <v>UNITED STATES</v>
      </c>
      <c r="I664" t="str">
        <f>_xll.BDP("912810ED Govt","FIRST_CPN_DT")</f>
        <v>2/15/1990</v>
      </c>
      <c r="J664" t="str">
        <f>_xll.BDP("912810ED Govt","COUPON_FREQUENCY_DESCRIPTION")</f>
        <v>S/A</v>
      </c>
      <c r="K664" t="str">
        <f>_xll.BDP("912810ED Govt","CPN_TYP")</f>
        <v>FIXED</v>
      </c>
      <c r="L664" t="str">
        <f>_xll.BDP("912810ED Govt","ID_ISIN")</f>
        <v>US912810ED64</v>
      </c>
      <c r="M664">
        <v>20214000000</v>
      </c>
      <c r="N664">
        <v>0</v>
      </c>
      <c r="O664" t="str">
        <f>_xll.BDP("912810ED Govt","ISSUE_DT")</f>
        <v>8/15/1989</v>
      </c>
      <c r="P664" t="str">
        <f>_xll.BDP("912810ED Govt","SECURITY_NAME")</f>
        <v>T 8 1/8 08/15/19</v>
      </c>
      <c r="Q664" t="str">
        <f>_xll.BDP("912810ED Govt","DAY_CNT_DES")</f>
        <v>ACT/ACT</v>
      </c>
      <c r="R664">
        <v>100</v>
      </c>
      <c r="S664" t="str">
        <f>_xll.BDP("912810ED Govt","ID_CUSIP")</f>
        <v>912810ED6</v>
      </c>
      <c r="T664" t="str">
        <f>_xll.BDP("912810ED Govt","IDX_RATIO")</f>
        <v>#N/A Field Not Applicable</v>
      </c>
    </row>
    <row r="665" spans="1:20" x14ac:dyDescent="0.25">
      <c r="A665" t="s">
        <v>14</v>
      </c>
      <c r="B665" t="str">
        <f>_xll.BDP("912827PQ Govt","TICKER")</f>
        <v>T</v>
      </c>
      <c r="C665">
        <f>_xll.BDP("912827PQ Govt","CPN")</f>
        <v>10</v>
      </c>
      <c r="D665" t="str">
        <f>_xll.BDP("912827PQ Govt","YLD_YTM_BID")</f>
        <v>#N/A N/A</v>
      </c>
      <c r="E665" t="str">
        <f>_xll.BDP("912827PQ Govt","MATURITY")</f>
        <v>6/30/1985</v>
      </c>
      <c r="F665" t="str">
        <f>_xll.BDP("912827PQ Govt","MTY_TYP")</f>
        <v>NORMAL</v>
      </c>
      <c r="G665" t="str">
        <f>_xll.BDP("912827PQ Govt","CRNCY")</f>
        <v>USD</v>
      </c>
      <c r="H665" t="str">
        <f>_xll.BDP("912827PQ Govt","COUNTRY_FULL_NAME")</f>
        <v>UNITED STATES</v>
      </c>
      <c r="I665" t="str">
        <f>_xll.BDP("912827PQ Govt","FIRST_CPN_DT")</f>
        <v>12/31/1983</v>
      </c>
      <c r="J665" t="str">
        <f>_xll.BDP("912827PQ Govt","COUPON_FREQUENCY_DESCRIPTION")</f>
        <v>S/A</v>
      </c>
      <c r="K665" t="str">
        <f>_xll.BDP("912827PQ Govt","CPN_TYP")</f>
        <v>FIXED</v>
      </c>
      <c r="L665" t="str">
        <f>_xll.BDP("912827PQ Govt","ID_ISIN")</f>
        <v>US912827PQ91</v>
      </c>
      <c r="N665">
        <v>0</v>
      </c>
      <c r="O665" t="str">
        <f>_xll.BDP("912827PQ Govt","ISSUE_DT")</f>
        <v>6/30/1983</v>
      </c>
      <c r="P665" t="str">
        <f>_xll.BDP("912827PQ Govt","SECURITY_NAME")</f>
        <v>T 10 06/30/85</v>
      </c>
      <c r="Q665" t="str">
        <f>_xll.BDP("912827PQ Govt","DAY_CNT_DES")</f>
        <v>ACT/ACT</v>
      </c>
      <c r="R665">
        <v>100</v>
      </c>
      <c r="S665" t="str">
        <f>_xll.BDP("912827PQ Govt","ID_CUSIP")</f>
        <v>912827PQ9</v>
      </c>
      <c r="T665" t="str">
        <f>_xll.BDP("912827PQ Govt","IDX_RATIO")</f>
        <v>#N/A Field Not Applicable</v>
      </c>
    </row>
    <row r="666" spans="1:20" x14ac:dyDescent="0.25">
      <c r="A666" t="s">
        <v>14</v>
      </c>
      <c r="B666" t="str">
        <f>_xll.BDP("912828AL Govt","TICKER")</f>
        <v>T</v>
      </c>
      <c r="C666">
        <f>_xll.BDP("912828AL Govt","CPN")</f>
        <v>1.875</v>
      </c>
      <c r="D666" t="str">
        <f>_xll.BDP("912828AL Govt","YLD_YTM_BID")</f>
        <v>#N/A N/A</v>
      </c>
      <c r="E666" t="str">
        <f>_xll.BDP("912828AL Govt","MATURITY")</f>
        <v>9/30/2004</v>
      </c>
      <c r="F666" t="str">
        <f>_xll.BDP("912828AL Govt","MTY_TYP")</f>
        <v>NORMAL</v>
      </c>
      <c r="G666" t="str">
        <f>_xll.BDP("912828AL Govt","CRNCY")</f>
        <v>USD</v>
      </c>
      <c r="H666" t="str">
        <f>_xll.BDP("912828AL Govt","COUNTRY_FULL_NAME")</f>
        <v>UNITED STATES</v>
      </c>
      <c r="I666" t="str">
        <f>_xll.BDP("912828AL Govt","FIRST_CPN_DT")</f>
        <v>3/31/2003</v>
      </c>
      <c r="J666" t="str">
        <f>_xll.BDP("912828AL Govt","COUPON_FREQUENCY_DESCRIPTION")</f>
        <v>S/A</v>
      </c>
      <c r="K666" t="str">
        <f>_xll.BDP("912828AL Govt","CPN_TYP")</f>
        <v>FIXED</v>
      </c>
      <c r="L666" t="str">
        <f>_xll.BDP("912828AL Govt","ID_ISIN")</f>
        <v>US912828AL43</v>
      </c>
      <c r="M666">
        <v>34656000000</v>
      </c>
      <c r="N666">
        <v>0</v>
      </c>
      <c r="O666" t="str">
        <f>_xll.BDP("912828AL Govt","ISSUE_DT")</f>
        <v>9/30/2002</v>
      </c>
      <c r="P666" t="str">
        <f>_xll.BDP("912828AL Govt","SECURITY_NAME")</f>
        <v>T 1 7/8 09/30/04</v>
      </c>
      <c r="Q666" t="str">
        <f>_xll.BDP("912828AL Govt","DAY_CNT_DES")</f>
        <v>ACT/ACT</v>
      </c>
      <c r="R666">
        <v>100</v>
      </c>
      <c r="S666" t="str">
        <f>_xll.BDP("912828AL Govt","ID_CUSIP")</f>
        <v>912828AL4</v>
      </c>
      <c r="T666" t="str">
        <f>_xll.BDP("912828AL Govt","IDX_RATIO")</f>
        <v>#N/A Field Not Applicable</v>
      </c>
    </row>
    <row r="667" spans="1:20" x14ac:dyDescent="0.25">
      <c r="A667" t="s">
        <v>14</v>
      </c>
      <c r="B667" t="str">
        <f>_xll.BDP("912828AW Govt","TICKER")</f>
        <v>T</v>
      </c>
      <c r="C667">
        <f>_xll.BDP("912828AW Govt","CPN")</f>
        <v>1.625</v>
      </c>
      <c r="D667" t="str">
        <f>_xll.BDP("912828AW Govt","YLD_YTM_BID")</f>
        <v>#N/A N/A</v>
      </c>
      <c r="E667" t="str">
        <f>_xll.BDP("912828AW Govt","MATURITY")</f>
        <v>3/31/2005</v>
      </c>
      <c r="F667" t="str">
        <f>_xll.BDP("912828AW Govt","MTY_TYP")</f>
        <v>NORMAL</v>
      </c>
      <c r="G667" t="str">
        <f>_xll.BDP("912828AW Govt","CRNCY")</f>
        <v>USD</v>
      </c>
      <c r="H667" t="str">
        <f>_xll.BDP("912828AW Govt","COUNTRY_FULL_NAME")</f>
        <v>UNITED STATES</v>
      </c>
      <c r="I667" t="str">
        <f>_xll.BDP("912828AW Govt","FIRST_CPN_DT")</f>
        <v>9/30/2003</v>
      </c>
      <c r="J667" t="str">
        <f>_xll.BDP("912828AW Govt","COUPON_FREQUENCY_DESCRIPTION")</f>
        <v>S/A</v>
      </c>
      <c r="K667" t="str">
        <f>_xll.BDP("912828AW Govt","CPN_TYP")</f>
        <v>FIXED</v>
      </c>
      <c r="L667" t="str">
        <f>_xll.BDP("912828AW Govt","ID_ISIN")</f>
        <v>US912828AW08</v>
      </c>
      <c r="M667">
        <v>35211000000</v>
      </c>
      <c r="N667">
        <v>0</v>
      </c>
      <c r="O667" t="str">
        <f>_xll.BDP("912828AW Govt","ISSUE_DT")</f>
        <v>3/31/2003</v>
      </c>
      <c r="P667" t="str">
        <f>_xll.BDP("912828AW Govt","SECURITY_NAME")</f>
        <v>T 1 5/8 03/31/05</v>
      </c>
      <c r="Q667" t="str">
        <f>_xll.BDP("912828AW Govt","DAY_CNT_DES")</f>
        <v>ACT/ACT</v>
      </c>
      <c r="R667">
        <v>100</v>
      </c>
      <c r="S667" t="str">
        <f>_xll.BDP("912828AW Govt","ID_CUSIP")</f>
        <v>912828AW0</v>
      </c>
      <c r="T667" t="str">
        <f>_xll.BDP("912828AW Govt","IDX_RATIO")</f>
        <v>#N/A Field Not Applicable</v>
      </c>
    </row>
    <row r="668" spans="1:20" x14ac:dyDescent="0.25">
      <c r="A668" t="s">
        <v>14</v>
      </c>
      <c r="B668" t="str">
        <f>_xll.BDP("912827KS Govt","TICKER")</f>
        <v>T</v>
      </c>
      <c r="C668">
        <f>_xll.BDP("912827KS Govt","CPN")</f>
        <v>9.375</v>
      </c>
      <c r="D668" t="str">
        <f>_xll.BDP("912827KS Govt","YLD_YTM_BID")</f>
        <v>#N/A N/A</v>
      </c>
      <c r="E668" t="str">
        <f>_xll.BDP("912827KS Govt","MATURITY")</f>
        <v>5/31/1982</v>
      </c>
      <c r="F668" t="str">
        <f>_xll.BDP("912827KS Govt","MTY_TYP")</f>
        <v>NORMAL</v>
      </c>
      <c r="G668" t="str">
        <f>_xll.BDP("912827KS Govt","CRNCY")</f>
        <v>USD</v>
      </c>
      <c r="H668" t="str">
        <f>_xll.BDP("912827KS Govt","COUNTRY_FULL_NAME")</f>
        <v>UNITED STATES</v>
      </c>
      <c r="I668" t="str">
        <f>_xll.BDP("912827KS Govt","FIRST_CPN_DT")</f>
        <v>11/30/1980</v>
      </c>
      <c r="J668" t="str">
        <f>_xll.BDP("912827KS Govt","COUPON_FREQUENCY_DESCRIPTION")</f>
        <v>S/A</v>
      </c>
      <c r="K668" t="str">
        <f>_xll.BDP("912827KS Govt","CPN_TYP")</f>
        <v>FIXED</v>
      </c>
      <c r="L668" t="str">
        <f>_xll.BDP("912827KS Govt","ID_ISIN")</f>
        <v>US912827KS03</v>
      </c>
      <c r="N668">
        <v>0</v>
      </c>
      <c r="O668" t="str">
        <f>_xll.BDP("912827KS Govt","ISSUE_DT")</f>
        <v>6/4/1980</v>
      </c>
      <c r="P668" t="str">
        <f>_xll.BDP("912827KS Govt","SECURITY_NAME")</f>
        <v>T 9 3/8 05/31/82</v>
      </c>
      <c r="Q668" t="str">
        <f>_xll.BDP("912827KS Govt","DAY_CNT_DES")</f>
        <v>ACT/ACT</v>
      </c>
      <c r="R668">
        <v>100</v>
      </c>
      <c r="S668" t="str">
        <f>_xll.BDP("912827KS Govt","ID_CUSIP")</f>
        <v>912827KS0</v>
      </c>
      <c r="T668" t="str">
        <f>_xll.BDP("912827KS Govt","IDX_RATIO")</f>
        <v>#N/A Field Not Applicable</v>
      </c>
    </row>
    <row r="669" spans="1:20" x14ac:dyDescent="0.25">
      <c r="A669" t="s">
        <v>14</v>
      </c>
      <c r="B669" t="str">
        <f>_xll.BDP("912828L4 Govt","TICKER")</f>
        <v>T</v>
      </c>
      <c r="C669">
        <f>_xll.BDP("912828L4 Govt","CPN")</f>
        <v>1</v>
      </c>
      <c r="D669" t="str">
        <f>_xll.BDP("912828L4 Govt","YLD_YTM_BID")</f>
        <v>#N/A N/A</v>
      </c>
      <c r="E669" t="str">
        <f>_xll.BDP("912828L4 Govt","MATURITY")</f>
        <v>9/15/2018</v>
      </c>
      <c r="F669" t="str">
        <f>_xll.BDP("912828L4 Govt","MTY_TYP")</f>
        <v>NORMAL</v>
      </c>
      <c r="G669" t="str">
        <f>_xll.BDP("912828L4 Govt","CRNCY")</f>
        <v>USD</v>
      </c>
      <c r="H669" t="str">
        <f>_xll.BDP("912828L4 Govt","COUNTRY_FULL_NAME")</f>
        <v>UNITED STATES</v>
      </c>
      <c r="I669" t="str">
        <f>_xll.BDP("912828L4 Govt","FIRST_CPN_DT")</f>
        <v>3/15/2016</v>
      </c>
      <c r="J669" t="str">
        <f>_xll.BDP("912828L4 Govt","COUPON_FREQUENCY_DESCRIPTION")</f>
        <v>S/A</v>
      </c>
      <c r="K669" t="str">
        <f>_xll.BDP("912828L4 Govt","CPN_TYP")</f>
        <v>FIXED</v>
      </c>
      <c r="L669" t="str">
        <f>_xll.BDP("912828L4 Govt","ID_ISIN")</f>
        <v>US912828L401</v>
      </c>
      <c r="M669">
        <v>24000000000</v>
      </c>
      <c r="N669">
        <v>0</v>
      </c>
      <c r="O669" t="str">
        <f>_xll.BDP("912828L4 Govt","ISSUE_DT")</f>
        <v>9/15/2015</v>
      </c>
      <c r="P669" t="str">
        <f>_xll.BDP("912828L4 Govt","SECURITY_NAME")</f>
        <v>T 1 09/15/18</v>
      </c>
      <c r="Q669" t="str">
        <f>_xll.BDP("912828L4 Govt","DAY_CNT_DES")</f>
        <v>ACT/ACT</v>
      </c>
      <c r="R669">
        <v>100</v>
      </c>
      <c r="S669" t="str">
        <f>_xll.BDP("912828L4 Govt","ID_CUSIP")</f>
        <v>912828L40</v>
      </c>
      <c r="T669" t="str">
        <f>_xll.BDP("912828L4 Govt","IDX_RATIO")</f>
        <v>#N/A Field Not Applicable</v>
      </c>
    </row>
    <row r="670" spans="1:20" x14ac:dyDescent="0.25">
      <c r="A670" t="s">
        <v>14</v>
      </c>
      <c r="B670" t="str">
        <f>_xll.BDP("912828SN Govt","TICKER")</f>
        <v>T</v>
      </c>
      <c r="C670">
        <f>_xll.BDP("912828SN Govt","CPN")</f>
        <v>1.5</v>
      </c>
      <c r="D670" t="str">
        <f>_xll.BDP("912828SN Govt","YLD_YTM_BID")</f>
        <v>#N/A N/A</v>
      </c>
      <c r="E670" t="str">
        <f>_xll.BDP("912828SN Govt","MATURITY")</f>
        <v>3/31/2019</v>
      </c>
      <c r="F670" t="str">
        <f>_xll.BDP("912828SN Govt","MTY_TYP")</f>
        <v>NORMAL</v>
      </c>
      <c r="G670" t="str">
        <f>_xll.BDP("912828SN Govt","CRNCY")</f>
        <v>USD</v>
      </c>
      <c r="H670" t="str">
        <f>_xll.BDP("912828SN Govt","COUNTRY_FULL_NAME")</f>
        <v>UNITED STATES</v>
      </c>
      <c r="I670" t="str">
        <f>_xll.BDP("912828SN Govt","FIRST_CPN_DT")</f>
        <v>9/30/2012</v>
      </c>
      <c r="J670" t="str">
        <f>_xll.BDP("912828SN Govt","COUPON_FREQUENCY_DESCRIPTION")</f>
        <v>S/A</v>
      </c>
      <c r="K670" t="str">
        <f>_xll.BDP("912828SN Govt","CPN_TYP")</f>
        <v>FIXED</v>
      </c>
      <c r="L670" t="str">
        <f>_xll.BDP("912828SN Govt","ID_ISIN")</f>
        <v>US912828SN17</v>
      </c>
      <c r="M670">
        <v>29688000000</v>
      </c>
      <c r="N670">
        <v>0</v>
      </c>
      <c r="O670" t="str">
        <f>_xll.BDP("912828SN Govt","ISSUE_DT")</f>
        <v>4/2/2012</v>
      </c>
      <c r="P670" t="str">
        <f>_xll.BDP("912828SN Govt","SECURITY_NAME")</f>
        <v>T 1 1/2 03/31/19</v>
      </c>
      <c r="Q670" t="str">
        <f>_xll.BDP("912828SN Govt","DAY_CNT_DES")</f>
        <v>ACT/ACT</v>
      </c>
      <c r="R670">
        <v>100</v>
      </c>
      <c r="S670" t="str">
        <f>_xll.BDP("912828SN Govt","ID_CUSIP")</f>
        <v>912828SN1</v>
      </c>
      <c r="T670" t="str">
        <f>_xll.BDP("912828SN Govt","IDX_RATIO")</f>
        <v>#N/A Field Not Applicable</v>
      </c>
    </row>
    <row r="671" spans="1:20" x14ac:dyDescent="0.25">
      <c r="A671" t="s">
        <v>14</v>
      </c>
      <c r="B671" t="str">
        <f>_xll.BDP("912828UF Govt","TICKER")</f>
        <v>T</v>
      </c>
      <c r="C671">
        <f>_xll.BDP("912828UF Govt","CPN")</f>
        <v>1.125</v>
      </c>
      <c r="D671" t="str">
        <f>_xll.BDP("912828UF Govt","YLD_YTM_BID")</f>
        <v>#N/A N/A</v>
      </c>
      <c r="E671" t="str">
        <f>_xll.BDP("912828UF Govt","MATURITY")</f>
        <v>12/31/2019</v>
      </c>
      <c r="F671" t="str">
        <f>_xll.BDP("912828UF Govt","MTY_TYP")</f>
        <v>NORMAL</v>
      </c>
      <c r="G671" t="str">
        <f>_xll.BDP("912828UF Govt","CRNCY")</f>
        <v>USD</v>
      </c>
      <c r="H671" t="str">
        <f>_xll.BDP("912828UF Govt","COUNTRY_FULL_NAME")</f>
        <v>UNITED STATES</v>
      </c>
      <c r="I671" t="str">
        <f>_xll.BDP("912828UF Govt","FIRST_CPN_DT")</f>
        <v>6/30/2013</v>
      </c>
      <c r="J671" t="str">
        <f>_xll.BDP("912828UF Govt","COUPON_FREQUENCY_DESCRIPTION")</f>
        <v>S/A</v>
      </c>
      <c r="K671" t="str">
        <f>_xll.BDP("912828UF Govt","CPN_TYP")</f>
        <v>FIXED</v>
      </c>
      <c r="L671" t="str">
        <f>_xll.BDP("912828UF Govt","ID_ISIN")</f>
        <v>US912828UF54</v>
      </c>
      <c r="M671">
        <v>29000000000</v>
      </c>
      <c r="N671">
        <v>0</v>
      </c>
      <c r="O671" t="str">
        <f>_xll.BDP("912828UF Govt","ISSUE_DT")</f>
        <v>12/31/2012</v>
      </c>
      <c r="P671" t="str">
        <f>_xll.BDP("912828UF Govt","SECURITY_NAME")</f>
        <v>T 1 1/8 12/31/19</v>
      </c>
      <c r="Q671" t="str">
        <f>_xll.BDP("912828UF Govt","DAY_CNT_DES")</f>
        <v>ACT/ACT</v>
      </c>
      <c r="R671">
        <v>100</v>
      </c>
      <c r="S671" t="str">
        <f>_xll.BDP("912828UF Govt","ID_CUSIP")</f>
        <v>912828UF5</v>
      </c>
      <c r="T671" t="str">
        <f>_xll.BDP("912828UF Govt","IDX_RATIO")</f>
        <v>#N/A Field Not Applicable</v>
      </c>
    </row>
    <row r="672" spans="1:20" x14ac:dyDescent="0.25">
      <c r="A672" t="s">
        <v>14</v>
      </c>
      <c r="B672" t="str">
        <f>_xll.BDP("912828GQ Govt","TICKER")</f>
        <v>T</v>
      </c>
      <c r="C672">
        <f>_xll.BDP("912828GQ Govt","CPN")</f>
        <v>4.5</v>
      </c>
      <c r="D672" t="str">
        <f>_xll.BDP("912828GQ Govt","YLD_YTM_BID")</f>
        <v>#N/A N/A</v>
      </c>
      <c r="E672" t="str">
        <f>_xll.BDP("912828GQ Govt","MATURITY")</f>
        <v>4/30/2012</v>
      </c>
      <c r="F672" t="str">
        <f>_xll.BDP("912828GQ Govt","MTY_TYP")</f>
        <v>NORMAL</v>
      </c>
      <c r="G672" t="str">
        <f>_xll.BDP("912828GQ Govt","CRNCY")</f>
        <v>USD</v>
      </c>
      <c r="H672" t="str">
        <f>_xll.BDP("912828GQ Govt","COUNTRY_FULL_NAME")</f>
        <v>UNITED STATES</v>
      </c>
      <c r="I672" t="str">
        <f>_xll.BDP("912828GQ Govt","FIRST_CPN_DT")</f>
        <v>10/31/2007</v>
      </c>
      <c r="J672" t="str">
        <f>_xll.BDP("912828GQ Govt","COUPON_FREQUENCY_DESCRIPTION")</f>
        <v>S/A</v>
      </c>
      <c r="K672" t="str">
        <f>_xll.BDP("912828GQ Govt","CPN_TYP")</f>
        <v>FIXED</v>
      </c>
      <c r="L672" t="str">
        <f>_xll.BDP("912828GQ Govt","ID_ISIN")</f>
        <v>US912828GQ75</v>
      </c>
      <c r="M672">
        <v>16450000000</v>
      </c>
      <c r="N672">
        <v>0</v>
      </c>
      <c r="O672" t="str">
        <f>_xll.BDP("912828GQ Govt","ISSUE_DT")</f>
        <v>4/30/2007</v>
      </c>
      <c r="P672" t="str">
        <f>_xll.BDP("912828GQ Govt","SECURITY_NAME")</f>
        <v>T 4 1/2 04/30/12</v>
      </c>
      <c r="Q672" t="str">
        <f>_xll.BDP("912828GQ Govt","DAY_CNT_DES")</f>
        <v>ACT/ACT</v>
      </c>
      <c r="R672">
        <v>100</v>
      </c>
      <c r="S672" t="str">
        <f>_xll.BDP("912828GQ Govt","ID_CUSIP")</f>
        <v>912828GQ7</v>
      </c>
      <c r="T672" t="str">
        <f>_xll.BDP("912828GQ Govt","IDX_RATIO")</f>
        <v>#N/A Field Not Applicable</v>
      </c>
    </row>
    <row r="673" spans="1:20" x14ac:dyDescent="0.25">
      <c r="A673" t="s">
        <v>14</v>
      </c>
      <c r="B673" t="str">
        <f>_xll.BDP("912828VE Govt","TICKER")</f>
        <v>T</v>
      </c>
      <c r="C673">
        <f>_xll.BDP("912828VE Govt","CPN")</f>
        <v>1</v>
      </c>
      <c r="D673" t="str">
        <f>_xll.BDP("912828VE Govt","YLD_YTM_BID")</f>
        <v>#N/A N/A</v>
      </c>
      <c r="E673" t="str">
        <f>_xll.BDP("912828VE Govt","MATURITY")</f>
        <v>5/31/2018</v>
      </c>
      <c r="F673" t="str">
        <f>_xll.BDP("912828VE Govt","MTY_TYP")</f>
        <v>NORMAL</v>
      </c>
      <c r="G673" t="str">
        <f>_xll.BDP("912828VE Govt","CRNCY")</f>
        <v>USD</v>
      </c>
      <c r="H673" t="str">
        <f>_xll.BDP("912828VE Govt","COUNTRY_FULL_NAME")</f>
        <v>UNITED STATES</v>
      </c>
      <c r="I673" t="str">
        <f>_xll.BDP("912828VE Govt","FIRST_CPN_DT")</f>
        <v>11/30/2013</v>
      </c>
      <c r="J673" t="str">
        <f>_xll.BDP("912828VE Govt","COUPON_FREQUENCY_DESCRIPTION")</f>
        <v>S/A</v>
      </c>
      <c r="K673" t="str">
        <f>_xll.BDP("912828VE Govt","CPN_TYP")</f>
        <v>FIXED</v>
      </c>
      <c r="L673" t="str">
        <f>_xll.BDP("912828VE Govt","ID_ISIN")</f>
        <v>US912828VE70</v>
      </c>
      <c r="M673">
        <v>34999000000</v>
      </c>
      <c r="N673">
        <v>0</v>
      </c>
      <c r="O673" t="str">
        <f>_xll.BDP("912828VE Govt","ISSUE_DT")</f>
        <v>5/31/2013</v>
      </c>
      <c r="P673" t="str">
        <f>_xll.BDP("912828VE Govt","SECURITY_NAME")</f>
        <v>T 1 05/31/18</v>
      </c>
      <c r="Q673" t="str">
        <f>_xll.BDP("912828VE Govt","DAY_CNT_DES")</f>
        <v>ACT/ACT</v>
      </c>
      <c r="R673">
        <v>100</v>
      </c>
      <c r="S673" t="str">
        <f>_xll.BDP("912828VE Govt","ID_CUSIP")</f>
        <v>912828VE7</v>
      </c>
      <c r="T673" t="str">
        <f>_xll.BDP("912828VE Govt","IDX_RATIO")</f>
        <v>#N/A Field Not Applicable</v>
      </c>
    </row>
    <row r="674" spans="1:20" x14ac:dyDescent="0.25">
      <c r="A674" t="s">
        <v>14</v>
      </c>
      <c r="B674" t="str">
        <f>_xll.BDP("9128275N Govt","TICKER")</f>
        <v>T</v>
      </c>
      <c r="C674">
        <f>_xll.BDP("9128275N Govt","CPN")</f>
        <v>6</v>
      </c>
      <c r="D674" t="str">
        <f>_xll.BDP("9128275N Govt","YLD_YTM_BID")</f>
        <v>#N/A N/A</v>
      </c>
      <c r="E674" t="str">
        <f>_xll.BDP("9128275N Govt","MATURITY")</f>
        <v>8/15/2009</v>
      </c>
      <c r="F674" t="str">
        <f>_xll.BDP("9128275N Govt","MTY_TYP")</f>
        <v>NORMAL</v>
      </c>
      <c r="G674" t="str">
        <f>_xll.BDP("9128275N Govt","CRNCY")</f>
        <v>USD</v>
      </c>
      <c r="H674" t="str">
        <f>_xll.BDP("9128275N Govt","COUNTRY_FULL_NAME")</f>
        <v>UNITED STATES</v>
      </c>
      <c r="I674" t="str">
        <f>_xll.BDP("9128275N Govt","FIRST_CPN_DT")</f>
        <v>2/15/2000</v>
      </c>
      <c r="J674" t="str">
        <f>_xll.BDP("9128275N Govt","COUPON_FREQUENCY_DESCRIPTION")</f>
        <v>S/A</v>
      </c>
      <c r="K674" t="str">
        <f>_xll.BDP("9128275N Govt","CPN_TYP")</f>
        <v>FIXED</v>
      </c>
      <c r="L674" t="str">
        <f>_xll.BDP("9128275N Govt","ID_ISIN")</f>
        <v>US9128275N82</v>
      </c>
      <c r="M674">
        <v>27400000000</v>
      </c>
      <c r="N674">
        <v>0</v>
      </c>
      <c r="O674" t="str">
        <f>_xll.BDP("9128275N Govt","ISSUE_DT")</f>
        <v>8/16/1999</v>
      </c>
      <c r="P674" t="str">
        <f>_xll.BDP("9128275N Govt","SECURITY_NAME")</f>
        <v>T 6 08/15/09</v>
      </c>
      <c r="Q674" t="str">
        <f>_xll.BDP("9128275N Govt","DAY_CNT_DES")</f>
        <v>ACT/ACT</v>
      </c>
      <c r="R674">
        <v>100</v>
      </c>
      <c r="S674" t="str">
        <f>_xll.BDP("9128275N Govt","ID_CUSIP")</f>
        <v>9128275N8</v>
      </c>
      <c r="T674" t="str">
        <f>_xll.BDP("9128275N Govt","IDX_RATIO")</f>
        <v>#N/A Field Not Applicable</v>
      </c>
    </row>
    <row r="675" spans="1:20" x14ac:dyDescent="0.25">
      <c r="A675" t="s">
        <v>14</v>
      </c>
      <c r="B675" t="str">
        <f>_xll.BDP("9128284Q Govt","TICKER")</f>
        <v>T</v>
      </c>
      <c r="C675">
        <f>_xll.BDP("9128284Q Govt","CPN")</f>
        <v>2.5</v>
      </c>
      <c r="D675" t="str">
        <f>_xll.BDP("9128284Q Govt","YLD_YTM_BID")</f>
        <v>#N/A N/A</v>
      </c>
      <c r="E675" t="str">
        <f>_xll.BDP("9128284Q Govt","MATURITY")</f>
        <v>5/31/2020</v>
      </c>
      <c r="F675" t="str">
        <f>_xll.BDP("9128284Q Govt","MTY_TYP")</f>
        <v>NORMAL</v>
      </c>
      <c r="G675" t="str">
        <f>_xll.BDP("9128284Q Govt","CRNCY")</f>
        <v>USD</v>
      </c>
      <c r="H675" t="str">
        <f>_xll.BDP("9128284Q Govt","COUNTRY_FULL_NAME")</f>
        <v>UNITED STATES</v>
      </c>
      <c r="I675" t="str">
        <f>_xll.BDP("9128284Q Govt","FIRST_CPN_DT")</f>
        <v>11/30/2018</v>
      </c>
      <c r="J675" t="str">
        <f>_xll.BDP("9128284Q Govt","COUPON_FREQUENCY_DESCRIPTION")</f>
        <v>S/A</v>
      </c>
      <c r="K675" t="str">
        <f>_xll.BDP("9128284Q Govt","CPN_TYP")</f>
        <v>FIXED</v>
      </c>
      <c r="L675" t="str">
        <f>_xll.BDP("9128284Q Govt","ID_ISIN")</f>
        <v>US9128284Q05</v>
      </c>
      <c r="M675">
        <v>38731000000</v>
      </c>
      <c r="N675">
        <v>0</v>
      </c>
      <c r="O675" t="str">
        <f>_xll.BDP("9128284Q Govt","ISSUE_DT")</f>
        <v>5/31/2018</v>
      </c>
      <c r="P675" t="str">
        <f>_xll.BDP("9128284Q Govt","SECURITY_NAME")</f>
        <v>T 2 1/2 05/31/20</v>
      </c>
      <c r="Q675" t="str">
        <f>_xll.BDP("9128284Q Govt","DAY_CNT_DES")</f>
        <v>ACT/ACT</v>
      </c>
      <c r="R675">
        <v>100</v>
      </c>
      <c r="S675" t="str">
        <f>_xll.BDP("9128284Q Govt","ID_CUSIP")</f>
        <v>9128284Q0</v>
      </c>
      <c r="T675" t="str">
        <f>_xll.BDP("9128284Q Govt","IDX_RATIO")</f>
        <v>#N/A Field Not Applicable</v>
      </c>
    </row>
    <row r="676" spans="1:20" x14ac:dyDescent="0.25">
      <c r="A676" t="s">
        <v>14</v>
      </c>
      <c r="B676" t="str">
        <f>_xll.BDP("912828KR Govt","TICKER")</f>
        <v>T</v>
      </c>
      <c r="C676">
        <f>_xll.BDP("912828KR Govt","CPN")</f>
        <v>2.625</v>
      </c>
      <c r="D676" t="str">
        <f>_xll.BDP("912828KR Govt","YLD_YTM_BID")</f>
        <v>#N/A N/A</v>
      </c>
      <c r="E676" t="str">
        <f>_xll.BDP("912828KR Govt","MATURITY")</f>
        <v>4/30/2016</v>
      </c>
      <c r="F676" t="str">
        <f>_xll.BDP("912828KR Govt","MTY_TYP")</f>
        <v>NORMAL</v>
      </c>
      <c r="G676" t="str">
        <f>_xll.BDP("912828KR Govt","CRNCY")</f>
        <v>USD</v>
      </c>
      <c r="H676" t="str">
        <f>_xll.BDP("912828KR Govt","COUNTRY_FULL_NAME")</f>
        <v>UNITED STATES</v>
      </c>
      <c r="I676" t="str">
        <f>_xll.BDP("912828KR Govt","FIRST_CPN_DT")</f>
        <v>10/31/2009</v>
      </c>
      <c r="J676" t="str">
        <f>_xll.BDP("912828KR Govt","COUPON_FREQUENCY_DESCRIPTION")</f>
        <v>S/A</v>
      </c>
      <c r="K676" t="str">
        <f>_xll.BDP("912828KR Govt","CPN_TYP")</f>
        <v>FIXED</v>
      </c>
      <c r="L676" t="str">
        <f>_xll.BDP("912828KR Govt","ID_ISIN")</f>
        <v>US912828KR03</v>
      </c>
      <c r="M676">
        <v>26901000000</v>
      </c>
      <c r="N676">
        <v>0</v>
      </c>
      <c r="O676" t="str">
        <f>_xll.BDP("912828KR Govt","ISSUE_DT")</f>
        <v>4/30/2009</v>
      </c>
      <c r="P676" t="str">
        <f>_xll.BDP("912828KR Govt","SECURITY_NAME")</f>
        <v>T 2 5/8 04/30/16</v>
      </c>
      <c r="Q676" t="str">
        <f>_xll.BDP("912828KR Govt","DAY_CNT_DES")</f>
        <v>ACT/ACT</v>
      </c>
      <c r="R676">
        <v>100</v>
      </c>
      <c r="S676" t="str">
        <f>_xll.BDP("912828KR Govt","ID_CUSIP")</f>
        <v>912828KR0</v>
      </c>
      <c r="T676" t="str">
        <f>_xll.BDP("912828KR Govt","IDX_RATIO")</f>
        <v>#N/A Field Not Applicable</v>
      </c>
    </row>
    <row r="677" spans="1:20" x14ac:dyDescent="0.25">
      <c r="A677" t="s">
        <v>14</v>
      </c>
      <c r="B677" t="str">
        <f>_xll.BDP("912828RA Govt","TICKER")</f>
        <v>T</v>
      </c>
      <c r="C677">
        <f>_xll.BDP("912828RA Govt","CPN")</f>
        <v>0.375</v>
      </c>
      <c r="D677" t="str">
        <f>_xll.BDP("912828RA Govt","YLD_YTM_BID")</f>
        <v>#N/A N/A</v>
      </c>
      <c r="E677" t="str">
        <f>_xll.BDP("912828RA Govt","MATURITY")</f>
        <v>6/30/2013</v>
      </c>
      <c r="F677" t="str">
        <f>_xll.BDP("912828RA Govt","MTY_TYP")</f>
        <v>NORMAL</v>
      </c>
      <c r="G677" t="str">
        <f>_xll.BDP("912828RA Govt","CRNCY")</f>
        <v>USD</v>
      </c>
      <c r="H677" t="str">
        <f>_xll.BDP("912828RA Govt","COUNTRY_FULL_NAME")</f>
        <v>UNITED STATES</v>
      </c>
      <c r="I677" t="str">
        <f>_xll.BDP("912828RA Govt","FIRST_CPN_DT")</f>
        <v>12/31/2011</v>
      </c>
      <c r="J677" t="str">
        <f>_xll.BDP("912828RA Govt","COUPON_FREQUENCY_DESCRIPTION")</f>
        <v>S/A</v>
      </c>
      <c r="K677" t="str">
        <f>_xll.BDP("912828RA Govt","CPN_TYP")</f>
        <v>FIXED</v>
      </c>
      <c r="L677" t="str">
        <f>_xll.BDP("912828RA Govt","ID_ISIN")</f>
        <v>US912828RA05</v>
      </c>
      <c r="M677">
        <v>36127000000</v>
      </c>
      <c r="N677">
        <v>0</v>
      </c>
      <c r="O677" t="str">
        <f>_xll.BDP("912828RA Govt","ISSUE_DT")</f>
        <v>6/30/2011</v>
      </c>
      <c r="P677" t="str">
        <f>_xll.BDP("912828RA Govt","SECURITY_NAME")</f>
        <v>T 0 3/8 06/30/13</v>
      </c>
      <c r="Q677" t="str">
        <f>_xll.BDP("912828RA Govt","DAY_CNT_DES")</f>
        <v>ACT/ACT</v>
      </c>
      <c r="R677">
        <v>100</v>
      </c>
      <c r="S677" t="str">
        <f>_xll.BDP("912828RA Govt","ID_CUSIP")</f>
        <v>912828RA0</v>
      </c>
      <c r="T677" t="str">
        <f>_xll.BDP("912828RA Govt","IDX_RATIO")</f>
        <v>#N/A Field Not Applicable</v>
      </c>
    </row>
    <row r="678" spans="1:20" x14ac:dyDescent="0.25">
      <c r="A678" t="s">
        <v>14</v>
      </c>
      <c r="B678" t="str">
        <f>_xll.BDP("912828U9 Govt","TICKER")</f>
        <v>T</v>
      </c>
      <c r="C678">
        <f>_xll.BDP("912828U9 Govt","CPN")</f>
        <v>1.25</v>
      </c>
      <c r="D678" t="str">
        <f>_xll.BDP("912828U9 Govt","YLD_YTM_BID")</f>
        <v>#N/A N/A</v>
      </c>
      <c r="E678" t="str">
        <f>_xll.BDP("912828U9 Govt","MATURITY")</f>
        <v>12/31/2018</v>
      </c>
      <c r="F678" t="str">
        <f>_xll.BDP("912828U9 Govt","MTY_TYP")</f>
        <v>NORMAL</v>
      </c>
      <c r="G678" t="str">
        <f>_xll.BDP("912828U9 Govt","CRNCY")</f>
        <v>USD</v>
      </c>
      <c r="H678" t="str">
        <f>_xll.BDP("912828U9 Govt","COUNTRY_FULL_NAME")</f>
        <v>UNITED STATES</v>
      </c>
      <c r="I678" t="str">
        <f>_xll.BDP("912828U9 Govt","FIRST_CPN_DT")</f>
        <v>6/30/2017</v>
      </c>
      <c r="J678" t="str">
        <f>_xll.BDP("912828U9 Govt","COUPON_FREQUENCY_DESCRIPTION")</f>
        <v>S/A</v>
      </c>
      <c r="K678" t="str">
        <f>_xll.BDP("912828U9 Govt","CPN_TYP")</f>
        <v>FIXED</v>
      </c>
      <c r="L678" t="str">
        <f>_xll.BDP("912828U9 Govt","ID_ISIN")</f>
        <v>US912828U998</v>
      </c>
      <c r="M678">
        <v>29461000000</v>
      </c>
      <c r="N678">
        <v>0</v>
      </c>
      <c r="O678" t="str">
        <f>_xll.BDP("912828U9 Govt","ISSUE_DT")</f>
        <v>1/3/2017</v>
      </c>
      <c r="P678" t="str">
        <f>_xll.BDP("912828U9 Govt","SECURITY_NAME")</f>
        <v>T 1 1/4 12/31/18</v>
      </c>
      <c r="Q678" t="str">
        <f>_xll.BDP("912828U9 Govt","DAY_CNT_DES")</f>
        <v>ACT/ACT</v>
      </c>
      <c r="R678">
        <v>100</v>
      </c>
      <c r="S678" t="str">
        <f>_xll.BDP("912828U9 Govt","ID_CUSIP")</f>
        <v>912828U99</v>
      </c>
      <c r="T678" t="str">
        <f>_xll.BDP("912828U9 Govt","IDX_RATIO")</f>
        <v>#N/A Field Not Applicable</v>
      </c>
    </row>
    <row r="679" spans="1:20" x14ac:dyDescent="0.25">
      <c r="A679" t="s">
        <v>14</v>
      </c>
      <c r="B679" t="str">
        <f>_xll.BDP("912828W2 Govt","TICKER")</f>
        <v>T</v>
      </c>
      <c r="C679">
        <f>_xll.BDP("912828W2 Govt","CPN")</f>
        <v>1.375</v>
      </c>
      <c r="D679" t="str">
        <f>_xll.BDP("912828W2 Govt","YLD_YTM_BID")</f>
        <v>#N/A N/A</v>
      </c>
      <c r="E679" t="str">
        <f>_xll.BDP("912828W2 Govt","MATURITY")</f>
        <v>2/15/2020</v>
      </c>
      <c r="F679" t="str">
        <f>_xll.BDP("912828W2 Govt","MTY_TYP")</f>
        <v>NORMAL</v>
      </c>
      <c r="G679" t="str">
        <f>_xll.BDP("912828W2 Govt","CRNCY")</f>
        <v>USD</v>
      </c>
      <c r="H679" t="str">
        <f>_xll.BDP("912828W2 Govt","COUNTRY_FULL_NAME")</f>
        <v>UNITED STATES</v>
      </c>
      <c r="I679" t="str">
        <f>_xll.BDP("912828W2 Govt","FIRST_CPN_DT")</f>
        <v>8/15/2017</v>
      </c>
      <c r="J679" t="str">
        <f>_xll.BDP("912828W2 Govt","COUPON_FREQUENCY_DESCRIPTION")</f>
        <v>S/A</v>
      </c>
      <c r="K679" t="str">
        <f>_xll.BDP("912828W2 Govt","CPN_TYP")</f>
        <v>FIXED</v>
      </c>
      <c r="L679" t="str">
        <f>_xll.BDP("912828W2 Govt","ID_ISIN")</f>
        <v>US912828W226</v>
      </c>
      <c r="M679">
        <v>26771000000</v>
      </c>
      <c r="N679">
        <v>0</v>
      </c>
      <c r="O679" t="str">
        <f>_xll.BDP("912828W2 Govt","ISSUE_DT")</f>
        <v>2/15/2017</v>
      </c>
      <c r="P679" t="str">
        <f>_xll.BDP("912828W2 Govt","SECURITY_NAME")</f>
        <v>T 1 3/8 02/15/20</v>
      </c>
      <c r="Q679" t="str">
        <f>_xll.BDP("912828W2 Govt","DAY_CNT_DES")</f>
        <v>ACT/ACT</v>
      </c>
      <c r="R679">
        <v>100</v>
      </c>
      <c r="S679" t="str">
        <f>_xll.BDP("912828W2 Govt","ID_CUSIP")</f>
        <v>912828W22</v>
      </c>
      <c r="T679" t="str">
        <f>_xll.BDP("912828W2 Govt","IDX_RATIO")</f>
        <v>#N/A Field Not Applicable</v>
      </c>
    </row>
    <row r="680" spans="1:20" x14ac:dyDescent="0.25">
      <c r="A680" t="s">
        <v>14</v>
      </c>
      <c r="B680" t="str">
        <f>_xll.BDP("912828WF Govt","TICKER")</f>
        <v>T</v>
      </c>
      <c r="C680">
        <f>_xll.BDP("912828WF Govt","CPN")</f>
        <v>0.625</v>
      </c>
      <c r="D680" t="str">
        <f>_xll.BDP("912828WF Govt","YLD_YTM_BID")</f>
        <v>#N/A N/A</v>
      </c>
      <c r="E680" t="str">
        <f>_xll.BDP("912828WF Govt","MATURITY")</f>
        <v>11/15/2016</v>
      </c>
      <c r="F680" t="str">
        <f>_xll.BDP("912828WF Govt","MTY_TYP")</f>
        <v>NORMAL</v>
      </c>
      <c r="G680" t="str">
        <f>_xll.BDP("912828WF Govt","CRNCY")</f>
        <v>USD</v>
      </c>
      <c r="H680" t="str">
        <f>_xll.BDP("912828WF Govt","COUNTRY_FULL_NAME")</f>
        <v>UNITED STATES</v>
      </c>
      <c r="I680" t="str">
        <f>_xll.BDP("912828WF Govt","FIRST_CPN_DT")</f>
        <v>5/15/2014</v>
      </c>
      <c r="J680" t="str">
        <f>_xll.BDP("912828WF Govt","COUPON_FREQUENCY_DESCRIPTION")</f>
        <v>S/A</v>
      </c>
      <c r="K680" t="str">
        <f>_xll.BDP("912828WF Govt","CPN_TYP")</f>
        <v>FIXED</v>
      </c>
      <c r="L680" t="str">
        <f>_xll.BDP("912828WF Govt","ID_ISIN")</f>
        <v>US912828WF37</v>
      </c>
      <c r="M680">
        <v>30000000000</v>
      </c>
      <c r="N680">
        <v>0</v>
      </c>
      <c r="O680" t="str">
        <f>_xll.BDP("912828WF Govt","ISSUE_DT")</f>
        <v>11/15/2013</v>
      </c>
      <c r="P680" t="str">
        <f>_xll.BDP("912828WF Govt","SECURITY_NAME")</f>
        <v>T 0 5/8 11/15/16</v>
      </c>
      <c r="Q680" t="str">
        <f>_xll.BDP("912828WF Govt","DAY_CNT_DES")</f>
        <v>ACT/ACT</v>
      </c>
      <c r="R680">
        <v>100</v>
      </c>
      <c r="S680" t="str">
        <f>_xll.BDP("912828WF Govt","ID_CUSIP")</f>
        <v>912828WF3</v>
      </c>
      <c r="T680" t="str">
        <f>_xll.BDP("912828WF Govt","IDX_RATIO")</f>
        <v>#N/A Field Not Applicable</v>
      </c>
    </row>
    <row r="681" spans="1:20" x14ac:dyDescent="0.25">
      <c r="A681" t="s">
        <v>14</v>
      </c>
      <c r="B681" t="str">
        <f>_xll.BDP("912828W3 Govt","TICKER")</f>
        <v>T</v>
      </c>
      <c r="C681">
        <f>_xll.BDP("912828W3 Govt","CPN")</f>
        <v>1.125</v>
      </c>
      <c r="D681" t="str">
        <f>_xll.BDP("912828W3 Govt","YLD_YTM_BID")</f>
        <v>#N/A N/A</v>
      </c>
      <c r="E681" t="str">
        <f>_xll.BDP("912828W3 Govt","MATURITY")</f>
        <v>2/28/2019</v>
      </c>
      <c r="F681" t="str">
        <f>_xll.BDP("912828W3 Govt","MTY_TYP")</f>
        <v>NORMAL</v>
      </c>
      <c r="G681" t="str">
        <f>_xll.BDP("912828W3 Govt","CRNCY")</f>
        <v>USD</v>
      </c>
      <c r="H681" t="str">
        <f>_xll.BDP("912828W3 Govt","COUNTRY_FULL_NAME")</f>
        <v>UNITED STATES</v>
      </c>
      <c r="I681" t="str">
        <f>_xll.BDP("912828W3 Govt","FIRST_CPN_DT")</f>
        <v>8/31/2017</v>
      </c>
      <c r="J681" t="str">
        <f>_xll.BDP("912828W3 Govt","COUPON_FREQUENCY_DESCRIPTION")</f>
        <v>S/A</v>
      </c>
      <c r="K681" t="str">
        <f>_xll.BDP("912828W3 Govt","CPN_TYP")</f>
        <v>FIXED</v>
      </c>
      <c r="L681" t="str">
        <f>_xll.BDP("912828W3 Govt","ID_ISIN")</f>
        <v>US912828W309</v>
      </c>
      <c r="M681">
        <v>29603000000</v>
      </c>
      <c r="N681">
        <v>0</v>
      </c>
      <c r="O681" t="str">
        <f>_xll.BDP("912828W3 Govt","ISSUE_DT")</f>
        <v>2/28/2017</v>
      </c>
      <c r="P681" t="str">
        <f>_xll.BDP("912828W3 Govt","SECURITY_NAME")</f>
        <v>T 1 1/8 02/28/19</v>
      </c>
      <c r="Q681" t="str">
        <f>_xll.BDP("912828W3 Govt","DAY_CNT_DES")</f>
        <v>ACT/ACT</v>
      </c>
      <c r="R681">
        <v>100</v>
      </c>
      <c r="S681" t="str">
        <f>_xll.BDP("912828W3 Govt","ID_CUSIP")</f>
        <v>912828W30</v>
      </c>
      <c r="T681" t="str">
        <f>_xll.BDP("912828W3 Govt","IDX_RATIO")</f>
        <v>#N/A Field Not Applicable</v>
      </c>
    </row>
    <row r="682" spans="1:20" x14ac:dyDescent="0.25">
      <c r="A682" t="s">
        <v>14</v>
      </c>
      <c r="B682" t="str">
        <f>_xll.BDP("912828WD Govt","TICKER")</f>
        <v>T</v>
      </c>
      <c r="C682">
        <f>_xll.BDP("912828WD Govt","CPN")</f>
        <v>1.25</v>
      </c>
      <c r="D682" t="str">
        <f>_xll.BDP("912828WD Govt","YLD_YTM_BID")</f>
        <v>#N/A N/A</v>
      </c>
      <c r="E682" t="str">
        <f>_xll.BDP("912828WD Govt","MATURITY")</f>
        <v>10/31/2018</v>
      </c>
      <c r="F682" t="str">
        <f>_xll.BDP("912828WD Govt","MTY_TYP")</f>
        <v>NORMAL</v>
      </c>
      <c r="G682" t="str">
        <f>_xll.BDP("912828WD Govt","CRNCY")</f>
        <v>USD</v>
      </c>
      <c r="H682" t="str">
        <f>_xll.BDP("912828WD Govt","COUNTRY_FULL_NAME")</f>
        <v>UNITED STATES</v>
      </c>
      <c r="I682" t="str">
        <f>_xll.BDP("912828WD Govt","FIRST_CPN_DT")</f>
        <v>4/30/2014</v>
      </c>
      <c r="J682" t="str">
        <f>_xll.BDP("912828WD Govt","COUPON_FREQUENCY_DESCRIPTION")</f>
        <v>S/A</v>
      </c>
      <c r="K682" t="str">
        <f>_xll.BDP("912828WD Govt","CPN_TYP")</f>
        <v>FIXED</v>
      </c>
      <c r="L682" t="str">
        <f>_xll.BDP("912828WD Govt","ID_ISIN")</f>
        <v>US912828WD88</v>
      </c>
      <c r="M682">
        <v>35000000000</v>
      </c>
      <c r="N682">
        <v>0</v>
      </c>
      <c r="O682" t="str">
        <f>_xll.BDP("912828WD Govt","ISSUE_DT")</f>
        <v>10/31/2013</v>
      </c>
      <c r="P682" t="str">
        <f>_xll.BDP("912828WD Govt","SECURITY_NAME")</f>
        <v>T 1 1/4 10/31/18</v>
      </c>
      <c r="Q682" t="str">
        <f>_xll.BDP("912828WD Govt","DAY_CNT_DES")</f>
        <v>ACT/ACT</v>
      </c>
      <c r="R682">
        <v>100</v>
      </c>
      <c r="S682" t="str">
        <f>_xll.BDP("912828WD Govt","ID_CUSIP")</f>
        <v>912828WD8</v>
      </c>
      <c r="T682" t="str">
        <f>_xll.BDP("912828WD Govt","IDX_RATIO")</f>
        <v>#N/A Field Not Applicable</v>
      </c>
    </row>
    <row r="683" spans="1:20" x14ac:dyDescent="0.25">
      <c r="A683" t="s">
        <v>14</v>
      </c>
      <c r="B683" t="str">
        <f>_xll.BDP("912827KU Govt","TICKER")</f>
        <v>T</v>
      </c>
      <c r="C683">
        <f>_xll.BDP("912827KU Govt","CPN")</f>
        <v>8.625</v>
      </c>
      <c r="D683" t="str">
        <f>_xll.BDP("912827KU Govt","YLD_YTM_BID")</f>
        <v>#N/A N/A</v>
      </c>
      <c r="E683" t="str">
        <f>_xll.BDP("912827KU Govt","MATURITY")</f>
        <v>6/30/1982</v>
      </c>
      <c r="F683" t="str">
        <f>_xll.BDP("912827KU Govt","MTY_TYP")</f>
        <v>NORMAL</v>
      </c>
      <c r="G683" t="str">
        <f>_xll.BDP("912827KU Govt","CRNCY")</f>
        <v>USD</v>
      </c>
      <c r="H683" t="str">
        <f>_xll.BDP("912827KU Govt","COUNTRY_FULL_NAME")</f>
        <v>UNITED STATES</v>
      </c>
      <c r="I683" t="str">
        <f>_xll.BDP("912827KU Govt","FIRST_CPN_DT")</f>
        <v>12/31/1980</v>
      </c>
      <c r="J683" t="str">
        <f>_xll.BDP("912827KU Govt","COUPON_FREQUENCY_DESCRIPTION")</f>
        <v>S/A</v>
      </c>
      <c r="K683" t="str">
        <f>_xll.BDP("912827KU Govt","CPN_TYP")</f>
        <v>FIXED</v>
      </c>
      <c r="L683" t="str">
        <f>_xll.BDP("912827KU Govt","ID_ISIN")</f>
        <v>US912827KU58</v>
      </c>
      <c r="N683">
        <v>0</v>
      </c>
      <c r="O683" t="str">
        <f>_xll.BDP("912827KU Govt","ISSUE_DT")</f>
        <v>6/30/1980</v>
      </c>
      <c r="P683" t="str">
        <f>_xll.BDP("912827KU Govt","SECURITY_NAME")</f>
        <v>T 8 5/8 06/30/82</v>
      </c>
      <c r="Q683" t="str">
        <f>_xll.BDP("912827KU Govt","DAY_CNT_DES")</f>
        <v>ACT/ACT</v>
      </c>
      <c r="R683">
        <v>100</v>
      </c>
      <c r="S683" t="str">
        <f>_xll.BDP("912827KU Govt","ID_CUSIP")</f>
        <v>912827KU5</v>
      </c>
      <c r="T683" t="str">
        <f>_xll.BDP("912827KU Govt","IDX_RATIO")</f>
        <v>#N/A Field Not Applicable</v>
      </c>
    </row>
    <row r="684" spans="1:20" x14ac:dyDescent="0.25">
      <c r="A684" t="s">
        <v>14</v>
      </c>
      <c r="B684" t="str">
        <f>_xll.BDP("912827YR Govt","TICKER")</f>
        <v>T</v>
      </c>
      <c r="C684">
        <f>_xll.BDP("912827YR Govt","CPN")</f>
        <v>8.5</v>
      </c>
      <c r="D684" t="str">
        <f>_xll.BDP("912827YR Govt","YLD_YTM_BID")</f>
        <v>#N/A N/A</v>
      </c>
      <c r="E684" t="str">
        <f>_xll.BDP("912827YR Govt","MATURITY")</f>
        <v>3/31/1992</v>
      </c>
      <c r="F684" t="str">
        <f>_xll.BDP("912827YR Govt","MTY_TYP")</f>
        <v>NORMAL</v>
      </c>
      <c r="G684" t="str">
        <f>_xll.BDP("912827YR Govt","CRNCY")</f>
        <v>USD</v>
      </c>
      <c r="H684" t="str">
        <f>_xll.BDP("912827YR Govt","COUNTRY_FULL_NAME")</f>
        <v>UNITED STATES</v>
      </c>
      <c r="I684" t="str">
        <f>_xll.BDP("912827YR Govt","FIRST_CPN_DT")</f>
        <v>9/30/1990</v>
      </c>
      <c r="J684" t="str">
        <f>_xll.BDP("912827YR Govt","COUPON_FREQUENCY_DESCRIPTION")</f>
        <v>S/A</v>
      </c>
      <c r="K684" t="str">
        <f>_xll.BDP("912827YR Govt","CPN_TYP")</f>
        <v>FIXED</v>
      </c>
      <c r="L684" t="str">
        <f>_xll.BDP("912827YR Govt","ID_ISIN")</f>
        <v>US912827YR73</v>
      </c>
      <c r="N684">
        <v>0</v>
      </c>
      <c r="O684" t="str">
        <f>_xll.BDP("912827YR Govt","ISSUE_DT")</f>
        <v>4/2/1990</v>
      </c>
      <c r="P684" t="str">
        <f>_xll.BDP("912827YR Govt","SECURITY_NAME")</f>
        <v>T 8 1/2 03/31/92</v>
      </c>
      <c r="Q684" t="str">
        <f>_xll.BDP("912827YR Govt","DAY_CNT_DES")</f>
        <v>ACT/ACT</v>
      </c>
      <c r="R684">
        <v>100</v>
      </c>
      <c r="S684" t="str">
        <f>_xll.BDP("912827YR Govt","ID_CUSIP")</f>
        <v>912827YR7</v>
      </c>
      <c r="T684" t="str">
        <f>_xll.BDP("912827YR Govt","IDX_RATIO")</f>
        <v>#N/A Field Not Applicable</v>
      </c>
    </row>
    <row r="685" spans="1:20" x14ac:dyDescent="0.25">
      <c r="A685" t="s">
        <v>14</v>
      </c>
      <c r="B685" t="str">
        <f>_xll.BDP("912827ZN Govt","TICKER")</f>
        <v>T</v>
      </c>
      <c r="C685">
        <f>_xll.BDP("912827ZN Govt","CPN")</f>
        <v>8.5</v>
      </c>
      <c r="D685" t="str">
        <f>_xll.BDP("912827ZN Govt","YLD_YTM_BID")</f>
        <v>#N/A N/A</v>
      </c>
      <c r="E685" t="str">
        <f>_xll.BDP("912827ZN Govt","MATURITY")</f>
        <v>11/15/2000</v>
      </c>
      <c r="F685" t="str">
        <f>_xll.BDP("912827ZN Govt","MTY_TYP")</f>
        <v>NORMAL</v>
      </c>
      <c r="G685" t="str">
        <f>_xll.BDP("912827ZN Govt","CRNCY")</f>
        <v>USD</v>
      </c>
      <c r="H685" t="str">
        <f>_xll.BDP("912827ZN Govt","COUNTRY_FULL_NAME")</f>
        <v>UNITED STATES</v>
      </c>
      <c r="I685" t="str">
        <f>_xll.BDP("912827ZN Govt","FIRST_CPN_DT")</f>
        <v>5/15/1991</v>
      </c>
      <c r="J685" t="str">
        <f>_xll.BDP("912827ZN Govt","COUPON_FREQUENCY_DESCRIPTION")</f>
        <v>S/A</v>
      </c>
      <c r="K685" t="str">
        <f>_xll.BDP("912827ZN Govt","CPN_TYP")</f>
        <v>FIXED</v>
      </c>
      <c r="L685" t="str">
        <f>_xll.BDP("912827ZN Govt","ID_ISIN")</f>
        <v>US912827ZN50</v>
      </c>
      <c r="M685">
        <v>11520000000</v>
      </c>
      <c r="N685">
        <v>0</v>
      </c>
      <c r="O685" t="str">
        <f>_xll.BDP("912827ZN Govt","ISSUE_DT")</f>
        <v>11/15/1990</v>
      </c>
      <c r="P685" t="str">
        <f>_xll.BDP("912827ZN Govt","SECURITY_NAME")</f>
        <v>T 8 1/2 11/15/00</v>
      </c>
      <c r="Q685" t="str">
        <f>_xll.BDP("912827ZN Govt","DAY_CNT_DES")</f>
        <v>ACT/ACT</v>
      </c>
      <c r="R685">
        <v>100</v>
      </c>
      <c r="S685" t="str">
        <f>_xll.BDP("912827ZN Govt","ID_CUSIP")</f>
        <v>912827ZN5</v>
      </c>
      <c r="T685" t="str">
        <f>_xll.BDP("912827ZN Govt","IDX_RATIO")</f>
        <v>#N/A Field Not Applicable</v>
      </c>
    </row>
    <row r="686" spans="1:20" x14ac:dyDescent="0.25">
      <c r="A686" t="s">
        <v>14</v>
      </c>
      <c r="B686" t="str">
        <f>_xll.BDP("912828J6 Govt","TICKER")</f>
        <v>T</v>
      </c>
      <c r="C686">
        <f>_xll.BDP("912828J6 Govt","CPN")</f>
        <v>1</v>
      </c>
      <c r="D686" t="str">
        <f>_xll.BDP("912828J6 Govt","YLD_YTM_BID")</f>
        <v>#N/A N/A</v>
      </c>
      <c r="E686" t="str">
        <f>_xll.BDP("912828J6 Govt","MATURITY")</f>
        <v>3/15/2018</v>
      </c>
      <c r="F686" t="str">
        <f>_xll.BDP("912828J6 Govt","MTY_TYP")</f>
        <v>NORMAL</v>
      </c>
      <c r="G686" t="str">
        <f>_xll.BDP("912828J6 Govt","CRNCY")</f>
        <v>USD</v>
      </c>
      <c r="H686" t="str">
        <f>_xll.BDP("912828J6 Govt","COUNTRY_FULL_NAME")</f>
        <v>UNITED STATES</v>
      </c>
      <c r="I686" t="str">
        <f>_xll.BDP("912828J6 Govt","FIRST_CPN_DT")</f>
        <v>9/15/2015</v>
      </c>
      <c r="J686" t="str">
        <f>_xll.BDP("912828J6 Govt","COUPON_FREQUENCY_DESCRIPTION")</f>
        <v>S/A</v>
      </c>
      <c r="K686" t="str">
        <f>_xll.BDP("912828J6 Govt","CPN_TYP")</f>
        <v>FIXED</v>
      </c>
      <c r="L686" t="str">
        <f>_xll.BDP("912828J6 Govt","ID_ISIN")</f>
        <v>US912828J686</v>
      </c>
      <c r="M686">
        <v>24000000000</v>
      </c>
      <c r="N686">
        <v>0</v>
      </c>
      <c r="O686" t="str">
        <f>_xll.BDP("912828J6 Govt","ISSUE_DT")</f>
        <v>3/16/2015</v>
      </c>
      <c r="P686" t="str">
        <f>_xll.BDP("912828J6 Govt","SECURITY_NAME")</f>
        <v>T 1 03/15/18</v>
      </c>
      <c r="Q686" t="str">
        <f>_xll.BDP("912828J6 Govt","DAY_CNT_DES")</f>
        <v>ACT/ACT</v>
      </c>
      <c r="R686">
        <v>100</v>
      </c>
      <c r="S686" t="str">
        <f>_xll.BDP("912828J6 Govt","ID_CUSIP")</f>
        <v>912828J68</v>
      </c>
      <c r="T686" t="str">
        <f>_xll.BDP("912828J6 Govt","IDX_RATIO")</f>
        <v>#N/A Field Not Applicable</v>
      </c>
    </row>
    <row r="687" spans="1:20" x14ac:dyDescent="0.25">
      <c r="A687" t="s">
        <v>14</v>
      </c>
      <c r="B687" t="str">
        <f>_xll.BDP("912828RV Govt","TICKER")</f>
        <v>T</v>
      </c>
      <c r="C687">
        <f>_xll.BDP("912828RV Govt","CPN")</f>
        <v>0.25</v>
      </c>
      <c r="D687" t="str">
        <f>_xll.BDP("912828RV Govt","YLD_YTM_BID")</f>
        <v>#N/A N/A</v>
      </c>
      <c r="E687" t="str">
        <f>_xll.BDP("912828RV Govt","MATURITY")</f>
        <v>12/15/2014</v>
      </c>
      <c r="F687" t="str">
        <f>_xll.BDP("912828RV Govt","MTY_TYP")</f>
        <v>NORMAL</v>
      </c>
      <c r="G687" t="str">
        <f>_xll.BDP("912828RV Govt","CRNCY")</f>
        <v>USD</v>
      </c>
      <c r="H687" t="str">
        <f>_xll.BDP("912828RV Govt","COUNTRY_FULL_NAME")</f>
        <v>UNITED STATES</v>
      </c>
      <c r="I687" t="str">
        <f>_xll.BDP("912828RV Govt","FIRST_CPN_DT")</f>
        <v>6/15/2012</v>
      </c>
      <c r="J687" t="str">
        <f>_xll.BDP("912828RV Govt","COUPON_FREQUENCY_DESCRIPTION")</f>
        <v>S/A</v>
      </c>
      <c r="K687" t="str">
        <f>_xll.BDP("912828RV Govt","CPN_TYP")</f>
        <v>FIXED</v>
      </c>
      <c r="L687" t="str">
        <f>_xll.BDP("912828RV Govt","ID_ISIN")</f>
        <v>US912828RV42</v>
      </c>
      <c r="M687">
        <v>33170000000</v>
      </c>
      <c r="N687">
        <v>0</v>
      </c>
      <c r="O687" t="str">
        <f>_xll.BDP("912828RV Govt","ISSUE_DT")</f>
        <v>12/15/2011</v>
      </c>
      <c r="P687" t="str">
        <f>_xll.BDP("912828RV Govt","SECURITY_NAME")</f>
        <v>T 0 1/4 12/15/14</v>
      </c>
      <c r="Q687" t="str">
        <f>_xll.BDP("912828RV Govt","DAY_CNT_DES")</f>
        <v>ACT/ACT</v>
      </c>
      <c r="R687">
        <v>100</v>
      </c>
      <c r="S687" t="str">
        <f>_xll.BDP("912828RV Govt","ID_CUSIP")</f>
        <v>912828RV4</v>
      </c>
      <c r="T687" t="str">
        <f>_xll.BDP("912828RV Govt","IDX_RATIO")</f>
        <v>#N/A Field Not Applicable</v>
      </c>
    </row>
    <row r="688" spans="1:20" x14ac:dyDescent="0.25">
      <c r="A688" t="s">
        <v>14</v>
      </c>
      <c r="B688" t="str">
        <f>_xll.BDP("912828C2 Govt","TICKER")</f>
        <v>T</v>
      </c>
      <c r="C688">
        <f>_xll.BDP("912828C2 Govt","CPN")</f>
        <v>1.5</v>
      </c>
      <c r="D688" t="str">
        <f>_xll.BDP("912828C2 Govt","YLD_YTM_BID")</f>
        <v>#N/A N/A</v>
      </c>
      <c r="E688" t="str">
        <f>_xll.BDP("912828C2 Govt","MATURITY")</f>
        <v>2/28/2019</v>
      </c>
      <c r="F688" t="str">
        <f>_xll.BDP("912828C2 Govt","MTY_TYP")</f>
        <v>NORMAL</v>
      </c>
      <c r="G688" t="str">
        <f>_xll.BDP("912828C2 Govt","CRNCY")</f>
        <v>USD</v>
      </c>
      <c r="H688" t="str">
        <f>_xll.BDP("912828C2 Govt","COUNTRY_FULL_NAME")</f>
        <v>UNITED STATES</v>
      </c>
      <c r="I688" t="str">
        <f>_xll.BDP("912828C2 Govt","FIRST_CPN_DT")</f>
        <v>8/31/2014</v>
      </c>
      <c r="J688" t="str">
        <f>_xll.BDP("912828C2 Govt","COUPON_FREQUENCY_DESCRIPTION")</f>
        <v>S/A</v>
      </c>
      <c r="K688" t="str">
        <f>_xll.BDP("912828C2 Govt","CPN_TYP")</f>
        <v>FIXED</v>
      </c>
      <c r="L688" t="str">
        <f>_xll.BDP("912828C2 Govt","ID_ISIN")</f>
        <v>US912828C244</v>
      </c>
      <c r="M688">
        <v>35097000000</v>
      </c>
      <c r="N688">
        <v>0</v>
      </c>
      <c r="O688" t="str">
        <f>_xll.BDP("912828C2 Govt","ISSUE_DT")</f>
        <v>2/28/2014</v>
      </c>
      <c r="P688" t="str">
        <f>_xll.BDP("912828C2 Govt","SECURITY_NAME")</f>
        <v>T 1 1/2 02/28/19</v>
      </c>
      <c r="Q688" t="str">
        <f>_xll.BDP("912828C2 Govt","DAY_CNT_DES")</f>
        <v>ACT/ACT</v>
      </c>
      <c r="R688">
        <v>100</v>
      </c>
      <c r="S688" t="str">
        <f>_xll.BDP("912828C2 Govt","ID_CUSIP")</f>
        <v>912828C24</v>
      </c>
      <c r="T688" t="str">
        <f>_xll.BDP("912828C2 Govt","IDX_RATIO")</f>
        <v>#N/A Field Not Applicable</v>
      </c>
    </row>
    <row r="689" spans="1:20" x14ac:dyDescent="0.25">
      <c r="A689" t="s">
        <v>14</v>
      </c>
      <c r="B689" t="str">
        <f>_xll.BDP("912828R8 Govt","TICKER")</f>
        <v>T</v>
      </c>
      <c r="C689">
        <f>_xll.BDP("912828R8 Govt","CPN")</f>
        <v>0.875</v>
      </c>
      <c r="D689" t="str">
        <f>_xll.BDP("912828R8 Govt","YLD_YTM_BID")</f>
        <v>#N/A N/A</v>
      </c>
      <c r="E689" t="str">
        <f>_xll.BDP("912828R8 Govt","MATURITY")</f>
        <v>6/15/2019</v>
      </c>
      <c r="F689" t="str">
        <f>_xll.BDP("912828R8 Govt","MTY_TYP")</f>
        <v>NORMAL</v>
      </c>
      <c r="G689" t="str">
        <f>_xll.BDP("912828R8 Govt","CRNCY")</f>
        <v>USD</v>
      </c>
      <c r="H689" t="str">
        <f>_xll.BDP("912828R8 Govt","COUNTRY_FULL_NAME")</f>
        <v>UNITED STATES</v>
      </c>
      <c r="I689" t="str">
        <f>_xll.BDP("912828R8 Govt","FIRST_CPN_DT")</f>
        <v>12/15/2016</v>
      </c>
      <c r="J689" t="str">
        <f>_xll.BDP("912828R8 Govt","COUPON_FREQUENCY_DESCRIPTION")</f>
        <v>S/A</v>
      </c>
      <c r="K689" t="str">
        <f>_xll.BDP("912828R8 Govt","CPN_TYP")</f>
        <v>FIXED</v>
      </c>
      <c r="L689" t="str">
        <f>_xll.BDP("912828R8 Govt","ID_ISIN")</f>
        <v>US912828R853</v>
      </c>
      <c r="M689">
        <v>24000000000</v>
      </c>
      <c r="N689">
        <v>0</v>
      </c>
      <c r="O689" t="str">
        <f>_xll.BDP("912828R8 Govt","ISSUE_DT")</f>
        <v>6/15/2016</v>
      </c>
      <c r="P689" t="str">
        <f>_xll.BDP("912828R8 Govt","SECURITY_NAME")</f>
        <v>T 0 7/8 06/15/19</v>
      </c>
      <c r="Q689" t="str">
        <f>_xll.BDP("912828R8 Govt","DAY_CNT_DES")</f>
        <v>ACT/ACT</v>
      </c>
      <c r="R689">
        <v>100</v>
      </c>
      <c r="S689" t="str">
        <f>_xll.BDP("912828R8 Govt","ID_CUSIP")</f>
        <v>912828R85</v>
      </c>
      <c r="T689" t="str">
        <f>_xll.BDP("912828R8 Govt","IDX_RATIO")</f>
        <v>#N/A Field Not Applicable</v>
      </c>
    </row>
    <row r="690" spans="1:20" x14ac:dyDescent="0.25">
      <c r="A690" t="s">
        <v>14</v>
      </c>
      <c r="B690" t="str">
        <f>_xll.BDP("912828JJ Govt","TICKER")</f>
        <v>T</v>
      </c>
      <c r="C690">
        <f>_xll.BDP("912828JJ Govt","CPN")</f>
        <v>2.375</v>
      </c>
      <c r="D690" t="str">
        <f>_xll.BDP("912828JJ Govt","YLD_YTM_BID")</f>
        <v>#N/A N/A</v>
      </c>
      <c r="E690" t="str">
        <f>_xll.BDP("912828JJ Govt","MATURITY")</f>
        <v>8/31/2010</v>
      </c>
      <c r="F690" t="str">
        <f>_xll.BDP("912828JJ Govt","MTY_TYP")</f>
        <v>NORMAL</v>
      </c>
      <c r="G690" t="str">
        <f>_xll.BDP("912828JJ Govt","CRNCY")</f>
        <v>USD</v>
      </c>
      <c r="H690" t="str">
        <f>_xll.BDP("912828JJ Govt","COUNTRY_FULL_NAME")</f>
        <v>UNITED STATES</v>
      </c>
      <c r="I690" t="str">
        <f>_xll.BDP("912828JJ Govt","FIRST_CPN_DT")</f>
        <v>2/28/2009</v>
      </c>
      <c r="J690" t="str">
        <f>_xll.BDP("912828JJ Govt","COUPON_FREQUENCY_DESCRIPTION")</f>
        <v>S/A</v>
      </c>
      <c r="K690" t="str">
        <f>_xll.BDP("912828JJ Govt","CPN_TYP")</f>
        <v>FIXED</v>
      </c>
      <c r="L690" t="str">
        <f>_xll.BDP("912828JJ Govt","ID_ISIN")</f>
        <v>US912828JJ06</v>
      </c>
      <c r="M690">
        <v>34653000000</v>
      </c>
      <c r="N690">
        <v>0</v>
      </c>
      <c r="O690" t="str">
        <f>_xll.BDP("912828JJ Govt","ISSUE_DT")</f>
        <v>9/2/2008</v>
      </c>
      <c r="P690" t="str">
        <f>_xll.BDP("912828JJ Govt","SECURITY_NAME")</f>
        <v>T 2 3/8 08/31/10</v>
      </c>
      <c r="Q690" t="str">
        <f>_xll.BDP("912828JJ Govt","DAY_CNT_DES")</f>
        <v>ACT/ACT</v>
      </c>
      <c r="R690">
        <v>100</v>
      </c>
      <c r="S690" t="str">
        <f>_xll.BDP("912828JJ Govt","ID_CUSIP")</f>
        <v>912828JJ0</v>
      </c>
      <c r="T690" t="str">
        <f>_xll.BDP("912828JJ Govt","IDX_RATIO")</f>
        <v>#N/A Field Not Applicable</v>
      </c>
    </row>
    <row r="691" spans="1:20" x14ac:dyDescent="0.25">
      <c r="A691" t="s">
        <v>14</v>
      </c>
      <c r="B691" t="str">
        <f>_xll.BDP("912828JY Govt","TICKER")</f>
        <v>T</v>
      </c>
      <c r="C691">
        <f>_xll.BDP("912828JY Govt","CPN")</f>
        <v>0.875</v>
      </c>
      <c r="D691" t="str">
        <f>_xll.BDP("912828JY Govt","YLD_YTM_BID")</f>
        <v>#N/A N/A</v>
      </c>
      <c r="E691" t="str">
        <f>_xll.BDP("912828JY Govt","MATURITY")</f>
        <v>1/31/2011</v>
      </c>
      <c r="F691" t="str">
        <f>_xll.BDP("912828JY Govt","MTY_TYP")</f>
        <v>NORMAL</v>
      </c>
      <c r="G691" t="str">
        <f>_xll.BDP("912828JY Govt","CRNCY")</f>
        <v>USD</v>
      </c>
      <c r="H691" t="str">
        <f>_xll.BDP("912828JY Govt","COUNTRY_FULL_NAME")</f>
        <v>UNITED STATES</v>
      </c>
      <c r="I691" t="str">
        <f>_xll.BDP("912828JY Govt","FIRST_CPN_DT")</f>
        <v>7/31/2009</v>
      </c>
      <c r="J691" t="str">
        <f>_xll.BDP("912828JY Govt","COUPON_FREQUENCY_DESCRIPTION")</f>
        <v>S/A</v>
      </c>
      <c r="K691" t="str">
        <f>_xll.BDP("912828JY Govt","CPN_TYP")</f>
        <v>FIXED</v>
      </c>
      <c r="L691" t="str">
        <f>_xll.BDP("912828JY Govt","ID_ISIN")</f>
        <v>US912828JY72</v>
      </c>
      <c r="M691">
        <v>41698000000</v>
      </c>
      <c r="N691">
        <v>0</v>
      </c>
      <c r="O691" t="str">
        <f>_xll.BDP("912828JY Govt","ISSUE_DT")</f>
        <v>2/2/2009</v>
      </c>
      <c r="P691" t="str">
        <f>_xll.BDP("912828JY Govt","SECURITY_NAME")</f>
        <v>T 0 7/8 01/31/11</v>
      </c>
      <c r="Q691" t="str">
        <f>_xll.BDP("912828JY Govt","DAY_CNT_DES")</f>
        <v>ACT/ACT</v>
      </c>
      <c r="R691">
        <v>100</v>
      </c>
      <c r="S691" t="str">
        <f>_xll.BDP("912828JY Govt","ID_CUSIP")</f>
        <v>912828JY7</v>
      </c>
      <c r="T691" t="str">
        <f>_xll.BDP("912828JY Govt","IDX_RATIO")</f>
        <v>#N/A Field Not Applicable</v>
      </c>
    </row>
    <row r="692" spans="1:20" x14ac:dyDescent="0.25">
      <c r="A692" t="s">
        <v>14</v>
      </c>
      <c r="B692" t="str">
        <f>_xll.BDP("912828S6 Govt","TICKER")</f>
        <v>T</v>
      </c>
      <c r="C692">
        <f>_xll.BDP("912828S6 Govt","CPN")</f>
        <v>0.75</v>
      </c>
      <c r="D692" t="str">
        <f>_xll.BDP("912828S6 Govt","YLD_YTM_BID")</f>
        <v>#N/A N/A</v>
      </c>
      <c r="E692" t="str">
        <f>_xll.BDP("912828S6 Govt","MATURITY")</f>
        <v>7/31/2018</v>
      </c>
      <c r="F692" t="str">
        <f>_xll.BDP("912828S6 Govt","MTY_TYP")</f>
        <v>NORMAL</v>
      </c>
      <c r="G692" t="str">
        <f>_xll.BDP("912828S6 Govt","CRNCY")</f>
        <v>USD</v>
      </c>
      <c r="H692" t="str">
        <f>_xll.BDP("912828S6 Govt","COUNTRY_FULL_NAME")</f>
        <v>UNITED STATES</v>
      </c>
      <c r="I692" t="str">
        <f>_xll.BDP("912828S6 Govt","FIRST_CPN_DT")</f>
        <v>1/31/2017</v>
      </c>
      <c r="J692" t="str">
        <f>_xll.BDP("912828S6 Govt","COUPON_FREQUENCY_DESCRIPTION")</f>
        <v>S/A</v>
      </c>
      <c r="K692" t="str">
        <f>_xll.BDP("912828S6 Govt","CPN_TYP")</f>
        <v>FIXED</v>
      </c>
      <c r="L692" t="str">
        <f>_xll.BDP("912828S6 Govt","ID_ISIN")</f>
        <v>US912828S687</v>
      </c>
      <c r="M692">
        <v>27815000000</v>
      </c>
      <c r="N692">
        <v>0</v>
      </c>
      <c r="O692" t="str">
        <f>_xll.BDP("912828S6 Govt","ISSUE_DT")</f>
        <v>8/1/2016</v>
      </c>
      <c r="P692" t="str">
        <f>_xll.BDP("912828S6 Govt","SECURITY_NAME")</f>
        <v>T 0 3/4 07/31/18</v>
      </c>
      <c r="Q692" t="str">
        <f>_xll.BDP("912828S6 Govt","DAY_CNT_DES")</f>
        <v>ACT/ACT</v>
      </c>
      <c r="R692">
        <v>100</v>
      </c>
      <c r="S692" t="str">
        <f>_xll.BDP("912828S6 Govt","ID_CUSIP")</f>
        <v>912828S68</v>
      </c>
      <c r="T692" t="str">
        <f>_xll.BDP("912828S6 Govt","IDX_RATIO")</f>
        <v>#N/A Field Not Applicable</v>
      </c>
    </row>
    <row r="693" spans="1:20" x14ac:dyDescent="0.25">
      <c r="A693" t="s">
        <v>14</v>
      </c>
      <c r="B693" t="str">
        <f>_xll.BDP("912828UV Govt","TICKER")</f>
        <v>T</v>
      </c>
      <c r="C693">
        <f>_xll.BDP("912828UV Govt","CPN")</f>
        <v>1.125</v>
      </c>
      <c r="D693" t="str">
        <f>_xll.BDP("912828UV Govt","YLD_YTM_BID")</f>
        <v>#N/A N/A</v>
      </c>
      <c r="E693" t="str">
        <f>_xll.BDP("912828UV Govt","MATURITY")</f>
        <v>3/31/2020</v>
      </c>
      <c r="F693" t="str">
        <f>_xll.BDP("912828UV Govt","MTY_TYP")</f>
        <v>NORMAL</v>
      </c>
      <c r="G693" t="str">
        <f>_xll.BDP("912828UV Govt","CRNCY")</f>
        <v>USD</v>
      </c>
      <c r="H693" t="str">
        <f>_xll.BDP("912828UV Govt","COUNTRY_FULL_NAME")</f>
        <v>UNITED STATES</v>
      </c>
      <c r="I693" t="str">
        <f>_xll.BDP("912828UV Govt","FIRST_CPN_DT")</f>
        <v>9/30/2013</v>
      </c>
      <c r="J693" t="str">
        <f>_xll.BDP("912828UV Govt","COUPON_FREQUENCY_DESCRIPTION")</f>
        <v>S/A</v>
      </c>
      <c r="K693" t="str">
        <f>_xll.BDP("912828UV Govt","CPN_TYP")</f>
        <v>FIXED</v>
      </c>
      <c r="L693" t="str">
        <f>_xll.BDP("912828UV Govt","ID_ISIN")</f>
        <v>US912828UV05</v>
      </c>
      <c r="M693">
        <v>29001000000</v>
      </c>
      <c r="N693">
        <v>0</v>
      </c>
      <c r="O693" t="str">
        <f>_xll.BDP("912828UV Govt","ISSUE_DT")</f>
        <v>4/1/2013</v>
      </c>
      <c r="P693" t="str">
        <f>_xll.BDP("912828UV Govt","SECURITY_NAME")</f>
        <v>T 1 1/8 03/31/20</v>
      </c>
      <c r="Q693" t="str">
        <f>_xll.BDP("912828UV Govt","DAY_CNT_DES")</f>
        <v>ACT/ACT</v>
      </c>
      <c r="R693">
        <v>100</v>
      </c>
      <c r="S693" t="str">
        <f>_xll.BDP("912828UV Govt","ID_CUSIP")</f>
        <v>912828UV0</v>
      </c>
      <c r="T693" t="str">
        <f>_xll.BDP("912828UV Govt","IDX_RATIO")</f>
        <v>#N/A Field Not Applicable</v>
      </c>
    </row>
    <row r="694" spans="1:20" x14ac:dyDescent="0.25">
      <c r="A694" t="s">
        <v>14</v>
      </c>
      <c r="B694" t="str">
        <f>_xll.BDP("912828VF Govt","TICKER")</f>
        <v>T</v>
      </c>
      <c r="C694">
        <f>_xll.BDP("912828VF Govt","CPN")</f>
        <v>1.375</v>
      </c>
      <c r="D694" t="str">
        <f>_xll.BDP("912828VF Govt","YLD_YTM_BID")</f>
        <v>#N/A N/A</v>
      </c>
      <c r="E694" t="str">
        <f>_xll.BDP("912828VF Govt","MATURITY")</f>
        <v>5/31/2020</v>
      </c>
      <c r="F694" t="str">
        <f>_xll.BDP("912828VF Govt","MTY_TYP")</f>
        <v>NORMAL</v>
      </c>
      <c r="G694" t="str">
        <f>_xll.BDP("912828VF Govt","CRNCY")</f>
        <v>USD</v>
      </c>
      <c r="H694" t="str">
        <f>_xll.BDP("912828VF Govt","COUNTRY_FULL_NAME")</f>
        <v>UNITED STATES</v>
      </c>
      <c r="I694" t="str">
        <f>_xll.BDP("912828VF Govt","FIRST_CPN_DT")</f>
        <v>11/30/2013</v>
      </c>
      <c r="J694" t="str">
        <f>_xll.BDP("912828VF Govt","COUPON_FREQUENCY_DESCRIPTION")</f>
        <v>S/A</v>
      </c>
      <c r="K694" t="str">
        <f>_xll.BDP("912828VF Govt","CPN_TYP")</f>
        <v>FIXED</v>
      </c>
      <c r="L694" t="str">
        <f>_xll.BDP("912828VF Govt","ID_ISIN")</f>
        <v>US912828VF46</v>
      </c>
      <c r="M694">
        <v>29000000000</v>
      </c>
      <c r="N694">
        <v>0</v>
      </c>
      <c r="O694" t="str">
        <f>_xll.BDP("912828VF Govt","ISSUE_DT")</f>
        <v>5/31/2013</v>
      </c>
      <c r="P694" t="str">
        <f>_xll.BDP("912828VF Govt","SECURITY_NAME")</f>
        <v>T 1 3/8 05/31/20</v>
      </c>
      <c r="Q694" t="str">
        <f>_xll.BDP("912828VF Govt","DAY_CNT_DES")</f>
        <v>ACT/ACT</v>
      </c>
      <c r="R694">
        <v>100</v>
      </c>
      <c r="S694" t="str">
        <f>_xll.BDP("912828VF Govt","ID_CUSIP")</f>
        <v>912828VF4</v>
      </c>
      <c r="T694" t="str">
        <f>_xll.BDP("912828VF Govt","IDX_RATIO")</f>
        <v>#N/A Field Not Applicable</v>
      </c>
    </row>
    <row r="695" spans="1:20" x14ac:dyDescent="0.25">
      <c r="A695" t="s">
        <v>14</v>
      </c>
      <c r="B695" t="str">
        <f>_xll.BDP("912828VZ Govt","TICKER")</f>
        <v>T</v>
      </c>
      <c r="C695">
        <f>_xll.BDP("912828VZ Govt","CPN")</f>
        <v>2</v>
      </c>
      <c r="D695" t="str">
        <f>_xll.BDP("912828VZ Govt","YLD_YTM_BID")</f>
        <v>#N/A N/A</v>
      </c>
      <c r="E695" t="str">
        <f>_xll.BDP("912828VZ Govt","MATURITY")</f>
        <v>9/30/2020</v>
      </c>
      <c r="F695" t="str">
        <f>_xll.BDP("912828VZ Govt","MTY_TYP")</f>
        <v>NORMAL</v>
      </c>
      <c r="G695" t="str">
        <f>_xll.BDP("912828VZ Govt","CRNCY")</f>
        <v>USD</v>
      </c>
      <c r="H695" t="str">
        <f>_xll.BDP("912828VZ Govt","COUNTRY_FULL_NAME")</f>
        <v>UNITED STATES</v>
      </c>
      <c r="I695" t="str">
        <f>_xll.BDP("912828VZ Govt","FIRST_CPN_DT")</f>
        <v>3/31/2014</v>
      </c>
      <c r="J695" t="str">
        <f>_xll.BDP("912828VZ Govt","COUPON_FREQUENCY_DESCRIPTION")</f>
        <v>S/A</v>
      </c>
      <c r="K695" t="str">
        <f>_xll.BDP("912828VZ Govt","CPN_TYP")</f>
        <v>FIXED</v>
      </c>
      <c r="L695" t="str">
        <f>_xll.BDP("912828VZ Govt","ID_ISIN")</f>
        <v>US912828VZ00</v>
      </c>
      <c r="M695">
        <v>29000000000</v>
      </c>
      <c r="N695">
        <v>0</v>
      </c>
      <c r="O695" t="str">
        <f>_xll.BDP("912828VZ Govt","ISSUE_DT")</f>
        <v>9/30/2013</v>
      </c>
      <c r="P695" t="str">
        <f>_xll.BDP("912828VZ Govt","SECURITY_NAME")</f>
        <v>T 2 09/30/20</v>
      </c>
      <c r="Q695" t="str">
        <f>_xll.BDP("912828VZ Govt","DAY_CNT_DES")</f>
        <v>ACT/ACT</v>
      </c>
      <c r="R695">
        <v>100</v>
      </c>
      <c r="S695" t="str">
        <f>_xll.BDP("912828VZ Govt","ID_CUSIP")</f>
        <v>912828VZ0</v>
      </c>
      <c r="T695" t="str">
        <f>_xll.BDP("912828VZ Govt","IDX_RATIO")</f>
        <v>#N/A Field Not Applicable</v>
      </c>
    </row>
    <row r="696" spans="1:20" x14ac:dyDescent="0.25">
      <c r="A696" t="s">
        <v>14</v>
      </c>
      <c r="B696" t="str">
        <f>_xll.BDP("912828CN Govt","TICKER")</f>
        <v>T</v>
      </c>
      <c r="C696">
        <f>_xll.BDP("912828CN Govt","CPN")</f>
        <v>3.625</v>
      </c>
      <c r="D696" t="str">
        <f>_xll.BDP("912828CN Govt","YLD_YTM_BID")</f>
        <v>#N/A N/A</v>
      </c>
      <c r="E696" t="str">
        <f>_xll.BDP("912828CN Govt","MATURITY")</f>
        <v>7/15/2009</v>
      </c>
      <c r="F696" t="str">
        <f>_xll.BDP("912828CN Govt","MTY_TYP")</f>
        <v>NORMAL</v>
      </c>
      <c r="G696" t="str">
        <f>_xll.BDP("912828CN Govt","CRNCY")</f>
        <v>USD</v>
      </c>
      <c r="H696" t="str">
        <f>_xll.BDP("912828CN Govt","COUNTRY_FULL_NAME")</f>
        <v>UNITED STATES</v>
      </c>
      <c r="I696" t="str">
        <f>_xll.BDP("912828CN Govt","FIRST_CPN_DT")</f>
        <v>1/15/2005</v>
      </c>
      <c r="J696" t="str">
        <f>_xll.BDP("912828CN Govt","COUPON_FREQUENCY_DESCRIPTION")</f>
        <v>S/A</v>
      </c>
      <c r="K696" t="str">
        <f>_xll.BDP("912828CN Govt","CPN_TYP")</f>
        <v>FIXED</v>
      </c>
      <c r="L696" t="str">
        <f>_xll.BDP("912828CN Govt","ID_ISIN")</f>
        <v>US912828CN80</v>
      </c>
      <c r="M696">
        <v>15005000000</v>
      </c>
      <c r="N696">
        <v>0</v>
      </c>
      <c r="O696" t="str">
        <f>_xll.BDP("912828CN Govt","ISSUE_DT")</f>
        <v>7/15/2004</v>
      </c>
      <c r="P696" t="str">
        <f>_xll.BDP("912828CN Govt","SECURITY_NAME")</f>
        <v>T 3 5/8 07/15/09</v>
      </c>
      <c r="Q696" t="str">
        <f>_xll.BDP("912828CN Govt","DAY_CNT_DES")</f>
        <v>ACT/ACT</v>
      </c>
      <c r="R696">
        <v>100</v>
      </c>
      <c r="S696" t="str">
        <f>_xll.BDP("912828CN Govt","ID_CUSIP")</f>
        <v>912828CN8</v>
      </c>
      <c r="T696" t="str">
        <f>_xll.BDP("912828CN Govt","IDX_RATIO")</f>
        <v>#N/A Field Not Applicable</v>
      </c>
    </row>
    <row r="697" spans="1:20" x14ac:dyDescent="0.25">
      <c r="A697" t="s">
        <v>14</v>
      </c>
      <c r="B697" t="str">
        <f>_xll.BDP("912810DM Govt","TICKER")</f>
        <v>T</v>
      </c>
      <c r="C697">
        <f>_xll.BDP("912810DM Govt","CPN")</f>
        <v>11.625</v>
      </c>
      <c r="D697" t="str">
        <f>_xll.BDP("912810DM Govt","YLD_YTM_BID")</f>
        <v>#N/A N/A</v>
      </c>
      <c r="E697" t="str">
        <f>_xll.BDP("912810DM Govt","MATURITY")</f>
        <v>11/15/2004</v>
      </c>
      <c r="F697" t="str">
        <f>_xll.BDP("912810DM Govt","MTY_TYP")</f>
        <v>NORMAL</v>
      </c>
      <c r="G697" t="str">
        <f>_xll.BDP("912810DM Govt","CRNCY")</f>
        <v>USD</v>
      </c>
      <c r="H697" t="str">
        <f>_xll.BDP("912810DM Govt","COUNTRY_FULL_NAME")</f>
        <v>UNITED STATES</v>
      </c>
      <c r="I697" t="str">
        <f>_xll.BDP("912810DM Govt","FIRST_CPN_DT")</f>
        <v>5/15/1985</v>
      </c>
      <c r="J697" t="str">
        <f>_xll.BDP("912810DM Govt","COUPON_FREQUENCY_DESCRIPTION")</f>
        <v>S/A</v>
      </c>
      <c r="K697" t="str">
        <f>_xll.BDP("912810DM Govt","CPN_TYP")</f>
        <v>FIXED</v>
      </c>
      <c r="L697" t="str">
        <f>_xll.BDP("912810DM Govt","ID_ISIN")</f>
        <v>US912810DM72</v>
      </c>
      <c r="M697">
        <v>8302000000</v>
      </c>
      <c r="N697">
        <v>0</v>
      </c>
      <c r="O697" t="str">
        <f>_xll.BDP("912810DM Govt","ISSUE_DT")</f>
        <v>10/30/1984</v>
      </c>
      <c r="P697" t="str">
        <f>_xll.BDP("912810DM Govt","SECURITY_NAME")</f>
        <v>T 11 5/8 11/15/04</v>
      </c>
      <c r="Q697" t="str">
        <f>_xll.BDP("912810DM Govt","DAY_CNT_DES")</f>
        <v>ACT/ACT</v>
      </c>
      <c r="R697">
        <v>100</v>
      </c>
      <c r="S697" t="str">
        <f>_xll.BDP("912810DM Govt","ID_CUSIP")</f>
        <v>912810DM7</v>
      </c>
      <c r="T697" t="str">
        <f>_xll.BDP("912810DM Govt","IDX_RATIO")</f>
        <v>#N/A Field Not Applicable</v>
      </c>
    </row>
    <row r="698" spans="1:20" x14ac:dyDescent="0.25">
      <c r="A698" t="s">
        <v>14</v>
      </c>
      <c r="B698" t="str">
        <f>_xll.BDP("912810DP Govt","TICKER")</f>
        <v>T</v>
      </c>
      <c r="C698">
        <f>_xll.BDP("912810DP Govt","CPN")</f>
        <v>11.25</v>
      </c>
      <c r="D698" t="str">
        <f>_xll.BDP("912810DP Govt","YLD_YTM_BID")</f>
        <v>#N/A N/A</v>
      </c>
      <c r="E698" t="str">
        <f>_xll.BDP("912810DP Govt","MATURITY")</f>
        <v>2/15/2015</v>
      </c>
      <c r="F698" t="str">
        <f>_xll.BDP("912810DP Govt","MTY_TYP")</f>
        <v>NORMAL</v>
      </c>
      <c r="G698" t="str">
        <f>_xll.BDP("912810DP Govt","CRNCY")</f>
        <v>USD</v>
      </c>
      <c r="H698" t="str">
        <f>_xll.BDP("912810DP Govt","COUNTRY_FULL_NAME")</f>
        <v>UNITED STATES</v>
      </c>
      <c r="I698" t="str">
        <f>_xll.BDP("912810DP Govt","FIRST_CPN_DT")</f>
        <v>8/15/1985</v>
      </c>
      <c r="J698" t="str">
        <f>_xll.BDP("912810DP Govt","COUPON_FREQUENCY_DESCRIPTION")</f>
        <v>S/A</v>
      </c>
      <c r="K698" t="str">
        <f>_xll.BDP("912810DP Govt","CPN_TYP")</f>
        <v>FIXED</v>
      </c>
      <c r="L698" t="str">
        <f>_xll.BDP("912810DP Govt","ID_ISIN")</f>
        <v>US912810DP04</v>
      </c>
      <c r="M698">
        <v>12668000000</v>
      </c>
      <c r="N698">
        <v>0</v>
      </c>
      <c r="O698" t="str">
        <f>_xll.BDP("912810DP Govt","ISSUE_DT")</f>
        <v>2/15/1985</v>
      </c>
      <c r="P698" t="str">
        <f>_xll.BDP("912810DP Govt","SECURITY_NAME")</f>
        <v>T 11 1/4 02/15/15</v>
      </c>
      <c r="Q698" t="str">
        <f>_xll.BDP("912810DP Govt","DAY_CNT_DES")</f>
        <v>ACT/ACT</v>
      </c>
      <c r="R698">
        <v>100</v>
      </c>
      <c r="S698" t="str">
        <f>_xll.BDP("912810DP Govt","ID_CUSIP")</f>
        <v>912810DP0</v>
      </c>
      <c r="T698" t="str">
        <f>_xll.BDP("912810DP Govt","IDX_RATIO")</f>
        <v>#N/A Field Not Applicable</v>
      </c>
    </row>
    <row r="699" spans="1:20" x14ac:dyDescent="0.25">
      <c r="A699" t="s">
        <v>14</v>
      </c>
      <c r="B699" t="str">
        <f>_xll.BDP("912810DZ Govt","TICKER")</f>
        <v>T</v>
      </c>
      <c r="C699">
        <f>_xll.BDP("912810DZ Govt","CPN")</f>
        <v>8.875</v>
      </c>
      <c r="D699" t="str">
        <f>_xll.BDP("912810DZ Govt","YLD_YTM_BID")</f>
        <v>#N/A N/A</v>
      </c>
      <c r="E699" t="str">
        <f>_xll.BDP("912810DZ Govt","MATURITY")</f>
        <v>8/15/2017</v>
      </c>
      <c r="F699" t="str">
        <f>_xll.BDP("912810DZ Govt","MTY_TYP")</f>
        <v>NORMAL</v>
      </c>
      <c r="G699" t="str">
        <f>_xll.BDP("912810DZ Govt","CRNCY")</f>
        <v>USD</v>
      </c>
      <c r="H699" t="str">
        <f>_xll.BDP("912810DZ Govt","COUNTRY_FULL_NAME")</f>
        <v>UNITED STATES</v>
      </c>
      <c r="I699" t="str">
        <f>_xll.BDP("912810DZ Govt","FIRST_CPN_DT")</f>
        <v>2/15/1988</v>
      </c>
      <c r="J699" t="str">
        <f>_xll.BDP("912810DZ Govt","COUPON_FREQUENCY_DESCRIPTION")</f>
        <v>S/A</v>
      </c>
      <c r="K699" t="str">
        <f>_xll.BDP("912810DZ Govt","CPN_TYP")</f>
        <v>FIXED</v>
      </c>
      <c r="L699" t="str">
        <f>_xll.BDP("912810DZ Govt","ID_ISIN")</f>
        <v>US912810DZ85</v>
      </c>
      <c r="M699">
        <v>14017000000</v>
      </c>
      <c r="N699">
        <v>0</v>
      </c>
      <c r="O699" t="str">
        <f>_xll.BDP("912810DZ Govt","ISSUE_DT")</f>
        <v>8/17/1987</v>
      </c>
      <c r="P699" t="str">
        <f>_xll.BDP("912810DZ Govt","SECURITY_NAME")</f>
        <v>T 8 7/8 08/15/17</v>
      </c>
      <c r="Q699" t="str">
        <f>_xll.BDP("912810DZ Govt","DAY_CNT_DES")</f>
        <v>ACT/ACT</v>
      </c>
      <c r="R699">
        <v>100</v>
      </c>
      <c r="S699" t="str">
        <f>_xll.BDP("912810DZ Govt","ID_CUSIP")</f>
        <v>912810DZ8</v>
      </c>
      <c r="T699" t="str">
        <f>_xll.BDP("912810DZ Govt","IDX_RATIO")</f>
        <v>#N/A Field Not Applicable</v>
      </c>
    </row>
    <row r="700" spans="1:20" x14ac:dyDescent="0.25">
      <c r="A700" t="s">
        <v>14</v>
      </c>
      <c r="B700" t="str">
        <f>_xll.BDP("912827D6 Govt","TICKER")</f>
        <v>T</v>
      </c>
      <c r="C700">
        <f>_xll.BDP("912827D6 Govt","CPN")</f>
        <v>6.125</v>
      </c>
      <c r="D700" t="str">
        <f>_xll.BDP("912827D6 Govt","YLD_YTM_BID")</f>
        <v>#N/A N/A</v>
      </c>
      <c r="E700" t="str">
        <f>_xll.BDP("912827D6 Govt","MATURITY")</f>
        <v>12/31/1996</v>
      </c>
      <c r="F700" t="str">
        <f>_xll.BDP("912827D6 Govt","MTY_TYP")</f>
        <v>NORMAL</v>
      </c>
      <c r="G700" t="str">
        <f>_xll.BDP("912827D6 Govt","CRNCY")</f>
        <v>USD</v>
      </c>
      <c r="H700" t="str">
        <f>_xll.BDP("912827D6 Govt","COUNTRY_FULL_NAME")</f>
        <v>UNITED STATES</v>
      </c>
      <c r="I700" t="str">
        <f>_xll.BDP("912827D6 Govt","FIRST_CPN_DT")</f>
        <v>6/30/1992</v>
      </c>
      <c r="J700" t="str">
        <f>_xll.BDP("912827D6 Govt","COUPON_FREQUENCY_DESCRIPTION")</f>
        <v>S/A</v>
      </c>
      <c r="K700" t="str">
        <f>_xll.BDP("912827D6 Govt","CPN_TYP")</f>
        <v>FIXED</v>
      </c>
      <c r="L700" t="str">
        <f>_xll.BDP("912827D6 Govt","ID_ISIN")</f>
        <v>US912827D665</v>
      </c>
      <c r="N700">
        <v>0</v>
      </c>
      <c r="O700" t="str">
        <f>_xll.BDP("912827D6 Govt","ISSUE_DT")</f>
        <v>12/31/1991</v>
      </c>
      <c r="P700" t="str">
        <f>_xll.BDP("912827D6 Govt","SECURITY_NAME")</f>
        <v>T 6 1/8 12/31/96</v>
      </c>
      <c r="Q700" t="str">
        <f>_xll.BDP("912827D6 Govt","DAY_CNT_DES")</f>
        <v>ACT/ACT</v>
      </c>
      <c r="R700">
        <v>100</v>
      </c>
      <c r="S700" t="str">
        <f>_xll.BDP("912827D6 Govt","ID_CUSIP")</f>
        <v>912827D66</v>
      </c>
      <c r="T700" t="str">
        <f>_xll.BDP("912827D6 Govt","IDX_RATIO")</f>
        <v>#N/A Field Not Applicable</v>
      </c>
    </row>
    <row r="701" spans="1:20" x14ac:dyDescent="0.25">
      <c r="A701" t="s">
        <v>14</v>
      </c>
      <c r="B701" t="str">
        <f>_xll.BDP("912827D7 Govt","TICKER")</f>
        <v>T</v>
      </c>
      <c r="C701">
        <f>_xll.BDP("912827D7 Govt","CPN")</f>
        <v>6.375</v>
      </c>
      <c r="D701" t="str">
        <f>_xll.BDP("912827D7 Govt","YLD_YTM_BID")</f>
        <v>#N/A N/A</v>
      </c>
      <c r="E701" t="str">
        <f>_xll.BDP("912827D7 Govt","MATURITY")</f>
        <v>1/15/1999</v>
      </c>
      <c r="F701" t="str">
        <f>_xll.BDP("912827D7 Govt","MTY_TYP")</f>
        <v>NORMAL</v>
      </c>
      <c r="G701" t="str">
        <f>_xll.BDP("912827D7 Govt","CRNCY")</f>
        <v>USD</v>
      </c>
      <c r="H701" t="str">
        <f>_xll.BDP("912827D7 Govt","COUNTRY_FULL_NAME")</f>
        <v>UNITED STATES</v>
      </c>
      <c r="I701" t="str">
        <f>_xll.BDP("912827D7 Govt","FIRST_CPN_DT")</f>
        <v>7/15/1992</v>
      </c>
      <c r="J701" t="str">
        <f>_xll.BDP("912827D7 Govt","COUPON_FREQUENCY_DESCRIPTION")</f>
        <v>S/A</v>
      </c>
      <c r="K701" t="str">
        <f>_xll.BDP("912827D7 Govt","CPN_TYP")</f>
        <v>FIXED</v>
      </c>
      <c r="L701" t="str">
        <f>_xll.BDP("912827D7 Govt","ID_ISIN")</f>
        <v>US912827D749</v>
      </c>
      <c r="M701">
        <v>10559000000</v>
      </c>
      <c r="N701">
        <v>0</v>
      </c>
      <c r="O701" t="str">
        <f>_xll.BDP("912827D7 Govt","ISSUE_DT")</f>
        <v>1/15/1992</v>
      </c>
      <c r="P701" t="str">
        <f>_xll.BDP("912827D7 Govt","SECURITY_NAME")</f>
        <v>T 6 3/8 01/15/99</v>
      </c>
      <c r="Q701" t="str">
        <f>_xll.BDP("912827D7 Govt","DAY_CNT_DES")</f>
        <v>ACT/ACT</v>
      </c>
      <c r="R701">
        <v>100</v>
      </c>
      <c r="S701" t="str">
        <f>_xll.BDP("912827D7 Govt","ID_CUSIP")</f>
        <v>912827D74</v>
      </c>
      <c r="T701" t="str">
        <f>_xll.BDP("912827D7 Govt","IDX_RATIO")</f>
        <v>#N/A Field Not Applicable</v>
      </c>
    </row>
    <row r="702" spans="1:20" x14ac:dyDescent="0.25">
      <c r="A702" t="s">
        <v>14</v>
      </c>
      <c r="B702" t="str">
        <f>_xll.BDP("912827D9 Govt","TICKER")</f>
        <v>T</v>
      </c>
      <c r="C702">
        <f>_xll.BDP("912827D9 Govt","CPN")</f>
        <v>6.25</v>
      </c>
      <c r="D702" t="str">
        <f>_xll.BDP("912827D9 Govt","YLD_YTM_BID")</f>
        <v>#N/A N/A</v>
      </c>
      <c r="E702" t="str">
        <f>_xll.BDP("912827D9 Govt","MATURITY")</f>
        <v>1/31/1997</v>
      </c>
      <c r="F702" t="str">
        <f>_xll.BDP("912827D9 Govt","MTY_TYP")</f>
        <v>NORMAL</v>
      </c>
      <c r="G702" t="str">
        <f>_xll.BDP("912827D9 Govt","CRNCY")</f>
        <v>USD</v>
      </c>
      <c r="H702" t="str">
        <f>_xll.BDP("912827D9 Govt","COUNTRY_FULL_NAME")</f>
        <v>UNITED STATES</v>
      </c>
      <c r="I702" t="str">
        <f>_xll.BDP("912827D9 Govt","FIRST_CPN_DT")</f>
        <v>7/31/1992</v>
      </c>
      <c r="J702" t="str">
        <f>_xll.BDP("912827D9 Govt","COUPON_FREQUENCY_DESCRIPTION")</f>
        <v>S/A</v>
      </c>
      <c r="K702" t="str">
        <f>_xll.BDP("912827D9 Govt","CPN_TYP")</f>
        <v>FIXED</v>
      </c>
      <c r="L702" t="str">
        <f>_xll.BDP("912827D9 Govt","ID_ISIN")</f>
        <v>US912827D905</v>
      </c>
      <c r="N702">
        <v>0</v>
      </c>
      <c r="O702" t="str">
        <f>_xll.BDP("912827D9 Govt","ISSUE_DT")</f>
        <v>1/31/1992</v>
      </c>
      <c r="P702" t="str">
        <f>_xll.BDP("912827D9 Govt","SECURITY_NAME")</f>
        <v>T 6 1/4 01/31/97</v>
      </c>
      <c r="Q702" t="str">
        <f>_xll.BDP("912827D9 Govt","DAY_CNT_DES")</f>
        <v>ACT/ACT</v>
      </c>
      <c r="R702">
        <v>100</v>
      </c>
      <c r="S702" t="str">
        <f>_xll.BDP("912827D9 Govt","ID_CUSIP")</f>
        <v>912827D90</v>
      </c>
      <c r="T702" t="str">
        <f>_xll.BDP("912827D9 Govt","IDX_RATIO")</f>
        <v>#N/A Field Not Applicable</v>
      </c>
    </row>
    <row r="703" spans="1:20" x14ac:dyDescent="0.25">
      <c r="A703" t="s">
        <v>14</v>
      </c>
      <c r="B703" t="str">
        <f>_xll.BDP("912827G3 Govt","TICKER")</f>
        <v>T</v>
      </c>
      <c r="C703">
        <f>_xll.BDP("912827G3 Govt","CPN")</f>
        <v>5.5</v>
      </c>
      <c r="D703" t="str">
        <f>_xll.BDP("912827G3 Govt","YLD_YTM_BID")</f>
        <v>#N/A N/A</v>
      </c>
      <c r="E703" t="str">
        <f>_xll.BDP("912827G3 Govt","MATURITY")</f>
        <v>7/31/1997</v>
      </c>
      <c r="F703" t="str">
        <f>_xll.BDP("912827G3 Govt","MTY_TYP")</f>
        <v>NORMAL</v>
      </c>
      <c r="G703" t="str">
        <f>_xll.BDP("912827G3 Govt","CRNCY")</f>
        <v>USD</v>
      </c>
      <c r="H703" t="str">
        <f>_xll.BDP("912827G3 Govt","COUNTRY_FULL_NAME")</f>
        <v>UNITED STATES</v>
      </c>
      <c r="I703" t="str">
        <f>_xll.BDP("912827G3 Govt","FIRST_CPN_DT")</f>
        <v>1/31/1993</v>
      </c>
      <c r="J703" t="str">
        <f>_xll.BDP("912827G3 Govt","COUPON_FREQUENCY_DESCRIPTION")</f>
        <v>S/A</v>
      </c>
      <c r="K703" t="str">
        <f>_xll.BDP("912827G3 Govt","CPN_TYP")</f>
        <v>FIXED</v>
      </c>
      <c r="L703" t="str">
        <f>_xll.BDP("912827G3 Govt","ID_ISIN")</f>
        <v>US912827G304</v>
      </c>
      <c r="N703">
        <v>0</v>
      </c>
      <c r="O703" t="str">
        <f>_xll.BDP("912827G3 Govt","ISSUE_DT")</f>
        <v>7/31/1992</v>
      </c>
      <c r="P703" t="str">
        <f>_xll.BDP("912827G3 Govt","SECURITY_NAME")</f>
        <v>T 5 1/2 07/31/97</v>
      </c>
      <c r="Q703" t="str">
        <f>_xll.BDP("912827G3 Govt","DAY_CNT_DES")</f>
        <v>ACT/ACT</v>
      </c>
      <c r="R703">
        <v>100</v>
      </c>
      <c r="S703" t="str">
        <f>_xll.BDP("912827G3 Govt","ID_CUSIP")</f>
        <v>912827G30</v>
      </c>
      <c r="T703" t="str">
        <f>_xll.BDP("912827G3 Govt","IDX_RATIO")</f>
        <v>#N/A Field Not Applicable</v>
      </c>
    </row>
    <row r="704" spans="1:20" x14ac:dyDescent="0.25">
      <c r="A704" t="s">
        <v>14</v>
      </c>
      <c r="B704" t="str">
        <f>_xll.BDP("912827H2 Govt","TICKER")</f>
        <v>T</v>
      </c>
      <c r="C704">
        <f>_xll.BDP("912827H2 Govt","CPN")</f>
        <v>6</v>
      </c>
      <c r="D704" t="str">
        <f>_xll.BDP("912827H2 Govt","YLD_YTM_BID")</f>
        <v>#N/A N/A</v>
      </c>
      <c r="E704" t="str">
        <f>_xll.BDP("912827H2 Govt","MATURITY")</f>
        <v>10/15/1999</v>
      </c>
      <c r="F704" t="str">
        <f>_xll.BDP("912827H2 Govt","MTY_TYP")</f>
        <v>NORMAL</v>
      </c>
      <c r="G704" t="str">
        <f>_xll.BDP("912827H2 Govt","CRNCY")</f>
        <v>USD</v>
      </c>
      <c r="H704" t="str">
        <f>_xll.BDP("912827H2 Govt","COUNTRY_FULL_NAME")</f>
        <v>UNITED STATES</v>
      </c>
      <c r="I704" t="str">
        <f>_xll.BDP("912827H2 Govt","FIRST_CPN_DT")</f>
        <v>4/15/1993</v>
      </c>
      <c r="J704" t="str">
        <f>_xll.BDP("912827H2 Govt","COUPON_FREQUENCY_DESCRIPTION")</f>
        <v>S/A</v>
      </c>
      <c r="K704" t="str">
        <f>_xll.BDP("912827H2 Govt","CPN_TYP")</f>
        <v>FIXED</v>
      </c>
      <c r="L704" t="str">
        <f>_xll.BDP("912827H2 Govt","ID_ISIN")</f>
        <v>US912827H211</v>
      </c>
      <c r="M704">
        <v>10337000000</v>
      </c>
      <c r="N704">
        <v>0</v>
      </c>
      <c r="O704" t="str">
        <f>_xll.BDP("912827H2 Govt","ISSUE_DT")</f>
        <v>10/15/1992</v>
      </c>
      <c r="P704" t="str">
        <f>_xll.BDP("912827H2 Govt","SECURITY_NAME")</f>
        <v>T 6 10/15/99</v>
      </c>
      <c r="Q704" t="str">
        <f>_xll.BDP("912827H2 Govt","DAY_CNT_DES")</f>
        <v>ACT/ACT</v>
      </c>
      <c r="R704">
        <v>100</v>
      </c>
      <c r="S704" t="str">
        <f>_xll.BDP("912827H2 Govt","ID_CUSIP")</f>
        <v>912827H21</v>
      </c>
      <c r="T704" t="str">
        <f>_xll.BDP("912827H2 Govt","IDX_RATIO")</f>
        <v>#N/A Field Not Applicable</v>
      </c>
    </row>
    <row r="705" spans="1:20" x14ac:dyDescent="0.25">
      <c r="A705" t="s">
        <v>14</v>
      </c>
      <c r="B705" t="str">
        <f>_xll.BDP("912827H5 Govt","TICKER")</f>
        <v>T</v>
      </c>
      <c r="C705">
        <f>_xll.BDP("912827H5 Govt","CPN")</f>
        <v>5.125</v>
      </c>
      <c r="D705" t="str">
        <f>_xll.BDP("912827H5 Govt","YLD_YTM_BID")</f>
        <v>#N/A N/A</v>
      </c>
      <c r="E705" t="str">
        <f>_xll.BDP("912827H5 Govt","MATURITY")</f>
        <v>11/15/1995</v>
      </c>
      <c r="F705" t="str">
        <f>_xll.BDP("912827H5 Govt","MTY_TYP")</f>
        <v>NORMAL</v>
      </c>
      <c r="G705" t="str">
        <f>_xll.BDP("912827H5 Govt","CRNCY")</f>
        <v>USD</v>
      </c>
      <c r="H705" t="str">
        <f>_xll.BDP("912827H5 Govt","COUNTRY_FULL_NAME")</f>
        <v>UNITED STATES</v>
      </c>
      <c r="I705" t="str">
        <f>_xll.BDP("912827H5 Govt","FIRST_CPN_DT")</f>
        <v>5/15/1993</v>
      </c>
      <c r="J705" t="str">
        <f>_xll.BDP("912827H5 Govt","COUPON_FREQUENCY_DESCRIPTION")</f>
        <v>S/A</v>
      </c>
      <c r="K705" t="str">
        <f>_xll.BDP("912827H5 Govt","CPN_TYP")</f>
        <v>FIXED</v>
      </c>
      <c r="L705" t="str">
        <f>_xll.BDP("912827H5 Govt","ID_ISIN")</f>
        <v>US912827H542</v>
      </c>
      <c r="N705">
        <v>0</v>
      </c>
      <c r="O705" t="str">
        <f>_xll.BDP("912827H5 Govt","ISSUE_DT")</f>
        <v>11/16/1992</v>
      </c>
      <c r="P705" t="str">
        <f>_xll.BDP("912827H5 Govt","SECURITY_NAME")</f>
        <v>T 5 1/8 11/15/95</v>
      </c>
      <c r="Q705" t="str">
        <f>_xll.BDP("912827H5 Govt","DAY_CNT_DES")</f>
        <v>ACT/ACT</v>
      </c>
      <c r="R705">
        <v>100</v>
      </c>
      <c r="S705" t="str">
        <f>_xll.BDP("912827H5 Govt","ID_CUSIP")</f>
        <v>912827H54</v>
      </c>
      <c r="T705" t="str">
        <f>_xll.BDP("912827H5 Govt","IDX_RATIO")</f>
        <v>#N/A Field Not Applicable</v>
      </c>
    </row>
    <row r="706" spans="1:20" x14ac:dyDescent="0.25">
      <c r="A706" t="s">
        <v>14</v>
      </c>
      <c r="B706" t="str">
        <f>_xll.BDP("912827J2 Govt","TICKER")</f>
        <v>T</v>
      </c>
      <c r="C706">
        <f>_xll.BDP("912827J2 Govt","CPN")</f>
        <v>6</v>
      </c>
      <c r="D706" t="str">
        <f>_xll.BDP("912827J2 Govt","YLD_YTM_BID")</f>
        <v>#N/A N/A</v>
      </c>
      <c r="E706" t="str">
        <f>_xll.BDP("912827J2 Govt","MATURITY")</f>
        <v>12/31/1997</v>
      </c>
      <c r="F706" t="str">
        <f>_xll.BDP("912827J2 Govt","MTY_TYP")</f>
        <v>NORMAL</v>
      </c>
      <c r="G706" t="str">
        <f>_xll.BDP("912827J2 Govt","CRNCY")</f>
        <v>USD</v>
      </c>
      <c r="H706" t="str">
        <f>_xll.BDP("912827J2 Govt","COUNTRY_FULL_NAME")</f>
        <v>UNITED STATES</v>
      </c>
      <c r="I706" t="str">
        <f>_xll.BDP("912827J2 Govt","FIRST_CPN_DT")</f>
        <v>6/30/1993</v>
      </c>
      <c r="J706" t="str">
        <f>_xll.BDP("912827J2 Govt","COUPON_FREQUENCY_DESCRIPTION")</f>
        <v>S/A</v>
      </c>
      <c r="K706" t="str">
        <f>_xll.BDP("912827J2 Govt","CPN_TYP")</f>
        <v>FIXED</v>
      </c>
      <c r="L706" t="str">
        <f>_xll.BDP("912827J2 Govt","ID_ISIN")</f>
        <v>US912827J290</v>
      </c>
      <c r="M706">
        <v>12163000000</v>
      </c>
      <c r="N706">
        <v>0</v>
      </c>
      <c r="O706" t="str">
        <f>_xll.BDP("912827J2 Govt","ISSUE_DT")</f>
        <v>12/31/1992</v>
      </c>
      <c r="P706" t="str">
        <f>_xll.BDP("912827J2 Govt","SECURITY_NAME")</f>
        <v>T 6 12/31/97</v>
      </c>
      <c r="Q706" t="str">
        <f>_xll.BDP("912827J2 Govt","DAY_CNT_DES")</f>
        <v>ACT/ACT</v>
      </c>
      <c r="R706">
        <v>100</v>
      </c>
      <c r="S706" t="str">
        <f>_xll.BDP("912827J2 Govt","ID_CUSIP")</f>
        <v>912827J29</v>
      </c>
      <c r="T706" t="str">
        <f>_xll.BDP("912827J2 Govt","IDX_RATIO")</f>
        <v>#N/A Field Not Applicable</v>
      </c>
    </row>
    <row r="707" spans="1:20" x14ac:dyDescent="0.25">
      <c r="A707" t="s">
        <v>14</v>
      </c>
      <c r="B707" t="str">
        <f>_xll.BDP("912827J3 Govt","TICKER")</f>
        <v>T</v>
      </c>
      <c r="C707">
        <f>_xll.BDP("912827J3 Govt","CPN")</f>
        <v>6.375</v>
      </c>
      <c r="D707" t="str">
        <f>_xll.BDP("912827J3 Govt","YLD_YTM_BID")</f>
        <v>#N/A N/A</v>
      </c>
      <c r="E707" t="str">
        <f>_xll.BDP("912827J3 Govt","MATURITY")</f>
        <v>1/15/2000</v>
      </c>
      <c r="F707" t="str">
        <f>_xll.BDP("912827J3 Govt","MTY_TYP")</f>
        <v>NORMAL</v>
      </c>
      <c r="G707" t="str">
        <f>_xll.BDP("912827J3 Govt","CRNCY")</f>
        <v>USD</v>
      </c>
      <c r="H707" t="str">
        <f>_xll.BDP("912827J3 Govt","COUNTRY_FULL_NAME")</f>
        <v>UNITED STATES</v>
      </c>
      <c r="I707" t="str">
        <f>_xll.BDP("912827J3 Govt","FIRST_CPN_DT")</f>
        <v>7/15/1993</v>
      </c>
      <c r="J707" t="str">
        <f>_xll.BDP("912827J3 Govt","COUPON_FREQUENCY_DESCRIPTION")</f>
        <v>S/A</v>
      </c>
      <c r="K707" t="str">
        <f>_xll.BDP("912827J3 Govt","CPN_TYP")</f>
        <v>FIXED</v>
      </c>
      <c r="L707" t="str">
        <f>_xll.BDP("912827J3 Govt","ID_ISIN")</f>
        <v>US912827J373</v>
      </c>
      <c r="M707">
        <v>10104000000</v>
      </c>
      <c r="N707">
        <v>0</v>
      </c>
      <c r="O707" t="str">
        <f>_xll.BDP("912827J3 Govt","ISSUE_DT")</f>
        <v>1/15/1993</v>
      </c>
      <c r="P707" t="str">
        <f>_xll.BDP("912827J3 Govt","SECURITY_NAME")</f>
        <v>T 6 3/8 01/15/00</v>
      </c>
      <c r="Q707" t="str">
        <f>_xll.BDP("912827J3 Govt","DAY_CNT_DES")</f>
        <v>ACT/ACT</v>
      </c>
      <c r="R707">
        <v>100</v>
      </c>
      <c r="S707" t="str">
        <f>_xll.BDP("912827J3 Govt","ID_CUSIP")</f>
        <v>912827J37</v>
      </c>
      <c r="T707" t="str">
        <f>_xll.BDP("912827J3 Govt","IDX_RATIO")</f>
        <v>#N/A Field Not Applicable</v>
      </c>
    </row>
    <row r="708" spans="1:20" x14ac:dyDescent="0.25">
      <c r="A708" t="s">
        <v>14</v>
      </c>
      <c r="B708" t="str">
        <f>_xll.BDP("912827KK Govt","TICKER")</f>
        <v>T</v>
      </c>
      <c r="C708">
        <f>_xll.BDP("912827KK Govt","CPN")</f>
        <v>12</v>
      </c>
      <c r="D708" t="str">
        <f>_xll.BDP("912827KK Govt","YLD_YTM_BID")</f>
        <v>#N/A N/A</v>
      </c>
      <c r="E708" t="str">
        <f>_xll.BDP("912827KK Govt","MATURITY")</f>
        <v>5/15/1987</v>
      </c>
      <c r="F708" t="str">
        <f>_xll.BDP("912827KK Govt","MTY_TYP")</f>
        <v>NORMAL</v>
      </c>
      <c r="G708" t="str">
        <f>_xll.BDP("912827KK Govt","CRNCY")</f>
        <v>USD</v>
      </c>
      <c r="H708" t="str">
        <f>_xll.BDP("912827KK Govt","COUNTRY_FULL_NAME")</f>
        <v>UNITED STATES</v>
      </c>
      <c r="I708" t="str">
        <f>_xll.BDP("912827KK Govt","FIRST_CPN_DT")</f>
        <v>11/15/1980</v>
      </c>
      <c r="J708" t="str">
        <f>_xll.BDP("912827KK Govt","COUPON_FREQUENCY_DESCRIPTION")</f>
        <v>S/A</v>
      </c>
      <c r="K708" t="str">
        <f>_xll.BDP("912827KK Govt","CPN_TYP")</f>
        <v>FIXED</v>
      </c>
      <c r="L708" t="str">
        <f>_xll.BDP("912827KK Govt","ID_ISIN")</f>
        <v>US912827KK76</v>
      </c>
      <c r="N708">
        <v>0</v>
      </c>
      <c r="O708" t="str">
        <f>_xll.BDP("912827KK Govt","ISSUE_DT")</f>
        <v>2/15/1980</v>
      </c>
      <c r="P708" t="str">
        <f>_xll.BDP("912827KK Govt","SECURITY_NAME")</f>
        <v>T 12 05/15/87</v>
      </c>
      <c r="Q708" t="str">
        <f>_xll.BDP("912827KK Govt","DAY_CNT_DES")</f>
        <v>ACT/ACT</v>
      </c>
      <c r="R708">
        <v>100</v>
      </c>
      <c r="S708" t="str">
        <f>_xll.BDP("912827KK Govt","ID_CUSIP")</f>
        <v>912827KK7</v>
      </c>
      <c r="T708" t="str">
        <f>_xll.BDP("912827KK Govt","IDX_RATIO")</f>
        <v>#N/A Field Not Applicable</v>
      </c>
    </row>
    <row r="709" spans="1:20" x14ac:dyDescent="0.25">
      <c r="A709" t="s">
        <v>14</v>
      </c>
      <c r="B709" t="str">
        <f>_xll.BDP("912827KM Govt","TICKER")</f>
        <v>T</v>
      </c>
      <c r="C709">
        <f>_xll.BDP("912827KM Govt","CPN")</f>
        <v>14.375</v>
      </c>
      <c r="D709" t="str">
        <f>_xll.BDP("912827KM Govt","YLD_YTM_BID")</f>
        <v>#N/A N/A</v>
      </c>
      <c r="E709" t="str">
        <f>_xll.BDP("912827KM Govt","MATURITY")</f>
        <v>5/15/1985</v>
      </c>
      <c r="F709" t="str">
        <f>_xll.BDP("912827KM Govt","MTY_TYP")</f>
        <v>NORMAL</v>
      </c>
      <c r="G709" t="str">
        <f>_xll.BDP("912827KM Govt","CRNCY")</f>
        <v>USD</v>
      </c>
      <c r="H709" t="str">
        <f>_xll.BDP("912827KM Govt","COUNTRY_FULL_NAME")</f>
        <v>UNITED STATES</v>
      </c>
      <c r="I709" t="str">
        <f>_xll.BDP("912827KM Govt","FIRST_CPN_DT")</f>
        <v>11/15/1980</v>
      </c>
      <c r="J709" t="str">
        <f>_xll.BDP("912827KM Govt","COUPON_FREQUENCY_DESCRIPTION")</f>
        <v>S/A</v>
      </c>
      <c r="K709" t="str">
        <f>_xll.BDP("912827KM Govt","CPN_TYP")</f>
        <v>FIXED</v>
      </c>
      <c r="L709" t="str">
        <f>_xll.BDP("912827KM Govt","ID_ISIN")</f>
        <v>US912827KM33</v>
      </c>
      <c r="N709">
        <v>0</v>
      </c>
      <c r="O709" t="str">
        <f>_xll.BDP("912827KM Govt","ISSUE_DT")</f>
        <v>3/3/1980</v>
      </c>
      <c r="P709" t="str">
        <f>_xll.BDP("912827KM Govt","SECURITY_NAME")</f>
        <v>T 14 3/8 05/15/85</v>
      </c>
      <c r="Q709" t="str">
        <f>_xll.BDP("912827KM Govt","DAY_CNT_DES")</f>
        <v>ACT/ACT</v>
      </c>
      <c r="R709">
        <v>100</v>
      </c>
      <c r="S709" t="str">
        <f>_xll.BDP("912827KM Govt","ID_CUSIP")</f>
        <v>912827KM3</v>
      </c>
      <c r="T709" t="str">
        <f>_xll.BDP("912827KM Govt","IDX_RATIO")</f>
        <v>#N/A Field Not Applicable</v>
      </c>
    </row>
    <row r="710" spans="1:20" x14ac:dyDescent="0.25">
      <c r="A710" t="s">
        <v>14</v>
      </c>
      <c r="B710" t="str">
        <f>_xll.BDP("912827KQ Govt","TICKER")</f>
        <v>T</v>
      </c>
      <c r="C710">
        <f>_xll.BDP("912827KQ Govt","CPN")</f>
        <v>11.375</v>
      </c>
      <c r="D710" t="str">
        <f>_xll.BDP("912827KQ Govt","YLD_YTM_BID")</f>
        <v>#N/A N/A</v>
      </c>
      <c r="E710" t="str">
        <f>_xll.BDP("912827KQ Govt","MATURITY")</f>
        <v>4/30/1982</v>
      </c>
      <c r="F710" t="str">
        <f>_xll.BDP("912827KQ Govt","MTY_TYP")</f>
        <v>NORMAL</v>
      </c>
      <c r="G710" t="str">
        <f>_xll.BDP("912827KQ Govt","CRNCY")</f>
        <v>USD</v>
      </c>
      <c r="H710" t="str">
        <f>_xll.BDP("912827KQ Govt","COUNTRY_FULL_NAME")</f>
        <v>UNITED STATES</v>
      </c>
      <c r="I710" t="str">
        <f>_xll.BDP("912827KQ Govt","FIRST_CPN_DT")</f>
        <v>10/31/1980</v>
      </c>
      <c r="J710" t="str">
        <f>_xll.BDP("912827KQ Govt","COUPON_FREQUENCY_DESCRIPTION")</f>
        <v>S/A</v>
      </c>
      <c r="K710" t="str">
        <f>_xll.BDP("912827KQ Govt","CPN_TYP")</f>
        <v>FIXED</v>
      </c>
      <c r="L710" t="str">
        <f>_xll.BDP("912827KQ Govt","ID_ISIN")</f>
        <v>US912827KQ47</v>
      </c>
      <c r="N710">
        <v>0</v>
      </c>
      <c r="O710" t="str">
        <f>_xll.BDP("912827KQ Govt","ISSUE_DT")</f>
        <v>4/30/1980</v>
      </c>
      <c r="P710" t="str">
        <f>_xll.BDP("912827KQ Govt","SECURITY_NAME")</f>
        <v>T 11 3/8 04/30/82</v>
      </c>
      <c r="Q710" t="str">
        <f>_xll.BDP("912827KQ Govt","DAY_CNT_DES")</f>
        <v>ACT/ACT</v>
      </c>
      <c r="R710">
        <v>100</v>
      </c>
      <c r="S710" t="str">
        <f>_xll.BDP("912827KQ Govt","ID_CUSIP")</f>
        <v>912827KQ4</v>
      </c>
      <c r="T710" t="str">
        <f>_xll.BDP("912827KQ Govt","IDX_RATIO")</f>
        <v>#N/A Field Not Applicable</v>
      </c>
    </row>
    <row r="711" spans="1:20" x14ac:dyDescent="0.25">
      <c r="A711" t="s">
        <v>14</v>
      </c>
      <c r="B711" t="str">
        <f>_xll.BDP("912827KV Govt","TICKER")</f>
        <v>T</v>
      </c>
      <c r="C711">
        <f>_xll.BDP("912827KV Govt","CPN")</f>
        <v>8.875</v>
      </c>
      <c r="D711" t="str">
        <f>_xll.BDP("912827KV Govt","YLD_YTM_BID")</f>
        <v>#N/A N/A</v>
      </c>
      <c r="E711" t="str">
        <f>_xll.BDP("912827KV Govt","MATURITY")</f>
        <v>6/30/1984</v>
      </c>
      <c r="F711" t="str">
        <f>_xll.BDP("912827KV Govt","MTY_TYP")</f>
        <v>NORMAL</v>
      </c>
      <c r="G711" t="str">
        <f>_xll.BDP("912827KV Govt","CRNCY")</f>
        <v>USD</v>
      </c>
      <c r="H711" t="str">
        <f>_xll.BDP("912827KV Govt","COUNTRY_FULL_NAME")</f>
        <v>UNITED STATES</v>
      </c>
      <c r="I711" t="str">
        <f>_xll.BDP("912827KV Govt","FIRST_CPN_DT")</f>
        <v>12/31/1980</v>
      </c>
      <c r="J711" t="str">
        <f>_xll.BDP("912827KV Govt","COUPON_FREQUENCY_DESCRIPTION")</f>
        <v>S/A</v>
      </c>
      <c r="K711" t="str">
        <f>_xll.BDP("912827KV Govt","CPN_TYP")</f>
        <v>FIXED</v>
      </c>
      <c r="L711" t="str">
        <f>_xll.BDP("912827KV Govt","ID_ISIN")</f>
        <v>US912827KV32</v>
      </c>
      <c r="N711">
        <v>0</v>
      </c>
      <c r="O711" t="str">
        <f>_xll.BDP("912827KV Govt","ISSUE_DT")</f>
        <v>6/30/1980</v>
      </c>
      <c r="P711" t="str">
        <f>_xll.BDP("912827KV Govt","SECURITY_NAME")</f>
        <v>T 8 7/8 06/30/84</v>
      </c>
      <c r="Q711" t="str">
        <f>_xll.BDP("912827KV Govt","DAY_CNT_DES")</f>
        <v>ACT/ACT</v>
      </c>
      <c r="R711">
        <v>100</v>
      </c>
      <c r="S711" t="str">
        <f>_xll.BDP("912827KV Govt","ID_CUSIP")</f>
        <v>912827KV3</v>
      </c>
      <c r="T711" t="str">
        <f>_xll.BDP("912827KV Govt","IDX_RATIO")</f>
        <v>#N/A Field Not Applicable</v>
      </c>
    </row>
    <row r="712" spans="1:20" x14ac:dyDescent="0.25">
      <c r="A712" t="s">
        <v>14</v>
      </c>
      <c r="B712" t="str">
        <f>_xll.BDP("912827KY Govt","TICKER")</f>
        <v>T</v>
      </c>
      <c r="C712">
        <f>_xll.BDP("912827KY Govt","CPN")</f>
        <v>10.75</v>
      </c>
      <c r="D712" t="str">
        <f>_xll.BDP("912827KY Govt","YLD_YTM_BID")</f>
        <v>#N/A N/A</v>
      </c>
      <c r="E712" t="str">
        <f>_xll.BDP("912827KY Govt","MATURITY")</f>
        <v>8/15/1990</v>
      </c>
      <c r="F712" t="str">
        <f>_xll.BDP("912827KY Govt","MTY_TYP")</f>
        <v>NORMAL</v>
      </c>
      <c r="G712" t="str">
        <f>_xll.BDP("912827KY Govt","CRNCY")</f>
        <v>USD</v>
      </c>
      <c r="H712" t="str">
        <f>_xll.BDP("912827KY Govt","COUNTRY_FULL_NAME")</f>
        <v>UNITED STATES</v>
      </c>
      <c r="I712" t="str">
        <f>_xll.BDP("912827KY Govt","FIRST_CPN_DT")</f>
        <v>2/15/1981</v>
      </c>
      <c r="J712" t="str">
        <f>_xll.BDP("912827KY Govt","COUPON_FREQUENCY_DESCRIPTION")</f>
        <v>S/A</v>
      </c>
      <c r="K712" t="str">
        <f>_xll.BDP("912827KY Govt","CPN_TYP")</f>
        <v>FIXED</v>
      </c>
      <c r="L712" t="str">
        <f>_xll.BDP("912827KY Govt","ID_ISIN")</f>
        <v>US912827KY70</v>
      </c>
      <c r="N712">
        <v>0</v>
      </c>
      <c r="O712" t="str">
        <f>_xll.BDP("912827KY Govt","ISSUE_DT")</f>
        <v>8/15/1980</v>
      </c>
      <c r="P712" t="str">
        <f>_xll.BDP("912827KY Govt","SECURITY_NAME")</f>
        <v>T 10 3/4 08/15/90</v>
      </c>
      <c r="Q712" t="str">
        <f>_xll.BDP("912827KY Govt","DAY_CNT_DES")</f>
        <v>ACT/ACT</v>
      </c>
      <c r="R712">
        <v>100</v>
      </c>
      <c r="S712" t="str">
        <f>_xll.BDP("912827KY Govt","ID_CUSIP")</f>
        <v>912827KY7</v>
      </c>
      <c r="T712" t="str">
        <f>_xll.BDP("912827KY Govt","IDX_RATIO")</f>
        <v>#N/A Field Not Applicable</v>
      </c>
    </row>
    <row r="713" spans="1:20" x14ac:dyDescent="0.25">
      <c r="A713" t="s">
        <v>14</v>
      </c>
      <c r="B713" t="str">
        <f>_xll.BDP("912827KZ Govt","TICKER")</f>
        <v>T</v>
      </c>
      <c r="C713">
        <f>_xll.BDP("912827KZ Govt","CPN")</f>
        <v>11.125</v>
      </c>
      <c r="D713" t="str">
        <f>_xll.BDP("912827KZ Govt","YLD_YTM_BID")</f>
        <v>#N/A N/A</v>
      </c>
      <c r="E713" t="str">
        <f>_xll.BDP("912827KZ Govt","MATURITY")</f>
        <v>8/31/1982</v>
      </c>
      <c r="F713" t="str">
        <f>_xll.BDP("912827KZ Govt","MTY_TYP")</f>
        <v>NORMAL</v>
      </c>
      <c r="G713" t="str">
        <f>_xll.BDP("912827KZ Govt","CRNCY")</f>
        <v>USD</v>
      </c>
      <c r="H713" t="str">
        <f>_xll.BDP("912827KZ Govt","COUNTRY_FULL_NAME")</f>
        <v>UNITED STATES</v>
      </c>
      <c r="I713" t="str">
        <f>_xll.BDP("912827KZ Govt","FIRST_CPN_DT")</f>
        <v>2/28/1981</v>
      </c>
      <c r="J713" t="str">
        <f>_xll.BDP("912827KZ Govt","COUPON_FREQUENCY_DESCRIPTION")</f>
        <v>S/A</v>
      </c>
      <c r="K713" t="str">
        <f>_xll.BDP("912827KZ Govt","CPN_TYP")</f>
        <v>FIXED</v>
      </c>
      <c r="L713" t="str">
        <f>_xll.BDP("912827KZ Govt","ID_ISIN")</f>
        <v>US912827KZ46</v>
      </c>
      <c r="N713">
        <v>0</v>
      </c>
      <c r="O713" t="str">
        <f>_xll.BDP("912827KZ Govt","ISSUE_DT")</f>
        <v>9/2/1980</v>
      </c>
      <c r="P713" t="str">
        <f>_xll.BDP("912827KZ Govt","SECURITY_NAME")</f>
        <v>T 11 1/8 08/31/82</v>
      </c>
      <c r="Q713" t="str">
        <f>_xll.BDP("912827KZ Govt","DAY_CNT_DES")</f>
        <v>ACT/ACT</v>
      </c>
      <c r="R713">
        <v>100</v>
      </c>
      <c r="S713" t="str">
        <f>_xll.BDP("912827KZ Govt","ID_CUSIP")</f>
        <v>912827KZ4</v>
      </c>
      <c r="T713" t="str">
        <f>_xll.BDP("912827KZ Govt","IDX_RATIO")</f>
        <v>#N/A Field Not Applicable</v>
      </c>
    </row>
    <row r="714" spans="1:20" x14ac:dyDescent="0.25">
      <c r="A714" t="s">
        <v>14</v>
      </c>
      <c r="B714" t="str">
        <f>_xll.BDP("912827L9 Govt","TICKER")</f>
        <v>T</v>
      </c>
      <c r="C714">
        <f>_xll.BDP("912827L9 Govt","CPN")</f>
        <v>3.875</v>
      </c>
      <c r="D714" t="str">
        <f>_xll.BDP("912827L9 Govt","YLD_YTM_BID")</f>
        <v>#N/A N/A</v>
      </c>
      <c r="E714" t="str">
        <f>_xll.BDP("912827L9 Govt","MATURITY")</f>
        <v>8/31/1995</v>
      </c>
      <c r="F714" t="str">
        <f>_xll.BDP("912827L9 Govt","MTY_TYP")</f>
        <v>NORMAL</v>
      </c>
      <c r="G714" t="str">
        <f>_xll.BDP("912827L9 Govt","CRNCY")</f>
        <v>USD</v>
      </c>
      <c r="H714" t="str">
        <f>_xll.BDP("912827L9 Govt","COUNTRY_FULL_NAME")</f>
        <v>UNITED STATES</v>
      </c>
      <c r="I714" t="str">
        <f>_xll.BDP("912827L9 Govt","FIRST_CPN_DT")</f>
        <v>2/28/1994</v>
      </c>
      <c r="J714" t="str">
        <f>_xll.BDP("912827L9 Govt","COUPON_FREQUENCY_DESCRIPTION")</f>
        <v>S/A</v>
      </c>
      <c r="K714" t="str">
        <f>_xll.BDP("912827L9 Govt","CPN_TYP")</f>
        <v>FIXED</v>
      </c>
      <c r="L714" t="str">
        <f>_xll.BDP("912827L9 Govt","ID_ISIN")</f>
        <v>US912827L916</v>
      </c>
      <c r="N714">
        <v>0</v>
      </c>
      <c r="O714" t="str">
        <f>_xll.BDP("912827L9 Govt","ISSUE_DT")</f>
        <v>8/31/1993</v>
      </c>
      <c r="P714" t="str">
        <f>_xll.BDP("912827L9 Govt","SECURITY_NAME")</f>
        <v>T 3 7/8 08/31/95</v>
      </c>
      <c r="Q714" t="str">
        <f>_xll.BDP("912827L9 Govt","DAY_CNT_DES")</f>
        <v>ACT/ACT</v>
      </c>
      <c r="R714">
        <v>100</v>
      </c>
      <c r="S714" t="str">
        <f>_xll.BDP("912827L9 Govt","ID_CUSIP")</f>
        <v>912827L91</v>
      </c>
      <c r="T714" t="str">
        <f>_xll.BDP("912827L9 Govt","IDX_RATIO")</f>
        <v>#N/A Field Not Applicable</v>
      </c>
    </row>
    <row r="715" spans="1:20" x14ac:dyDescent="0.25">
      <c r="A715" t="s">
        <v>14</v>
      </c>
      <c r="B715" t="str">
        <f>_xll.BDP("912827LM Govt","TICKER")</f>
        <v>T</v>
      </c>
      <c r="C715">
        <f>_xll.BDP("912827LM Govt","CPN")</f>
        <v>13.625</v>
      </c>
      <c r="D715" t="str">
        <f>_xll.BDP("912827LM Govt","YLD_YTM_BID")</f>
        <v>#N/A N/A</v>
      </c>
      <c r="E715" t="str">
        <f>_xll.BDP("912827LM Govt","MATURITY")</f>
        <v>1/31/1983</v>
      </c>
      <c r="F715" t="str">
        <f>_xll.BDP("912827LM Govt","MTY_TYP")</f>
        <v>NORMAL</v>
      </c>
      <c r="G715" t="str">
        <f>_xll.BDP("912827LM Govt","CRNCY")</f>
        <v>USD</v>
      </c>
      <c r="H715" t="str">
        <f>_xll.BDP("912827LM Govt","COUNTRY_FULL_NAME")</f>
        <v>UNITED STATES</v>
      </c>
      <c r="I715" t="str">
        <f>_xll.BDP("912827LM Govt","FIRST_CPN_DT")</f>
        <v>7/31/1981</v>
      </c>
      <c r="J715" t="str">
        <f>_xll.BDP("912827LM Govt","COUPON_FREQUENCY_DESCRIPTION")</f>
        <v>S/A</v>
      </c>
      <c r="K715" t="str">
        <f>_xll.BDP("912827LM Govt","CPN_TYP")</f>
        <v>FIXED</v>
      </c>
      <c r="L715" t="str">
        <f>_xll.BDP("912827LM Govt","ID_ISIN")</f>
        <v>US912827LM24</v>
      </c>
      <c r="N715">
        <v>0</v>
      </c>
      <c r="O715" t="str">
        <f>_xll.BDP("912827LM Govt","ISSUE_DT")</f>
        <v>2/2/1981</v>
      </c>
      <c r="P715" t="str">
        <f>_xll.BDP("912827LM Govt","SECURITY_NAME")</f>
        <v>T 13 5/8 01/31/83</v>
      </c>
      <c r="Q715" t="str">
        <f>_xll.BDP("912827LM Govt","DAY_CNT_DES")</f>
        <v>ACT/ACT</v>
      </c>
      <c r="R715">
        <v>100</v>
      </c>
      <c r="S715" t="str">
        <f>_xll.BDP("912827LM Govt","ID_CUSIP")</f>
        <v>912827LM2</v>
      </c>
      <c r="T715" t="str">
        <f>_xll.BDP("912827LM Govt","IDX_RATIO")</f>
        <v>#N/A Field Not Applicable</v>
      </c>
    </row>
    <row r="716" spans="1:20" x14ac:dyDescent="0.25">
      <c r="A716" t="s">
        <v>14</v>
      </c>
      <c r="B716" t="str">
        <f>_xll.BDP("912827LN Govt","TICKER")</f>
        <v>T</v>
      </c>
      <c r="C716">
        <f>_xll.BDP("912827LN Govt","CPN")</f>
        <v>13.25</v>
      </c>
      <c r="D716" t="str">
        <f>_xll.BDP("912827LN Govt","YLD_YTM_BID")</f>
        <v>#N/A N/A</v>
      </c>
      <c r="E716" t="str">
        <f>_xll.BDP("912827LN Govt","MATURITY")</f>
        <v>8/15/1984</v>
      </c>
      <c r="F716" t="str">
        <f>_xll.BDP("912827LN Govt","MTY_TYP")</f>
        <v>NORMAL</v>
      </c>
      <c r="G716" t="str">
        <f>_xll.BDP("912827LN Govt","CRNCY")</f>
        <v>USD</v>
      </c>
      <c r="H716" t="str">
        <f>_xll.BDP("912827LN Govt","COUNTRY_FULL_NAME")</f>
        <v>UNITED STATES</v>
      </c>
      <c r="I716" t="str">
        <f>_xll.BDP("912827LN Govt","FIRST_CPN_DT")</f>
        <v>8/15/1981</v>
      </c>
      <c r="J716" t="str">
        <f>_xll.BDP("912827LN Govt","COUPON_FREQUENCY_DESCRIPTION")</f>
        <v>S/A</v>
      </c>
      <c r="K716" t="str">
        <f>_xll.BDP("912827LN Govt","CPN_TYP")</f>
        <v>FIXED</v>
      </c>
      <c r="L716" t="str">
        <f>_xll.BDP("912827LN Govt","ID_ISIN")</f>
        <v>US912827LN07</v>
      </c>
      <c r="N716">
        <v>0</v>
      </c>
      <c r="O716" t="str">
        <f>_xll.BDP("912827LN Govt","ISSUE_DT")</f>
        <v>2/17/1981</v>
      </c>
      <c r="P716" t="str">
        <f>_xll.BDP("912827LN Govt","SECURITY_NAME")</f>
        <v>T 13 1/4 08/15/84</v>
      </c>
      <c r="Q716" t="str">
        <f>_xll.BDP("912827LN Govt","DAY_CNT_DES")</f>
        <v>ACT/ACT</v>
      </c>
      <c r="R716">
        <v>100</v>
      </c>
      <c r="S716" t="str">
        <f>_xll.BDP("912827LN Govt","ID_CUSIP")</f>
        <v>912827LN0</v>
      </c>
      <c r="T716" t="str">
        <f>_xll.BDP("912827LN Govt","IDX_RATIO")</f>
        <v>#N/A Field Not Applicable</v>
      </c>
    </row>
    <row r="717" spans="1:20" x14ac:dyDescent="0.25">
      <c r="A717" t="s">
        <v>14</v>
      </c>
      <c r="B717" t="str">
        <f>_xll.BDP("912827LV Govt","TICKER")</f>
        <v>T</v>
      </c>
      <c r="C717">
        <f>_xll.BDP("912827LV Govt","CPN")</f>
        <v>15.75</v>
      </c>
      <c r="D717" t="str">
        <f>_xll.BDP("912827LV Govt","YLD_YTM_BID")</f>
        <v>#N/A N/A</v>
      </c>
      <c r="E717" t="str">
        <f>_xll.BDP("912827LV Govt","MATURITY")</f>
        <v>5/15/1984</v>
      </c>
      <c r="F717" t="str">
        <f>_xll.BDP("912827LV Govt","MTY_TYP")</f>
        <v>NORMAL</v>
      </c>
      <c r="G717" t="str">
        <f>_xll.BDP("912827LV Govt","CRNCY")</f>
        <v>USD</v>
      </c>
      <c r="H717" t="str">
        <f>_xll.BDP("912827LV Govt","COUNTRY_FULL_NAME")</f>
        <v>UNITED STATES</v>
      </c>
      <c r="I717" t="str">
        <f>_xll.BDP("912827LV Govt","FIRST_CPN_DT")</f>
        <v>11/15/1981</v>
      </c>
      <c r="J717" t="str">
        <f>_xll.BDP("912827LV Govt","COUPON_FREQUENCY_DESCRIPTION")</f>
        <v>S/A</v>
      </c>
      <c r="K717" t="str">
        <f>_xll.BDP("912827LV Govt","CPN_TYP")</f>
        <v>FIXED</v>
      </c>
      <c r="L717" t="str">
        <f>_xll.BDP("912827LV Govt","ID_ISIN")</f>
        <v>US912827LV23</v>
      </c>
      <c r="N717">
        <v>0</v>
      </c>
      <c r="O717" t="str">
        <f>_xll.BDP("912827LV Govt","ISSUE_DT")</f>
        <v>5/15/1981</v>
      </c>
      <c r="P717" t="str">
        <f>_xll.BDP("912827LV Govt","SECURITY_NAME")</f>
        <v>T 15 3/4 05/15/84</v>
      </c>
      <c r="Q717" t="str">
        <f>_xll.BDP("912827LV Govt","DAY_CNT_DES")</f>
        <v>ACT/ACT</v>
      </c>
      <c r="R717">
        <v>100</v>
      </c>
      <c r="S717" t="str">
        <f>_xll.BDP("912827LV Govt","ID_CUSIP")</f>
        <v>912827LV2</v>
      </c>
      <c r="T717" t="str">
        <f>_xll.BDP("912827LV Govt","IDX_RATIO")</f>
        <v>#N/A Field Not Applicable</v>
      </c>
    </row>
    <row r="718" spans="1:20" x14ac:dyDescent="0.25">
      <c r="A718" t="s">
        <v>14</v>
      </c>
      <c r="B718" t="str">
        <f>_xll.BDP("912827M5 Govt","TICKER")</f>
        <v>T</v>
      </c>
      <c r="C718">
        <f>_xll.BDP("912827M5 Govt","CPN")</f>
        <v>3.875</v>
      </c>
      <c r="D718" t="str">
        <f>_xll.BDP("912827M5 Govt","YLD_YTM_BID")</f>
        <v>#N/A N/A</v>
      </c>
      <c r="E718" t="str">
        <f>_xll.BDP("912827M5 Govt","MATURITY")</f>
        <v>10/31/1995</v>
      </c>
      <c r="F718" t="str">
        <f>_xll.BDP("912827M5 Govt","MTY_TYP")</f>
        <v>NORMAL</v>
      </c>
      <c r="G718" t="str">
        <f>_xll.BDP("912827M5 Govt","CRNCY")</f>
        <v>USD</v>
      </c>
      <c r="H718" t="str">
        <f>_xll.BDP("912827M5 Govt","COUNTRY_FULL_NAME")</f>
        <v>UNITED STATES</v>
      </c>
      <c r="I718" t="str">
        <f>_xll.BDP("912827M5 Govt","FIRST_CPN_DT")</f>
        <v>4/30/1994</v>
      </c>
      <c r="J718" t="str">
        <f>_xll.BDP("912827M5 Govt","COUPON_FREQUENCY_DESCRIPTION")</f>
        <v>S/A</v>
      </c>
      <c r="K718" t="str">
        <f>_xll.BDP("912827M5 Govt","CPN_TYP")</f>
        <v>FIXED</v>
      </c>
      <c r="L718" t="str">
        <f>_xll.BDP("912827M5 Govt","ID_ISIN")</f>
        <v>US912827M583</v>
      </c>
      <c r="N718">
        <v>0</v>
      </c>
      <c r="O718" t="str">
        <f>_xll.BDP("912827M5 Govt","ISSUE_DT")</f>
        <v>11/1/1993</v>
      </c>
      <c r="P718" t="str">
        <f>_xll.BDP("912827M5 Govt","SECURITY_NAME")</f>
        <v>T 3 7/8 10/31/95</v>
      </c>
      <c r="Q718" t="str">
        <f>_xll.BDP("912827M5 Govt","DAY_CNT_DES")</f>
        <v>ACT/ACT</v>
      </c>
      <c r="R718">
        <v>100</v>
      </c>
      <c r="S718" t="str">
        <f>_xll.BDP("912827M5 Govt","ID_CUSIP")</f>
        <v>912827M58</v>
      </c>
      <c r="T718" t="str">
        <f>_xll.BDP("912827M5 Govt","IDX_RATIO")</f>
        <v>#N/A Field Not Applicable</v>
      </c>
    </row>
    <row r="719" spans="1:20" x14ac:dyDescent="0.25">
      <c r="A719" t="s">
        <v>14</v>
      </c>
      <c r="B719" t="str">
        <f>_xll.BDP("912827M6 Govt","TICKER")</f>
        <v>T</v>
      </c>
      <c r="C719">
        <f>_xll.BDP("912827M6 Govt","CPN")</f>
        <v>4.75</v>
      </c>
      <c r="D719" t="str">
        <f>_xll.BDP("912827M6 Govt","YLD_YTM_BID")</f>
        <v>#N/A N/A</v>
      </c>
      <c r="E719" t="str">
        <f>_xll.BDP("912827M6 Govt","MATURITY")</f>
        <v>10/31/1998</v>
      </c>
      <c r="F719" t="str">
        <f>_xll.BDP("912827M6 Govt","MTY_TYP")</f>
        <v>NORMAL</v>
      </c>
      <c r="G719" t="str">
        <f>_xll.BDP("912827M6 Govt","CRNCY")</f>
        <v>USD</v>
      </c>
      <c r="H719" t="str">
        <f>_xll.BDP("912827M6 Govt","COUNTRY_FULL_NAME")</f>
        <v>UNITED STATES</v>
      </c>
      <c r="I719" t="str">
        <f>_xll.BDP("912827M6 Govt","FIRST_CPN_DT")</f>
        <v>4/30/1994</v>
      </c>
      <c r="J719" t="str">
        <f>_xll.BDP("912827M6 Govt","COUPON_FREQUENCY_DESCRIPTION")</f>
        <v>S/A</v>
      </c>
      <c r="K719" t="str">
        <f>_xll.BDP("912827M6 Govt","CPN_TYP")</f>
        <v>FIXED</v>
      </c>
      <c r="L719" t="str">
        <f>_xll.BDP("912827M6 Govt","ID_ISIN")</f>
        <v>US912827M666</v>
      </c>
      <c r="M719">
        <v>13023000000</v>
      </c>
      <c r="N719">
        <v>0</v>
      </c>
      <c r="O719" t="str">
        <f>_xll.BDP("912827M6 Govt","ISSUE_DT")</f>
        <v>11/1/1993</v>
      </c>
      <c r="P719" t="str">
        <f>_xll.BDP("912827M6 Govt","SECURITY_NAME")</f>
        <v>T 4 3/4 10/31/98</v>
      </c>
      <c r="Q719" t="str">
        <f>_xll.BDP("912827M6 Govt","DAY_CNT_DES")</f>
        <v>ACT/ACT</v>
      </c>
      <c r="R719">
        <v>100</v>
      </c>
      <c r="S719" t="str">
        <f>_xll.BDP("912827M6 Govt","ID_CUSIP")</f>
        <v>912827M66</v>
      </c>
      <c r="T719" t="str">
        <f>_xll.BDP("912827M6 Govt","IDX_RATIO")</f>
        <v>#N/A Field Not Applicable</v>
      </c>
    </row>
    <row r="720" spans="1:20" x14ac:dyDescent="0.25">
      <c r="A720" t="s">
        <v>14</v>
      </c>
      <c r="B720" t="str">
        <f>_xll.BDP("912827MA Govt","TICKER")</f>
        <v>T</v>
      </c>
      <c r="C720">
        <f>_xll.BDP("912827MA Govt","CPN")</f>
        <v>14</v>
      </c>
      <c r="D720" t="str">
        <f>_xll.BDP("912827MA Govt","YLD_YTM_BID")</f>
        <v>#N/A N/A</v>
      </c>
      <c r="E720" t="str">
        <f>_xll.BDP("912827MA Govt","MATURITY")</f>
        <v>6/30/1985</v>
      </c>
      <c r="F720" t="str">
        <f>_xll.BDP("912827MA Govt","MTY_TYP")</f>
        <v>NORMAL</v>
      </c>
      <c r="G720" t="str">
        <f>_xll.BDP("912827MA Govt","CRNCY")</f>
        <v>USD</v>
      </c>
      <c r="H720" t="str">
        <f>_xll.BDP("912827MA Govt","COUNTRY_FULL_NAME")</f>
        <v>UNITED STATES</v>
      </c>
      <c r="I720" t="str">
        <f>_xll.BDP("912827MA Govt","FIRST_CPN_DT")</f>
        <v>12/31/1981</v>
      </c>
      <c r="J720" t="str">
        <f>_xll.BDP("912827MA Govt","COUPON_FREQUENCY_DESCRIPTION")</f>
        <v>S/A</v>
      </c>
      <c r="K720" t="str">
        <f>_xll.BDP("912827MA Govt","CPN_TYP")</f>
        <v>FIXED</v>
      </c>
      <c r="L720" t="str">
        <f>_xll.BDP("912827MA Govt","ID_ISIN")</f>
        <v>US912827MA76</v>
      </c>
      <c r="N720">
        <v>0</v>
      </c>
      <c r="O720" t="str">
        <f>_xll.BDP("912827MA Govt","ISSUE_DT")</f>
        <v>6/30/1981</v>
      </c>
      <c r="P720" t="str">
        <f>_xll.BDP("912827MA Govt","SECURITY_NAME")</f>
        <v>T 14 06/30/85</v>
      </c>
      <c r="Q720" t="str">
        <f>_xll.BDP("912827MA Govt","DAY_CNT_DES")</f>
        <v>ACT/ACT</v>
      </c>
      <c r="R720">
        <v>100</v>
      </c>
      <c r="S720" t="str">
        <f>_xll.BDP("912827MA Govt","ID_CUSIP")</f>
        <v>912827MA7</v>
      </c>
      <c r="T720" t="str">
        <f>_xll.BDP("912827MA Govt","IDX_RATIO")</f>
        <v>#N/A Field Not Applicable</v>
      </c>
    </row>
    <row r="721" spans="1:20" x14ac:dyDescent="0.25">
      <c r="A721" t="s">
        <v>14</v>
      </c>
      <c r="B721" t="str">
        <f>_xll.BDP("912827MB Govt","TICKER")</f>
        <v>T</v>
      </c>
      <c r="C721">
        <f>_xll.BDP("912827MB Govt","CPN")</f>
        <v>14</v>
      </c>
      <c r="D721" t="str">
        <f>_xll.BDP("912827MB Govt","YLD_YTM_BID")</f>
        <v>#N/A N/A</v>
      </c>
      <c r="E721" t="str">
        <f>_xll.BDP("912827MB Govt","MATURITY")</f>
        <v>7/15/1988</v>
      </c>
      <c r="F721" t="str">
        <f>_xll.BDP("912827MB Govt","MTY_TYP")</f>
        <v>NORMAL</v>
      </c>
      <c r="G721" t="str">
        <f>_xll.BDP("912827MB Govt","CRNCY")</f>
        <v>USD</v>
      </c>
      <c r="H721" t="str">
        <f>_xll.BDP("912827MB Govt","COUNTRY_FULL_NAME")</f>
        <v>UNITED STATES</v>
      </c>
      <c r="I721" t="str">
        <f>_xll.BDP("912827MB Govt","FIRST_CPN_DT")</f>
        <v>1/15/1982</v>
      </c>
      <c r="J721" t="str">
        <f>_xll.BDP("912827MB Govt","COUPON_FREQUENCY_DESCRIPTION")</f>
        <v>S/A</v>
      </c>
      <c r="K721" t="str">
        <f>_xll.BDP("912827MB Govt","CPN_TYP")</f>
        <v>FIXED</v>
      </c>
      <c r="L721" t="str">
        <f>_xll.BDP("912827MB Govt","ID_ISIN")</f>
        <v>US912827MB59</v>
      </c>
      <c r="N721">
        <v>0</v>
      </c>
      <c r="O721" t="str">
        <f>_xll.BDP("912827MB Govt","ISSUE_DT")</f>
        <v>7/7/1981</v>
      </c>
      <c r="P721" t="str">
        <f>_xll.BDP("912827MB Govt","SECURITY_NAME")</f>
        <v>T 14 07/15/88</v>
      </c>
      <c r="Q721" t="str">
        <f>_xll.BDP("912827MB Govt","DAY_CNT_DES")</f>
        <v>ACT/ACT</v>
      </c>
      <c r="R721">
        <v>100</v>
      </c>
      <c r="S721" t="str">
        <f>_xll.BDP("912827MB Govt","ID_CUSIP")</f>
        <v>912827MB5</v>
      </c>
      <c r="T721" t="str">
        <f>_xll.BDP("912827MB Govt","IDX_RATIO")</f>
        <v>#N/A Field Not Applicable</v>
      </c>
    </row>
    <row r="722" spans="1:20" x14ac:dyDescent="0.25">
      <c r="A722" t="s">
        <v>14</v>
      </c>
      <c r="B722" t="str">
        <f>_xll.BDP("912827MF Govt","TICKER")</f>
        <v>T</v>
      </c>
      <c r="C722">
        <f>_xll.BDP("912827MF Govt","CPN")</f>
        <v>16.25</v>
      </c>
      <c r="D722" t="str">
        <f>_xll.BDP("912827MF Govt","YLD_YTM_BID")</f>
        <v>#N/A N/A</v>
      </c>
      <c r="E722" t="str">
        <f>_xll.BDP("912827MF Govt","MATURITY")</f>
        <v>8/31/1983</v>
      </c>
      <c r="F722" t="str">
        <f>_xll.BDP("912827MF Govt","MTY_TYP")</f>
        <v>NORMAL</v>
      </c>
      <c r="G722" t="str">
        <f>_xll.BDP("912827MF Govt","CRNCY")</f>
        <v>USD</v>
      </c>
      <c r="H722" t="str">
        <f>_xll.BDP("912827MF Govt","COUNTRY_FULL_NAME")</f>
        <v>UNITED STATES</v>
      </c>
      <c r="I722" t="str">
        <f>_xll.BDP("912827MF Govt","FIRST_CPN_DT")</f>
        <v>2/28/1982</v>
      </c>
      <c r="J722" t="str">
        <f>_xll.BDP("912827MF Govt","COUPON_FREQUENCY_DESCRIPTION")</f>
        <v>S/A</v>
      </c>
      <c r="K722" t="str">
        <f>_xll.BDP("912827MF Govt","CPN_TYP")</f>
        <v>FIXED</v>
      </c>
      <c r="L722" t="str">
        <f>_xll.BDP("912827MF Govt","ID_ISIN")</f>
        <v>US912827MF63</v>
      </c>
      <c r="N722">
        <v>0</v>
      </c>
      <c r="O722" t="str">
        <f>_xll.BDP("912827MF Govt","ISSUE_DT")</f>
        <v>8/31/1981</v>
      </c>
      <c r="P722" t="str">
        <f>_xll.BDP("912827MF Govt","SECURITY_NAME")</f>
        <v>T 16 1/4 08/31/83</v>
      </c>
      <c r="Q722" t="str">
        <f>_xll.BDP("912827MF Govt","DAY_CNT_DES")</f>
        <v>ACT/ACT</v>
      </c>
      <c r="R722">
        <v>100</v>
      </c>
      <c r="S722" t="str">
        <f>_xll.BDP("912827MF Govt","ID_CUSIP")</f>
        <v>912827MF6</v>
      </c>
      <c r="T722" t="str">
        <f>_xll.BDP("912827MF Govt","IDX_RATIO")</f>
        <v>#N/A Field Not Applicable</v>
      </c>
    </row>
    <row r="723" spans="1:20" x14ac:dyDescent="0.25">
      <c r="A723" t="s">
        <v>14</v>
      </c>
      <c r="B723" t="str">
        <f>_xll.BDP("912827MQ Govt","TICKER")</f>
        <v>T</v>
      </c>
      <c r="C723">
        <f>_xll.BDP("912827MQ Govt","CPN")</f>
        <v>12.75</v>
      </c>
      <c r="D723" t="str">
        <f>_xll.BDP("912827MQ Govt","YLD_YTM_BID")</f>
        <v>#N/A N/A</v>
      </c>
      <c r="E723" t="str">
        <f>_xll.BDP("912827MQ Govt","MATURITY")</f>
        <v>2/15/1987</v>
      </c>
      <c r="F723" t="str">
        <f>_xll.BDP("912827MQ Govt","MTY_TYP")</f>
        <v>NORMAL</v>
      </c>
      <c r="G723" t="str">
        <f>_xll.BDP("912827MQ Govt","CRNCY")</f>
        <v>USD</v>
      </c>
      <c r="H723" t="str">
        <f>_xll.BDP("912827MQ Govt","COUNTRY_FULL_NAME")</f>
        <v>UNITED STATES</v>
      </c>
      <c r="I723" t="str">
        <f>_xll.BDP("912827MQ Govt","FIRST_CPN_DT")</f>
        <v>8/15/1982</v>
      </c>
      <c r="J723" t="str">
        <f>_xll.BDP("912827MQ Govt","COUPON_FREQUENCY_DESCRIPTION")</f>
        <v>S/A</v>
      </c>
      <c r="K723" t="str">
        <f>_xll.BDP("912827MQ Govt","CPN_TYP")</f>
        <v>FIXED</v>
      </c>
      <c r="L723" t="str">
        <f>_xll.BDP("912827MQ Govt","ID_ISIN")</f>
        <v>US912827MQ29</v>
      </c>
      <c r="N723">
        <v>0</v>
      </c>
      <c r="O723" t="str">
        <f>_xll.BDP("912827MQ Govt","ISSUE_DT")</f>
        <v>12/2/1981</v>
      </c>
      <c r="P723" t="str">
        <f>_xll.BDP("912827MQ Govt","SECURITY_NAME")</f>
        <v>T 12 3/4 02/15/87</v>
      </c>
      <c r="Q723" t="str">
        <f>_xll.BDP("912827MQ Govt","DAY_CNT_DES")</f>
        <v>ACT/ACT</v>
      </c>
      <c r="R723">
        <v>100</v>
      </c>
      <c r="S723" t="str">
        <f>_xll.BDP("912827MQ Govt","ID_CUSIP")</f>
        <v>912827MQ2</v>
      </c>
      <c r="T723" t="str">
        <f>_xll.BDP("912827MQ Govt","IDX_RATIO")</f>
        <v>#N/A Field Not Applicable</v>
      </c>
    </row>
    <row r="724" spans="1:20" x14ac:dyDescent="0.25">
      <c r="A724" t="s">
        <v>14</v>
      </c>
      <c r="B724" t="str">
        <f>_xll.BDP("912827MT Govt","TICKER")</f>
        <v>T</v>
      </c>
      <c r="C724">
        <f>_xll.BDP("912827MT Govt","CPN")</f>
        <v>14.625</v>
      </c>
      <c r="D724" t="str">
        <f>_xll.BDP("912827MT Govt","YLD_YTM_BID")</f>
        <v>#N/A N/A</v>
      </c>
      <c r="E724" t="str">
        <f>_xll.BDP("912827MT Govt","MATURITY")</f>
        <v>1/15/1989</v>
      </c>
      <c r="F724" t="str">
        <f>_xll.BDP("912827MT Govt","MTY_TYP")</f>
        <v>NORMAL</v>
      </c>
      <c r="G724" t="str">
        <f>_xll.BDP("912827MT Govt","CRNCY")</f>
        <v>USD</v>
      </c>
      <c r="H724" t="str">
        <f>_xll.BDP("912827MT Govt","COUNTRY_FULL_NAME")</f>
        <v>UNITED STATES</v>
      </c>
      <c r="I724" t="str">
        <f>_xll.BDP("912827MT Govt","FIRST_CPN_DT")</f>
        <v>7/15/1982</v>
      </c>
      <c r="J724" t="str">
        <f>_xll.BDP("912827MT Govt","COUPON_FREQUENCY_DESCRIPTION")</f>
        <v>S/A</v>
      </c>
      <c r="K724" t="str">
        <f>_xll.BDP("912827MT Govt","CPN_TYP")</f>
        <v>FIXED</v>
      </c>
      <c r="L724" t="str">
        <f>_xll.BDP("912827MT Govt","ID_ISIN")</f>
        <v>US912827MT67</v>
      </c>
      <c r="N724">
        <v>0</v>
      </c>
      <c r="O724" t="str">
        <f>_xll.BDP("912827MT Govt","ISSUE_DT")</f>
        <v>1/13/1982</v>
      </c>
      <c r="P724" t="str">
        <f>_xll.BDP("912827MT Govt","SECURITY_NAME")</f>
        <v>T 14 5/8 01/15/89</v>
      </c>
      <c r="Q724" t="str">
        <f>_xll.BDP("912827MT Govt","DAY_CNT_DES")</f>
        <v>ACT/ACT</v>
      </c>
      <c r="R724">
        <v>100</v>
      </c>
      <c r="S724" t="str">
        <f>_xll.BDP("912827MT Govt","ID_CUSIP")</f>
        <v>912827MT6</v>
      </c>
      <c r="T724" t="str">
        <f>_xll.BDP("912827MT Govt","IDX_RATIO")</f>
        <v>#N/A Field Not Applicable</v>
      </c>
    </row>
    <row r="725" spans="1:20" x14ac:dyDescent="0.25">
      <c r="A725" t="s">
        <v>14</v>
      </c>
      <c r="B725" t="str">
        <f>_xll.BDP("912827MY Govt","TICKER")</f>
        <v>T</v>
      </c>
      <c r="C725">
        <f>_xll.BDP("912827MY Govt","CPN")</f>
        <v>14</v>
      </c>
      <c r="D725" t="str">
        <f>_xll.BDP("912827MY Govt","YLD_YTM_BID")</f>
        <v>#N/A N/A</v>
      </c>
      <c r="E725" t="str">
        <f>_xll.BDP("912827MY Govt","MATURITY")</f>
        <v>5/15/1987</v>
      </c>
      <c r="F725" t="str">
        <f>_xll.BDP("912827MY Govt","MTY_TYP")</f>
        <v>NORMAL</v>
      </c>
      <c r="G725" t="str">
        <f>_xll.BDP("912827MY Govt","CRNCY")</f>
        <v>USD</v>
      </c>
      <c r="H725" t="str">
        <f>_xll.BDP("912827MY Govt","COUNTRY_FULL_NAME")</f>
        <v>UNITED STATES</v>
      </c>
      <c r="I725" t="str">
        <f>_xll.BDP("912827MY Govt","FIRST_CPN_DT")</f>
        <v>11/15/1982</v>
      </c>
      <c r="J725" t="str">
        <f>_xll.BDP("912827MY Govt","COUPON_FREQUENCY_DESCRIPTION")</f>
        <v>S/A</v>
      </c>
      <c r="K725" t="str">
        <f>_xll.BDP("912827MY Govt","CPN_TYP")</f>
        <v>FIXED</v>
      </c>
      <c r="L725" t="str">
        <f>_xll.BDP("912827MY Govt","ID_ISIN")</f>
        <v>US912827MY52</v>
      </c>
      <c r="N725">
        <v>0</v>
      </c>
      <c r="O725" t="str">
        <f>_xll.BDP("912827MY Govt","ISSUE_DT")</f>
        <v>3/3/1982</v>
      </c>
      <c r="P725" t="str">
        <f>_xll.BDP("912827MY Govt","SECURITY_NAME")</f>
        <v>T 14 05/15/87</v>
      </c>
      <c r="Q725" t="str">
        <f>_xll.BDP("912827MY Govt","DAY_CNT_DES")</f>
        <v>ACT/ACT</v>
      </c>
      <c r="R725">
        <v>100</v>
      </c>
      <c r="S725" t="str">
        <f>_xll.BDP("912827MY Govt","ID_CUSIP")</f>
        <v>912827MY5</v>
      </c>
      <c r="T725" t="str">
        <f>_xll.BDP("912827MY Govt","IDX_RATIO")</f>
        <v>#N/A Field Not Applicable</v>
      </c>
    </row>
    <row r="726" spans="1:20" x14ac:dyDescent="0.25">
      <c r="A726" t="s">
        <v>14</v>
      </c>
      <c r="B726" t="str">
        <f>_xll.BDP("912827N3 Govt","TICKER")</f>
        <v>T</v>
      </c>
      <c r="C726">
        <f>_xll.BDP("912827N3 Govt","CPN")</f>
        <v>4.25</v>
      </c>
      <c r="D726" t="str">
        <f>_xll.BDP("912827N3 Govt","YLD_YTM_BID")</f>
        <v>#N/A N/A</v>
      </c>
      <c r="E726" t="str">
        <f>_xll.BDP("912827N3 Govt","MATURITY")</f>
        <v>12/31/1995</v>
      </c>
      <c r="F726" t="str">
        <f>_xll.BDP("912827N3 Govt","MTY_TYP")</f>
        <v>NORMAL</v>
      </c>
      <c r="G726" t="str">
        <f>_xll.BDP("912827N3 Govt","CRNCY")</f>
        <v>USD</v>
      </c>
      <c r="H726" t="str">
        <f>_xll.BDP("912827N3 Govt","COUNTRY_FULL_NAME")</f>
        <v>UNITED STATES</v>
      </c>
      <c r="I726" t="str">
        <f>_xll.BDP("912827N3 Govt","FIRST_CPN_DT")</f>
        <v>6/30/1994</v>
      </c>
      <c r="J726" t="str">
        <f>_xll.BDP("912827N3 Govt","COUPON_FREQUENCY_DESCRIPTION")</f>
        <v>S/A</v>
      </c>
      <c r="K726" t="str">
        <f>_xll.BDP("912827N3 Govt","CPN_TYP")</f>
        <v>FIXED</v>
      </c>
      <c r="L726" t="str">
        <f>_xll.BDP("912827N3 Govt","ID_ISIN")</f>
        <v>US912827N326</v>
      </c>
      <c r="N726">
        <v>0</v>
      </c>
      <c r="O726" t="str">
        <f>_xll.BDP("912827N3 Govt","ISSUE_DT")</f>
        <v>12/31/1993</v>
      </c>
      <c r="P726" t="str">
        <f>_xll.BDP("912827N3 Govt","SECURITY_NAME")</f>
        <v>T 4 1/4 12/31/95</v>
      </c>
      <c r="Q726" t="str">
        <f>_xll.BDP("912827N3 Govt","DAY_CNT_DES")</f>
        <v>ACT/ACT</v>
      </c>
      <c r="R726">
        <v>100</v>
      </c>
      <c r="S726" t="str">
        <f>_xll.BDP("912827N3 Govt","ID_CUSIP")</f>
        <v>912827N32</v>
      </c>
      <c r="T726" t="str">
        <f>_xll.BDP("912827N3 Govt","IDX_RATIO")</f>
        <v>#N/A Field Not Applicable</v>
      </c>
    </row>
    <row r="727" spans="1:20" x14ac:dyDescent="0.25">
      <c r="A727" t="s">
        <v>14</v>
      </c>
      <c r="B727" t="str">
        <f>_xll.BDP("912827N5 Govt","TICKER")</f>
        <v>T</v>
      </c>
      <c r="C727">
        <f>_xll.BDP("912827N5 Govt","CPN")</f>
        <v>4</v>
      </c>
      <c r="D727" t="str">
        <f>_xll.BDP("912827N5 Govt","YLD_YTM_BID")</f>
        <v>#N/A N/A</v>
      </c>
      <c r="E727" t="str">
        <f>_xll.BDP("912827N5 Govt","MATURITY")</f>
        <v>1/31/1996</v>
      </c>
      <c r="F727" t="str">
        <f>_xll.BDP("912827N5 Govt","MTY_TYP")</f>
        <v>NORMAL</v>
      </c>
      <c r="G727" t="str">
        <f>_xll.BDP("912827N5 Govt","CRNCY")</f>
        <v>USD</v>
      </c>
      <c r="H727" t="str">
        <f>_xll.BDP("912827N5 Govt","COUNTRY_FULL_NAME")</f>
        <v>UNITED STATES</v>
      </c>
      <c r="I727" t="str">
        <f>_xll.BDP("912827N5 Govt","FIRST_CPN_DT")</f>
        <v>7/31/1994</v>
      </c>
      <c r="J727" t="str">
        <f>_xll.BDP("912827N5 Govt","COUPON_FREQUENCY_DESCRIPTION")</f>
        <v>S/A</v>
      </c>
      <c r="K727" t="str">
        <f>_xll.BDP("912827N5 Govt","CPN_TYP")</f>
        <v>FIXED</v>
      </c>
      <c r="L727" t="str">
        <f>_xll.BDP("912827N5 Govt","ID_ISIN")</f>
        <v>US912827N573</v>
      </c>
      <c r="N727">
        <v>0</v>
      </c>
      <c r="O727" t="str">
        <f>_xll.BDP("912827N5 Govt","ISSUE_DT")</f>
        <v>1/31/1994</v>
      </c>
      <c r="P727" t="str">
        <f>_xll.BDP("912827N5 Govt","SECURITY_NAME")</f>
        <v>T 4 01/31/96</v>
      </c>
      <c r="Q727" t="str">
        <f>_xll.BDP("912827N5 Govt","DAY_CNT_DES")</f>
        <v>ACT/ACT</v>
      </c>
      <c r="R727">
        <v>100</v>
      </c>
      <c r="S727" t="str">
        <f>_xll.BDP("912827N5 Govt","ID_CUSIP")</f>
        <v>912827N57</v>
      </c>
      <c r="T727" t="str">
        <f>_xll.BDP("912827N5 Govt","IDX_RATIO")</f>
        <v>#N/A Field Not Applicable</v>
      </c>
    </row>
    <row r="728" spans="1:20" x14ac:dyDescent="0.25">
      <c r="A728" t="s">
        <v>14</v>
      </c>
      <c r="B728" t="str">
        <f>_xll.BDP("912827N6 Govt","TICKER")</f>
        <v>T</v>
      </c>
      <c r="C728">
        <f>_xll.BDP("912827N6 Govt","CPN")</f>
        <v>5</v>
      </c>
      <c r="D728" t="str">
        <f>_xll.BDP("912827N6 Govt","YLD_YTM_BID")</f>
        <v>#N/A N/A</v>
      </c>
      <c r="E728" t="str">
        <f>_xll.BDP("912827N6 Govt","MATURITY")</f>
        <v>1/31/1999</v>
      </c>
      <c r="F728" t="str">
        <f>_xll.BDP("912827N6 Govt","MTY_TYP")</f>
        <v>NORMAL</v>
      </c>
      <c r="G728" t="str">
        <f>_xll.BDP("912827N6 Govt","CRNCY")</f>
        <v>USD</v>
      </c>
      <c r="H728" t="str">
        <f>_xll.BDP("912827N6 Govt","COUNTRY_FULL_NAME")</f>
        <v>UNITED STATES</v>
      </c>
      <c r="I728" t="str">
        <f>_xll.BDP("912827N6 Govt","FIRST_CPN_DT")</f>
        <v>7/31/1994</v>
      </c>
      <c r="J728" t="str">
        <f>_xll.BDP("912827N6 Govt","COUPON_FREQUENCY_DESCRIPTION")</f>
        <v>S/A</v>
      </c>
      <c r="K728" t="str">
        <f>_xll.BDP("912827N6 Govt","CPN_TYP")</f>
        <v>FIXED</v>
      </c>
      <c r="L728" t="str">
        <f>_xll.BDP("912827N6 Govt","ID_ISIN")</f>
        <v>US912827N656</v>
      </c>
      <c r="M728">
        <v>12901000000</v>
      </c>
      <c r="N728">
        <v>0</v>
      </c>
      <c r="O728" t="str">
        <f>_xll.BDP("912827N6 Govt","ISSUE_DT")</f>
        <v>1/31/1994</v>
      </c>
      <c r="P728" t="str">
        <f>_xll.BDP("912827N6 Govt","SECURITY_NAME")</f>
        <v>T 5 01/31/99</v>
      </c>
      <c r="Q728" t="str">
        <f>_xll.BDP("912827N6 Govt","DAY_CNT_DES")</f>
        <v>ACT/ACT</v>
      </c>
      <c r="R728">
        <v>100</v>
      </c>
      <c r="S728" t="str">
        <f>_xll.BDP("912827N6 Govt","ID_CUSIP")</f>
        <v>912827N65</v>
      </c>
      <c r="T728" t="str">
        <f>_xll.BDP("912827N6 Govt","IDX_RATIO")</f>
        <v>#N/A Field Not Applicable</v>
      </c>
    </row>
    <row r="729" spans="1:20" x14ac:dyDescent="0.25">
      <c r="A729" t="s">
        <v>14</v>
      </c>
      <c r="B729" t="str">
        <f>_xll.BDP("912827N8 Govt","TICKER")</f>
        <v>T</v>
      </c>
      <c r="C729">
        <f>_xll.BDP("912827N8 Govt","CPN")</f>
        <v>5.875</v>
      </c>
      <c r="D729" t="str">
        <f>_xll.BDP("912827N8 Govt","YLD_YTM_BID")</f>
        <v>#N/A N/A</v>
      </c>
      <c r="E729" t="str">
        <f>_xll.BDP("912827N8 Govt","MATURITY")</f>
        <v>2/15/2004</v>
      </c>
      <c r="F729" t="str">
        <f>_xll.BDP("912827N8 Govt","MTY_TYP")</f>
        <v>NORMAL</v>
      </c>
      <c r="G729" t="str">
        <f>_xll.BDP("912827N8 Govt","CRNCY")</f>
        <v>USD</v>
      </c>
      <c r="H729" t="str">
        <f>_xll.BDP("912827N8 Govt","COUNTRY_FULL_NAME")</f>
        <v>UNITED STATES</v>
      </c>
      <c r="I729" t="str">
        <f>_xll.BDP("912827N8 Govt","FIRST_CPN_DT")</f>
        <v>8/15/1994</v>
      </c>
      <c r="J729" t="str">
        <f>_xll.BDP("912827N8 Govt","COUPON_FREQUENCY_DESCRIPTION")</f>
        <v>S/A</v>
      </c>
      <c r="K729" t="str">
        <f>_xll.BDP("912827N8 Govt","CPN_TYP")</f>
        <v>FIXED</v>
      </c>
      <c r="L729" t="str">
        <f>_xll.BDP("912827N8 Govt","ID_ISIN")</f>
        <v>US912827N813</v>
      </c>
      <c r="M729">
        <v>12955000000</v>
      </c>
      <c r="N729">
        <v>0</v>
      </c>
      <c r="O729" t="str">
        <f>_xll.BDP("912827N8 Govt","ISSUE_DT")</f>
        <v>2/15/1994</v>
      </c>
      <c r="P729" t="str">
        <f>_xll.BDP("912827N8 Govt","SECURITY_NAME")</f>
        <v>T 5 7/8 02/15/04</v>
      </c>
      <c r="Q729" t="str">
        <f>_xll.BDP("912827N8 Govt","DAY_CNT_DES")</f>
        <v>ACT/ACT</v>
      </c>
      <c r="R729">
        <v>100</v>
      </c>
      <c r="S729" t="str">
        <f>_xll.BDP("912827N8 Govt","ID_CUSIP")</f>
        <v>912827N81</v>
      </c>
      <c r="T729" t="str">
        <f>_xll.BDP("912827N8 Govt","IDX_RATIO")</f>
        <v>#N/A Field Not Applicable</v>
      </c>
    </row>
    <row r="730" spans="1:20" x14ac:dyDescent="0.25">
      <c r="A730" t="s">
        <v>14</v>
      </c>
      <c r="B730" t="str">
        <f>_xll.BDP("912827NC Govt","TICKER")</f>
        <v>T</v>
      </c>
      <c r="C730">
        <f>_xll.BDP("912827NC Govt","CPN")</f>
        <v>13.875</v>
      </c>
      <c r="D730" t="str">
        <f>_xll.BDP("912827NC Govt","YLD_YTM_BID")</f>
        <v>#N/A N/A</v>
      </c>
      <c r="E730" t="str">
        <f>_xll.BDP("912827NC Govt","MATURITY")</f>
        <v>4/30/1984</v>
      </c>
      <c r="F730" t="str">
        <f>_xll.BDP("912827NC Govt","MTY_TYP")</f>
        <v>NORMAL</v>
      </c>
      <c r="G730" t="str">
        <f>_xll.BDP("912827NC Govt","CRNCY")</f>
        <v>USD</v>
      </c>
      <c r="H730" t="str">
        <f>_xll.BDP("912827NC Govt","COUNTRY_FULL_NAME")</f>
        <v>UNITED STATES</v>
      </c>
      <c r="I730" t="str">
        <f>_xll.BDP("912827NC Govt","FIRST_CPN_DT")</f>
        <v>10/31/1982</v>
      </c>
      <c r="J730" t="str">
        <f>_xll.BDP("912827NC Govt","COUPON_FREQUENCY_DESCRIPTION")</f>
        <v>S/A</v>
      </c>
      <c r="K730" t="str">
        <f>_xll.BDP("912827NC Govt","CPN_TYP")</f>
        <v>FIXED</v>
      </c>
      <c r="L730" t="str">
        <f>_xll.BDP("912827NC Govt","ID_ISIN")</f>
        <v>US912827NC24</v>
      </c>
      <c r="N730">
        <v>0</v>
      </c>
      <c r="O730" t="str">
        <f>_xll.BDP("912827NC Govt","ISSUE_DT")</f>
        <v>4/30/1982</v>
      </c>
      <c r="P730" t="str">
        <f>_xll.BDP("912827NC Govt","SECURITY_NAME")</f>
        <v>T 13 7/8 04/30/84</v>
      </c>
      <c r="Q730" t="str">
        <f>_xll.BDP("912827NC Govt","DAY_CNT_DES")</f>
        <v>ACT/ACT</v>
      </c>
      <c r="R730">
        <v>100</v>
      </c>
      <c r="S730" t="str">
        <f>_xll.BDP("912827NC Govt","ID_CUSIP")</f>
        <v>912827NC2</v>
      </c>
      <c r="T730" t="str">
        <f>_xll.BDP("912827NC Govt","IDX_RATIO")</f>
        <v>#N/A Field Not Applicable</v>
      </c>
    </row>
    <row r="731" spans="1:20" x14ac:dyDescent="0.25">
      <c r="A731" t="s">
        <v>14</v>
      </c>
      <c r="B731" t="str">
        <f>_xll.BDP("912827ND Govt","TICKER")</f>
        <v>T</v>
      </c>
      <c r="C731">
        <f>_xll.BDP("912827ND Govt","CPN")</f>
        <v>14.125</v>
      </c>
      <c r="D731" t="str">
        <f>_xll.BDP("912827ND Govt","YLD_YTM_BID")</f>
        <v>#N/A N/A</v>
      </c>
      <c r="E731" t="str">
        <f>_xll.BDP("912827ND Govt","MATURITY")</f>
        <v>5/15/1985</v>
      </c>
      <c r="F731" t="str">
        <f>_xll.BDP("912827ND Govt","MTY_TYP")</f>
        <v>NORMAL</v>
      </c>
      <c r="G731" t="str">
        <f>_xll.BDP("912827ND Govt","CRNCY")</f>
        <v>USD</v>
      </c>
      <c r="H731" t="str">
        <f>_xll.BDP("912827ND Govt","COUNTRY_FULL_NAME")</f>
        <v>UNITED STATES</v>
      </c>
      <c r="I731" t="str">
        <f>_xll.BDP("912827ND Govt","FIRST_CPN_DT")</f>
        <v>11/15/1982</v>
      </c>
      <c r="J731" t="str">
        <f>_xll.BDP("912827ND Govt","COUPON_FREQUENCY_DESCRIPTION")</f>
        <v>S/A</v>
      </c>
      <c r="K731" t="str">
        <f>_xll.BDP("912827ND Govt","CPN_TYP")</f>
        <v>FIXED</v>
      </c>
      <c r="L731" t="str">
        <f>_xll.BDP("912827ND Govt","ID_ISIN")</f>
        <v>US912827ND07</v>
      </c>
      <c r="N731">
        <v>0</v>
      </c>
      <c r="O731" t="str">
        <f>_xll.BDP("912827ND Govt","ISSUE_DT")</f>
        <v>5/17/1982</v>
      </c>
      <c r="P731" t="str">
        <f>_xll.BDP("912827ND Govt","SECURITY_NAME")</f>
        <v>T 14 1/8 05/15/85</v>
      </c>
      <c r="Q731" t="str">
        <f>_xll.BDP("912827ND Govt","DAY_CNT_DES")</f>
        <v>ACT/ACT</v>
      </c>
      <c r="R731">
        <v>100</v>
      </c>
      <c r="S731" t="str">
        <f>_xll.BDP("912827ND Govt","ID_CUSIP")</f>
        <v>912827ND0</v>
      </c>
      <c r="T731" t="str">
        <f>_xll.BDP("912827ND Govt","IDX_RATIO")</f>
        <v>#N/A Field Not Applicable</v>
      </c>
    </row>
    <row r="732" spans="1:20" x14ac:dyDescent="0.25">
      <c r="A732" t="s">
        <v>14</v>
      </c>
      <c r="B732" t="str">
        <f>_xll.BDP("912827NM Govt","TICKER")</f>
        <v>T</v>
      </c>
      <c r="C732">
        <f>_xll.BDP("912827NM Govt","CPN")</f>
        <v>13.125</v>
      </c>
      <c r="D732" t="str">
        <f>_xll.BDP("912827NM Govt","YLD_YTM_BID")</f>
        <v>#N/A N/A</v>
      </c>
      <c r="E732" t="str">
        <f>_xll.BDP("912827NM Govt","MATURITY")</f>
        <v>8/15/1985</v>
      </c>
      <c r="F732" t="str">
        <f>_xll.BDP("912827NM Govt","MTY_TYP")</f>
        <v>NORMAL</v>
      </c>
      <c r="G732" t="str">
        <f>_xll.BDP("912827NM Govt","CRNCY")</f>
        <v>USD</v>
      </c>
      <c r="H732" t="str">
        <f>_xll.BDP("912827NM Govt","COUNTRY_FULL_NAME")</f>
        <v>UNITED STATES</v>
      </c>
      <c r="I732" t="str">
        <f>_xll.BDP("912827NM Govt","FIRST_CPN_DT")</f>
        <v>2/15/1983</v>
      </c>
      <c r="J732" t="str">
        <f>_xll.BDP("912827NM Govt","COUPON_FREQUENCY_DESCRIPTION")</f>
        <v>S/A</v>
      </c>
      <c r="K732" t="str">
        <f>_xll.BDP("912827NM Govt","CPN_TYP")</f>
        <v>FIXED</v>
      </c>
      <c r="L732" t="str">
        <f>_xll.BDP("912827NM Govt","ID_ISIN")</f>
        <v>US912827NM06</v>
      </c>
      <c r="N732">
        <v>0</v>
      </c>
      <c r="O732" t="str">
        <f>_xll.BDP("912827NM Govt","ISSUE_DT")</f>
        <v>8/16/1982</v>
      </c>
      <c r="P732" t="str">
        <f>_xll.BDP("912827NM Govt","SECURITY_NAME")</f>
        <v>T 13 1/8 08/15/85</v>
      </c>
      <c r="Q732" t="str">
        <f>_xll.BDP("912827NM Govt","DAY_CNT_DES")</f>
        <v>ACT/ACT</v>
      </c>
      <c r="R732">
        <v>100</v>
      </c>
      <c r="S732" t="str">
        <f>_xll.BDP("912827NM Govt","ID_CUSIP")</f>
        <v>912827NM0</v>
      </c>
      <c r="T732" t="str">
        <f>_xll.BDP("912827NM Govt","IDX_RATIO")</f>
        <v>#N/A Field Not Applicable</v>
      </c>
    </row>
    <row r="733" spans="1:20" x14ac:dyDescent="0.25">
      <c r="A733" t="s">
        <v>14</v>
      </c>
      <c r="B733" t="str">
        <f>_xll.BDP("912827NP Govt","TICKER")</f>
        <v>T</v>
      </c>
      <c r="C733">
        <f>_xll.BDP("912827NP Govt","CPN")</f>
        <v>12.625</v>
      </c>
      <c r="D733" t="str">
        <f>_xll.BDP("912827NP Govt","YLD_YTM_BID")</f>
        <v>#N/A N/A</v>
      </c>
      <c r="E733" t="str">
        <f>_xll.BDP("912827NP Govt","MATURITY")</f>
        <v>11/15/1987</v>
      </c>
      <c r="F733" t="str">
        <f>_xll.BDP("912827NP Govt","MTY_TYP")</f>
        <v>NORMAL</v>
      </c>
      <c r="G733" t="str">
        <f>_xll.BDP("912827NP Govt","CRNCY")</f>
        <v>USD</v>
      </c>
      <c r="H733" t="str">
        <f>_xll.BDP("912827NP Govt","COUNTRY_FULL_NAME")</f>
        <v>UNITED STATES</v>
      </c>
      <c r="I733" t="str">
        <f>_xll.BDP("912827NP Govt","FIRST_CPN_DT")</f>
        <v>5/15/1983</v>
      </c>
      <c r="J733" t="str">
        <f>_xll.BDP("912827NP Govt","COUPON_FREQUENCY_DESCRIPTION")</f>
        <v>S/A</v>
      </c>
      <c r="K733" t="str">
        <f>_xll.BDP("912827NP Govt","CPN_TYP")</f>
        <v>FIXED</v>
      </c>
      <c r="L733" t="str">
        <f>_xll.BDP("912827NP Govt","ID_ISIN")</f>
        <v>US912827NP37</v>
      </c>
      <c r="N733">
        <v>0</v>
      </c>
      <c r="O733" t="str">
        <f>_xll.BDP("912827NP Govt","ISSUE_DT")</f>
        <v>9/7/1982</v>
      </c>
      <c r="P733" t="str">
        <f>_xll.BDP("912827NP Govt","SECURITY_NAME")</f>
        <v>T 12 5/8 11/15/87</v>
      </c>
      <c r="Q733" t="str">
        <f>_xll.BDP("912827NP Govt","DAY_CNT_DES")</f>
        <v>ACT/ACT</v>
      </c>
      <c r="R733">
        <v>100</v>
      </c>
      <c r="S733" t="str">
        <f>_xll.BDP("912827NP Govt","ID_CUSIP")</f>
        <v>912827NP3</v>
      </c>
      <c r="T733" t="str">
        <f>_xll.BDP("912827NP Govt","IDX_RATIO")</f>
        <v>#N/A Field Not Applicable</v>
      </c>
    </row>
    <row r="734" spans="1:20" x14ac:dyDescent="0.25">
      <c r="A734" t="s">
        <v>14</v>
      </c>
      <c r="B734" t="str">
        <f>_xll.BDP("912827NV Govt","TICKER")</f>
        <v>T</v>
      </c>
      <c r="C734">
        <f>_xll.BDP("912827NV Govt","CPN")</f>
        <v>10.5</v>
      </c>
      <c r="D734" t="str">
        <f>_xll.BDP("912827NV Govt","YLD_YTM_BID")</f>
        <v>#N/A N/A</v>
      </c>
      <c r="E734" t="str">
        <f>_xll.BDP("912827NV Govt","MATURITY")</f>
        <v>11/15/1992</v>
      </c>
      <c r="F734" t="str">
        <f>_xll.BDP("912827NV Govt","MTY_TYP")</f>
        <v>NORMAL</v>
      </c>
      <c r="G734" t="str">
        <f>_xll.BDP("912827NV Govt","CRNCY")</f>
        <v>USD</v>
      </c>
      <c r="H734" t="str">
        <f>_xll.BDP("912827NV Govt","COUNTRY_FULL_NAME")</f>
        <v>UNITED STATES</v>
      </c>
      <c r="I734" t="str">
        <f>_xll.BDP("912827NV Govt","FIRST_CPN_DT")</f>
        <v>5/15/1983</v>
      </c>
      <c r="J734" t="str">
        <f>_xll.BDP("912827NV Govt","COUPON_FREQUENCY_DESCRIPTION")</f>
        <v>S/A</v>
      </c>
      <c r="K734" t="str">
        <f>_xll.BDP("912827NV Govt","CPN_TYP")</f>
        <v>FIXED</v>
      </c>
      <c r="L734" t="str">
        <f>_xll.BDP("912827NV Govt","ID_ISIN")</f>
        <v>US912827NV05</v>
      </c>
      <c r="N734">
        <v>0</v>
      </c>
      <c r="O734" t="str">
        <f>_xll.BDP("912827NV Govt","ISSUE_DT")</f>
        <v>11/15/1982</v>
      </c>
      <c r="P734" t="str">
        <f>_xll.BDP("912827NV Govt","SECURITY_NAME")</f>
        <v>T 10 1/2 11/15/92</v>
      </c>
      <c r="Q734" t="str">
        <f>_xll.BDP("912827NV Govt","DAY_CNT_DES")</f>
        <v>ACT/ACT</v>
      </c>
      <c r="R734">
        <v>100</v>
      </c>
      <c r="S734" t="str">
        <f>_xll.BDP("912827NV Govt","ID_CUSIP")</f>
        <v>912827NV0</v>
      </c>
      <c r="T734" t="str">
        <f>_xll.BDP("912827NV Govt","IDX_RATIO")</f>
        <v>#N/A Field Not Applicable</v>
      </c>
    </row>
    <row r="735" spans="1:20" x14ac:dyDescent="0.25">
      <c r="A735" t="s">
        <v>14</v>
      </c>
      <c r="B735" t="str">
        <f>_xll.BDP("912827P2 Govt","TICKER")</f>
        <v>T</v>
      </c>
      <c r="C735">
        <f>_xll.BDP("912827P2 Govt","CPN")</f>
        <v>5.5</v>
      </c>
      <c r="D735" t="str">
        <f>_xll.BDP("912827P2 Govt","YLD_YTM_BID")</f>
        <v>#N/A N/A</v>
      </c>
      <c r="E735" t="str">
        <f>_xll.BDP("912827P2 Govt","MATURITY")</f>
        <v>2/28/1999</v>
      </c>
      <c r="F735" t="str">
        <f>_xll.BDP("912827P2 Govt","MTY_TYP")</f>
        <v>NORMAL</v>
      </c>
      <c r="G735" t="str">
        <f>_xll.BDP("912827P2 Govt","CRNCY")</f>
        <v>USD</v>
      </c>
      <c r="H735" t="str">
        <f>_xll.BDP("912827P2 Govt","COUNTRY_FULL_NAME")</f>
        <v>UNITED STATES</v>
      </c>
      <c r="I735" t="str">
        <f>_xll.BDP("912827P2 Govt","FIRST_CPN_DT")</f>
        <v>8/31/1994</v>
      </c>
      <c r="J735" t="str">
        <f>_xll.BDP("912827P2 Govt","COUPON_FREQUENCY_DESCRIPTION")</f>
        <v>S/A</v>
      </c>
      <c r="K735" t="str">
        <f>_xll.BDP("912827P2 Govt","CPN_TYP")</f>
        <v>FIXED</v>
      </c>
      <c r="L735" t="str">
        <f>_xll.BDP("912827P2 Govt","ID_ISIN")</f>
        <v>US912827P222</v>
      </c>
      <c r="M735">
        <v>11914000000</v>
      </c>
      <c r="N735">
        <v>0</v>
      </c>
      <c r="O735" t="str">
        <f>_xll.BDP("912827P2 Govt","ISSUE_DT")</f>
        <v>2/28/1994</v>
      </c>
      <c r="P735" t="str">
        <f>_xll.BDP("912827P2 Govt","SECURITY_NAME")</f>
        <v>T 5 1/2 02/28/99</v>
      </c>
      <c r="Q735" t="str">
        <f>_xll.BDP("912827P2 Govt","DAY_CNT_DES")</f>
        <v>ACT/ACT</v>
      </c>
      <c r="R735">
        <v>100</v>
      </c>
      <c r="S735" t="str">
        <f>_xll.BDP("912827P2 Govt","ID_CUSIP")</f>
        <v>912827P22</v>
      </c>
      <c r="T735" t="str">
        <f>_xll.BDP("912827P2 Govt","IDX_RATIO")</f>
        <v>#N/A Field Not Applicable</v>
      </c>
    </row>
    <row r="736" spans="1:20" x14ac:dyDescent="0.25">
      <c r="A736" t="s">
        <v>14</v>
      </c>
      <c r="B736" t="str">
        <f>_xll.BDP("912827PC Govt","TICKER")</f>
        <v>T</v>
      </c>
      <c r="C736">
        <f>_xll.BDP("912827PC Govt","CPN")</f>
        <v>9.875</v>
      </c>
      <c r="D736" t="str">
        <f>_xll.BDP("912827PC Govt","YLD_YTM_BID")</f>
        <v>#N/A N/A</v>
      </c>
      <c r="E736" t="str">
        <f>_xll.BDP("912827PC Govt","MATURITY")</f>
        <v>2/15/1986</v>
      </c>
      <c r="F736" t="str">
        <f>_xll.BDP("912827PC Govt","MTY_TYP")</f>
        <v>NORMAL</v>
      </c>
      <c r="G736" t="str">
        <f>_xll.BDP("912827PC Govt","CRNCY")</f>
        <v>USD</v>
      </c>
      <c r="H736" t="str">
        <f>_xll.BDP("912827PC Govt","COUNTRY_FULL_NAME")</f>
        <v>UNITED STATES</v>
      </c>
      <c r="I736" t="str">
        <f>_xll.BDP("912827PC Govt","FIRST_CPN_DT")</f>
        <v>8/15/1983</v>
      </c>
      <c r="J736" t="str">
        <f>_xll.BDP("912827PC Govt","COUPON_FREQUENCY_DESCRIPTION")</f>
        <v>S/A</v>
      </c>
      <c r="K736" t="str">
        <f>_xll.BDP("912827PC Govt","CPN_TYP")</f>
        <v>FIXED</v>
      </c>
      <c r="L736" t="str">
        <f>_xll.BDP("912827PC Govt","ID_ISIN")</f>
        <v>US912827PC06</v>
      </c>
      <c r="N736">
        <v>0</v>
      </c>
      <c r="O736" t="str">
        <f>_xll.BDP("912827PC Govt","ISSUE_DT")</f>
        <v>2/15/1983</v>
      </c>
      <c r="P736" t="str">
        <f>_xll.BDP("912827PC Govt","SECURITY_NAME")</f>
        <v>T 9 7/8 02/15/86</v>
      </c>
      <c r="Q736" t="str">
        <f>_xll.BDP("912827PC Govt","DAY_CNT_DES")</f>
        <v>ACT/ACT</v>
      </c>
      <c r="R736">
        <v>100</v>
      </c>
      <c r="S736" t="str">
        <f>_xll.BDP("912827PC Govt","ID_CUSIP")</f>
        <v>912827PC0</v>
      </c>
      <c r="T736" t="str">
        <f>_xll.BDP("912827PC Govt","IDX_RATIO")</f>
        <v>#N/A Field Not Applicable</v>
      </c>
    </row>
    <row r="737" spans="1:20" x14ac:dyDescent="0.25">
      <c r="A737" t="s">
        <v>14</v>
      </c>
      <c r="B737" t="str">
        <f>_xll.BDP("912827PF Govt","TICKER")</f>
        <v>T</v>
      </c>
      <c r="C737">
        <f>_xll.BDP("912827PF Govt","CPN")</f>
        <v>9.875</v>
      </c>
      <c r="D737" t="str">
        <f>_xll.BDP("912827PF Govt","YLD_YTM_BID")</f>
        <v>#N/A N/A</v>
      </c>
      <c r="E737" t="str">
        <f>_xll.BDP("912827PF Govt","MATURITY")</f>
        <v>5/15/1988</v>
      </c>
      <c r="F737" t="str">
        <f>_xll.BDP("912827PF Govt","MTY_TYP")</f>
        <v>NORMAL</v>
      </c>
      <c r="G737" t="str">
        <f>_xll.BDP("912827PF Govt","CRNCY")</f>
        <v>USD</v>
      </c>
      <c r="H737" t="str">
        <f>_xll.BDP("912827PF Govt","COUNTRY_FULL_NAME")</f>
        <v>UNITED STATES</v>
      </c>
      <c r="I737" t="str">
        <f>_xll.BDP("912827PF Govt","FIRST_CPN_DT")</f>
        <v>11/15/1983</v>
      </c>
      <c r="J737" t="str">
        <f>_xll.BDP("912827PF Govt","COUPON_FREQUENCY_DESCRIPTION")</f>
        <v>S/A</v>
      </c>
      <c r="K737" t="str">
        <f>_xll.BDP("912827PF Govt","CPN_TYP")</f>
        <v>FIXED</v>
      </c>
      <c r="L737" t="str">
        <f>_xll.BDP("912827PF Govt","ID_ISIN")</f>
        <v>US912827PF37</v>
      </c>
      <c r="N737">
        <v>0</v>
      </c>
      <c r="O737" t="str">
        <f>_xll.BDP("912827PF Govt","ISSUE_DT")</f>
        <v>3/1/1983</v>
      </c>
      <c r="P737" t="str">
        <f>_xll.BDP("912827PF Govt","SECURITY_NAME")</f>
        <v>T 9 7/8 05/15/88</v>
      </c>
      <c r="Q737" t="str">
        <f>_xll.BDP("912827PF Govt","DAY_CNT_DES")</f>
        <v>ACT/ACT</v>
      </c>
      <c r="R737">
        <v>100</v>
      </c>
      <c r="S737" t="str">
        <f>_xll.BDP("912827PF Govt","ID_CUSIP")</f>
        <v>912827PF3</v>
      </c>
      <c r="T737" t="str">
        <f>_xll.BDP("912827PF Govt","IDX_RATIO")</f>
        <v>#N/A Field Not Applicable</v>
      </c>
    </row>
    <row r="738" spans="1:20" x14ac:dyDescent="0.25">
      <c r="A738" t="s">
        <v>14</v>
      </c>
      <c r="B738" t="str">
        <f>_xll.BDP("912827PL Govt","TICKER")</f>
        <v>T</v>
      </c>
      <c r="C738">
        <f>_xll.BDP("912827PL Govt","CPN")</f>
        <v>9.375</v>
      </c>
      <c r="D738" t="str">
        <f>_xll.BDP("912827PL Govt","YLD_YTM_BID")</f>
        <v>#N/A N/A</v>
      </c>
      <c r="E738" t="str">
        <f>_xll.BDP("912827PL Govt","MATURITY")</f>
        <v>5/15/1986</v>
      </c>
      <c r="F738" t="str">
        <f>_xll.BDP("912827PL Govt","MTY_TYP")</f>
        <v>NORMAL</v>
      </c>
      <c r="G738" t="str">
        <f>_xll.BDP("912827PL Govt","CRNCY")</f>
        <v>USD</v>
      </c>
      <c r="H738" t="str">
        <f>_xll.BDP("912827PL Govt","COUNTRY_FULL_NAME")</f>
        <v>UNITED STATES</v>
      </c>
      <c r="I738" t="str">
        <f>_xll.BDP("912827PL Govt","FIRST_CPN_DT")</f>
        <v>11/15/1983</v>
      </c>
      <c r="J738" t="str">
        <f>_xll.BDP("912827PL Govt","COUPON_FREQUENCY_DESCRIPTION")</f>
        <v>S/A</v>
      </c>
      <c r="K738" t="str">
        <f>_xll.BDP("912827PL Govt","CPN_TYP")</f>
        <v>FIXED</v>
      </c>
      <c r="L738" t="str">
        <f>_xll.BDP("912827PL Govt","ID_ISIN")</f>
        <v>US912827PL05</v>
      </c>
      <c r="N738">
        <v>0</v>
      </c>
      <c r="O738" t="str">
        <f>_xll.BDP("912827PL Govt","ISSUE_DT")</f>
        <v>5/16/1983</v>
      </c>
      <c r="P738" t="str">
        <f>_xll.BDP("912827PL Govt","SECURITY_NAME")</f>
        <v>T 9 3/8 05/15/86</v>
      </c>
      <c r="Q738" t="str">
        <f>_xll.BDP("912827PL Govt","DAY_CNT_DES")</f>
        <v>ACT/ACT</v>
      </c>
      <c r="R738">
        <v>100</v>
      </c>
      <c r="S738" t="str">
        <f>_xll.BDP("912827PL Govt","ID_CUSIP")</f>
        <v>912827PL0</v>
      </c>
      <c r="T738" t="str">
        <f>_xll.BDP("912827PL Govt","IDX_RATIO")</f>
        <v>#N/A Field Not Applicable</v>
      </c>
    </row>
    <row r="739" spans="1:20" x14ac:dyDescent="0.25">
      <c r="A739" t="s">
        <v>14</v>
      </c>
      <c r="B739" t="str">
        <f>_xll.BDP("912827PW Govt","TICKER")</f>
        <v>T</v>
      </c>
      <c r="C739">
        <f>_xll.BDP("912827PW Govt","CPN")</f>
        <v>10.625</v>
      </c>
      <c r="D739" t="str">
        <f>_xll.BDP("912827PW Govt","YLD_YTM_BID")</f>
        <v>#N/A N/A</v>
      </c>
      <c r="E739" t="str">
        <f>_xll.BDP("912827PW Govt","MATURITY")</f>
        <v>8/31/1985</v>
      </c>
      <c r="F739" t="str">
        <f>_xll.BDP("912827PW Govt","MTY_TYP")</f>
        <v>NORMAL</v>
      </c>
      <c r="G739" t="str">
        <f>_xll.BDP("912827PW Govt","CRNCY")</f>
        <v>USD</v>
      </c>
      <c r="H739" t="str">
        <f>_xll.BDP("912827PW Govt","COUNTRY_FULL_NAME")</f>
        <v>UNITED STATES</v>
      </c>
      <c r="I739" t="str">
        <f>_xll.BDP("912827PW Govt","FIRST_CPN_DT")</f>
        <v>2/29/1984</v>
      </c>
      <c r="J739" t="str">
        <f>_xll.BDP("912827PW Govt","COUPON_FREQUENCY_DESCRIPTION")</f>
        <v>S/A</v>
      </c>
      <c r="K739" t="str">
        <f>_xll.BDP("912827PW Govt","CPN_TYP")</f>
        <v>FIXED</v>
      </c>
      <c r="L739" t="str">
        <f>_xll.BDP("912827PW Govt","ID_ISIN")</f>
        <v>US912827PW69</v>
      </c>
      <c r="N739">
        <v>0</v>
      </c>
      <c r="O739" t="str">
        <f>_xll.BDP("912827PW Govt","ISSUE_DT")</f>
        <v>8/31/1983</v>
      </c>
      <c r="P739" t="str">
        <f>_xll.BDP("912827PW Govt","SECURITY_NAME")</f>
        <v>T 10 5/8 08/31/85</v>
      </c>
      <c r="Q739" t="str">
        <f>_xll.BDP("912827PW Govt","DAY_CNT_DES")</f>
        <v>ACT/ACT</v>
      </c>
      <c r="R739">
        <v>100</v>
      </c>
      <c r="S739" t="str">
        <f>_xll.BDP("912827PW Govt","ID_CUSIP")</f>
        <v>912827PW6</v>
      </c>
      <c r="T739" t="str">
        <f>_xll.BDP("912827PW Govt","IDX_RATIO")</f>
        <v>#N/A Field Not Applicable</v>
      </c>
    </row>
    <row r="740" spans="1:20" x14ac:dyDescent="0.25">
      <c r="A740" t="s">
        <v>14</v>
      </c>
      <c r="B740" t="str">
        <f>_xll.BDP("912827QE Govt","TICKER")</f>
        <v>T</v>
      </c>
      <c r="C740">
        <f>_xll.BDP("912827QE Govt","CPN")</f>
        <v>10.5</v>
      </c>
      <c r="D740" t="str">
        <f>_xll.BDP("912827QE Govt","YLD_YTM_BID")</f>
        <v>#N/A N/A</v>
      </c>
      <c r="E740" t="str">
        <f>_xll.BDP("912827QE Govt","MATURITY")</f>
        <v>11/30/1985</v>
      </c>
      <c r="F740" t="str">
        <f>_xll.BDP("912827QE Govt","MTY_TYP")</f>
        <v>NORMAL</v>
      </c>
      <c r="G740" t="str">
        <f>_xll.BDP("912827QE Govt","CRNCY")</f>
        <v>USD</v>
      </c>
      <c r="H740" t="str">
        <f>_xll.BDP("912827QE Govt","COUNTRY_FULL_NAME")</f>
        <v>UNITED STATES</v>
      </c>
      <c r="I740" t="str">
        <f>_xll.BDP("912827QE Govt","FIRST_CPN_DT")</f>
        <v>5/31/1984</v>
      </c>
      <c r="J740" t="str">
        <f>_xll.BDP("912827QE Govt","COUPON_FREQUENCY_DESCRIPTION")</f>
        <v>S/A</v>
      </c>
      <c r="K740" t="str">
        <f>_xll.BDP("912827QE Govt","CPN_TYP")</f>
        <v>FIXED</v>
      </c>
      <c r="L740" t="str">
        <f>_xll.BDP("912827QE Govt","ID_ISIN")</f>
        <v>US912827QE52</v>
      </c>
      <c r="N740">
        <v>0</v>
      </c>
      <c r="O740" t="str">
        <f>_xll.BDP("912827QE Govt","ISSUE_DT")</f>
        <v>11/30/1983</v>
      </c>
      <c r="P740" t="str">
        <f>_xll.BDP("912827QE Govt","SECURITY_NAME")</f>
        <v>T 10 1/2 11/30/85</v>
      </c>
      <c r="Q740" t="str">
        <f>_xll.BDP("912827QE Govt","DAY_CNT_DES")</f>
        <v>ACT/ACT</v>
      </c>
      <c r="R740">
        <v>100</v>
      </c>
      <c r="S740" t="str">
        <f>_xll.BDP("912827QE Govt","ID_CUSIP")</f>
        <v>912827QE5</v>
      </c>
      <c r="T740" t="str">
        <f>_xll.BDP("912827QE Govt","IDX_RATIO")</f>
        <v>#N/A Field Not Applicable</v>
      </c>
    </row>
    <row r="741" spans="1:20" x14ac:dyDescent="0.25">
      <c r="A741" t="s">
        <v>14</v>
      </c>
      <c r="B741" t="str">
        <f>_xll.BDP("912827QL Govt","TICKER")</f>
        <v>T</v>
      </c>
      <c r="C741">
        <f>_xll.BDP("912827QL Govt","CPN")</f>
        <v>10.875</v>
      </c>
      <c r="D741" t="str">
        <f>_xll.BDP("912827QL Govt","YLD_YTM_BID")</f>
        <v>#N/A N/A</v>
      </c>
      <c r="E741" t="str">
        <f>_xll.BDP("912827QL Govt","MATURITY")</f>
        <v>2/15/1987</v>
      </c>
      <c r="F741" t="str">
        <f>_xll.BDP("912827QL Govt","MTY_TYP")</f>
        <v>NORMAL</v>
      </c>
      <c r="G741" t="str">
        <f>_xll.BDP("912827QL Govt","CRNCY")</f>
        <v>USD</v>
      </c>
      <c r="H741" t="str">
        <f>_xll.BDP("912827QL Govt","COUNTRY_FULL_NAME")</f>
        <v>UNITED STATES</v>
      </c>
      <c r="I741" t="str">
        <f>_xll.BDP("912827QL Govt","FIRST_CPN_DT")</f>
        <v>8/15/1984</v>
      </c>
      <c r="J741" t="str">
        <f>_xll.BDP("912827QL Govt","COUPON_FREQUENCY_DESCRIPTION")</f>
        <v>S/A</v>
      </c>
      <c r="K741" t="str">
        <f>_xll.BDP("912827QL Govt","CPN_TYP")</f>
        <v>FIXED</v>
      </c>
      <c r="L741" t="str">
        <f>_xll.BDP("912827QL Govt","ID_ISIN")</f>
        <v>US912827QL95</v>
      </c>
      <c r="N741">
        <v>0</v>
      </c>
      <c r="O741" t="str">
        <f>_xll.BDP("912827QL Govt","ISSUE_DT")</f>
        <v>2/15/1984</v>
      </c>
      <c r="P741" t="str">
        <f>_xll.BDP("912827QL Govt","SECURITY_NAME")</f>
        <v>T 10 7/8 02/15/87</v>
      </c>
      <c r="Q741" t="str">
        <f>_xll.BDP("912827QL Govt","DAY_CNT_DES")</f>
        <v>ACT/ACT</v>
      </c>
      <c r="R741">
        <v>100</v>
      </c>
      <c r="S741" t="str">
        <f>_xll.BDP("912827QL Govt","ID_CUSIP")</f>
        <v>912827QL9</v>
      </c>
      <c r="T741" t="str">
        <f>_xll.BDP("912827QL Govt","IDX_RATIO")</f>
        <v>#N/A Field Not Applicable</v>
      </c>
    </row>
    <row r="742" spans="1:20" x14ac:dyDescent="0.25">
      <c r="A742" t="s">
        <v>14</v>
      </c>
      <c r="B742" t="str">
        <f>_xll.BDP("912827QP Govt","TICKER")</f>
        <v>T</v>
      </c>
      <c r="C742">
        <f>_xll.BDP("912827QP Govt","CPN")</f>
        <v>11.5</v>
      </c>
      <c r="D742" t="str">
        <f>_xll.BDP("912827QP Govt","YLD_YTM_BID")</f>
        <v>#N/A N/A</v>
      </c>
      <c r="E742" t="str">
        <f>_xll.BDP("912827QP Govt","MATURITY")</f>
        <v>3/31/1986</v>
      </c>
      <c r="F742" t="str">
        <f>_xll.BDP("912827QP Govt","MTY_TYP")</f>
        <v>NORMAL</v>
      </c>
      <c r="G742" t="str">
        <f>_xll.BDP("912827QP Govt","CRNCY")</f>
        <v>USD</v>
      </c>
      <c r="H742" t="str">
        <f>_xll.BDP("912827QP Govt","COUNTRY_FULL_NAME")</f>
        <v>UNITED STATES</v>
      </c>
      <c r="I742" t="str">
        <f>_xll.BDP("912827QP Govt","FIRST_CPN_DT")</f>
        <v>9/30/1984</v>
      </c>
      <c r="J742" t="str">
        <f>_xll.BDP("912827QP Govt","COUPON_FREQUENCY_DESCRIPTION")</f>
        <v>S/A</v>
      </c>
      <c r="K742" t="str">
        <f>_xll.BDP("912827QP Govt","CPN_TYP")</f>
        <v>FIXED</v>
      </c>
      <c r="L742" t="str">
        <f>_xll.BDP("912827QP Govt","ID_ISIN")</f>
        <v>US912827QP00</v>
      </c>
      <c r="N742">
        <v>0</v>
      </c>
      <c r="O742" t="str">
        <f>_xll.BDP("912827QP Govt","ISSUE_DT")</f>
        <v>4/2/1984</v>
      </c>
      <c r="P742" t="str">
        <f>_xll.BDP("912827QP Govt","SECURITY_NAME")</f>
        <v>T 11 1/2 03/31/86</v>
      </c>
      <c r="Q742" t="str">
        <f>_xll.BDP("912827QP Govt","DAY_CNT_DES")</f>
        <v>ACT/ACT</v>
      </c>
      <c r="R742">
        <v>100</v>
      </c>
      <c r="S742" t="str">
        <f>_xll.BDP("912827QP Govt","ID_CUSIP")</f>
        <v>912827QP0</v>
      </c>
      <c r="T742" t="str">
        <f>_xll.BDP("912827QP Govt","IDX_RATIO")</f>
        <v>#N/A Field Not Applicable</v>
      </c>
    </row>
    <row r="743" spans="1:20" x14ac:dyDescent="0.25">
      <c r="A743" t="s">
        <v>14</v>
      </c>
      <c r="B743" t="str">
        <f>_xll.BDP("912827R2 Govt","TICKER")</f>
        <v>T</v>
      </c>
      <c r="C743">
        <f>_xll.BDP("912827R2 Govt","CPN")</f>
        <v>6.875</v>
      </c>
      <c r="D743" t="str">
        <f>_xll.BDP("912827R2 Govt","YLD_YTM_BID")</f>
        <v>#N/A N/A</v>
      </c>
      <c r="E743" t="str">
        <f>_xll.BDP("912827R2 Govt","MATURITY")</f>
        <v>8/31/1999</v>
      </c>
      <c r="F743" t="str">
        <f>_xll.BDP("912827R2 Govt","MTY_TYP")</f>
        <v>NORMAL</v>
      </c>
      <c r="G743" t="str">
        <f>_xll.BDP("912827R2 Govt","CRNCY")</f>
        <v>USD</v>
      </c>
      <c r="H743" t="str">
        <f>_xll.BDP("912827R2 Govt","COUNTRY_FULL_NAME")</f>
        <v>UNITED STATES</v>
      </c>
      <c r="I743" t="str">
        <f>_xll.BDP("912827R2 Govt","FIRST_CPN_DT")</f>
        <v>2/28/1995</v>
      </c>
      <c r="J743" t="str">
        <f>_xll.BDP("912827R2 Govt","COUPON_FREQUENCY_DESCRIPTION")</f>
        <v>S/A</v>
      </c>
      <c r="K743" t="str">
        <f>_xll.BDP("912827R2 Govt","CPN_TYP")</f>
        <v>FIXED</v>
      </c>
      <c r="L743" t="str">
        <f>_xll.BDP("912827R2 Govt","ID_ISIN")</f>
        <v>US912827R202</v>
      </c>
      <c r="M743">
        <v>12397000000</v>
      </c>
      <c r="N743">
        <v>0</v>
      </c>
      <c r="O743" t="str">
        <f>_xll.BDP("912827R2 Govt","ISSUE_DT")</f>
        <v>8/31/1994</v>
      </c>
      <c r="P743" t="str">
        <f>_xll.BDP("912827R2 Govt","SECURITY_NAME")</f>
        <v>T 6 7/8 08/31/99</v>
      </c>
      <c r="Q743" t="str">
        <f>_xll.BDP("912827R2 Govt","DAY_CNT_DES")</f>
        <v>ACT/ACT</v>
      </c>
      <c r="R743">
        <v>100</v>
      </c>
      <c r="S743" t="str">
        <f>_xll.BDP("912827R2 Govt","ID_CUSIP")</f>
        <v>912827R20</v>
      </c>
      <c r="T743" t="str">
        <f>_xll.BDP("912827R2 Govt","IDX_RATIO")</f>
        <v>#N/A Field Not Applicable</v>
      </c>
    </row>
    <row r="744" spans="1:20" x14ac:dyDescent="0.25">
      <c r="A744" t="s">
        <v>14</v>
      </c>
      <c r="B744" t="str">
        <f>_xll.BDP("912827RB Govt","TICKER")</f>
        <v>T</v>
      </c>
      <c r="C744">
        <f>_xll.BDP("912827RB Govt","CPN")</f>
        <v>12.375</v>
      </c>
      <c r="D744" t="str">
        <f>_xll.BDP("912827RB Govt","YLD_YTM_BID")</f>
        <v>#N/A N/A</v>
      </c>
      <c r="E744" t="str">
        <f>_xll.BDP("912827RB Govt","MATURITY")</f>
        <v>8/15/1987</v>
      </c>
      <c r="F744" t="str">
        <f>_xll.BDP("912827RB Govt","MTY_TYP")</f>
        <v>NORMAL</v>
      </c>
      <c r="G744" t="str">
        <f>_xll.BDP("912827RB Govt","CRNCY")</f>
        <v>USD</v>
      </c>
      <c r="H744" t="str">
        <f>_xll.BDP("912827RB Govt","COUNTRY_FULL_NAME")</f>
        <v>UNITED STATES</v>
      </c>
      <c r="I744" t="str">
        <f>_xll.BDP("912827RB Govt","FIRST_CPN_DT")</f>
        <v>2/15/1985</v>
      </c>
      <c r="J744" t="str">
        <f>_xll.BDP("912827RB Govt","COUPON_FREQUENCY_DESCRIPTION")</f>
        <v>S/A</v>
      </c>
      <c r="K744" t="str">
        <f>_xll.BDP("912827RB Govt","CPN_TYP")</f>
        <v>FIXED</v>
      </c>
      <c r="L744" t="str">
        <f>_xll.BDP("912827RB Govt","ID_ISIN")</f>
        <v>US912827RB05</v>
      </c>
      <c r="N744">
        <v>0</v>
      </c>
      <c r="O744" t="str">
        <f>_xll.BDP("912827RB Govt","ISSUE_DT")</f>
        <v>8/15/1984</v>
      </c>
      <c r="P744" t="str">
        <f>_xll.BDP("912827RB Govt","SECURITY_NAME")</f>
        <v>T 12 3/8 08/15/87</v>
      </c>
      <c r="Q744" t="str">
        <f>_xll.BDP("912827RB Govt","DAY_CNT_DES")</f>
        <v>ACT/ACT</v>
      </c>
      <c r="R744">
        <v>100</v>
      </c>
      <c r="S744" t="str">
        <f>_xll.BDP("912827RB Govt","ID_CUSIP")</f>
        <v>912827RB0</v>
      </c>
      <c r="T744" t="str">
        <f>_xll.BDP("912827RB Govt","IDX_RATIO")</f>
        <v>#N/A Field Not Applicable</v>
      </c>
    </row>
    <row r="745" spans="1:20" x14ac:dyDescent="0.25">
      <c r="A745" t="s">
        <v>14</v>
      </c>
      <c r="B745" t="str">
        <f>_xll.BDP("912827S4 Govt","TICKER")</f>
        <v>T</v>
      </c>
      <c r="C745">
        <f>_xll.BDP("912827S4 Govt","CPN")</f>
        <v>7.75</v>
      </c>
      <c r="D745" t="str">
        <f>_xll.BDP("912827S4 Govt","YLD_YTM_BID")</f>
        <v>#N/A N/A</v>
      </c>
      <c r="E745" t="str">
        <f>_xll.BDP("912827S4 Govt","MATURITY")</f>
        <v>12/31/1999</v>
      </c>
      <c r="F745" t="str">
        <f>_xll.BDP("912827S4 Govt","MTY_TYP")</f>
        <v>NORMAL</v>
      </c>
      <c r="G745" t="str">
        <f>_xll.BDP("912827S4 Govt","CRNCY")</f>
        <v>USD</v>
      </c>
      <c r="H745" t="str">
        <f>_xll.BDP("912827S4 Govt","COUNTRY_FULL_NAME")</f>
        <v>UNITED STATES</v>
      </c>
      <c r="I745" t="str">
        <f>_xll.BDP("912827S4 Govt","FIRST_CPN_DT")</f>
        <v>6/30/1995</v>
      </c>
      <c r="J745" t="str">
        <f>_xll.BDP("912827S4 Govt","COUPON_FREQUENCY_DESCRIPTION")</f>
        <v>S/A</v>
      </c>
      <c r="K745" t="str">
        <f>_xll.BDP("912827S4 Govt","CPN_TYP")</f>
        <v>FIXED</v>
      </c>
      <c r="L745" t="str">
        <f>_xll.BDP("912827S4 Govt","ID_ISIN")</f>
        <v>US912827S457</v>
      </c>
      <c r="M745">
        <v>12523000000</v>
      </c>
      <c r="N745">
        <v>0</v>
      </c>
      <c r="O745" t="str">
        <f>_xll.BDP("912827S4 Govt","ISSUE_DT")</f>
        <v>1/3/1995</v>
      </c>
      <c r="P745" t="str">
        <f>_xll.BDP("912827S4 Govt","SECURITY_NAME")</f>
        <v>T 7 3/4 12/31/99</v>
      </c>
      <c r="Q745" t="str">
        <f>_xll.BDP("912827S4 Govt","DAY_CNT_DES")</f>
        <v>ACT/ACT</v>
      </c>
      <c r="R745">
        <v>100</v>
      </c>
      <c r="S745" t="str">
        <f>_xll.BDP("912827S4 Govt","ID_CUSIP")</f>
        <v>912827S45</v>
      </c>
      <c r="T745" t="str">
        <f>_xll.BDP("912827S4 Govt","IDX_RATIO")</f>
        <v>#N/A Field Not Applicable</v>
      </c>
    </row>
    <row r="746" spans="1:20" x14ac:dyDescent="0.25">
      <c r="A746" t="s">
        <v>14</v>
      </c>
      <c r="B746" t="str">
        <f>_xll.BDP("912827S9 Govt","TICKER")</f>
        <v>T</v>
      </c>
      <c r="C746">
        <f>_xll.BDP("912827S9 Govt","CPN")</f>
        <v>6.875</v>
      </c>
      <c r="D746" t="str">
        <f>_xll.BDP("912827S9 Govt","YLD_YTM_BID")</f>
        <v>#N/A N/A</v>
      </c>
      <c r="E746" t="str">
        <f>_xll.BDP("912827S9 Govt","MATURITY")</f>
        <v>2/28/1997</v>
      </c>
      <c r="F746" t="str">
        <f>_xll.BDP("912827S9 Govt","MTY_TYP")</f>
        <v>NORMAL</v>
      </c>
      <c r="G746" t="str">
        <f>_xll.BDP("912827S9 Govt","CRNCY")</f>
        <v>USD</v>
      </c>
      <c r="H746" t="str">
        <f>_xll.BDP("912827S9 Govt","COUNTRY_FULL_NAME")</f>
        <v>UNITED STATES</v>
      </c>
      <c r="I746" t="str">
        <f>_xll.BDP("912827S9 Govt","FIRST_CPN_DT")</f>
        <v>8/31/1995</v>
      </c>
      <c r="J746" t="str">
        <f>_xll.BDP("912827S9 Govt","COUPON_FREQUENCY_DESCRIPTION")</f>
        <v>S/A</v>
      </c>
      <c r="K746" t="str">
        <f>_xll.BDP("912827S9 Govt","CPN_TYP")</f>
        <v>FIXED</v>
      </c>
      <c r="L746" t="str">
        <f>_xll.BDP("912827S9 Govt","ID_ISIN")</f>
        <v>US912827S945</v>
      </c>
      <c r="N746">
        <v>0</v>
      </c>
      <c r="O746" t="str">
        <f>_xll.BDP("912827S9 Govt","ISSUE_DT")</f>
        <v>2/28/1995</v>
      </c>
      <c r="P746" t="str">
        <f>_xll.BDP("912827S9 Govt","SECURITY_NAME")</f>
        <v>T 6 7/8 02/28/97</v>
      </c>
      <c r="Q746" t="str">
        <f>_xll.BDP("912827S9 Govt","DAY_CNT_DES")</f>
        <v>ACT/ACT</v>
      </c>
      <c r="R746">
        <v>100</v>
      </c>
      <c r="S746" t="str">
        <f>_xll.BDP("912827S9 Govt","ID_CUSIP")</f>
        <v>912827S94</v>
      </c>
      <c r="T746" t="str">
        <f>_xll.BDP("912827S9 Govt","IDX_RATIO")</f>
        <v>#N/A Field Not Applicable</v>
      </c>
    </row>
    <row r="747" spans="1:20" x14ac:dyDescent="0.25">
      <c r="A747" t="s">
        <v>14</v>
      </c>
      <c r="B747" t="str">
        <f>_xll.BDP("912827SC Govt","TICKER")</f>
        <v>T</v>
      </c>
      <c r="C747">
        <f>_xll.BDP("912827SC Govt","CPN")</f>
        <v>9.75</v>
      </c>
      <c r="D747" t="str">
        <f>_xll.BDP("912827SC Govt","YLD_YTM_BID")</f>
        <v>#N/A N/A</v>
      </c>
      <c r="E747" t="str">
        <f>_xll.BDP("912827SC Govt","MATURITY")</f>
        <v>4/30/1987</v>
      </c>
      <c r="F747" t="str">
        <f>_xll.BDP("912827SC Govt","MTY_TYP")</f>
        <v>NORMAL</v>
      </c>
      <c r="G747" t="str">
        <f>_xll.BDP("912827SC Govt","CRNCY")</f>
        <v>USD</v>
      </c>
      <c r="H747" t="str">
        <f>_xll.BDP("912827SC Govt","COUNTRY_FULL_NAME")</f>
        <v>UNITED STATES</v>
      </c>
      <c r="I747" t="str">
        <f>_xll.BDP("912827SC Govt","FIRST_CPN_DT")</f>
        <v>10/31/1985</v>
      </c>
      <c r="J747" t="str">
        <f>_xll.BDP("912827SC Govt","COUPON_FREQUENCY_DESCRIPTION")</f>
        <v>S/A</v>
      </c>
      <c r="K747" t="str">
        <f>_xll.BDP("912827SC Govt","CPN_TYP")</f>
        <v>FIXED</v>
      </c>
      <c r="L747" t="str">
        <f>_xll.BDP("912827SC Govt","ID_ISIN")</f>
        <v>US912827SC78</v>
      </c>
      <c r="N747">
        <v>0</v>
      </c>
      <c r="O747" t="str">
        <f>_xll.BDP("912827SC Govt","ISSUE_DT")</f>
        <v>4/30/1985</v>
      </c>
      <c r="P747" t="str">
        <f>_xll.BDP("912827SC Govt","SECURITY_NAME")</f>
        <v>T 9 3/4 04/30/87</v>
      </c>
      <c r="Q747" t="str">
        <f>_xll.BDP("912827SC Govt","DAY_CNT_DES")</f>
        <v>ACT/ACT</v>
      </c>
      <c r="R747">
        <v>100</v>
      </c>
      <c r="S747" t="str">
        <f>_xll.BDP("912827SC Govt","ID_CUSIP")</f>
        <v>912827SC7</v>
      </c>
      <c r="T747" t="str">
        <f>_xll.BDP("912827SC Govt","IDX_RATIO")</f>
        <v>#N/A Field Not Applicable</v>
      </c>
    </row>
    <row r="748" spans="1:20" x14ac:dyDescent="0.25">
      <c r="A748" t="s">
        <v>14</v>
      </c>
      <c r="B748" t="str">
        <f>_xll.BDP("912827SM Govt","TICKER")</f>
        <v>T</v>
      </c>
      <c r="C748">
        <f>_xll.BDP("912827SM Govt","CPN")</f>
        <v>8.875</v>
      </c>
      <c r="D748" t="str">
        <f>_xll.BDP("912827SM Govt","YLD_YTM_BID")</f>
        <v>#N/A N/A</v>
      </c>
      <c r="E748" t="str">
        <f>_xll.BDP("912827SM Govt","MATURITY")</f>
        <v>7/31/1987</v>
      </c>
      <c r="F748" t="str">
        <f>_xll.BDP("912827SM Govt","MTY_TYP")</f>
        <v>NORMAL</v>
      </c>
      <c r="G748" t="str">
        <f>_xll.BDP("912827SM Govt","CRNCY")</f>
        <v>USD</v>
      </c>
      <c r="H748" t="str">
        <f>_xll.BDP("912827SM Govt","COUNTRY_FULL_NAME")</f>
        <v>UNITED STATES</v>
      </c>
      <c r="I748" t="str">
        <f>_xll.BDP("912827SM Govt","FIRST_CPN_DT")</f>
        <v>1/31/1986</v>
      </c>
      <c r="J748" t="str">
        <f>_xll.BDP("912827SM Govt","COUPON_FREQUENCY_DESCRIPTION")</f>
        <v>S/A</v>
      </c>
      <c r="K748" t="str">
        <f>_xll.BDP("912827SM Govt","CPN_TYP")</f>
        <v>FIXED</v>
      </c>
      <c r="L748" t="str">
        <f>_xll.BDP("912827SM Govt","ID_ISIN")</f>
        <v>US912827SM50</v>
      </c>
      <c r="N748">
        <v>0</v>
      </c>
      <c r="O748" t="str">
        <f>_xll.BDP("912827SM Govt","ISSUE_DT")</f>
        <v>7/31/1985</v>
      </c>
      <c r="P748" t="str">
        <f>_xll.BDP("912827SM Govt","SECURITY_NAME")</f>
        <v>T 8 7/8 07/31/87</v>
      </c>
      <c r="Q748" t="str">
        <f>_xll.BDP("912827SM Govt","DAY_CNT_DES")</f>
        <v>ACT/ACT</v>
      </c>
      <c r="R748">
        <v>100</v>
      </c>
      <c r="S748" t="str">
        <f>_xll.BDP("912827SM Govt","ID_CUSIP")</f>
        <v>912827SM5</v>
      </c>
      <c r="T748" t="str">
        <f>_xll.BDP("912827SM Govt","IDX_RATIO")</f>
        <v>#N/A Field Not Applicable</v>
      </c>
    </row>
    <row r="749" spans="1:20" x14ac:dyDescent="0.25">
      <c r="A749" t="s">
        <v>14</v>
      </c>
      <c r="B749" t="str">
        <f>_xll.BDP("912827SX Govt","TICKER")</f>
        <v>T</v>
      </c>
      <c r="C749">
        <f>_xll.BDP("912827SX Govt","CPN")</f>
        <v>8.625</v>
      </c>
      <c r="D749" t="str">
        <f>_xll.BDP("912827SX Govt","YLD_YTM_BID")</f>
        <v>#N/A N/A</v>
      </c>
      <c r="E749" t="str">
        <f>_xll.BDP("912827SX Govt","MATURITY")</f>
        <v>11/15/1988</v>
      </c>
      <c r="F749" t="str">
        <f>_xll.BDP("912827SX Govt","MTY_TYP")</f>
        <v>NORMAL</v>
      </c>
      <c r="G749" t="str">
        <f>_xll.BDP("912827SX Govt","CRNCY")</f>
        <v>USD</v>
      </c>
      <c r="H749" t="str">
        <f>_xll.BDP("912827SX Govt","COUNTRY_FULL_NAME")</f>
        <v>UNITED STATES</v>
      </c>
      <c r="I749" t="str">
        <f>_xll.BDP("912827SX Govt","FIRST_CPN_DT")</f>
        <v>5/15/1986</v>
      </c>
      <c r="J749" t="str">
        <f>_xll.BDP("912827SX Govt","COUPON_FREQUENCY_DESCRIPTION")</f>
        <v>S/A</v>
      </c>
      <c r="K749" t="str">
        <f>_xll.BDP("912827SX Govt","CPN_TYP")</f>
        <v>FIXED</v>
      </c>
      <c r="L749" t="str">
        <f>_xll.BDP("912827SX Govt","ID_ISIN")</f>
        <v>US912827SX16</v>
      </c>
      <c r="N749">
        <v>0</v>
      </c>
      <c r="O749" t="str">
        <f>_xll.BDP("912827SX Govt","ISSUE_DT")</f>
        <v>11/26/1985</v>
      </c>
      <c r="P749" t="str">
        <f>_xll.BDP("912827SX Govt","SECURITY_NAME")</f>
        <v>T 8 5/8 11/15/88</v>
      </c>
      <c r="Q749" t="str">
        <f>_xll.BDP("912827SX Govt","DAY_CNT_DES")</f>
        <v>ACT/ACT</v>
      </c>
      <c r="R749">
        <v>100</v>
      </c>
      <c r="S749" t="str">
        <f>_xll.BDP("912827SX Govt","ID_CUSIP")</f>
        <v>912827SX1</v>
      </c>
      <c r="T749" t="str">
        <f>_xll.BDP("912827SX Govt","IDX_RATIO")</f>
        <v>#N/A Field Not Applicable</v>
      </c>
    </row>
    <row r="750" spans="1:20" x14ac:dyDescent="0.25">
      <c r="A750" t="s">
        <v>14</v>
      </c>
      <c r="B750" t="str">
        <f>_xll.BDP("912827TS Govt","TICKER")</f>
        <v>T</v>
      </c>
      <c r="C750">
        <f>_xll.BDP("912827TS Govt","CPN")</f>
        <v>7.5</v>
      </c>
      <c r="D750" t="str">
        <f>_xll.BDP("912827TS Govt","YLD_YTM_BID")</f>
        <v>#N/A N/A</v>
      </c>
      <c r="E750" t="str">
        <f>_xll.BDP("912827TS Govt","MATURITY")</f>
        <v>8/15/1991</v>
      </c>
      <c r="F750" t="str">
        <f>_xll.BDP("912827TS Govt","MTY_TYP")</f>
        <v>NORMAL</v>
      </c>
      <c r="G750" t="str">
        <f>_xll.BDP("912827TS Govt","CRNCY")</f>
        <v>USD</v>
      </c>
      <c r="H750" t="str">
        <f>_xll.BDP("912827TS Govt","COUNTRY_FULL_NAME")</f>
        <v>UNITED STATES</v>
      </c>
      <c r="I750" t="str">
        <f>_xll.BDP("912827TS Govt","FIRST_CPN_DT")</f>
        <v>2/15/1987</v>
      </c>
      <c r="J750" t="str">
        <f>_xll.BDP("912827TS Govt","COUPON_FREQUENCY_DESCRIPTION")</f>
        <v>S/A</v>
      </c>
      <c r="K750" t="str">
        <f>_xll.BDP("912827TS Govt","CPN_TYP")</f>
        <v>FIXED</v>
      </c>
      <c r="L750" t="str">
        <f>_xll.BDP("912827TS Govt","ID_ISIN")</f>
        <v>US912827TS12</v>
      </c>
      <c r="N750">
        <v>0</v>
      </c>
      <c r="O750" t="str">
        <f>_xll.BDP("912827TS Govt","ISSUE_DT")</f>
        <v>6/3/1986</v>
      </c>
      <c r="P750" t="str">
        <f>_xll.BDP("912827TS Govt","SECURITY_NAME")</f>
        <v>T 7 1/2 08/15/91</v>
      </c>
      <c r="Q750" t="str">
        <f>_xll.BDP("912827TS Govt","DAY_CNT_DES")</f>
        <v>ACT/ACT</v>
      </c>
      <c r="R750">
        <v>100</v>
      </c>
      <c r="S750" t="str">
        <f>_xll.BDP("912827TS Govt","ID_CUSIP")</f>
        <v>912827TS1</v>
      </c>
      <c r="T750" t="str">
        <f>_xll.BDP("912827TS Govt","IDX_RATIO")</f>
        <v>#N/A Field Not Applicable</v>
      </c>
    </row>
    <row r="751" spans="1:20" x14ac:dyDescent="0.25">
      <c r="A751" t="s">
        <v>14</v>
      </c>
      <c r="B751" t="str">
        <f>_xll.BDP("912827U6 Govt","TICKER")</f>
        <v>T</v>
      </c>
      <c r="C751">
        <f>_xll.BDP("912827U6 Govt","CPN")</f>
        <v>6.125</v>
      </c>
      <c r="D751" t="str">
        <f>_xll.BDP("912827U6 Govt","YLD_YTM_BID")</f>
        <v>#N/A N/A</v>
      </c>
      <c r="E751" t="str">
        <f>_xll.BDP("912827U6 Govt","MATURITY")</f>
        <v>7/31/2000</v>
      </c>
      <c r="F751" t="str">
        <f>_xll.BDP("912827U6 Govt","MTY_TYP")</f>
        <v>NORMAL</v>
      </c>
      <c r="G751" t="str">
        <f>_xll.BDP("912827U6 Govt","CRNCY")</f>
        <v>USD</v>
      </c>
      <c r="H751" t="str">
        <f>_xll.BDP("912827U6 Govt","COUNTRY_FULL_NAME")</f>
        <v>UNITED STATES</v>
      </c>
      <c r="I751" t="str">
        <f>_xll.BDP("912827U6 Govt","FIRST_CPN_DT")</f>
        <v>1/31/1996</v>
      </c>
      <c r="J751" t="str">
        <f>_xll.BDP("912827U6 Govt","COUPON_FREQUENCY_DESCRIPTION")</f>
        <v>S/A</v>
      </c>
      <c r="K751" t="str">
        <f>_xll.BDP("912827U6 Govt","CPN_TYP")</f>
        <v>FIXED</v>
      </c>
      <c r="L751" t="str">
        <f>_xll.BDP("912827U6 Govt","ID_ISIN")</f>
        <v>US912827U677</v>
      </c>
      <c r="M751">
        <v>12339000000</v>
      </c>
      <c r="N751">
        <v>0</v>
      </c>
      <c r="O751" t="str">
        <f>_xll.BDP("912827U6 Govt","ISSUE_DT")</f>
        <v>7/31/1995</v>
      </c>
      <c r="P751" t="str">
        <f>_xll.BDP("912827U6 Govt","SECURITY_NAME")</f>
        <v>T 6 1/8 07/31/00</v>
      </c>
      <c r="Q751" t="str">
        <f>_xll.BDP("912827U6 Govt","DAY_CNT_DES")</f>
        <v>ACT/ACT</v>
      </c>
      <c r="R751">
        <v>100</v>
      </c>
      <c r="S751" t="str">
        <f>_xll.BDP("912827U6 Govt","ID_CUSIP")</f>
        <v>912827U67</v>
      </c>
      <c r="T751" t="str">
        <f>_xll.BDP("912827U6 Govt","IDX_RATIO")</f>
        <v>#N/A Field Not Applicable</v>
      </c>
    </row>
    <row r="752" spans="1:20" x14ac:dyDescent="0.25">
      <c r="A752" t="s">
        <v>14</v>
      </c>
      <c r="B752" t="str">
        <f>_xll.BDP("912827U9 Govt","TICKER")</f>
        <v>T</v>
      </c>
      <c r="C752">
        <f>_xll.BDP("912827U9 Govt","CPN")</f>
        <v>6</v>
      </c>
      <c r="D752" t="str">
        <f>_xll.BDP("912827U9 Govt","YLD_YTM_BID")</f>
        <v>#N/A N/A</v>
      </c>
      <c r="E752" t="str">
        <f>_xll.BDP("912827U9 Govt","MATURITY")</f>
        <v>8/31/1997</v>
      </c>
      <c r="F752" t="str">
        <f>_xll.BDP("912827U9 Govt","MTY_TYP")</f>
        <v>NORMAL</v>
      </c>
      <c r="G752" t="str">
        <f>_xll.BDP("912827U9 Govt","CRNCY")</f>
        <v>USD</v>
      </c>
      <c r="H752" t="str">
        <f>_xll.BDP("912827U9 Govt","COUNTRY_FULL_NAME")</f>
        <v>UNITED STATES</v>
      </c>
      <c r="I752" t="str">
        <f>_xll.BDP("912827U9 Govt","FIRST_CPN_DT")</f>
        <v>2/29/1996</v>
      </c>
      <c r="J752" t="str">
        <f>_xll.BDP("912827U9 Govt","COUPON_FREQUENCY_DESCRIPTION")</f>
        <v>S/A</v>
      </c>
      <c r="K752" t="str">
        <f>_xll.BDP("912827U9 Govt","CPN_TYP")</f>
        <v>FIXED</v>
      </c>
      <c r="L752" t="str">
        <f>_xll.BDP("912827U9 Govt","ID_ISIN")</f>
        <v>US912827U917</v>
      </c>
      <c r="M752">
        <v>19383000000</v>
      </c>
      <c r="N752">
        <v>0</v>
      </c>
      <c r="O752" t="str">
        <f>_xll.BDP("912827U9 Govt","ISSUE_DT")</f>
        <v>8/31/1995</v>
      </c>
      <c r="P752" t="str">
        <f>_xll.BDP("912827U9 Govt","SECURITY_NAME")</f>
        <v>T 6 08/31/97</v>
      </c>
      <c r="Q752" t="str">
        <f>_xll.BDP("912827U9 Govt","DAY_CNT_DES")</f>
        <v>ACT/ACT</v>
      </c>
      <c r="R752">
        <v>100</v>
      </c>
      <c r="S752" t="str">
        <f>_xll.BDP("912827U9 Govt","ID_CUSIP")</f>
        <v>912827U91</v>
      </c>
      <c r="T752" t="str">
        <f>_xll.BDP("912827U9 Govt","IDX_RATIO")</f>
        <v>#N/A Field Not Applicable</v>
      </c>
    </row>
    <row r="753" spans="1:20" x14ac:dyDescent="0.25">
      <c r="A753" t="s">
        <v>14</v>
      </c>
      <c r="B753" t="str">
        <f>_xll.BDP("912827UB Govt","TICKER")</f>
        <v>T</v>
      </c>
      <c r="C753">
        <f>_xll.BDP("912827UB Govt","CPN")</f>
        <v>6.75</v>
      </c>
      <c r="D753" t="str">
        <f>_xll.BDP("912827UB Govt","YLD_YTM_BID")</f>
        <v>#N/A N/A</v>
      </c>
      <c r="E753" t="str">
        <f>_xll.BDP("912827UB Govt","MATURITY")</f>
        <v>9/30/1990</v>
      </c>
      <c r="F753" t="str">
        <f>_xll.BDP("912827UB Govt","MTY_TYP")</f>
        <v>NORMAL</v>
      </c>
      <c r="G753" t="str">
        <f>_xll.BDP("912827UB Govt","CRNCY")</f>
        <v>USD</v>
      </c>
      <c r="H753" t="str">
        <f>_xll.BDP("912827UB Govt","COUNTRY_FULL_NAME")</f>
        <v>UNITED STATES</v>
      </c>
      <c r="I753" t="str">
        <f>_xll.BDP("912827UB Govt","FIRST_CPN_DT")</f>
        <v>3/31/1987</v>
      </c>
      <c r="J753" t="str">
        <f>_xll.BDP("912827UB Govt","COUPON_FREQUENCY_DESCRIPTION")</f>
        <v>S/A</v>
      </c>
      <c r="K753" t="str">
        <f>_xll.BDP("912827UB Govt","CPN_TYP")</f>
        <v>FIXED</v>
      </c>
      <c r="L753" t="str">
        <f>_xll.BDP("912827UB Govt","ID_ISIN")</f>
        <v>US912827UB67</v>
      </c>
      <c r="N753">
        <v>0</v>
      </c>
      <c r="O753" t="str">
        <f>_xll.BDP("912827UB Govt","ISSUE_DT")</f>
        <v>9/30/1986</v>
      </c>
      <c r="P753" t="str">
        <f>_xll.BDP("912827UB Govt","SECURITY_NAME")</f>
        <v>T 6 3/4 09/30/90</v>
      </c>
      <c r="Q753" t="str">
        <f>_xll.BDP("912827UB Govt","DAY_CNT_DES")</f>
        <v>ACT/ACT</v>
      </c>
      <c r="R753">
        <v>100</v>
      </c>
      <c r="S753" t="str">
        <f>_xll.BDP("912827UB Govt","ID_CUSIP")</f>
        <v>912827UB6</v>
      </c>
      <c r="T753" t="str">
        <f>_xll.BDP("912827UB Govt","IDX_RATIO")</f>
        <v>#N/A Field Not Applicable</v>
      </c>
    </row>
    <row r="754" spans="1:20" x14ac:dyDescent="0.25">
      <c r="A754" t="s">
        <v>14</v>
      </c>
      <c r="B754" t="str">
        <f>_xll.BDP("912827UC Govt","TICKER")</f>
        <v>T</v>
      </c>
      <c r="C754">
        <f>_xll.BDP("912827UC Govt","CPN")</f>
        <v>6.375</v>
      </c>
      <c r="D754" t="str">
        <f>_xll.BDP("912827UC Govt","YLD_YTM_BID")</f>
        <v>#N/A N/A</v>
      </c>
      <c r="E754" t="str">
        <f>_xll.BDP("912827UC Govt","MATURITY")</f>
        <v>10/31/1988</v>
      </c>
      <c r="F754" t="str">
        <f>_xll.BDP("912827UC Govt","MTY_TYP")</f>
        <v>NORMAL</v>
      </c>
      <c r="G754" t="str">
        <f>_xll.BDP("912827UC Govt","CRNCY")</f>
        <v>USD</v>
      </c>
      <c r="H754" t="str">
        <f>_xll.BDP("912827UC Govt","COUNTRY_FULL_NAME")</f>
        <v>UNITED STATES</v>
      </c>
      <c r="I754" t="str">
        <f>_xll.BDP("912827UC Govt","FIRST_CPN_DT")</f>
        <v>4/30/1987</v>
      </c>
      <c r="J754" t="str">
        <f>_xll.BDP("912827UC Govt","COUPON_FREQUENCY_DESCRIPTION")</f>
        <v>S/A</v>
      </c>
      <c r="K754" t="str">
        <f>_xll.BDP("912827UC Govt","CPN_TYP")</f>
        <v>FIXED</v>
      </c>
      <c r="L754" t="str">
        <f>_xll.BDP("912827UC Govt","ID_ISIN")</f>
        <v>US912827UC41</v>
      </c>
      <c r="N754">
        <v>0</v>
      </c>
      <c r="O754" t="str">
        <f>_xll.BDP("912827UC Govt","ISSUE_DT")</f>
        <v>10/31/1986</v>
      </c>
      <c r="P754" t="str">
        <f>_xll.BDP("912827UC Govt","SECURITY_NAME")</f>
        <v>T 6 3/8 10/31/88</v>
      </c>
      <c r="Q754" t="str">
        <f>_xll.BDP("912827UC Govt","DAY_CNT_DES")</f>
        <v>ACT/ACT</v>
      </c>
      <c r="R754">
        <v>100</v>
      </c>
      <c r="S754" t="str">
        <f>_xll.BDP("912827UC Govt","ID_CUSIP")</f>
        <v>912827UC4</v>
      </c>
      <c r="T754" t="str">
        <f>_xll.BDP("912827UC Govt","IDX_RATIO")</f>
        <v>#N/A Field Not Applicable</v>
      </c>
    </row>
    <row r="755" spans="1:20" x14ac:dyDescent="0.25">
      <c r="A755" t="s">
        <v>14</v>
      </c>
      <c r="B755" t="str">
        <f>_xll.BDP("912827UJ Govt","TICKER")</f>
        <v>T</v>
      </c>
      <c r="C755">
        <f>_xll.BDP("912827UJ Govt","CPN")</f>
        <v>6.25</v>
      </c>
      <c r="D755" t="str">
        <f>_xll.BDP("912827UJ Govt","YLD_YTM_BID")</f>
        <v>#N/A N/A</v>
      </c>
      <c r="E755" t="str">
        <f>_xll.BDP("912827UJ Govt","MATURITY")</f>
        <v>12/31/1988</v>
      </c>
      <c r="F755" t="str">
        <f>_xll.BDP("912827UJ Govt","MTY_TYP")</f>
        <v>NORMAL</v>
      </c>
      <c r="G755" t="str">
        <f>_xll.BDP("912827UJ Govt","CRNCY")</f>
        <v>USD</v>
      </c>
      <c r="H755" t="str">
        <f>_xll.BDP("912827UJ Govt","COUNTRY_FULL_NAME")</f>
        <v>UNITED STATES</v>
      </c>
      <c r="I755" t="str">
        <f>_xll.BDP("912827UJ Govt","FIRST_CPN_DT")</f>
        <v>6/30/1987</v>
      </c>
      <c r="J755" t="str">
        <f>_xll.BDP("912827UJ Govt","COUPON_FREQUENCY_DESCRIPTION")</f>
        <v>S/A</v>
      </c>
      <c r="K755" t="str">
        <f>_xll.BDP("912827UJ Govt","CPN_TYP")</f>
        <v>FIXED</v>
      </c>
      <c r="L755" t="str">
        <f>_xll.BDP("912827UJ Govt","ID_ISIN")</f>
        <v>US912827UJ93</v>
      </c>
      <c r="N755">
        <v>0</v>
      </c>
      <c r="O755" t="str">
        <f>_xll.BDP("912827UJ Govt","ISSUE_DT")</f>
        <v>12/31/1986</v>
      </c>
      <c r="P755" t="str">
        <f>_xll.BDP("912827UJ Govt","SECURITY_NAME")</f>
        <v>T 6 1/4 12/31/88</v>
      </c>
      <c r="Q755" t="str">
        <f>_xll.BDP("912827UJ Govt","DAY_CNT_DES")</f>
        <v>ACT/ACT</v>
      </c>
      <c r="R755">
        <v>100</v>
      </c>
      <c r="S755" t="str">
        <f>_xll.BDP("912827UJ Govt","ID_CUSIP")</f>
        <v>912827UJ9</v>
      </c>
      <c r="T755" t="str">
        <f>_xll.BDP("912827UJ Govt","IDX_RATIO")</f>
        <v>#N/A Field Not Applicable</v>
      </c>
    </row>
    <row r="756" spans="1:20" x14ac:dyDescent="0.25">
      <c r="A756" t="s">
        <v>14</v>
      </c>
      <c r="B756" t="str">
        <f>_xll.BDP("912827UT Govt","TICKER")</f>
        <v>T</v>
      </c>
      <c r="C756">
        <f>_xll.BDP("912827UT Govt","CPN")</f>
        <v>7</v>
      </c>
      <c r="D756" t="str">
        <f>_xll.BDP("912827UT Govt","YLD_YTM_BID")</f>
        <v>#N/A N/A</v>
      </c>
      <c r="E756" t="str">
        <f>_xll.BDP("912827UT Govt","MATURITY")</f>
        <v>4/15/1994</v>
      </c>
      <c r="F756" t="str">
        <f>_xll.BDP("912827UT Govt","MTY_TYP")</f>
        <v>NORMAL</v>
      </c>
      <c r="G756" t="str">
        <f>_xll.BDP("912827UT Govt","CRNCY")</f>
        <v>USD</v>
      </c>
      <c r="H756" t="str">
        <f>_xll.BDP("912827UT Govt","COUNTRY_FULL_NAME")</f>
        <v>UNITED STATES</v>
      </c>
      <c r="I756" t="str">
        <f>_xll.BDP("912827UT Govt","FIRST_CPN_DT")</f>
        <v>10/15/1987</v>
      </c>
      <c r="J756" t="str">
        <f>_xll.BDP("912827UT Govt","COUPON_FREQUENCY_DESCRIPTION")</f>
        <v>S/A</v>
      </c>
      <c r="K756" t="str">
        <f>_xll.BDP("912827UT Govt","CPN_TYP")</f>
        <v>FIXED</v>
      </c>
      <c r="L756" t="str">
        <f>_xll.BDP("912827UT Govt","ID_ISIN")</f>
        <v>US912827UT75</v>
      </c>
      <c r="N756">
        <v>0</v>
      </c>
      <c r="O756" t="str">
        <f>_xll.BDP("912827UT Govt","ISSUE_DT")</f>
        <v>4/1/1987</v>
      </c>
      <c r="P756" t="str">
        <f>_xll.BDP("912827UT Govt","SECURITY_NAME")</f>
        <v>T 7 04/15/94</v>
      </c>
      <c r="Q756" t="str">
        <f>_xll.BDP("912827UT Govt","DAY_CNT_DES")</f>
        <v>ACT/ACT</v>
      </c>
      <c r="R756">
        <v>100</v>
      </c>
      <c r="S756" t="str">
        <f>_xll.BDP("912827UT Govt","ID_CUSIP")</f>
        <v>912827UT7</v>
      </c>
      <c r="T756" t="str">
        <f>_xll.BDP("912827UT Govt","IDX_RATIO")</f>
        <v>#N/A Field Not Applicable</v>
      </c>
    </row>
    <row r="757" spans="1:20" x14ac:dyDescent="0.25">
      <c r="A757" t="s">
        <v>14</v>
      </c>
      <c r="B757" t="str">
        <f>_xll.BDP("912827V4 Govt","TICKER")</f>
        <v>T</v>
      </c>
      <c r="C757">
        <f>_xll.BDP("912827V4 Govt","CPN")</f>
        <v>6.125</v>
      </c>
      <c r="D757" t="str">
        <f>_xll.BDP("912827V4 Govt","YLD_YTM_BID")</f>
        <v>#N/A N/A</v>
      </c>
      <c r="E757" t="str">
        <f>_xll.BDP("912827V4 Govt","MATURITY")</f>
        <v>9/30/2000</v>
      </c>
      <c r="F757" t="str">
        <f>_xll.BDP("912827V4 Govt","MTY_TYP")</f>
        <v>NORMAL</v>
      </c>
      <c r="G757" t="str">
        <f>_xll.BDP("912827V4 Govt","CRNCY")</f>
        <v>USD</v>
      </c>
      <c r="H757" t="str">
        <f>_xll.BDP("912827V4 Govt","COUNTRY_FULL_NAME")</f>
        <v>UNITED STATES</v>
      </c>
      <c r="I757" t="str">
        <f>_xll.BDP("912827V4 Govt","FIRST_CPN_DT")</f>
        <v>3/31/1996</v>
      </c>
      <c r="J757" t="str">
        <f>_xll.BDP("912827V4 Govt","COUPON_FREQUENCY_DESCRIPTION")</f>
        <v>S/A</v>
      </c>
      <c r="K757" t="str">
        <f>_xll.BDP("912827V4 Govt","CPN_TYP")</f>
        <v>FIXED</v>
      </c>
      <c r="L757" t="str">
        <f>_xll.BDP("912827V4 Govt","ID_ISIN")</f>
        <v>US912827V410</v>
      </c>
      <c r="M757">
        <v>12011000000</v>
      </c>
      <c r="N757">
        <v>0</v>
      </c>
      <c r="O757" t="str">
        <f>_xll.BDP("912827V4 Govt","ISSUE_DT")</f>
        <v>10/2/1995</v>
      </c>
      <c r="P757" t="str">
        <f>_xll.BDP("912827V4 Govt","SECURITY_NAME")</f>
        <v>T 6 1/8 09/30/00</v>
      </c>
      <c r="Q757" t="str">
        <f>_xll.BDP("912827V4 Govt","DAY_CNT_DES")</f>
        <v>ACT/ACT</v>
      </c>
      <c r="R757">
        <v>100</v>
      </c>
      <c r="S757" t="str">
        <f>_xll.BDP("912827V4 Govt","ID_CUSIP")</f>
        <v>912827V41</v>
      </c>
      <c r="T757" t="str">
        <f>_xll.BDP("912827V4 Govt","IDX_RATIO")</f>
        <v>#N/A Field Not Applicable</v>
      </c>
    </row>
    <row r="758" spans="1:20" x14ac:dyDescent="0.25">
      <c r="A758" t="s">
        <v>14</v>
      </c>
      <c r="B758" t="str">
        <f>_xll.BDP("912827V8 Govt","TICKER")</f>
        <v>T</v>
      </c>
      <c r="C758">
        <f>_xll.BDP("912827V8 Govt","CPN")</f>
        <v>5.875</v>
      </c>
      <c r="D758" t="str">
        <f>_xll.BDP("912827V8 Govt","YLD_YTM_BID")</f>
        <v>#N/A N/A</v>
      </c>
      <c r="E758" t="str">
        <f>_xll.BDP("912827V8 Govt","MATURITY")</f>
        <v>11/15/2005</v>
      </c>
      <c r="F758" t="str">
        <f>_xll.BDP("912827V8 Govt","MTY_TYP")</f>
        <v>NORMAL</v>
      </c>
      <c r="G758" t="str">
        <f>_xll.BDP("912827V8 Govt","CRNCY")</f>
        <v>USD</v>
      </c>
      <c r="H758" t="str">
        <f>_xll.BDP("912827V8 Govt","COUNTRY_FULL_NAME")</f>
        <v>UNITED STATES</v>
      </c>
      <c r="I758" t="str">
        <f>_xll.BDP("912827V8 Govt","FIRST_CPN_DT")</f>
        <v>5/15/1996</v>
      </c>
      <c r="J758" t="str">
        <f>_xll.BDP("912827V8 Govt","COUPON_FREQUENCY_DESCRIPTION")</f>
        <v>S/A</v>
      </c>
      <c r="K758" t="str">
        <f>_xll.BDP("912827V8 Govt","CPN_TYP")</f>
        <v>FIXED</v>
      </c>
      <c r="L758" t="str">
        <f>_xll.BDP("912827V8 Govt","ID_ISIN")</f>
        <v>US912827V824</v>
      </c>
      <c r="M758">
        <v>15210000000</v>
      </c>
      <c r="N758">
        <v>0</v>
      </c>
      <c r="O758" t="str">
        <f>_xll.BDP("912827V8 Govt","ISSUE_DT")</f>
        <v>11/24/1995</v>
      </c>
      <c r="P758" t="str">
        <f>_xll.BDP("912827V8 Govt","SECURITY_NAME")</f>
        <v>T 5 7/8 11/15/05</v>
      </c>
      <c r="Q758" t="str">
        <f>_xll.BDP("912827V8 Govt","DAY_CNT_DES")</f>
        <v>ACT/ACT</v>
      </c>
      <c r="R758">
        <v>100</v>
      </c>
      <c r="S758" t="str">
        <f>_xll.BDP("912827V8 Govt","ID_CUSIP")</f>
        <v>912827V82</v>
      </c>
      <c r="T758" t="str">
        <f>_xll.BDP("912827V8 Govt","IDX_RATIO")</f>
        <v>#N/A Field Not Applicable</v>
      </c>
    </row>
    <row r="759" spans="1:20" x14ac:dyDescent="0.25">
      <c r="A759" t="s">
        <v>14</v>
      </c>
      <c r="B759" t="str">
        <f>_xll.BDP("912827VA Govt","TICKER")</f>
        <v>T</v>
      </c>
      <c r="C759">
        <f>_xll.BDP("912827VA Govt","CPN")</f>
        <v>7.875</v>
      </c>
      <c r="D759" t="str">
        <f>_xll.BDP("912827VA Govt","YLD_YTM_BID")</f>
        <v>#N/A N/A</v>
      </c>
      <c r="E759" t="str">
        <f>_xll.BDP("912827VA Govt","MATURITY")</f>
        <v>6/30/1991</v>
      </c>
      <c r="F759" t="str">
        <f>_xll.BDP("912827VA Govt","MTY_TYP")</f>
        <v>NORMAL</v>
      </c>
      <c r="G759" t="str">
        <f>_xll.BDP("912827VA Govt","CRNCY")</f>
        <v>USD</v>
      </c>
      <c r="H759" t="str">
        <f>_xll.BDP("912827VA Govt","COUNTRY_FULL_NAME")</f>
        <v>UNITED STATES</v>
      </c>
      <c r="I759" t="str">
        <f>_xll.BDP("912827VA Govt","FIRST_CPN_DT")</f>
        <v>12/31/1987</v>
      </c>
      <c r="J759" t="str">
        <f>_xll.BDP("912827VA Govt","COUPON_FREQUENCY_DESCRIPTION")</f>
        <v>S/A</v>
      </c>
      <c r="K759" t="str">
        <f>_xll.BDP("912827VA Govt","CPN_TYP")</f>
        <v>FIXED</v>
      </c>
      <c r="L759" t="str">
        <f>_xll.BDP("912827VA Govt","ID_ISIN")</f>
        <v>US912827VA75</v>
      </c>
      <c r="N759">
        <v>0</v>
      </c>
      <c r="O759" t="str">
        <f>_xll.BDP("912827VA Govt","ISSUE_DT")</f>
        <v>6/30/1987</v>
      </c>
      <c r="P759" t="str">
        <f>_xll.BDP("912827VA Govt","SECURITY_NAME")</f>
        <v>T 7 7/8 06/30/91</v>
      </c>
      <c r="Q759" t="str">
        <f>_xll.BDP("912827VA Govt","DAY_CNT_DES")</f>
        <v>ACT/ACT</v>
      </c>
      <c r="R759">
        <v>100</v>
      </c>
      <c r="S759" t="str">
        <f>_xll.BDP("912827VA Govt","ID_CUSIP")</f>
        <v>912827VA7</v>
      </c>
      <c r="T759" t="str">
        <f>_xll.BDP("912827VA Govt","IDX_RATIO")</f>
        <v>#N/A Field Not Applicable</v>
      </c>
    </row>
    <row r="760" spans="1:20" x14ac:dyDescent="0.25">
      <c r="A760" t="s">
        <v>14</v>
      </c>
      <c r="B760" t="str">
        <f>_xll.BDP("912827VC Govt","TICKER")</f>
        <v>T</v>
      </c>
      <c r="C760">
        <f>_xll.BDP("912827VC Govt","CPN")</f>
        <v>7.625</v>
      </c>
      <c r="D760" t="str">
        <f>_xll.BDP("912827VC Govt","YLD_YTM_BID")</f>
        <v>#N/A N/A</v>
      </c>
      <c r="E760" t="str">
        <f>_xll.BDP("912827VC Govt","MATURITY")</f>
        <v>7/31/1989</v>
      </c>
      <c r="F760" t="str">
        <f>_xll.BDP("912827VC Govt","MTY_TYP")</f>
        <v>NORMAL</v>
      </c>
      <c r="G760" t="str">
        <f>_xll.BDP("912827VC Govt","CRNCY")</f>
        <v>USD</v>
      </c>
      <c r="H760" t="str">
        <f>_xll.BDP("912827VC Govt","COUNTRY_FULL_NAME")</f>
        <v>UNITED STATES</v>
      </c>
      <c r="I760" t="str">
        <f>_xll.BDP("912827VC Govt","FIRST_CPN_DT")</f>
        <v>1/31/1988</v>
      </c>
      <c r="J760" t="str">
        <f>_xll.BDP("912827VC Govt","COUPON_FREQUENCY_DESCRIPTION")</f>
        <v>S/A</v>
      </c>
      <c r="K760" t="str">
        <f>_xll.BDP("912827VC Govt","CPN_TYP")</f>
        <v>FIXED</v>
      </c>
      <c r="L760" t="str">
        <f>_xll.BDP("912827VC Govt","ID_ISIN")</f>
        <v>US912827VC32</v>
      </c>
      <c r="N760">
        <v>0</v>
      </c>
      <c r="O760" t="str">
        <f>_xll.BDP("912827VC Govt","ISSUE_DT")</f>
        <v>7/31/1987</v>
      </c>
      <c r="P760" t="str">
        <f>_xll.BDP("912827VC Govt","SECURITY_NAME")</f>
        <v>T 7 5/8 07/31/89</v>
      </c>
      <c r="Q760" t="str">
        <f>_xll.BDP("912827VC Govt","DAY_CNT_DES")</f>
        <v>ACT/ACT</v>
      </c>
      <c r="R760">
        <v>100</v>
      </c>
      <c r="S760" t="str">
        <f>_xll.BDP("912827VC Govt","ID_CUSIP")</f>
        <v>912827VC3</v>
      </c>
      <c r="T760" t="str">
        <f>_xll.BDP("912827VC Govt","IDX_RATIO")</f>
        <v>#N/A Field Not Applicable</v>
      </c>
    </row>
    <row r="761" spans="1:20" x14ac:dyDescent="0.25">
      <c r="A761" t="s">
        <v>14</v>
      </c>
      <c r="B761" t="str">
        <f>_xll.BDP("912827VG Govt","TICKER")</f>
        <v>T</v>
      </c>
      <c r="C761">
        <f>_xll.BDP("912827VG Govt","CPN")</f>
        <v>8.375</v>
      </c>
      <c r="D761" t="str">
        <f>_xll.BDP("912827VG Govt","YLD_YTM_BID")</f>
        <v>#N/A N/A</v>
      </c>
      <c r="E761" t="str">
        <f>_xll.BDP("912827VG Govt","MATURITY")</f>
        <v>11/15/1992</v>
      </c>
      <c r="F761" t="str">
        <f>_xll.BDP("912827VG Govt","MTY_TYP")</f>
        <v>NORMAL</v>
      </c>
      <c r="G761" t="str">
        <f>_xll.BDP("912827VG Govt","CRNCY")</f>
        <v>USD</v>
      </c>
      <c r="H761" t="str">
        <f>_xll.BDP("912827VG Govt","COUNTRY_FULL_NAME")</f>
        <v>UNITED STATES</v>
      </c>
      <c r="I761" t="str">
        <f>_xll.BDP("912827VG Govt","FIRST_CPN_DT")</f>
        <v>5/15/1988</v>
      </c>
      <c r="J761" t="str">
        <f>_xll.BDP("912827VG Govt","COUPON_FREQUENCY_DESCRIPTION")</f>
        <v>S/A</v>
      </c>
      <c r="K761" t="str">
        <f>_xll.BDP("912827VG Govt","CPN_TYP")</f>
        <v>FIXED</v>
      </c>
      <c r="L761" t="str">
        <f>_xll.BDP("912827VG Govt","ID_ISIN")</f>
        <v>US912827VG46</v>
      </c>
      <c r="N761">
        <v>0</v>
      </c>
      <c r="O761" t="str">
        <f>_xll.BDP("912827VG Govt","ISSUE_DT")</f>
        <v>9/3/1987</v>
      </c>
      <c r="P761" t="str">
        <f>_xll.BDP("912827VG Govt","SECURITY_NAME")</f>
        <v>T 8 3/8 11/15/92</v>
      </c>
      <c r="Q761" t="str">
        <f>_xll.BDP("912827VG Govt","DAY_CNT_DES")</f>
        <v>ACT/ACT</v>
      </c>
      <c r="R761">
        <v>100</v>
      </c>
      <c r="S761" t="str">
        <f>_xll.BDP("912827VG Govt","ID_CUSIP")</f>
        <v>912827VG4</v>
      </c>
      <c r="T761" t="str">
        <f>_xll.BDP("912827VG Govt","IDX_RATIO")</f>
        <v>#N/A Field Not Applicable</v>
      </c>
    </row>
    <row r="762" spans="1:20" x14ac:dyDescent="0.25">
      <c r="A762" t="s">
        <v>14</v>
      </c>
      <c r="B762" t="str">
        <f>_xll.BDP("912827VK Govt","TICKER")</f>
        <v>T</v>
      </c>
      <c r="C762">
        <f>_xll.BDP("912827VK Govt","CPN")</f>
        <v>9.5</v>
      </c>
      <c r="D762" t="str">
        <f>_xll.BDP("912827VK Govt","YLD_YTM_BID")</f>
        <v>#N/A N/A</v>
      </c>
      <c r="E762" t="str">
        <f>_xll.BDP("912827VK Govt","MATURITY")</f>
        <v>10/15/1994</v>
      </c>
      <c r="F762" t="str">
        <f>_xll.BDP("912827VK Govt","MTY_TYP")</f>
        <v>NORMAL</v>
      </c>
      <c r="G762" t="str">
        <f>_xll.BDP("912827VK Govt","CRNCY")</f>
        <v>USD</v>
      </c>
      <c r="H762" t="str">
        <f>_xll.BDP("912827VK Govt","COUNTRY_FULL_NAME")</f>
        <v>UNITED STATES</v>
      </c>
      <c r="I762" t="str">
        <f>_xll.BDP("912827VK Govt","FIRST_CPN_DT")</f>
        <v>4/15/1988</v>
      </c>
      <c r="J762" t="str">
        <f>_xll.BDP("912827VK Govt","COUPON_FREQUENCY_DESCRIPTION")</f>
        <v>S/A</v>
      </c>
      <c r="K762" t="str">
        <f>_xll.BDP("912827VK Govt","CPN_TYP")</f>
        <v>FIXED</v>
      </c>
      <c r="L762" t="str">
        <f>_xll.BDP("912827VK Govt","ID_ISIN")</f>
        <v>US912827VK57</v>
      </c>
      <c r="N762">
        <v>0</v>
      </c>
      <c r="O762" t="str">
        <f>_xll.BDP("912827VK Govt","ISSUE_DT")</f>
        <v>10/15/1987</v>
      </c>
      <c r="P762" t="str">
        <f>_xll.BDP("912827VK Govt","SECURITY_NAME")</f>
        <v>T 9 1/2 10/15/94</v>
      </c>
      <c r="Q762" t="str">
        <f>_xll.BDP("912827VK Govt","DAY_CNT_DES")</f>
        <v>ACT/ACT</v>
      </c>
      <c r="R762">
        <v>100</v>
      </c>
      <c r="S762" t="str">
        <f>_xll.BDP("912827VK Govt","ID_CUSIP")</f>
        <v>912827VK5</v>
      </c>
      <c r="T762" t="str">
        <f>_xll.BDP("912827VK Govt","IDX_RATIO")</f>
        <v>#N/A Field Not Applicable</v>
      </c>
    </row>
    <row r="763" spans="1:20" x14ac:dyDescent="0.25">
      <c r="A763" t="s">
        <v>14</v>
      </c>
      <c r="B763" t="str">
        <f>_xll.BDP("912827VQ Govt","TICKER")</f>
        <v>T</v>
      </c>
      <c r="C763">
        <f>_xll.BDP("912827VQ Govt","CPN")</f>
        <v>8.25</v>
      </c>
      <c r="D763" t="str">
        <f>_xll.BDP("912827VQ Govt","YLD_YTM_BID")</f>
        <v>#N/A N/A</v>
      </c>
      <c r="E763" t="str">
        <f>_xll.BDP("912827VQ Govt","MATURITY")</f>
        <v>2/15/1993</v>
      </c>
      <c r="F763" t="str">
        <f>_xll.BDP("912827VQ Govt","MTY_TYP")</f>
        <v>NORMAL</v>
      </c>
      <c r="G763" t="str">
        <f>_xll.BDP("912827VQ Govt","CRNCY")</f>
        <v>USD</v>
      </c>
      <c r="H763" t="str">
        <f>_xll.BDP("912827VQ Govt","COUNTRY_FULL_NAME")</f>
        <v>UNITED STATES</v>
      </c>
      <c r="I763" t="str">
        <f>_xll.BDP("912827VQ Govt","FIRST_CPN_DT")</f>
        <v>8/15/1988</v>
      </c>
      <c r="J763" t="str">
        <f>_xll.BDP("912827VQ Govt","COUPON_FREQUENCY_DESCRIPTION")</f>
        <v>S/A</v>
      </c>
      <c r="K763" t="str">
        <f>_xll.BDP("912827VQ Govt","CPN_TYP")</f>
        <v>FIXED</v>
      </c>
      <c r="L763" t="str">
        <f>_xll.BDP("912827VQ Govt","ID_ISIN")</f>
        <v>US912827VQ28</v>
      </c>
      <c r="N763">
        <v>0</v>
      </c>
      <c r="O763" t="str">
        <f>_xll.BDP("912827VQ Govt","ISSUE_DT")</f>
        <v>12/1/1987</v>
      </c>
      <c r="P763" t="str">
        <f>_xll.BDP("912827VQ Govt","SECURITY_NAME")</f>
        <v>T 8 1/4 02/15/93</v>
      </c>
      <c r="Q763" t="str">
        <f>_xll.BDP("912827VQ Govt","DAY_CNT_DES")</f>
        <v>ACT/ACT</v>
      </c>
      <c r="R763">
        <v>100</v>
      </c>
      <c r="S763" t="str">
        <f>_xll.BDP("912827VQ Govt","ID_CUSIP")</f>
        <v>912827VQ2</v>
      </c>
      <c r="T763" t="str">
        <f>_xll.BDP("912827VQ Govt","IDX_RATIO")</f>
        <v>#N/A Field Not Applicable</v>
      </c>
    </row>
    <row r="764" spans="1:20" x14ac:dyDescent="0.25">
      <c r="A764" t="s">
        <v>14</v>
      </c>
      <c r="B764" t="str">
        <f>_xll.BDP("912827VR Govt","TICKER")</f>
        <v>T</v>
      </c>
      <c r="C764">
        <f>_xll.BDP("912827VR Govt","CPN")</f>
        <v>7.875</v>
      </c>
      <c r="D764" t="str">
        <f>_xll.BDP("912827VR Govt","YLD_YTM_BID")</f>
        <v>#N/A N/A</v>
      </c>
      <c r="E764" t="str">
        <f>_xll.BDP("912827VR Govt","MATURITY")</f>
        <v>12/31/1989</v>
      </c>
      <c r="F764" t="str">
        <f>_xll.BDP("912827VR Govt","MTY_TYP")</f>
        <v>NORMAL</v>
      </c>
      <c r="G764" t="str">
        <f>_xll.BDP("912827VR Govt","CRNCY")</f>
        <v>USD</v>
      </c>
      <c r="H764" t="str">
        <f>_xll.BDP("912827VR Govt","COUNTRY_FULL_NAME")</f>
        <v>UNITED STATES</v>
      </c>
      <c r="I764" t="str">
        <f>_xll.BDP("912827VR Govt","FIRST_CPN_DT")</f>
        <v>6/30/1988</v>
      </c>
      <c r="J764" t="str">
        <f>_xll.BDP("912827VR Govt","COUPON_FREQUENCY_DESCRIPTION")</f>
        <v>S/A</v>
      </c>
      <c r="K764" t="str">
        <f>_xll.BDP("912827VR Govt","CPN_TYP")</f>
        <v>FIXED</v>
      </c>
      <c r="L764" t="str">
        <f>_xll.BDP("912827VR Govt","ID_ISIN")</f>
        <v>US912827VR01</v>
      </c>
      <c r="N764">
        <v>0</v>
      </c>
      <c r="O764" t="str">
        <f>_xll.BDP("912827VR Govt","ISSUE_DT")</f>
        <v>12/31/1987</v>
      </c>
      <c r="P764" t="str">
        <f>_xll.BDP("912827VR Govt","SECURITY_NAME")</f>
        <v>T 7 7/8 12/31/89</v>
      </c>
      <c r="Q764" t="str">
        <f>_xll.BDP("912827VR Govt","DAY_CNT_DES")</f>
        <v>ACT/ACT</v>
      </c>
      <c r="R764">
        <v>100</v>
      </c>
      <c r="S764" t="str">
        <f>_xll.BDP("912827VR Govt","ID_CUSIP")</f>
        <v>912827VR0</v>
      </c>
      <c r="T764" t="str">
        <f>_xll.BDP("912827VR Govt","IDX_RATIO")</f>
        <v>#N/A Field Not Applicable</v>
      </c>
    </row>
    <row r="765" spans="1:20" x14ac:dyDescent="0.25">
      <c r="A765" t="s">
        <v>14</v>
      </c>
      <c r="B765" t="str">
        <f>_xll.BDP("912827VT Govt","TICKER")</f>
        <v>T</v>
      </c>
      <c r="C765">
        <f>_xll.BDP("912827VT Govt","CPN")</f>
        <v>8.625</v>
      </c>
      <c r="D765" t="str">
        <f>_xll.BDP("912827VT Govt","YLD_YTM_BID")</f>
        <v>#N/A N/A</v>
      </c>
      <c r="E765" t="str">
        <f>_xll.BDP("912827VT Govt","MATURITY")</f>
        <v>1/15/1995</v>
      </c>
      <c r="F765" t="str">
        <f>_xll.BDP("912827VT Govt","MTY_TYP")</f>
        <v>NORMAL</v>
      </c>
      <c r="G765" t="str">
        <f>_xll.BDP("912827VT Govt","CRNCY")</f>
        <v>USD</v>
      </c>
      <c r="H765" t="str">
        <f>_xll.BDP("912827VT Govt","COUNTRY_FULL_NAME")</f>
        <v>UNITED STATES</v>
      </c>
      <c r="I765" t="str">
        <f>_xll.BDP("912827VT Govt","FIRST_CPN_DT")</f>
        <v>7/15/1988</v>
      </c>
      <c r="J765" t="str">
        <f>_xll.BDP("912827VT Govt","COUPON_FREQUENCY_DESCRIPTION")</f>
        <v>S/A</v>
      </c>
      <c r="K765" t="str">
        <f>_xll.BDP("912827VT Govt","CPN_TYP")</f>
        <v>FIXED</v>
      </c>
      <c r="L765" t="str">
        <f>_xll.BDP("912827VT Govt","ID_ISIN")</f>
        <v>US912827VT66</v>
      </c>
      <c r="N765">
        <v>0</v>
      </c>
      <c r="O765" t="str">
        <f>_xll.BDP("912827VT Govt","ISSUE_DT")</f>
        <v>1/15/1988</v>
      </c>
      <c r="P765" t="str">
        <f>_xll.BDP("912827VT Govt","SECURITY_NAME")</f>
        <v>T 8 5/8 01/15/95</v>
      </c>
      <c r="Q765" t="str">
        <f>_xll.BDP("912827VT Govt","DAY_CNT_DES")</f>
        <v>ACT/ACT</v>
      </c>
      <c r="R765">
        <v>100</v>
      </c>
      <c r="S765" t="str">
        <f>_xll.BDP("912827VT Govt","ID_CUSIP")</f>
        <v>912827VT6</v>
      </c>
      <c r="T765" t="str">
        <f>_xll.BDP("912827VT Govt","IDX_RATIO")</f>
        <v>#N/A Field Not Applicable</v>
      </c>
    </row>
    <row r="766" spans="1:20" x14ac:dyDescent="0.25">
      <c r="A766" t="s">
        <v>14</v>
      </c>
      <c r="B766" t="str">
        <f>_xll.BDP("912827VY Govt","TICKER")</f>
        <v>T</v>
      </c>
      <c r="C766">
        <f>_xll.BDP("912827VY Govt","CPN")</f>
        <v>7.625</v>
      </c>
      <c r="D766" t="str">
        <f>_xll.BDP("912827VY Govt","YLD_YTM_BID")</f>
        <v>#N/A N/A</v>
      </c>
      <c r="E766" t="str">
        <f>_xll.BDP("912827VY Govt","MATURITY")</f>
        <v>5/15/1993</v>
      </c>
      <c r="F766" t="str">
        <f>_xll.BDP("912827VY Govt","MTY_TYP")</f>
        <v>NORMAL</v>
      </c>
      <c r="G766" t="str">
        <f>_xll.BDP("912827VY Govt","CRNCY")</f>
        <v>USD</v>
      </c>
      <c r="H766" t="str">
        <f>_xll.BDP("912827VY Govt","COUNTRY_FULL_NAME")</f>
        <v>UNITED STATES</v>
      </c>
      <c r="I766" t="str">
        <f>_xll.BDP("912827VY Govt","FIRST_CPN_DT")</f>
        <v>11/15/1988</v>
      </c>
      <c r="J766" t="str">
        <f>_xll.BDP("912827VY Govt","COUPON_FREQUENCY_DESCRIPTION")</f>
        <v>S/A</v>
      </c>
      <c r="K766" t="str">
        <f>_xll.BDP("912827VY Govt","CPN_TYP")</f>
        <v>FIXED</v>
      </c>
      <c r="L766" t="str">
        <f>_xll.BDP("912827VY Govt","ID_ISIN")</f>
        <v>US912827VY51</v>
      </c>
      <c r="N766">
        <v>0</v>
      </c>
      <c r="O766" t="str">
        <f>_xll.BDP("912827VY Govt","ISSUE_DT")</f>
        <v>3/3/1988</v>
      </c>
      <c r="P766" t="str">
        <f>_xll.BDP("912827VY Govt","SECURITY_NAME")</f>
        <v>T 7 5/8 05/15/93</v>
      </c>
      <c r="Q766" t="str">
        <f>_xll.BDP("912827VY Govt","DAY_CNT_DES")</f>
        <v>ACT/ACT</v>
      </c>
      <c r="R766">
        <v>100</v>
      </c>
      <c r="S766" t="str">
        <f>_xll.BDP("912827VY Govt","ID_CUSIP")</f>
        <v>912827VY5</v>
      </c>
      <c r="T766" t="str">
        <f>_xll.BDP("912827VY Govt","IDX_RATIO")</f>
        <v>#N/A Field Not Applicable</v>
      </c>
    </row>
    <row r="767" spans="1:20" x14ac:dyDescent="0.25">
      <c r="A767" t="s">
        <v>14</v>
      </c>
      <c r="B767" t="str">
        <f>_xll.BDP("912827W2 Govt","TICKER")</f>
        <v>T</v>
      </c>
      <c r="C767">
        <f>_xll.BDP("912827W2 Govt","CPN")</f>
        <v>5.625</v>
      </c>
      <c r="D767" t="str">
        <f>_xll.BDP("912827W2 Govt","YLD_YTM_BID")</f>
        <v>#N/A N/A</v>
      </c>
      <c r="E767" t="str">
        <f>_xll.BDP("912827W2 Govt","MATURITY")</f>
        <v>11/30/2000</v>
      </c>
      <c r="F767" t="str">
        <f>_xll.BDP("912827W2 Govt","MTY_TYP")</f>
        <v>NORMAL</v>
      </c>
      <c r="G767" t="str">
        <f>_xll.BDP("912827W2 Govt","CRNCY")</f>
        <v>USD</v>
      </c>
      <c r="H767" t="str">
        <f>_xll.BDP("912827W2 Govt","COUNTRY_FULL_NAME")</f>
        <v>UNITED STATES</v>
      </c>
      <c r="I767" t="str">
        <f>_xll.BDP("912827W2 Govt","FIRST_CPN_DT")</f>
        <v>5/31/1996</v>
      </c>
      <c r="J767" t="str">
        <f>_xll.BDP("912827W2 Govt","COUPON_FREQUENCY_DESCRIPTION")</f>
        <v>S/A</v>
      </c>
      <c r="K767" t="str">
        <f>_xll.BDP("912827W2 Govt","CPN_TYP")</f>
        <v>FIXED</v>
      </c>
      <c r="L767" t="str">
        <f>_xll.BDP("912827W2 Govt","ID_ISIN")</f>
        <v>US912827W244</v>
      </c>
      <c r="M767">
        <v>12357000000</v>
      </c>
      <c r="N767">
        <v>0</v>
      </c>
      <c r="O767" t="str">
        <f>_xll.BDP("912827W2 Govt","ISSUE_DT")</f>
        <v>11/30/1995</v>
      </c>
      <c r="P767" t="str">
        <f>_xll.BDP("912827W2 Govt","SECURITY_NAME")</f>
        <v>T 5 5/8 11/30/00</v>
      </c>
      <c r="Q767" t="str">
        <f>_xll.BDP("912827W2 Govt","DAY_CNT_DES")</f>
        <v>ACT/ACT</v>
      </c>
      <c r="R767">
        <v>100</v>
      </c>
      <c r="S767" t="str">
        <f>_xll.BDP("912827W2 Govt","ID_CUSIP")</f>
        <v>912827W24</v>
      </c>
      <c r="T767" t="str">
        <f>_xll.BDP("912827W2 Govt","IDX_RATIO")</f>
        <v>#N/A Field Not Applicable</v>
      </c>
    </row>
    <row r="768" spans="1:20" x14ac:dyDescent="0.25">
      <c r="A768" t="s">
        <v>14</v>
      </c>
      <c r="B768" t="str">
        <f>_xll.BDP("912827WC Govt","TICKER")</f>
        <v>T</v>
      </c>
      <c r="C768">
        <f>_xll.BDP("912827WC Govt","CPN")</f>
        <v>7.625</v>
      </c>
      <c r="D768" t="str">
        <f>_xll.BDP("912827WC Govt","YLD_YTM_BID")</f>
        <v>#N/A N/A</v>
      </c>
      <c r="E768" t="str">
        <f>_xll.BDP("912827WC Govt","MATURITY")</f>
        <v>4/30/1990</v>
      </c>
      <c r="F768" t="str">
        <f>_xll.BDP("912827WC Govt","MTY_TYP")</f>
        <v>NORMAL</v>
      </c>
      <c r="G768" t="str">
        <f>_xll.BDP("912827WC Govt","CRNCY")</f>
        <v>USD</v>
      </c>
      <c r="H768" t="str">
        <f>_xll.BDP("912827WC Govt","COUNTRY_FULL_NAME")</f>
        <v>UNITED STATES</v>
      </c>
      <c r="I768" t="str">
        <f>_xll.BDP("912827WC Govt","FIRST_CPN_DT")</f>
        <v>10/31/1988</v>
      </c>
      <c r="J768" t="str">
        <f>_xll.BDP("912827WC Govt","COUPON_FREQUENCY_DESCRIPTION")</f>
        <v>S/A</v>
      </c>
      <c r="K768" t="str">
        <f>_xll.BDP("912827WC Govt","CPN_TYP")</f>
        <v>FIXED</v>
      </c>
      <c r="L768" t="str">
        <f>_xll.BDP("912827WC Govt","ID_ISIN")</f>
        <v>US912827WC23</v>
      </c>
      <c r="N768">
        <v>0</v>
      </c>
      <c r="O768" t="str">
        <f>_xll.BDP("912827WC Govt","ISSUE_DT")</f>
        <v>5/2/1988</v>
      </c>
      <c r="P768" t="str">
        <f>_xll.BDP("912827WC Govt","SECURITY_NAME")</f>
        <v>T 7 5/8 04/30/90</v>
      </c>
      <c r="Q768" t="str">
        <f>_xll.BDP("912827WC Govt","DAY_CNT_DES")</f>
        <v>ACT/ACT</v>
      </c>
      <c r="R768">
        <v>100</v>
      </c>
      <c r="S768" t="str">
        <f>_xll.BDP("912827WC Govt","ID_CUSIP")</f>
        <v>912827WC2</v>
      </c>
      <c r="T768" t="str">
        <f>_xll.BDP("912827WC Govt","IDX_RATIO")</f>
        <v>#N/A Field Not Applicable</v>
      </c>
    </row>
    <row r="769" spans="1:20" x14ac:dyDescent="0.25">
      <c r="A769" t="s">
        <v>14</v>
      </c>
      <c r="B769" t="str">
        <f>_xll.BDP("912827X4 Govt","TICKER")</f>
        <v>T</v>
      </c>
      <c r="C769">
        <f>_xll.BDP("912827X4 Govt","CPN")</f>
        <v>6.375</v>
      </c>
      <c r="D769" t="str">
        <f>_xll.BDP("912827X4 Govt","YLD_YTM_BID")</f>
        <v>#N/A N/A</v>
      </c>
      <c r="E769" t="str">
        <f>_xll.BDP("912827X4 Govt","MATURITY")</f>
        <v>3/31/2001</v>
      </c>
      <c r="F769" t="str">
        <f>_xll.BDP("912827X4 Govt","MTY_TYP")</f>
        <v>NORMAL</v>
      </c>
      <c r="G769" t="str">
        <f>_xll.BDP("912827X4 Govt","CRNCY")</f>
        <v>USD</v>
      </c>
      <c r="H769" t="str">
        <f>_xll.BDP("912827X4 Govt","COUNTRY_FULL_NAME")</f>
        <v>UNITED STATES</v>
      </c>
      <c r="I769" t="str">
        <f>_xll.BDP("912827X4 Govt","FIRST_CPN_DT")</f>
        <v>9/30/1996</v>
      </c>
      <c r="J769" t="str">
        <f>_xll.BDP("912827X4 Govt","COUPON_FREQUENCY_DESCRIPTION")</f>
        <v>S/A</v>
      </c>
      <c r="K769" t="str">
        <f>_xll.BDP("912827X4 Govt","CPN_TYP")</f>
        <v>FIXED</v>
      </c>
      <c r="L769" t="str">
        <f>_xll.BDP("912827X4 Govt","ID_ISIN")</f>
        <v>US912827X499</v>
      </c>
      <c r="M769">
        <v>14181000000</v>
      </c>
      <c r="N769">
        <v>0</v>
      </c>
      <c r="O769" t="str">
        <f>_xll.BDP("912827X4 Govt","ISSUE_DT")</f>
        <v>4/10/1996</v>
      </c>
      <c r="P769" t="str">
        <f>_xll.BDP("912827X4 Govt","SECURITY_NAME")</f>
        <v>T 6 3/8 03/31/01</v>
      </c>
      <c r="Q769" t="str">
        <f>_xll.BDP("912827X4 Govt","DAY_CNT_DES")</f>
        <v>ACT/ACT</v>
      </c>
      <c r="R769">
        <v>100</v>
      </c>
      <c r="S769" t="str">
        <f>_xll.BDP("912827X4 Govt","ID_CUSIP")</f>
        <v>912827X49</v>
      </c>
      <c r="T769" t="str">
        <f>_xll.BDP("912827X4 Govt","IDX_RATIO")</f>
        <v>#N/A Field Not Applicable</v>
      </c>
    </row>
    <row r="770" spans="1:20" x14ac:dyDescent="0.25">
      <c r="A770" t="s">
        <v>14</v>
      </c>
      <c r="B770" t="str">
        <f>_xll.BDP("912827X9 Govt","TICKER")</f>
        <v>T</v>
      </c>
      <c r="C770">
        <f>_xll.BDP("912827X9 Govt","CPN")</f>
        <v>6</v>
      </c>
      <c r="D770" t="str">
        <f>_xll.BDP("912827X9 Govt","YLD_YTM_BID")</f>
        <v>#N/A N/A</v>
      </c>
      <c r="E770" t="str">
        <f>_xll.BDP("912827X9 Govt","MATURITY")</f>
        <v>5/31/1998</v>
      </c>
      <c r="F770" t="str">
        <f>_xll.BDP("912827X9 Govt","MTY_TYP")</f>
        <v>NORMAL</v>
      </c>
      <c r="G770" t="str">
        <f>_xll.BDP("912827X9 Govt","CRNCY")</f>
        <v>USD</v>
      </c>
      <c r="H770" t="str">
        <f>_xll.BDP("912827X9 Govt","COUNTRY_FULL_NAME")</f>
        <v>UNITED STATES</v>
      </c>
      <c r="I770" t="str">
        <f>_xll.BDP("912827X9 Govt","FIRST_CPN_DT")</f>
        <v>11/30/1996</v>
      </c>
      <c r="J770" t="str">
        <f>_xll.BDP("912827X9 Govt","COUPON_FREQUENCY_DESCRIPTION")</f>
        <v>S/A</v>
      </c>
      <c r="K770" t="str">
        <f>_xll.BDP("912827X9 Govt","CPN_TYP")</f>
        <v>FIXED</v>
      </c>
      <c r="L770" t="str">
        <f>_xll.BDP("912827X9 Govt","ID_ISIN")</f>
        <v>US912827X986</v>
      </c>
      <c r="M770">
        <v>21110000000</v>
      </c>
      <c r="N770">
        <v>0</v>
      </c>
      <c r="O770" t="str">
        <f>_xll.BDP("912827X9 Govt","ISSUE_DT")</f>
        <v>5/31/1996</v>
      </c>
      <c r="P770" t="str">
        <f>_xll.BDP("912827X9 Govt","SECURITY_NAME")</f>
        <v>T 6 05/31/98</v>
      </c>
      <c r="Q770" t="str">
        <f>_xll.BDP("912827X9 Govt","DAY_CNT_DES")</f>
        <v>ACT/ACT</v>
      </c>
      <c r="R770">
        <v>100</v>
      </c>
      <c r="S770" t="str">
        <f>_xll.BDP("912827X9 Govt","ID_CUSIP")</f>
        <v>912827X98</v>
      </c>
      <c r="T770" t="str">
        <f>_xll.BDP("912827X9 Govt","IDX_RATIO")</f>
        <v>#N/A Field Not Applicable</v>
      </c>
    </row>
    <row r="771" spans="1:20" x14ac:dyDescent="0.25">
      <c r="A771" t="s">
        <v>14</v>
      </c>
      <c r="B771" t="str">
        <f>_xll.BDP("912827XC Govt","TICKER")</f>
        <v>T</v>
      </c>
      <c r="C771">
        <f>_xll.BDP("912827XC Govt","CPN")</f>
        <v>9</v>
      </c>
      <c r="D771" t="str">
        <f>_xll.BDP("912827XC Govt","YLD_YTM_BID")</f>
        <v>#N/A N/A</v>
      </c>
      <c r="E771" t="str">
        <f>_xll.BDP("912827XC Govt","MATURITY")</f>
        <v>1/31/1991</v>
      </c>
      <c r="F771" t="str">
        <f>_xll.BDP("912827XC Govt","MTY_TYP")</f>
        <v>NORMAL</v>
      </c>
      <c r="G771" t="str">
        <f>_xll.BDP("912827XC Govt","CRNCY")</f>
        <v>USD</v>
      </c>
      <c r="H771" t="str">
        <f>_xll.BDP("912827XC Govt","COUNTRY_FULL_NAME")</f>
        <v>UNITED STATES</v>
      </c>
      <c r="I771" t="str">
        <f>_xll.BDP("912827XC Govt","FIRST_CPN_DT")</f>
        <v>7/31/1989</v>
      </c>
      <c r="J771" t="str">
        <f>_xll.BDP("912827XC Govt","COUPON_FREQUENCY_DESCRIPTION")</f>
        <v>S/A</v>
      </c>
      <c r="K771" t="str">
        <f>_xll.BDP("912827XC Govt","CPN_TYP")</f>
        <v>FIXED</v>
      </c>
      <c r="L771" t="str">
        <f>_xll.BDP("912827XC Govt","ID_ISIN")</f>
        <v>US912827XC14</v>
      </c>
      <c r="N771">
        <v>0</v>
      </c>
      <c r="O771" t="str">
        <f>_xll.BDP("912827XC Govt","ISSUE_DT")</f>
        <v>1/31/1989</v>
      </c>
      <c r="P771" t="str">
        <f>_xll.BDP("912827XC Govt","SECURITY_NAME")</f>
        <v>T 9 01/31/91</v>
      </c>
      <c r="Q771" t="str">
        <f>_xll.BDP("912827XC Govt","DAY_CNT_DES")</f>
        <v>ACT/ACT</v>
      </c>
      <c r="R771">
        <v>100</v>
      </c>
      <c r="S771" t="str">
        <f>_xll.BDP("912827XC Govt","ID_CUSIP")</f>
        <v>912827XC1</v>
      </c>
      <c r="T771" t="str">
        <f>_xll.BDP("912827XC Govt","IDX_RATIO")</f>
        <v>#N/A Field Not Applicable</v>
      </c>
    </row>
    <row r="772" spans="1:20" x14ac:dyDescent="0.25">
      <c r="A772" t="s">
        <v>14</v>
      </c>
      <c r="B772" t="str">
        <f>_xll.BDP("912827XH Govt","TICKER")</f>
        <v>T</v>
      </c>
      <c r="C772">
        <f>_xll.BDP("912827XH Govt","CPN")</f>
        <v>9.75</v>
      </c>
      <c r="D772" t="str">
        <f>_xll.BDP("912827XH Govt","YLD_YTM_BID")</f>
        <v>#N/A N/A</v>
      </c>
      <c r="E772" t="str">
        <f>_xll.BDP("912827XH Govt","MATURITY")</f>
        <v>3/31/1991</v>
      </c>
      <c r="F772" t="str">
        <f>_xll.BDP("912827XH Govt","MTY_TYP")</f>
        <v>NORMAL</v>
      </c>
      <c r="G772" t="str">
        <f>_xll.BDP("912827XH Govt","CRNCY")</f>
        <v>USD</v>
      </c>
      <c r="H772" t="str">
        <f>_xll.BDP("912827XH Govt","COUNTRY_FULL_NAME")</f>
        <v>UNITED STATES</v>
      </c>
      <c r="I772" t="str">
        <f>_xll.BDP("912827XH Govt","FIRST_CPN_DT")</f>
        <v>9/30/1989</v>
      </c>
      <c r="J772" t="str">
        <f>_xll.BDP("912827XH Govt","COUPON_FREQUENCY_DESCRIPTION")</f>
        <v>S/A</v>
      </c>
      <c r="K772" t="str">
        <f>_xll.BDP("912827XH Govt","CPN_TYP")</f>
        <v>FIXED</v>
      </c>
      <c r="L772" t="str">
        <f>_xll.BDP("912827XH Govt","ID_ISIN")</f>
        <v>US912827XH01</v>
      </c>
      <c r="N772">
        <v>0</v>
      </c>
      <c r="O772" t="str">
        <f>_xll.BDP("912827XH Govt","ISSUE_DT")</f>
        <v>3/31/1989</v>
      </c>
      <c r="P772" t="str">
        <f>_xll.BDP("912827XH Govt","SECURITY_NAME")</f>
        <v>T 9 3/4 03/31/91</v>
      </c>
      <c r="Q772" t="str">
        <f>_xll.BDP("912827XH Govt","DAY_CNT_DES")</f>
        <v>ACT/ACT</v>
      </c>
      <c r="R772">
        <v>100</v>
      </c>
      <c r="S772" t="str">
        <f>_xll.BDP("912827XH Govt","ID_CUSIP")</f>
        <v>912827XH0</v>
      </c>
      <c r="T772" t="str">
        <f>_xll.BDP("912827XH Govt","IDX_RATIO")</f>
        <v>#N/A Field Not Applicable</v>
      </c>
    </row>
    <row r="773" spans="1:20" x14ac:dyDescent="0.25">
      <c r="A773" t="s">
        <v>14</v>
      </c>
      <c r="B773" t="str">
        <f>_xll.BDP("912827XK Govt","TICKER")</f>
        <v>T</v>
      </c>
      <c r="C773">
        <f>_xll.BDP("912827XK Govt","CPN")</f>
        <v>9.375</v>
      </c>
      <c r="D773" t="str">
        <f>_xll.BDP("912827XK Govt","YLD_YTM_BID")</f>
        <v>#N/A N/A</v>
      </c>
      <c r="E773" t="str">
        <f>_xll.BDP("912827XK Govt","MATURITY")</f>
        <v>4/15/1996</v>
      </c>
      <c r="F773" t="str">
        <f>_xll.BDP("912827XK Govt","MTY_TYP")</f>
        <v>NORMAL</v>
      </c>
      <c r="G773" t="str">
        <f>_xll.BDP("912827XK Govt","CRNCY")</f>
        <v>USD</v>
      </c>
      <c r="H773" t="str">
        <f>_xll.BDP("912827XK Govt","COUNTRY_FULL_NAME")</f>
        <v>UNITED STATES</v>
      </c>
      <c r="I773" t="str">
        <f>_xll.BDP("912827XK Govt","FIRST_CPN_DT")</f>
        <v>10/15/1989</v>
      </c>
      <c r="J773" t="str">
        <f>_xll.BDP("912827XK Govt","COUPON_FREQUENCY_DESCRIPTION")</f>
        <v>S/A</v>
      </c>
      <c r="K773" t="str">
        <f>_xll.BDP("912827XK Govt","CPN_TYP")</f>
        <v>FIXED</v>
      </c>
      <c r="L773" t="str">
        <f>_xll.BDP("912827XK Govt","ID_ISIN")</f>
        <v>US912827XK30</v>
      </c>
      <c r="N773">
        <v>0</v>
      </c>
      <c r="O773" t="str">
        <f>_xll.BDP("912827XK Govt","ISSUE_DT")</f>
        <v>4/17/1989</v>
      </c>
      <c r="P773" t="str">
        <f>_xll.BDP("912827XK Govt","SECURITY_NAME")</f>
        <v>T 9 3/8 04/15/96</v>
      </c>
      <c r="Q773" t="str">
        <f>_xll.BDP("912827XK Govt","DAY_CNT_DES")</f>
        <v>ACT/ACT</v>
      </c>
      <c r="R773">
        <v>100</v>
      </c>
      <c r="S773" t="str">
        <f>_xll.BDP("912827XK Govt","ID_CUSIP")</f>
        <v>912827XK3</v>
      </c>
      <c r="T773" t="str">
        <f>_xll.BDP("912827XK Govt","IDX_RATIO")</f>
        <v>#N/A Field Not Applicable</v>
      </c>
    </row>
    <row r="774" spans="1:20" x14ac:dyDescent="0.25">
      <c r="A774" t="s">
        <v>14</v>
      </c>
      <c r="B774" t="str">
        <f>_xll.BDP("912827XT Govt","TICKER")</f>
        <v>T</v>
      </c>
      <c r="C774">
        <f>_xll.BDP("912827XT Govt","CPN")</f>
        <v>7.875</v>
      </c>
      <c r="D774" t="str">
        <f>_xll.BDP("912827XT Govt","YLD_YTM_BID")</f>
        <v>#N/A N/A</v>
      </c>
      <c r="E774" t="str">
        <f>_xll.BDP("912827XT Govt","MATURITY")</f>
        <v>7/15/1996</v>
      </c>
      <c r="F774" t="str">
        <f>_xll.BDP("912827XT Govt","MTY_TYP")</f>
        <v>NORMAL</v>
      </c>
      <c r="G774" t="str">
        <f>_xll.BDP("912827XT Govt","CRNCY")</f>
        <v>USD</v>
      </c>
      <c r="H774" t="str">
        <f>_xll.BDP("912827XT Govt","COUNTRY_FULL_NAME")</f>
        <v>UNITED STATES</v>
      </c>
      <c r="I774" t="str">
        <f>_xll.BDP("912827XT Govt","FIRST_CPN_DT")</f>
        <v>1/15/1990</v>
      </c>
      <c r="J774" t="str">
        <f>_xll.BDP("912827XT Govt","COUPON_FREQUENCY_DESCRIPTION")</f>
        <v>S/A</v>
      </c>
      <c r="K774" t="str">
        <f>_xll.BDP("912827XT Govt","CPN_TYP")</f>
        <v>FIXED</v>
      </c>
      <c r="L774" t="str">
        <f>_xll.BDP("912827XT Govt","ID_ISIN")</f>
        <v>US912827XT49</v>
      </c>
      <c r="N774">
        <v>0</v>
      </c>
      <c r="O774" t="str">
        <f>_xll.BDP("912827XT Govt","ISSUE_DT")</f>
        <v>7/17/1989</v>
      </c>
      <c r="P774" t="str">
        <f>_xll.BDP("912827XT Govt","SECURITY_NAME")</f>
        <v>T 7 7/8 07/15/96</v>
      </c>
      <c r="Q774" t="str">
        <f>_xll.BDP("912827XT Govt","DAY_CNT_DES")</f>
        <v>ACT/ACT</v>
      </c>
      <c r="R774">
        <v>100</v>
      </c>
      <c r="S774" t="str">
        <f>_xll.BDP("912827XT Govt","ID_CUSIP")</f>
        <v>912827XT4</v>
      </c>
      <c r="T774" t="str">
        <f>_xll.BDP("912827XT Govt","IDX_RATIO")</f>
        <v>#N/A Field Not Applicable</v>
      </c>
    </row>
    <row r="775" spans="1:20" x14ac:dyDescent="0.25">
      <c r="A775" t="s">
        <v>14</v>
      </c>
      <c r="B775" t="str">
        <f>_xll.BDP("912827YJ Govt","TICKER")</f>
        <v>T</v>
      </c>
      <c r="C775">
        <f>_xll.BDP("912827YJ Govt","CPN")</f>
        <v>7.625</v>
      </c>
      <c r="D775" t="str">
        <f>_xll.BDP("912827YJ Govt","YLD_YTM_BID")</f>
        <v>#N/A N/A</v>
      </c>
      <c r="E775" t="str">
        <f>_xll.BDP("912827YJ Govt","MATURITY")</f>
        <v>12/31/1993</v>
      </c>
      <c r="F775" t="str">
        <f>_xll.BDP("912827YJ Govt","MTY_TYP")</f>
        <v>NORMAL</v>
      </c>
      <c r="G775" t="str">
        <f>_xll.BDP("912827YJ Govt","CRNCY")</f>
        <v>USD</v>
      </c>
      <c r="H775" t="str">
        <f>_xll.BDP("912827YJ Govt","COUNTRY_FULL_NAME")</f>
        <v>UNITED STATES</v>
      </c>
      <c r="I775" t="str">
        <f>_xll.BDP("912827YJ Govt","FIRST_CPN_DT")</f>
        <v>6/30/1990</v>
      </c>
      <c r="J775" t="str">
        <f>_xll.BDP("912827YJ Govt","COUPON_FREQUENCY_DESCRIPTION")</f>
        <v>S/A</v>
      </c>
      <c r="K775" t="str">
        <f>_xll.BDP("912827YJ Govt","CPN_TYP")</f>
        <v>FIXED</v>
      </c>
      <c r="L775" t="str">
        <f>_xll.BDP("912827YJ Govt","ID_ISIN")</f>
        <v>US912827YJ57</v>
      </c>
      <c r="N775">
        <v>0</v>
      </c>
      <c r="O775" t="str">
        <f>_xll.BDP("912827YJ Govt","ISSUE_DT")</f>
        <v>1/2/1990</v>
      </c>
      <c r="P775" t="str">
        <f>_xll.BDP("912827YJ Govt","SECURITY_NAME")</f>
        <v>T 7 5/8 12/31/93</v>
      </c>
      <c r="Q775" t="str">
        <f>_xll.BDP("912827YJ Govt","DAY_CNT_DES")</f>
        <v>ACT/ACT</v>
      </c>
      <c r="R775">
        <v>100</v>
      </c>
      <c r="S775" t="str">
        <f>_xll.BDP("912827YJ Govt","ID_CUSIP")</f>
        <v>912827YJ5</v>
      </c>
      <c r="T775" t="str">
        <f>_xll.BDP("912827YJ Govt","IDX_RATIO")</f>
        <v>#N/A Field Not Applicable</v>
      </c>
    </row>
    <row r="776" spans="1:20" x14ac:dyDescent="0.25">
      <c r="A776" t="s">
        <v>14</v>
      </c>
      <c r="B776" t="str">
        <f>_xll.BDP("912827YN Govt","TICKER")</f>
        <v>T</v>
      </c>
      <c r="C776">
        <f>_xll.BDP("912827YN Govt","CPN")</f>
        <v>8.5</v>
      </c>
      <c r="D776" t="str">
        <f>_xll.BDP("912827YN Govt","YLD_YTM_BID")</f>
        <v>#N/A N/A</v>
      </c>
      <c r="E776" t="str">
        <f>_xll.BDP("912827YN Govt","MATURITY")</f>
        <v>2/15/2000</v>
      </c>
      <c r="F776" t="str">
        <f>_xll.BDP("912827YN Govt","MTY_TYP")</f>
        <v>NORMAL</v>
      </c>
      <c r="G776" t="str">
        <f>_xll.BDP("912827YN Govt","CRNCY")</f>
        <v>USD</v>
      </c>
      <c r="H776" t="str">
        <f>_xll.BDP("912827YN Govt","COUNTRY_FULL_NAME")</f>
        <v>UNITED STATES</v>
      </c>
      <c r="I776" t="str">
        <f>_xll.BDP("912827YN Govt","FIRST_CPN_DT")</f>
        <v>8/15/1990</v>
      </c>
      <c r="J776" t="str">
        <f>_xll.BDP("912827YN Govt","COUPON_FREQUENCY_DESCRIPTION")</f>
        <v>S/A</v>
      </c>
      <c r="K776" t="str">
        <f>_xll.BDP("912827YN Govt","CPN_TYP")</f>
        <v>FIXED</v>
      </c>
      <c r="L776" t="str">
        <f>_xll.BDP("912827YN Govt","ID_ISIN")</f>
        <v>US912827YN69</v>
      </c>
      <c r="M776">
        <v>10673000000</v>
      </c>
      <c r="N776">
        <v>0</v>
      </c>
      <c r="O776" t="str">
        <f>_xll.BDP("912827YN Govt","ISSUE_DT")</f>
        <v>2/15/1990</v>
      </c>
      <c r="P776" t="str">
        <f>_xll.BDP("912827YN Govt","SECURITY_NAME")</f>
        <v>T 8 1/2 02/15/00</v>
      </c>
      <c r="Q776" t="str">
        <f>_xll.BDP("912827YN Govt","DAY_CNT_DES")</f>
        <v>ACT/ACT</v>
      </c>
      <c r="R776">
        <v>100</v>
      </c>
      <c r="S776" t="str">
        <f>_xll.BDP("912827YN Govt","ID_CUSIP")</f>
        <v>912827YN6</v>
      </c>
      <c r="T776" t="str">
        <f>_xll.BDP("912827YN Govt","IDX_RATIO")</f>
        <v>#N/A Field Not Applicable</v>
      </c>
    </row>
    <row r="777" spans="1:20" x14ac:dyDescent="0.25">
      <c r="A777" t="s">
        <v>14</v>
      </c>
      <c r="B777" t="str">
        <f>_xll.BDP("912827Z7 Govt","TICKER")</f>
        <v>T</v>
      </c>
      <c r="C777">
        <f>_xll.BDP("912827Z7 Govt","CPN")</f>
        <v>5.875</v>
      </c>
      <c r="D777" t="str">
        <f>_xll.BDP("912827Z7 Govt","YLD_YTM_BID")</f>
        <v>#N/A N/A</v>
      </c>
      <c r="E777" t="str">
        <f>_xll.BDP("912827Z7 Govt","MATURITY")</f>
        <v>10/31/1998</v>
      </c>
      <c r="F777" t="str">
        <f>_xll.BDP("912827Z7 Govt","MTY_TYP")</f>
        <v>NORMAL</v>
      </c>
      <c r="G777" t="str">
        <f>_xll.BDP("912827Z7 Govt","CRNCY")</f>
        <v>USD</v>
      </c>
      <c r="H777" t="str">
        <f>_xll.BDP("912827Z7 Govt","COUNTRY_FULL_NAME")</f>
        <v>UNITED STATES</v>
      </c>
      <c r="I777" t="str">
        <f>_xll.BDP("912827Z7 Govt","FIRST_CPN_DT")</f>
        <v>4/30/1997</v>
      </c>
      <c r="J777" t="str">
        <f>_xll.BDP("912827Z7 Govt","COUPON_FREQUENCY_DESCRIPTION")</f>
        <v>S/A</v>
      </c>
      <c r="K777" t="str">
        <f>_xll.BDP("912827Z7 Govt","CPN_TYP")</f>
        <v>FIXED</v>
      </c>
      <c r="L777" t="str">
        <f>_xll.BDP("912827Z7 Govt","ID_ISIN")</f>
        <v>US912827Z700</v>
      </c>
      <c r="M777">
        <v>21221000000</v>
      </c>
      <c r="N777">
        <v>0</v>
      </c>
      <c r="O777" t="str">
        <f>_xll.BDP("912827Z7 Govt","ISSUE_DT")</f>
        <v>10/31/1996</v>
      </c>
      <c r="P777" t="str">
        <f>_xll.BDP("912827Z7 Govt","SECURITY_NAME")</f>
        <v>T 5 7/8 10/31/98</v>
      </c>
      <c r="Q777" t="str">
        <f>_xll.BDP("912827Z7 Govt","DAY_CNT_DES")</f>
        <v>ACT/ACT</v>
      </c>
      <c r="R777">
        <v>100</v>
      </c>
      <c r="S777" t="str">
        <f>_xll.BDP("912827Z7 Govt","ID_CUSIP")</f>
        <v>912827Z70</v>
      </c>
      <c r="T777" t="str">
        <f>_xll.BDP("912827Z7 Govt","IDX_RATIO")</f>
        <v>#N/A Field Not Applicable</v>
      </c>
    </row>
    <row r="778" spans="1:20" x14ac:dyDescent="0.25">
      <c r="A778" t="s">
        <v>14</v>
      </c>
      <c r="B778" t="str">
        <f>_xll.BDP("912827Z9 Govt","TICKER")</f>
        <v>T</v>
      </c>
      <c r="C778">
        <f>_xll.BDP("912827Z9 Govt","CPN")</f>
        <v>5.875</v>
      </c>
      <c r="D778" t="str">
        <f>_xll.BDP("912827Z9 Govt","YLD_YTM_BID")</f>
        <v>#N/A N/A</v>
      </c>
      <c r="E778" t="str">
        <f>_xll.BDP("912827Z9 Govt","MATURITY")</f>
        <v>11/15/1999</v>
      </c>
      <c r="F778" t="str">
        <f>_xll.BDP("912827Z9 Govt","MTY_TYP")</f>
        <v>NORMAL</v>
      </c>
      <c r="G778" t="str">
        <f>_xll.BDP("912827Z9 Govt","CRNCY")</f>
        <v>USD</v>
      </c>
      <c r="H778" t="str">
        <f>_xll.BDP("912827Z9 Govt","COUNTRY_FULL_NAME")</f>
        <v>UNITED STATES</v>
      </c>
      <c r="I778" t="str">
        <f>_xll.BDP("912827Z9 Govt","FIRST_CPN_DT")</f>
        <v>5/15/1997</v>
      </c>
      <c r="J778" t="str">
        <f>_xll.BDP("912827Z9 Govt","COUPON_FREQUENCY_DESCRIPTION")</f>
        <v>S/A</v>
      </c>
      <c r="K778" t="str">
        <f>_xll.BDP("912827Z9 Govt","CPN_TYP")</f>
        <v>FIXED</v>
      </c>
      <c r="L778" t="str">
        <f>_xll.BDP("912827Z9 Govt","ID_ISIN")</f>
        <v>US912827Z965</v>
      </c>
      <c r="M778">
        <v>22870000000</v>
      </c>
      <c r="N778">
        <v>0</v>
      </c>
      <c r="O778" t="str">
        <f>_xll.BDP("912827Z9 Govt","ISSUE_DT")</f>
        <v>11/15/1996</v>
      </c>
      <c r="P778" t="str">
        <f>_xll.BDP("912827Z9 Govt","SECURITY_NAME")</f>
        <v>T 5 7/8 11/15/99</v>
      </c>
      <c r="Q778" t="str">
        <f>_xll.BDP("912827Z9 Govt","DAY_CNT_DES")</f>
        <v>ACT/ACT</v>
      </c>
      <c r="R778">
        <v>100</v>
      </c>
      <c r="S778" t="str">
        <f>_xll.BDP("912827Z9 Govt","ID_CUSIP")</f>
        <v>912827Z96</v>
      </c>
      <c r="T778" t="str">
        <f>_xll.BDP("912827Z9 Govt","IDX_RATIO")</f>
        <v>#N/A Field Not Applicable</v>
      </c>
    </row>
    <row r="779" spans="1:20" x14ac:dyDescent="0.25">
      <c r="A779" t="s">
        <v>14</v>
      </c>
      <c r="B779" t="str">
        <f>_xll.BDP("912827ZC Govt","TICKER")</f>
        <v>T</v>
      </c>
      <c r="C779">
        <f>_xll.BDP("912827ZC Govt","CPN")</f>
        <v>8</v>
      </c>
      <c r="D779" t="str">
        <f>_xll.BDP("912827ZC Govt","YLD_YTM_BID")</f>
        <v>#N/A N/A</v>
      </c>
      <c r="E779" t="str">
        <f>_xll.BDP("912827ZC Govt","MATURITY")</f>
        <v>7/31/1992</v>
      </c>
      <c r="F779" t="str">
        <f>_xll.BDP("912827ZC Govt","MTY_TYP")</f>
        <v>NORMAL</v>
      </c>
      <c r="G779" t="str">
        <f>_xll.BDP("912827ZC Govt","CRNCY")</f>
        <v>USD</v>
      </c>
      <c r="H779" t="str">
        <f>_xll.BDP("912827ZC Govt","COUNTRY_FULL_NAME")</f>
        <v>UNITED STATES</v>
      </c>
      <c r="I779" t="str">
        <f>_xll.BDP("912827ZC Govt","FIRST_CPN_DT")</f>
        <v>1/31/1991</v>
      </c>
      <c r="J779" t="str">
        <f>_xll.BDP("912827ZC Govt","COUPON_FREQUENCY_DESCRIPTION")</f>
        <v>S/A</v>
      </c>
      <c r="K779" t="str">
        <f>_xll.BDP("912827ZC Govt","CPN_TYP")</f>
        <v>FIXED</v>
      </c>
      <c r="L779" t="str">
        <f>_xll.BDP("912827ZC Govt","ID_ISIN")</f>
        <v>US912827ZC95</v>
      </c>
      <c r="N779">
        <v>0</v>
      </c>
      <c r="O779" t="str">
        <f>_xll.BDP("912827ZC Govt","ISSUE_DT")</f>
        <v>7/31/1990</v>
      </c>
      <c r="P779" t="str">
        <f>_xll.BDP("912827ZC Govt","SECURITY_NAME")</f>
        <v>T 8 07/31/92</v>
      </c>
      <c r="Q779" t="str">
        <f>_xll.BDP("912827ZC Govt","DAY_CNT_DES")</f>
        <v>ACT/ACT</v>
      </c>
      <c r="R779">
        <v>100</v>
      </c>
      <c r="S779" t="str">
        <f>_xll.BDP("912827ZC Govt","ID_CUSIP")</f>
        <v>912827ZC9</v>
      </c>
      <c r="T779" t="str">
        <f>_xll.BDP("912827ZC Govt","IDX_RATIO")</f>
        <v>#N/A Field Not Applicable</v>
      </c>
    </row>
    <row r="780" spans="1:20" x14ac:dyDescent="0.25">
      <c r="A780" t="s">
        <v>14</v>
      </c>
      <c r="B780" t="str">
        <f>_xll.BDP("912827ZE Govt","TICKER")</f>
        <v>T</v>
      </c>
      <c r="C780">
        <f>_xll.BDP("912827ZE Govt","CPN")</f>
        <v>8.75</v>
      </c>
      <c r="D780" t="str">
        <f>_xll.BDP("912827ZE Govt","YLD_YTM_BID")</f>
        <v>#N/A N/A</v>
      </c>
      <c r="E780" t="str">
        <f>_xll.BDP("912827ZE Govt","MATURITY")</f>
        <v>8/15/2000</v>
      </c>
      <c r="F780" t="str">
        <f>_xll.BDP("912827ZE Govt","MTY_TYP")</f>
        <v>NORMAL</v>
      </c>
      <c r="G780" t="str">
        <f>_xll.BDP("912827ZE Govt","CRNCY")</f>
        <v>USD</v>
      </c>
      <c r="H780" t="str">
        <f>_xll.BDP("912827ZE Govt","COUNTRY_FULL_NAME")</f>
        <v>UNITED STATES</v>
      </c>
      <c r="I780" t="str">
        <f>_xll.BDP("912827ZE Govt","FIRST_CPN_DT")</f>
        <v>2/15/1991</v>
      </c>
      <c r="J780" t="str">
        <f>_xll.BDP("912827ZE Govt","COUPON_FREQUENCY_DESCRIPTION")</f>
        <v>S/A</v>
      </c>
      <c r="K780" t="str">
        <f>_xll.BDP("912827ZE Govt","CPN_TYP")</f>
        <v>FIXED</v>
      </c>
      <c r="L780" t="str">
        <f>_xll.BDP("912827ZE Govt","ID_ISIN")</f>
        <v>US912827ZE51</v>
      </c>
      <c r="M780">
        <v>11081000000</v>
      </c>
      <c r="N780">
        <v>0</v>
      </c>
      <c r="O780" t="str">
        <f>_xll.BDP("912827ZE Govt","ISSUE_DT")</f>
        <v>8/15/1990</v>
      </c>
      <c r="P780" t="str">
        <f>_xll.BDP("912827ZE Govt","SECURITY_NAME")</f>
        <v>T 8 3/4 08/15/00</v>
      </c>
      <c r="Q780" t="str">
        <f>_xll.BDP("912827ZE Govt","DAY_CNT_DES")</f>
        <v>ACT/ACT</v>
      </c>
      <c r="R780">
        <v>100</v>
      </c>
      <c r="S780" t="str">
        <f>_xll.BDP("912827ZE Govt","ID_CUSIP")</f>
        <v>912827ZE5</v>
      </c>
      <c r="T780" t="str">
        <f>_xll.BDP("912827ZE Govt","IDX_RATIO")</f>
        <v>#N/A Field Not Applicable</v>
      </c>
    </row>
    <row r="781" spans="1:20" x14ac:dyDescent="0.25">
      <c r="A781" t="s">
        <v>14</v>
      </c>
      <c r="B781" t="str">
        <f>_xll.BDP("912827ZJ Govt","TICKER")</f>
        <v>T</v>
      </c>
      <c r="C781">
        <f>_xll.BDP("912827ZJ Govt","CPN")</f>
        <v>8.5</v>
      </c>
      <c r="D781" t="str">
        <f>_xll.BDP("912827ZJ Govt","YLD_YTM_BID")</f>
        <v>#N/A N/A</v>
      </c>
      <c r="E781" t="str">
        <f>_xll.BDP("912827ZJ Govt","MATURITY")</f>
        <v>9/30/1994</v>
      </c>
      <c r="F781" t="str">
        <f>_xll.BDP("912827ZJ Govt","MTY_TYP")</f>
        <v>NORMAL</v>
      </c>
      <c r="G781" t="str">
        <f>_xll.BDP("912827ZJ Govt","CRNCY")</f>
        <v>USD</v>
      </c>
      <c r="H781" t="str">
        <f>_xll.BDP("912827ZJ Govt","COUNTRY_FULL_NAME")</f>
        <v>UNITED STATES</v>
      </c>
      <c r="I781" t="str">
        <f>_xll.BDP("912827ZJ Govt","FIRST_CPN_DT")</f>
        <v>3/31/1991</v>
      </c>
      <c r="J781" t="str">
        <f>_xll.BDP("912827ZJ Govt","COUPON_FREQUENCY_DESCRIPTION")</f>
        <v>S/A</v>
      </c>
      <c r="K781" t="str">
        <f>_xll.BDP("912827ZJ Govt","CPN_TYP")</f>
        <v>FIXED</v>
      </c>
      <c r="L781" t="str">
        <f>_xll.BDP("912827ZJ Govt","ID_ISIN")</f>
        <v>US912827ZJ49</v>
      </c>
      <c r="N781">
        <v>0</v>
      </c>
      <c r="O781" t="str">
        <f>_xll.BDP("912827ZJ Govt","ISSUE_DT")</f>
        <v>10/1/1990</v>
      </c>
      <c r="P781" t="str">
        <f>_xll.BDP("912827ZJ Govt","SECURITY_NAME")</f>
        <v>T 8 1/2 09/30/94</v>
      </c>
      <c r="Q781" t="str">
        <f>_xll.BDP("912827ZJ Govt","DAY_CNT_DES")</f>
        <v>ACT/ACT</v>
      </c>
      <c r="R781">
        <v>100</v>
      </c>
      <c r="S781" t="str">
        <f>_xll.BDP("912827ZJ Govt","ID_CUSIP")</f>
        <v>912827ZJ4</v>
      </c>
      <c r="T781" t="str">
        <f>_xll.BDP("912827ZJ Govt","IDX_RATIO")</f>
        <v>#N/A Field Not Applicable</v>
      </c>
    </row>
    <row r="782" spans="1:20" x14ac:dyDescent="0.25">
      <c r="A782" t="s">
        <v>14</v>
      </c>
      <c r="B782" t="str">
        <f>_xll.BDP("912827ZL Govt","TICKER")</f>
        <v>T</v>
      </c>
      <c r="C782">
        <f>_xll.BDP("912827ZL Govt","CPN")</f>
        <v>7.75</v>
      </c>
      <c r="D782" t="str">
        <f>_xll.BDP("912827ZL Govt","YLD_YTM_BID")</f>
        <v>#N/A N/A</v>
      </c>
      <c r="E782" t="str">
        <f>_xll.BDP("912827ZL Govt","MATURITY")</f>
        <v>10/31/1992</v>
      </c>
      <c r="F782" t="str">
        <f>_xll.BDP("912827ZL Govt","MTY_TYP")</f>
        <v>NORMAL</v>
      </c>
      <c r="G782" t="str">
        <f>_xll.BDP("912827ZL Govt","CRNCY")</f>
        <v>USD</v>
      </c>
      <c r="H782" t="str">
        <f>_xll.BDP("912827ZL Govt","COUNTRY_FULL_NAME")</f>
        <v>UNITED STATES</v>
      </c>
      <c r="I782" t="str">
        <f>_xll.BDP("912827ZL Govt","FIRST_CPN_DT")</f>
        <v>4/30/1991</v>
      </c>
      <c r="J782" t="str">
        <f>_xll.BDP("912827ZL Govt","COUPON_FREQUENCY_DESCRIPTION")</f>
        <v>S/A</v>
      </c>
      <c r="K782" t="str">
        <f>_xll.BDP("912827ZL Govt","CPN_TYP")</f>
        <v>FIXED</v>
      </c>
      <c r="L782" t="str">
        <f>_xll.BDP("912827ZL Govt","ID_ISIN")</f>
        <v>US912827ZL94</v>
      </c>
      <c r="N782">
        <v>0</v>
      </c>
      <c r="O782" t="str">
        <f>_xll.BDP("912827ZL Govt","ISSUE_DT")</f>
        <v>10/31/1990</v>
      </c>
      <c r="P782" t="str">
        <f>_xll.BDP("912827ZL Govt","SECURITY_NAME")</f>
        <v>T 7 3/4 10/31/92</v>
      </c>
      <c r="Q782" t="str">
        <f>_xll.BDP("912827ZL Govt","DAY_CNT_DES")</f>
        <v>ACT/ACT</v>
      </c>
      <c r="R782">
        <v>100</v>
      </c>
      <c r="S782" t="str">
        <f>_xll.BDP("912827ZL Govt","ID_CUSIP")</f>
        <v>912827ZL9</v>
      </c>
      <c r="T782" t="str">
        <f>_xll.BDP("912827ZL Govt","IDX_RATIO")</f>
        <v>#N/A Field Not Applicable</v>
      </c>
    </row>
    <row r="783" spans="1:20" x14ac:dyDescent="0.25">
      <c r="A783" t="s">
        <v>14</v>
      </c>
      <c r="B783" t="str">
        <f>_xll.BDP("912827ZR Govt","TICKER")</f>
        <v>T</v>
      </c>
      <c r="C783">
        <f>_xll.BDP("912827ZR Govt","CPN")</f>
        <v>7.25</v>
      </c>
      <c r="D783" t="str">
        <f>_xll.BDP("912827ZR Govt","YLD_YTM_BID")</f>
        <v>#N/A N/A</v>
      </c>
      <c r="E783" t="str">
        <f>_xll.BDP("912827ZR Govt","MATURITY")</f>
        <v>12/31/1992</v>
      </c>
      <c r="F783" t="str">
        <f>_xll.BDP("912827ZR Govt","MTY_TYP")</f>
        <v>NORMAL</v>
      </c>
      <c r="G783" t="str">
        <f>_xll.BDP("912827ZR Govt","CRNCY")</f>
        <v>USD</v>
      </c>
      <c r="H783" t="str">
        <f>_xll.BDP("912827ZR Govt","COUNTRY_FULL_NAME")</f>
        <v>UNITED STATES</v>
      </c>
      <c r="I783" t="str">
        <f>_xll.BDP("912827ZR Govt","FIRST_CPN_DT")</f>
        <v>6/30/1991</v>
      </c>
      <c r="J783" t="str">
        <f>_xll.BDP("912827ZR Govt","COUPON_FREQUENCY_DESCRIPTION")</f>
        <v>S/A</v>
      </c>
      <c r="K783" t="str">
        <f>_xll.BDP("912827ZR Govt","CPN_TYP")</f>
        <v>FIXED</v>
      </c>
      <c r="L783" t="str">
        <f>_xll.BDP("912827ZR Govt","ID_ISIN")</f>
        <v>US912827ZR64</v>
      </c>
      <c r="N783">
        <v>0</v>
      </c>
      <c r="O783" t="str">
        <f>_xll.BDP("912827ZR Govt","ISSUE_DT")</f>
        <v>12/31/1990</v>
      </c>
      <c r="P783" t="str">
        <f>_xll.BDP("912827ZR Govt","SECURITY_NAME")</f>
        <v>T 7 1/4 12/31/92</v>
      </c>
      <c r="Q783" t="str">
        <f>_xll.BDP("912827ZR Govt","DAY_CNT_DES")</f>
        <v>ACT/ACT</v>
      </c>
      <c r="R783">
        <v>100</v>
      </c>
      <c r="S783" t="str">
        <f>_xll.BDP("912827ZR Govt","ID_CUSIP")</f>
        <v>912827ZR6</v>
      </c>
      <c r="T783" t="str">
        <f>_xll.BDP("912827ZR Govt","IDX_RATIO")</f>
        <v>#N/A Field Not Applicable</v>
      </c>
    </row>
    <row r="784" spans="1:20" x14ac:dyDescent="0.25">
      <c r="A784" t="s">
        <v>14</v>
      </c>
      <c r="B784" t="str">
        <f>_xll.BDP("9128283H Govt","TICKER")</f>
        <v>T</v>
      </c>
      <c r="C784">
        <f>_xll.BDP("9128283H Govt","CPN")</f>
        <v>1.75</v>
      </c>
      <c r="D784" t="str">
        <f>_xll.BDP("9128283H Govt","YLD_YTM_BID")</f>
        <v>#N/A N/A</v>
      </c>
      <c r="E784" t="str">
        <f>_xll.BDP("9128283H Govt","MATURITY")</f>
        <v>11/30/2019</v>
      </c>
      <c r="F784" t="str">
        <f>_xll.BDP("9128283H Govt","MTY_TYP")</f>
        <v>NORMAL</v>
      </c>
      <c r="G784" t="str">
        <f>_xll.BDP("9128283H Govt","CRNCY")</f>
        <v>USD</v>
      </c>
      <c r="H784" t="str">
        <f>_xll.BDP("9128283H Govt","COUNTRY_FULL_NAME")</f>
        <v>UNITED STATES</v>
      </c>
      <c r="I784" t="str">
        <f>_xll.BDP("9128283H Govt","FIRST_CPN_DT")</f>
        <v>5/31/2018</v>
      </c>
      <c r="J784" t="str">
        <f>_xll.BDP("9128283H Govt","COUPON_FREQUENCY_DESCRIPTION")</f>
        <v>S/A</v>
      </c>
      <c r="K784" t="str">
        <f>_xll.BDP("9128283H Govt","CPN_TYP")</f>
        <v>FIXED</v>
      </c>
      <c r="L784" t="str">
        <f>_xll.BDP("9128283H Govt","ID_ISIN")</f>
        <v>US9128283H15</v>
      </c>
      <c r="M784">
        <v>27409000000</v>
      </c>
      <c r="N784">
        <v>0</v>
      </c>
      <c r="O784" t="str">
        <f>_xll.BDP("9128283H Govt","ISSUE_DT")</f>
        <v>11/30/2017</v>
      </c>
      <c r="P784" t="str">
        <f>_xll.BDP("9128283H Govt","SECURITY_NAME")</f>
        <v>T 1 3/4 11/30/19</v>
      </c>
      <c r="Q784" t="str">
        <f>_xll.BDP("9128283H Govt","DAY_CNT_DES")</f>
        <v>ACT/ACT</v>
      </c>
      <c r="R784">
        <v>100</v>
      </c>
      <c r="S784" t="str">
        <f>_xll.BDP("9128283H Govt","ID_CUSIP")</f>
        <v>9128283H1</v>
      </c>
      <c r="T784" t="str">
        <f>_xll.BDP("9128283H Govt","IDX_RATIO")</f>
        <v>#N/A Field Not Applicable</v>
      </c>
    </row>
    <row r="785" spans="1:20" x14ac:dyDescent="0.25">
      <c r="A785" t="s">
        <v>14</v>
      </c>
      <c r="B785" t="str">
        <f>_xll.BDP("912828AS Govt","TICKER")</f>
        <v>T</v>
      </c>
      <c r="C785">
        <f>_xll.BDP("912828AS Govt","CPN")</f>
        <v>1.625</v>
      </c>
      <c r="D785" t="str">
        <f>_xll.BDP("912828AS Govt","YLD_YTM_BID")</f>
        <v>#N/A N/A</v>
      </c>
      <c r="E785" t="str">
        <f>_xll.BDP("912828AS Govt","MATURITY")</f>
        <v>1/31/2005</v>
      </c>
      <c r="F785" t="str">
        <f>_xll.BDP("912828AS Govt","MTY_TYP")</f>
        <v>NORMAL</v>
      </c>
      <c r="G785" t="str">
        <f>_xll.BDP("912828AS Govt","CRNCY")</f>
        <v>USD</v>
      </c>
      <c r="H785" t="str">
        <f>_xll.BDP("912828AS Govt","COUNTRY_FULL_NAME")</f>
        <v>UNITED STATES</v>
      </c>
      <c r="I785" t="str">
        <f>_xll.BDP("912828AS Govt","FIRST_CPN_DT")</f>
        <v>7/31/2003</v>
      </c>
      <c r="J785" t="str">
        <f>_xll.BDP("912828AS Govt","COUPON_FREQUENCY_DESCRIPTION")</f>
        <v>S/A</v>
      </c>
      <c r="K785" t="str">
        <f>_xll.BDP("912828AS Govt","CPN_TYP")</f>
        <v>FIXED</v>
      </c>
      <c r="L785" t="str">
        <f>_xll.BDP("912828AS Govt","ID_ISIN")</f>
        <v>US912828AS95</v>
      </c>
      <c r="M785">
        <v>33837000000</v>
      </c>
      <c r="N785">
        <v>0</v>
      </c>
      <c r="O785" t="str">
        <f>_xll.BDP("912828AS Govt","ISSUE_DT")</f>
        <v>1/31/2003</v>
      </c>
      <c r="P785" t="str">
        <f>_xll.BDP("912828AS Govt","SECURITY_NAME")</f>
        <v>T 1 5/8 01/31/05</v>
      </c>
      <c r="Q785" t="str">
        <f>_xll.BDP("912828AS Govt","DAY_CNT_DES")</f>
        <v>ACT/ACT</v>
      </c>
      <c r="R785">
        <v>100</v>
      </c>
      <c r="S785" t="str">
        <f>_xll.BDP("912828AS Govt","ID_CUSIP")</f>
        <v>912828AS9</v>
      </c>
      <c r="T785" t="str">
        <f>_xll.BDP("912828AS Govt","IDX_RATIO")</f>
        <v>#N/A Field Not Applicable</v>
      </c>
    </row>
    <row r="786" spans="1:20" x14ac:dyDescent="0.25">
      <c r="A786" t="s">
        <v>14</v>
      </c>
      <c r="B786" t="str">
        <f>_xll.BDP("912828BK Govt","TICKER")</f>
        <v>T</v>
      </c>
      <c r="C786">
        <f>_xll.BDP("912828BK Govt","CPN")</f>
        <v>3.125</v>
      </c>
      <c r="D786" t="str">
        <f>_xll.BDP("912828BK Govt","YLD_YTM_BID")</f>
        <v>#N/A N/A</v>
      </c>
      <c r="E786" t="str">
        <f>_xll.BDP("912828BK Govt","MATURITY")</f>
        <v>9/15/2008</v>
      </c>
      <c r="F786" t="str">
        <f>_xll.BDP("912828BK Govt","MTY_TYP")</f>
        <v>NORMAL</v>
      </c>
      <c r="G786" t="str">
        <f>_xll.BDP("912828BK Govt","CRNCY")</f>
        <v>USD</v>
      </c>
      <c r="H786" t="str">
        <f>_xll.BDP("912828BK Govt","COUNTRY_FULL_NAME")</f>
        <v>UNITED STATES</v>
      </c>
      <c r="I786" t="str">
        <f>_xll.BDP("912828BK Govt","FIRST_CPN_DT")</f>
        <v>3/15/2004</v>
      </c>
      <c r="J786" t="str">
        <f>_xll.BDP("912828BK Govt","COUPON_FREQUENCY_DESCRIPTION")</f>
        <v>S/A</v>
      </c>
      <c r="K786" t="str">
        <f>_xll.BDP("912828BK Govt","CPN_TYP")</f>
        <v>FIXED</v>
      </c>
      <c r="L786" t="str">
        <f>_xll.BDP("912828BK Govt","ID_ISIN")</f>
        <v>US912828BK50</v>
      </c>
      <c r="M786">
        <v>16002000000</v>
      </c>
      <c r="N786">
        <v>0</v>
      </c>
      <c r="O786" t="str">
        <f>_xll.BDP("912828BK Govt","ISSUE_DT")</f>
        <v>9/15/2003</v>
      </c>
      <c r="P786" t="str">
        <f>_xll.BDP("912828BK Govt","SECURITY_NAME")</f>
        <v>T 3 1/8 09/15/08</v>
      </c>
      <c r="Q786" t="str">
        <f>_xll.BDP("912828BK Govt","DAY_CNT_DES")</f>
        <v>ACT/ACT</v>
      </c>
      <c r="R786">
        <v>100</v>
      </c>
      <c r="S786" t="str">
        <f>_xll.BDP("912828BK Govt","ID_CUSIP")</f>
        <v>912828BK5</v>
      </c>
      <c r="T786" t="str">
        <f>_xll.BDP("912828BK Govt","IDX_RATIO")</f>
        <v>#N/A Field Not Applicable</v>
      </c>
    </row>
    <row r="787" spans="1:20" x14ac:dyDescent="0.25">
      <c r="A787" t="s">
        <v>14</v>
      </c>
      <c r="B787" t="str">
        <f>_xll.BDP("912828BT Govt","TICKER")</f>
        <v>T</v>
      </c>
      <c r="C787">
        <f>_xll.BDP("912828BT Govt","CPN")</f>
        <v>3.375</v>
      </c>
      <c r="D787" t="str">
        <f>_xll.BDP("912828BT Govt","YLD_YTM_BID")</f>
        <v>#N/A N/A</v>
      </c>
      <c r="E787" t="str">
        <f>_xll.BDP("912828BT Govt","MATURITY")</f>
        <v>12/15/2008</v>
      </c>
      <c r="F787" t="str">
        <f>_xll.BDP("912828BT Govt","MTY_TYP")</f>
        <v>NORMAL</v>
      </c>
      <c r="G787" t="str">
        <f>_xll.BDP("912828BT Govt","CRNCY")</f>
        <v>USD</v>
      </c>
      <c r="H787" t="str">
        <f>_xll.BDP("912828BT Govt","COUNTRY_FULL_NAME")</f>
        <v>UNITED STATES</v>
      </c>
      <c r="I787" t="str">
        <f>_xll.BDP("912828BT Govt","FIRST_CPN_DT")</f>
        <v>6/15/2004</v>
      </c>
      <c r="J787" t="str">
        <f>_xll.BDP("912828BT Govt","COUPON_FREQUENCY_DESCRIPTION")</f>
        <v>S/A</v>
      </c>
      <c r="K787" t="str">
        <f>_xll.BDP("912828BT Govt","CPN_TYP")</f>
        <v>FIXED</v>
      </c>
      <c r="L787" t="str">
        <f>_xll.BDP("912828BT Govt","ID_ISIN")</f>
        <v>US912828BT69</v>
      </c>
      <c r="M787">
        <v>16000000000</v>
      </c>
      <c r="N787">
        <v>0</v>
      </c>
      <c r="O787" t="str">
        <f>_xll.BDP("912828BT Govt","ISSUE_DT")</f>
        <v>12/15/2003</v>
      </c>
      <c r="P787" t="str">
        <f>_xll.BDP("912828BT Govt","SECURITY_NAME")</f>
        <v>T 3 3/8 12/15/08</v>
      </c>
      <c r="Q787" t="str">
        <f>_xll.BDP("912828BT Govt","DAY_CNT_DES")</f>
        <v>ACT/ACT</v>
      </c>
      <c r="R787">
        <v>100</v>
      </c>
      <c r="S787" t="str">
        <f>_xll.BDP("912828BT Govt","ID_CUSIP")</f>
        <v>912828BT6</v>
      </c>
      <c r="T787" t="str">
        <f>_xll.BDP("912828BT Govt","IDX_RATIO")</f>
        <v>#N/A Field Not Applicable</v>
      </c>
    </row>
    <row r="788" spans="1:20" x14ac:dyDescent="0.25">
      <c r="A788" t="s">
        <v>14</v>
      </c>
      <c r="B788" t="str">
        <f>_xll.BDP("912828C8 Govt","TICKER")</f>
        <v>T</v>
      </c>
      <c r="C788">
        <f>_xll.BDP("912828C8 Govt","CPN")</f>
        <v>0.375</v>
      </c>
      <c r="D788" t="str">
        <f>_xll.BDP("912828C8 Govt","YLD_YTM_BID")</f>
        <v>#N/A N/A</v>
      </c>
      <c r="E788" t="str">
        <f>_xll.BDP("912828C8 Govt","MATURITY")</f>
        <v>4/30/2016</v>
      </c>
      <c r="F788" t="str">
        <f>_xll.BDP("912828C8 Govt","MTY_TYP")</f>
        <v>NORMAL</v>
      </c>
      <c r="G788" t="str">
        <f>_xll.BDP("912828C8 Govt","CRNCY")</f>
        <v>USD</v>
      </c>
      <c r="H788" t="str">
        <f>_xll.BDP("912828C8 Govt","COUNTRY_FULL_NAME")</f>
        <v>UNITED STATES</v>
      </c>
      <c r="I788" t="str">
        <f>_xll.BDP("912828C8 Govt","FIRST_CPN_DT")</f>
        <v>10/31/2014</v>
      </c>
      <c r="J788" t="str">
        <f>_xll.BDP("912828C8 Govt","COUPON_FREQUENCY_DESCRIPTION")</f>
        <v>S/A</v>
      </c>
      <c r="K788" t="str">
        <f>_xll.BDP("912828C8 Govt","CPN_TYP")</f>
        <v>FIXED</v>
      </c>
      <c r="L788" t="str">
        <f>_xll.BDP("912828C8 Govt","ID_ISIN")</f>
        <v>US912828C814</v>
      </c>
      <c r="M788">
        <v>32000000000</v>
      </c>
      <c r="N788">
        <v>0</v>
      </c>
      <c r="O788" t="str">
        <f>_xll.BDP("912828C8 Govt","ISSUE_DT")</f>
        <v>4/30/2014</v>
      </c>
      <c r="P788" t="str">
        <f>_xll.BDP("912828C8 Govt","SECURITY_NAME")</f>
        <v>T 0 3/8 04/30/16</v>
      </c>
      <c r="Q788" t="str">
        <f>_xll.BDP("912828C8 Govt","DAY_CNT_DES")</f>
        <v>ACT/ACT</v>
      </c>
      <c r="R788">
        <v>100</v>
      </c>
      <c r="S788" t="str">
        <f>_xll.BDP("912828C8 Govt","ID_CUSIP")</f>
        <v>912828C81</v>
      </c>
      <c r="T788" t="str">
        <f>_xll.BDP("912828C8 Govt","IDX_RATIO")</f>
        <v>#N/A Field Not Applicable</v>
      </c>
    </row>
    <row r="789" spans="1:20" x14ac:dyDescent="0.25">
      <c r="A789" t="s">
        <v>14</v>
      </c>
      <c r="B789" t="str">
        <f>_xll.BDP("912828CG Govt","TICKER")</f>
        <v>T</v>
      </c>
      <c r="C789">
        <f>_xll.BDP("912828CG Govt","CPN")</f>
        <v>3.125</v>
      </c>
      <c r="D789" t="str">
        <f>_xll.BDP("912828CG Govt","YLD_YTM_BID")</f>
        <v>#N/A N/A</v>
      </c>
      <c r="E789" t="str">
        <f>_xll.BDP("912828CG Govt","MATURITY")</f>
        <v>5/15/2007</v>
      </c>
      <c r="F789" t="str">
        <f>_xll.BDP("912828CG Govt","MTY_TYP")</f>
        <v>NORMAL</v>
      </c>
      <c r="G789" t="str">
        <f>_xll.BDP("912828CG Govt","CRNCY")</f>
        <v>USD</v>
      </c>
      <c r="H789" t="str">
        <f>_xll.BDP("912828CG Govt","COUNTRY_FULL_NAME")</f>
        <v>UNITED STATES</v>
      </c>
      <c r="I789" t="str">
        <f>_xll.BDP("912828CG Govt","FIRST_CPN_DT")</f>
        <v>11/15/2004</v>
      </c>
      <c r="J789" t="str">
        <f>_xll.BDP("912828CG Govt","COUPON_FREQUENCY_DESCRIPTION")</f>
        <v>S/A</v>
      </c>
      <c r="K789" t="str">
        <f>_xll.BDP("912828CG Govt","CPN_TYP")</f>
        <v>FIXED</v>
      </c>
      <c r="L789" t="str">
        <f>_xll.BDP("912828CG Govt","ID_ISIN")</f>
        <v>US912828CG30</v>
      </c>
      <c r="M789">
        <v>27564000000</v>
      </c>
      <c r="N789">
        <v>0</v>
      </c>
      <c r="O789" t="str">
        <f>_xll.BDP("912828CG Govt","ISSUE_DT")</f>
        <v>5/17/2004</v>
      </c>
      <c r="P789" t="str">
        <f>_xll.BDP("912828CG Govt","SECURITY_NAME")</f>
        <v>T 3 1/8 05/15/07</v>
      </c>
      <c r="Q789" t="str">
        <f>_xll.BDP("912828CG Govt","DAY_CNT_DES")</f>
        <v>ACT/ACT</v>
      </c>
      <c r="R789">
        <v>100</v>
      </c>
      <c r="S789" t="str">
        <f>_xll.BDP("912828CG Govt","ID_CUSIP")</f>
        <v>912828CG3</v>
      </c>
      <c r="T789" t="str">
        <f>_xll.BDP("912828CG Govt","IDX_RATIO")</f>
        <v>#N/A Field Not Applicable</v>
      </c>
    </row>
    <row r="790" spans="1:20" x14ac:dyDescent="0.25">
      <c r="A790" t="s">
        <v>14</v>
      </c>
      <c r="B790" t="str">
        <f>_xll.BDP("912828CK Govt","TICKER")</f>
        <v>T</v>
      </c>
      <c r="C790">
        <f>_xll.BDP("912828CK Govt","CPN")</f>
        <v>2.5</v>
      </c>
      <c r="D790" t="str">
        <f>_xll.BDP("912828CK Govt","YLD_YTM_BID")</f>
        <v>#N/A N/A</v>
      </c>
      <c r="E790" t="str">
        <f>_xll.BDP("912828CK Govt","MATURITY")</f>
        <v>5/31/2006</v>
      </c>
      <c r="F790" t="str">
        <f>_xll.BDP("912828CK Govt","MTY_TYP")</f>
        <v>NORMAL</v>
      </c>
      <c r="G790" t="str">
        <f>_xll.BDP("912828CK Govt","CRNCY")</f>
        <v>USD</v>
      </c>
      <c r="H790" t="str">
        <f>_xll.BDP("912828CK Govt","COUNTRY_FULL_NAME")</f>
        <v>UNITED STATES</v>
      </c>
      <c r="I790" t="str">
        <f>_xll.BDP("912828CK Govt","FIRST_CPN_DT")</f>
        <v>11/30/2004</v>
      </c>
      <c r="J790" t="str">
        <f>_xll.BDP("912828CK Govt","COUPON_FREQUENCY_DESCRIPTION")</f>
        <v>S/A</v>
      </c>
      <c r="K790" t="str">
        <f>_xll.BDP("912828CK Govt","CPN_TYP")</f>
        <v>FIXED</v>
      </c>
      <c r="L790" t="str">
        <f>_xll.BDP("912828CK Govt","ID_ISIN")</f>
        <v>US912828CK42</v>
      </c>
      <c r="M790">
        <v>31308000000</v>
      </c>
      <c r="N790">
        <v>0</v>
      </c>
      <c r="O790" t="str">
        <f>_xll.BDP("912828CK Govt","ISSUE_DT")</f>
        <v>6/1/2004</v>
      </c>
      <c r="P790" t="str">
        <f>_xll.BDP("912828CK Govt","SECURITY_NAME")</f>
        <v>T 2 1/2 05/31/06</v>
      </c>
      <c r="Q790" t="str">
        <f>_xll.BDP("912828CK Govt","DAY_CNT_DES")</f>
        <v>ACT/ACT</v>
      </c>
      <c r="R790">
        <v>100</v>
      </c>
      <c r="S790" t="str">
        <f>_xll.BDP("912828CK Govt","ID_CUSIP")</f>
        <v>912828CK4</v>
      </c>
      <c r="T790" t="str">
        <f>_xll.BDP("912828CK Govt","IDX_RATIO")</f>
        <v>#N/A Field Not Applicable</v>
      </c>
    </row>
    <row r="791" spans="1:20" x14ac:dyDescent="0.25">
      <c r="A791" t="s">
        <v>14</v>
      </c>
      <c r="B791" t="str">
        <f>_xll.BDP("912828DD Govt","TICKER")</f>
        <v>T</v>
      </c>
      <c r="C791">
        <f>_xll.BDP("912828DD Govt","CPN")</f>
        <v>2.875</v>
      </c>
      <c r="D791" t="str">
        <f>_xll.BDP("912828DD Govt","YLD_YTM_BID")</f>
        <v>#N/A N/A</v>
      </c>
      <c r="E791" t="str">
        <f>_xll.BDP("912828DD Govt","MATURITY")</f>
        <v>11/30/2006</v>
      </c>
      <c r="F791" t="str">
        <f>_xll.BDP("912828DD Govt","MTY_TYP")</f>
        <v>NORMAL</v>
      </c>
      <c r="G791" t="str">
        <f>_xll.BDP("912828DD Govt","CRNCY")</f>
        <v>USD</v>
      </c>
      <c r="H791" t="str">
        <f>_xll.BDP("912828DD Govt","COUNTRY_FULL_NAME")</f>
        <v>UNITED STATES</v>
      </c>
      <c r="I791" t="str">
        <f>_xll.BDP("912828DD Govt","FIRST_CPN_DT")</f>
        <v>5/31/2005</v>
      </c>
      <c r="J791" t="str">
        <f>_xll.BDP("912828DD Govt","COUPON_FREQUENCY_DESCRIPTION")</f>
        <v>S/A</v>
      </c>
      <c r="K791" t="str">
        <f>_xll.BDP("912828DD Govt","CPN_TYP")</f>
        <v>FIXED</v>
      </c>
      <c r="L791" t="str">
        <f>_xll.BDP("912828DD Govt","ID_ISIN")</f>
        <v>US912828DD99</v>
      </c>
      <c r="M791">
        <v>30049000000</v>
      </c>
      <c r="N791">
        <v>0</v>
      </c>
      <c r="O791" t="str">
        <f>_xll.BDP("912828DD Govt","ISSUE_DT")</f>
        <v>11/30/2004</v>
      </c>
      <c r="P791" t="str">
        <f>_xll.BDP("912828DD Govt","SECURITY_NAME")</f>
        <v>T 2 7/8 11/30/06</v>
      </c>
      <c r="Q791" t="str">
        <f>_xll.BDP("912828DD Govt","DAY_CNT_DES")</f>
        <v>ACT/ACT</v>
      </c>
      <c r="R791">
        <v>100</v>
      </c>
      <c r="S791" t="str">
        <f>_xll.BDP("912828DD Govt","ID_CUSIP")</f>
        <v>912828DD9</v>
      </c>
      <c r="T791" t="str">
        <f>_xll.BDP("912828DD Govt","IDX_RATIO")</f>
        <v>#N/A Field Not Applicable</v>
      </c>
    </row>
    <row r="792" spans="1:20" x14ac:dyDescent="0.25">
      <c r="A792" t="s">
        <v>14</v>
      </c>
      <c r="B792" t="str">
        <f>_xll.BDP("912828DR Govt","TICKER")</f>
        <v>T</v>
      </c>
      <c r="C792">
        <f>_xll.BDP("912828DR Govt","CPN")</f>
        <v>4</v>
      </c>
      <c r="D792" t="str">
        <f>_xll.BDP("912828DR Govt","YLD_YTM_BID")</f>
        <v>#N/A N/A</v>
      </c>
      <c r="E792" t="str">
        <f>_xll.BDP("912828DR Govt","MATURITY")</f>
        <v>4/15/2010</v>
      </c>
      <c r="F792" t="str">
        <f>_xll.BDP("912828DR Govt","MTY_TYP")</f>
        <v>NORMAL</v>
      </c>
      <c r="G792" t="str">
        <f>_xll.BDP("912828DR Govt","CRNCY")</f>
        <v>USD</v>
      </c>
      <c r="H792" t="str">
        <f>_xll.BDP("912828DR Govt","COUNTRY_FULL_NAME")</f>
        <v>UNITED STATES</v>
      </c>
      <c r="I792" t="str">
        <f>_xll.BDP("912828DR Govt","FIRST_CPN_DT")</f>
        <v>10/15/2005</v>
      </c>
      <c r="J792" t="str">
        <f>_xll.BDP("912828DR Govt","COUPON_FREQUENCY_DESCRIPTION")</f>
        <v>S/A</v>
      </c>
      <c r="K792" t="str">
        <f>_xll.BDP("912828DR Govt","CPN_TYP")</f>
        <v>FIXED</v>
      </c>
      <c r="L792" t="str">
        <f>_xll.BDP("912828DR Govt","ID_ISIN")</f>
        <v>US912828DR85</v>
      </c>
      <c r="M792">
        <v>15001000000</v>
      </c>
      <c r="N792">
        <v>0</v>
      </c>
      <c r="O792" t="str">
        <f>_xll.BDP("912828DR Govt","ISSUE_DT")</f>
        <v>4/15/2005</v>
      </c>
      <c r="P792" t="str">
        <f>_xll.BDP("912828DR Govt","SECURITY_NAME")</f>
        <v>T 4 04/15/10</v>
      </c>
      <c r="Q792" t="str">
        <f>_xll.BDP("912828DR Govt","DAY_CNT_DES")</f>
        <v>ACT/ACT</v>
      </c>
      <c r="R792">
        <v>100</v>
      </c>
      <c r="S792" t="str">
        <f>_xll.BDP("912828DR Govt","ID_CUSIP")</f>
        <v>912828DR8</v>
      </c>
      <c r="T792" t="str">
        <f>_xll.BDP("912828DR Govt","IDX_RATIO")</f>
        <v>#N/A Field Not Applicable</v>
      </c>
    </row>
    <row r="793" spans="1:20" x14ac:dyDescent="0.25">
      <c r="A793" t="s">
        <v>14</v>
      </c>
      <c r="B793" t="str">
        <f>_xll.BDP("912828DW Govt","TICKER")</f>
        <v>T</v>
      </c>
      <c r="C793">
        <f>_xll.BDP("912828DW Govt","CPN")</f>
        <v>3.5</v>
      </c>
      <c r="D793" t="str">
        <f>_xll.BDP("912828DW Govt","YLD_YTM_BID")</f>
        <v>#N/A N/A</v>
      </c>
      <c r="E793" t="str">
        <f>_xll.BDP("912828DW Govt","MATURITY")</f>
        <v>5/31/2007</v>
      </c>
      <c r="F793" t="str">
        <f>_xll.BDP("912828DW Govt","MTY_TYP")</f>
        <v>NORMAL</v>
      </c>
      <c r="G793" t="str">
        <f>_xll.BDP("912828DW Govt","CRNCY")</f>
        <v>USD</v>
      </c>
      <c r="H793" t="str">
        <f>_xll.BDP("912828DW Govt","COUNTRY_FULL_NAME")</f>
        <v>UNITED STATES</v>
      </c>
      <c r="I793" t="str">
        <f>_xll.BDP("912828DW Govt","FIRST_CPN_DT")</f>
        <v>11/30/2005</v>
      </c>
      <c r="J793" t="str">
        <f>_xll.BDP("912828DW Govt","COUPON_FREQUENCY_DESCRIPTION")</f>
        <v>S/A</v>
      </c>
      <c r="K793" t="str">
        <f>_xll.BDP("912828DW Govt","CPN_TYP")</f>
        <v>FIXED</v>
      </c>
      <c r="L793" t="str">
        <f>_xll.BDP("912828DW Govt","ID_ISIN")</f>
        <v>US912828DW70</v>
      </c>
      <c r="M793">
        <v>29119000000</v>
      </c>
      <c r="N793">
        <v>0</v>
      </c>
      <c r="O793" t="str">
        <f>_xll.BDP("912828DW Govt","ISSUE_DT")</f>
        <v>5/31/2005</v>
      </c>
      <c r="P793" t="str">
        <f>_xll.BDP("912828DW Govt","SECURITY_NAME")</f>
        <v>T 3 1/2 05/31/07</v>
      </c>
      <c r="Q793" t="str">
        <f>_xll.BDP("912828DW Govt","DAY_CNT_DES")</f>
        <v>ACT/ACT</v>
      </c>
      <c r="R793">
        <v>100</v>
      </c>
      <c r="S793" t="str">
        <f>_xll.BDP("912828DW Govt","ID_CUSIP")</f>
        <v>912828DW7</v>
      </c>
      <c r="T793" t="str">
        <f>_xll.BDP("912828DW Govt","IDX_RATIO")</f>
        <v>#N/A Field Not Applicable</v>
      </c>
    </row>
    <row r="794" spans="1:20" x14ac:dyDescent="0.25">
      <c r="A794" t="s">
        <v>14</v>
      </c>
      <c r="B794" t="str">
        <f>_xll.BDP("912828EC Govt","TICKER")</f>
        <v>T</v>
      </c>
      <c r="C794">
        <f>_xll.BDP("912828EC Govt","CPN")</f>
        <v>4.125</v>
      </c>
      <c r="D794" t="str">
        <f>_xll.BDP("912828EC Govt","YLD_YTM_BID")</f>
        <v>#N/A N/A</v>
      </c>
      <c r="E794" t="str">
        <f>_xll.BDP("912828EC Govt","MATURITY")</f>
        <v>8/15/2008</v>
      </c>
      <c r="F794" t="str">
        <f>_xll.BDP("912828EC Govt","MTY_TYP")</f>
        <v>NORMAL</v>
      </c>
      <c r="G794" t="str">
        <f>_xll.BDP("912828EC Govt","CRNCY")</f>
        <v>USD</v>
      </c>
      <c r="H794" t="str">
        <f>_xll.BDP("912828EC Govt","COUNTRY_FULL_NAME")</f>
        <v>UNITED STATES</v>
      </c>
      <c r="I794" t="str">
        <f>_xll.BDP("912828EC Govt","FIRST_CPN_DT")</f>
        <v>2/15/2006</v>
      </c>
      <c r="J794" t="str">
        <f>_xll.BDP("912828EC Govt","COUPON_FREQUENCY_DESCRIPTION")</f>
        <v>S/A</v>
      </c>
      <c r="K794" t="str">
        <f>_xll.BDP("912828EC Govt","CPN_TYP")</f>
        <v>FIXED</v>
      </c>
      <c r="L794" t="str">
        <f>_xll.BDP("912828EC Govt","ID_ISIN")</f>
        <v>US912828EC08</v>
      </c>
      <c r="M794">
        <v>20291000000</v>
      </c>
      <c r="N794">
        <v>0</v>
      </c>
      <c r="O794" t="str">
        <f>_xll.BDP("912828EC Govt","ISSUE_DT")</f>
        <v>8/15/2005</v>
      </c>
      <c r="P794" t="str">
        <f>_xll.BDP("912828EC Govt","SECURITY_NAME")</f>
        <v>T 4 1/8 08/15/08</v>
      </c>
      <c r="Q794" t="str">
        <f>_xll.BDP("912828EC Govt","DAY_CNT_DES")</f>
        <v>ACT/ACT</v>
      </c>
      <c r="R794">
        <v>100</v>
      </c>
      <c r="S794" t="str">
        <f>_xll.BDP("912828EC Govt","ID_CUSIP")</f>
        <v>912828EC0</v>
      </c>
      <c r="T794" t="str">
        <f>_xll.BDP("912828EC Govt","IDX_RATIO")</f>
        <v>#N/A Field Not Applicable</v>
      </c>
    </row>
    <row r="795" spans="1:20" x14ac:dyDescent="0.25">
      <c r="A795" t="s">
        <v>14</v>
      </c>
      <c r="B795" t="str">
        <f>_xll.BDP("912828EE Govt","TICKER")</f>
        <v>T</v>
      </c>
      <c r="C795">
        <f>_xll.BDP("912828EE Govt","CPN")</f>
        <v>4.25</v>
      </c>
      <c r="D795" t="str">
        <f>_xll.BDP("912828EE Govt","YLD_YTM_BID")</f>
        <v>#N/A N/A</v>
      </c>
      <c r="E795" t="str">
        <f>_xll.BDP("912828EE Govt","MATURITY")</f>
        <v>8/15/2015</v>
      </c>
      <c r="F795" t="str">
        <f>_xll.BDP("912828EE Govt","MTY_TYP")</f>
        <v>NORMAL</v>
      </c>
      <c r="G795" t="str">
        <f>_xll.BDP("912828EE Govt","CRNCY")</f>
        <v>USD</v>
      </c>
      <c r="H795" t="str">
        <f>_xll.BDP("912828EE Govt","COUNTRY_FULL_NAME")</f>
        <v>UNITED STATES</v>
      </c>
      <c r="I795" t="str">
        <f>_xll.BDP("912828EE Govt","FIRST_CPN_DT")</f>
        <v>2/15/2006</v>
      </c>
      <c r="J795" t="str">
        <f>_xll.BDP("912828EE Govt","COUPON_FREQUENCY_DESCRIPTION")</f>
        <v>S/A</v>
      </c>
      <c r="K795" t="str">
        <f>_xll.BDP("912828EE Govt","CPN_TYP")</f>
        <v>FIXED</v>
      </c>
      <c r="L795" t="str">
        <f>_xll.BDP("912828EE Govt","ID_ISIN")</f>
        <v>US912828EE63</v>
      </c>
      <c r="M795">
        <v>32470000000</v>
      </c>
      <c r="N795">
        <v>0</v>
      </c>
      <c r="O795" t="str">
        <f>_xll.BDP("912828EE Govt","ISSUE_DT")</f>
        <v>8/15/2005</v>
      </c>
      <c r="P795" t="str">
        <f>_xll.BDP("912828EE Govt","SECURITY_NAME")</f>
        <v>T 4 1/4 08/15/15</v>
      </c>
      <c r="Q795" t="str">
        <f>_xll.BDP("912828EE Govt","DAY_CNT_DES")</f>
        <v>ACT/ACT</v>
      </c>
      <c r="R795">
        <v>100</v>
      </c>
      <c r="S795" t="str">
        <f>_xll.BDP("912828EE Govt","ID_CUSIP")</f>
        <v>912828EE6</v>
      </c>
      <c r="T795" t="str">
        <f>_xll.BDP("912828EE Govt","IDX_RATIO")</f>
        <v>#N/A Field Not Applicable</v>
      </c>
    </row>
    <row r="796" spans="1:20" x14ac:dyDescent="0.25">
      <c r="A796" t="s">
        <v>14</v>
      </c>
      <c r="B796" t="str">
        <f>_xll.BDP("912828EK Govt","TICKER")</f>
        <v>T</v>
      </c>
      <c r="C796">
        <f>_xll.BDP("912828EK Govt","CPN")</f>
        <v>4.25</v>
      </c>
      <c r="D796" t="str">
        <f>_xll.BDP("912828EK Govt","YLD_YTM_BID")</f>
        <v>#N/A N/A</v>
      </c>
      <c r="E796" t="str">
        <f>_xll.BDP("912828EK Govt","MATURITY")</f>
        <v>10/31/2007</v>
      </c>
      <c r="F796" t="str">
        <f>_xll.BDP("912828EK Govt","MTY_TYP")</f>
        <v>NORMAL</v>
      </c>
      <c r="G796" t="str">
        <f>_xll.BDP("912828EK Govt","CRNCY")</f>
        <v>USD</v>
      </c>
      <c r="H796" t="str">
        <f>_xll.BDP("912828EK Govt","COUNTRY_FULL_NAME")</f>
        <v>UNITED STATES</v>
      </c>
      <c r="I796" t="str">
        <f>_xll.BDP("912828EK Govt","FIRST_CPN_DT")</f>
        <v>4/30/2006</v>
      </c>
      <c r="J796" t="str">
        <f>_xll.BDP("912828EK Govt","COUPON_FREQUENCY_DESCRIPTION")</f>
        <v>S/A</v>
      </c>
      <c r="K796" t="str">
        <f>_xll.BDP("912828EK Govt","CPN_TYP")</f>
        <v>FIXED</v>
      </c>
      <c r="L796" t="str">
        <f>_xll.BDP("912828EK Govt","ID_ISIN")</f>
        <v>US912828EK24</v>
      </c>
      <c r="M796">
        <v>26553000000</v>
      </c>
      <c r="N796">
        <v>0</v>
      </c>
      <c r="O796" t="str">
        <f>_xll.BDP("912828EK Govt","ISSUE_DT")</f>
        <v>10/31/2005</v>
      </c>
      <c r="P796" t="str">
        <f>_xll.BDP("912828EK Govt","SECURITY_NAME")</f>
        <v>T 4 1/4 10/31/07</v>
      </c>
      <c r="Q796" t="str">
        <f>_xll.BDP("912828EK Govt","DAY_CNT_DES")</f>
        <v>ACT/ACT</v>
      </c>
      <c r="R796">
        <v>100</v>
      </c>
      <c r="S796" t="str">
        <f>_xll.BDP("912828EK Govt","ID_CUSIP")</f>
        <v>912828EK2</v>
      </c>
      <c r="T796" t="str">
        <f>_xll.BDP("912828EK Govt","IDX_RATIO")</f>
        <v>#N/A Field Not Applicable</v>
      </c>
    </row>
    <row r="797" spans="1:20" x14ac:dyDescent="0.25">
      <c r="A797" t="s">
        <v>14</v>
      </c>
      <c r="B797" t="str">
        <f>_xll.BDP("912828EL Govt","TICKER")</f>
        <v>T</v>
      </c>
      <c r="C797">
        <f>_xll.BDP("912828EL Govt","CPN")</f>
        <v>4.375</v>
      </c>
      <c r="D797" t="str">
        <f>_xll.BDP("912828EL Govt","YLD_YTM_BID")</f>
        <v>#N/A N/A</v>
      </c>
      <c r="E797" t="str">
        <f>_xll.BDP("912828EL Govt","MATURITY")</f>
        <v>11/15/2008</v>
      </c>
      <c r="F797" t="str">
        <f>_xll.BDP("912828EL Govt","MTY_TYP")</f>
        <v>NORMAL</v>
      </c>
      <c r="G797" t="str">
        <f>_xll.BDP("912828EL Govt","CRNCY")</f>
        <v>USD</v>
      </c>
      <c r="H797" t="str">
        <f>_xll.BDP("912828EL Govt","COUNTRY_FULL_NAME")</f>
        <v>UNITED STATES</v>
      </c>
      <c r="I797" t="str">
        <f>_xll.BDP("912828EL Govt","FIRST_CPN_DT")</f>
        <v>5/15/2006</v>
      </c>
      <c r="J797" t="str">
        <f>_xll.BDP("912828EL Govt","COUPON_FREQUENCY_DESCRIPTION")</f>
        <v>S/A</v>
      </c>
      <c r="K797" t="str">
        <f>_xll.BDP("912828EL Govt","CPN_TYP")</f>
        <v>FIXED</v>
      </c>
      <c r="L797" t="str">
        <f>_xll.BDP("912828EL Govt","ID_ISIN")</f>
        <v>US912828EL07</v>
      </c>
      <c r="M797">
        <v>21450000000</v>
      </c>
      <c r="N797">
        <v>0</v>
      </c>
      <c r="O797" t="str">
        <f>_xll.BDP("912828EL Govt","ISSUE_DT")</f>
        <v>11/15/2005</v>
      </c>
      <c r="P797" t="str">
        <f>_xll.BDP("912828EL Govt","SECURITY_NAME")</f>
        <v>T 4 3/8 11/15/08</v>
      </c>
      <c r="Q797" t="str">
        <f>_xll.BDP("912828EL Govt","DAY_CNT_DES")</f>
        <v>ACT/ACT</v>
      </c>
      <c r="R797">
        <v>100</v>
      </c>
      <c r="S797" t="str">
        <f>_xll.BDP("912828EL Govt","ID_CUSIP")</f>
        <v>912828EL0</v>
      </c>
      <c r="T797" t="str">
        <f>_xll.BDP("912828EL Govt","IDX_RATIO")</f>
        <v>#N/A Field Not Applicable</v>
      </c>
    </row>
    <row r="798" spans="1:20" x14ac:dyDescent="0.25">
      <c r="A798" t="s">
        <v>14</v>
      </c>
      <c r="B798" t="str">
        <f>_xll.BDP("912828FC Govt","TICKER")</f>
        <v>T</v>
      </c>
      <c r="C798">
        <f>_xll.BDP("912828FC Govt","CPN")</f>
        <v>4.875</v>
      </c>
      <c r="D798" t="str">
        <f>_xll.BDP("912828FC Govt","YLD_YTM_BID")</f>
        <v>#N/A N/A</v>
      </c>
      <c r="E798" t="str">
        <f>_xll.BDP("912828FC Govt","MATURITY")</f>
        <v>4/30/2008</v>
      </c>
      <c r="F798" t="str">
        <f>_xll.BDP("912828FC Govt","MTY_TYP")</f>
        <v>NORMAL</v>
      </c>
      <c r="G798" t="str">
        <f>_xll.BDP("912828FC Govt","CRNCY")</f>
        <v>USD</v>
      </c>
      <c r="H798" t="str">
        <f>_xll.BDP("912828FC Govt","COUNTRY_FULL_NAME")</f>
        <v>UNITED STATES</v>
      </c>
      <c r="I798" t="str">
        <f>_xll.BDP("912828FC Govt","FIRST_CPN_DT")</f>
        <v>10/31/2006</v>
      </c>
      <c r="J798" t="str">
        <f>_xll.BDP("912828FC Govt","COUPON_FREQUENCY_DESCRIPTION")</f>
        <v>S/A</v>
      </c>
      <c r="K798" t="str">
        <f>_xll.BDP("912828FC Govt","CPN_TYP")</f>
        <v>FIXED</v>
      </c>
      <c r="L798" t="str">
        <f>_xll.BDP("912828FC Govt","ID_ISIN")</f>
        <v>US912828FC98</v>
      </c>
      <c r="M798">
        <v>26837000000</v>
      </c>
      <c r="N798">
        <v>0</v>
      </c>
      <c r="O798" t="str">
        <f>_xll.BDP("912828FC Govt","ISSUE_DT")</f>
        <v>5/1/2006</v>
      </c>
      <c r="P798" t="str">
        <f>_xll.BDP("912828FC Govt","SECURITY_NAME")</f>
        <v>T 4 7/8 04/30/08</v>
      </c>
      <c r="Q798" t="str">
        <f>_xll.BDP("912828FC Govt","DAY_CNT_DES")</f>
        <v>ACT/ACT</v>
      </c>
      <c r="R798">
        <v>100</v>
      </c>
      <c r="S798" t="str">
        <f>_xll.BDP("912828FC Govt","ID_CUSIP")</f>
        <v>912828FC9</v>
      </c>
      <c r="T798" t="str">
        <f>_xll.BDP("912828FC Govt","IDX_RATIO")</f>
        <v>#N/A Field Not Applicable</v>
      </c>
    </row>
    <row r="799" spans="1:20" x14ac:dyDescent="0.25">
      <c r="A799" t="s">
        <v>14</v>
      </c>
      <c r="B799" t="str">
        <f>_xll.BDP("912828FJ Govt","TICKER")</f>
        <v>T</v>
      </c>
      <c r="C799">
        <f>_xll.BDP("912828FJ Govt","CPN")</f>
        <v>5.125</v>
      </c>
      <c r="D799" t="str">
        <f>_xll.BDP("912828FJ Govt","YLD_YTM_BID")</f>
        <v>#N/A N/A</v>
      </c>
      <c r="E799" t="str">
        <f>_xll.BDP("912828FJ Govt","MATURITY")</f>
        <v>6/30/2008</v>
      </c>
      <c r="F799" t="str">
        <f>_xll.BDP("912828FJ Govt","MTY_TYP")</f>
        <v>NORMAL</v>
      </c>
      <c r="G799" t="str">
        <f>_xll.BDP("912828FJ Govt","CRNCY")</f>
        <v>USD</v>
      </c>
      <c r="H799" t="str">
        <f>_xll.BDP("912828FJ Govt","COUNTRY_FULL_NAME")</f>
        <v>UNITED STATES</v>
      </c>
      <c r="I799" t="str">
        <f>_xll.BDP("912828FJ Govt","FIRST_CPN_DT")</f>
        <v>12/31/2006</v>
      </c>
      <c r="J799" t="str">
        <f>_xll.BDP("912828FJ Govt","COUPON_FREQUENCY_DESCRIPTION")</f>
        <v>S/A</v>
      </c>
      <c r="K799" t="str">
        <f>_xll.BDP("912828FJ Govt","CPN_TYP")</f>
        <v>FIXED</v>
      </c>
      <c r="L799" t="str">
        <f>_xll.BDP("912828FJ Govt","ID_ISIN")</f>
        <v>US912828FJ42</v>
      </c>
      <c r="M799">
        <v>26499000000</v>
      </c>
      <c r="N799">
        <v>0</v>
      </c>
      <c r="O799" t="str">
        <f>_xll.BDP("912828FJ Govt","ISSUE_DT")</f>
        <v>6/30/2006</v>
      </c>
      <c r="P799" t="str">
        <f>_xll.BDP("912828FJ Govt","SECURITY_NAME")</f>
        <v>T 5 1/8 06/30/08</v>
      </c>
      <c r="Q799" t="str">
        <f>_xll.BDP("912828FJ Govt","DAY_CNT_DES")</f>
        <v>ACT/ACT</v>
      </c>
      <c r="R799">
        <v>100</v>
      </c>
      <c r="S799" t="str">
        <f>_xll.BDP("912828FJ Govt","ID_CUSIP")</f>
        <v>912828FJ4</v>
      </c>
      <c r="T799" t="str">
        <f>_xll.BDP("912828FJ Govt","IDX_RATIO")</f>
        <v>#N/A Field Not Applicable</v>
      </c>
    </row>
    <row r="800" spans="1:20" x14ac:dyDescent="0.25">
      <c r="A800" t="s">
        <v>14</v>
      </c>
      <c r="B800" t="str">
        <f>_xll.BDP("912828FS Govt","TICKER")</f>
        <v>T</v>
      </c>
      <c r="C800">
        <f>_xll.BDP("912828FS Govt","CPN")</f>
        <v>4.625</v>
      </c>
      <c r="D800" t="str">
        <f>_xll.BDP("912828FS Govt","YLD_YTM_BID")</f>
        <v>#N/A N/A</v>
      </c>
      <c r="E800" t="str">
        <f>_xll.BDP("912828FS Govt","MATURITY")</f>
        <v>8/31/2011</v>
      </c>
      <c r="F800" t="str">
        <f>_xll.BDP("912828FS Govt","MTY_TYP")</f>
        <v>NORMAL</v>
      </c>
      <c r="G800" t="str">
        <f>_xll.BDP("912828FS Govt","CRNCY")</f>
        <v>USD</v>
      </c>
      <c r="H800" t="str">
        <f>_xll.BDP("912828FS Govt","COUNTRY_FULL_NAME")</f>
        <v>UNITED STATES</v>
      </c>
      <c r="I800" t="str">
        <f>_xll.BDP("912828FS Govt","FIRST_CPN_DT")</f>
        <v>2/28/2007</v>
      </c>
      <c r="J800" t="str">
        <f>_xll.BDP("912828FS Govt","COUPON_FREQUENCY_DESCRIPTION")</f>
        <v>S/A</v>
      </c>
      <c r="K800" t="str">
        <f>_xll.BDP("912828FS Govt","CPN_TYP")</f>
        <v>FIXED</v>
      </c>
      <c r="L800" t="str">
        <f>_xll.BDP("912828FS Govt","ID_ISIN")</f>
        <v>US912828FS41</v>
      </c>
      <c r="M800">
        <v>17501000000</v>
      </c>
      <c r="N800">
        <v>0</v>
      </c>
      <c r="O800" t="str">
        <f>_xll.BDP("912828FS Govt","ISSUE_DT")</f>
        <v>8/31/2006</v>
      </c>
      <c r="P800" t="str">
        <f>_xll.BDP("912828FS Govt","SECURITY_NAME")</f>
        <v>T 4 5/8 08/31/11</v>
      </c>
      <c r="Q800" t="str">
        <f>_xll.BDP("912828FS Govt","DAY_CNT_DES")</f>
        <v>ACT/ACT</v>
      </c>
      <c r="R800">
        <v>100</v>
      </c>
      <c r="S800" t="str">
        <f>_xll.BDP("912828FS Govt","ID_CUSIP")</f>
        <v>912828FS4</v>
      </c>
      <c r="T800" t="str">
        <f>_xll.BDP("912828FS Govt","IDX_RATIO")</f>
        <v>#N/A Field Not Applicable</v>
      </c>
    </row>
    <row r="801" spans="1:20" x14ac:dyDescent="0.25">
      <c r="A801" t="s">
        <v>14</v>
      </c>
      <c r="B801" t="str">
        <f>_xll.BDP("912828GA Govt","TICKER")</f>
        <v>T</v>
      </c>
      <c r="C801">
        <f>_xll.BDP("912828GA Govt","CPN")</f>
        <v>4.5</v>
      </c>
      <c r="D801" t="str">
        <f>_xll.BDP("912828GA Govt","YLD_YTM_BID")</f>
        <v>#N/A N/A</v>
      </c>
      <c r="E801" t="str">
        <f>_xll.BDP("912828GA Govt","MATURITY")</f>
        <v>11/30/2011</v>
      </c>
      <c r="F801" t="str">
        <f>_xll.BDP("912828GA Govt","MTY_TYP")</f>
        <v>NORMAL</v>
      </c>
      <c r="G801" t="str">
        <f>_xll.BDP("912828GA Govt","CRNCY")</f>
        <v>USD</v>
      </c>
      <c r="H801" t="str">
        <f>_xll.BDP("912828GA Govt","COUNTRY_FULL_NAME")</f>
        <v>UNITED STATES</v>
      </c>
      <c r="I801" t="str">
        <f>_xll.BDP("912828GA Govt","FIRST_CPN_DT")</f>
        <v>5/31/2007</v>
      </c>
      <c r="J801" t="str">
        <f>_xll.BDP("912828GA Govt","COUPON_FREQUENCY_DESCRIPTION")</f>
        <v>S/A</v>
      </c>
      <c r="K801" t="str">
        <f>_xll.BDP("912828GA Govt","CPN_TYP")</f>
        <v>FIXED</v>
      </c>
      <c r="L801" t="str">
        <f>_xll.BDP("912828GA Govt","ID_ISIN")</f>
        <v>US912828GA24</v>
      </c>
      <c r="M801">
        <v>17037000000</v>
      </c>
      <c r="N801">
        <v>0</v>
      </c>
      <c r="O801" t="str">
        <f>_xll.BDP("912828GA Govt","ISSUE_DT")</f>
        <v>11/30/2006</v>
      </c>
      <c r="P801" t="str">
        <f>_xll.BDP("912828GA Govt","SECURITY_NAME")</f>
        <v>T 4 1/2 11/30/11</v>
      </c>
      <c r="Q801" t="str">
        <f>_xll.BDP("912828GA Govt","DAY_CNT_DES")</f>
        <v>ACT/ACT</v>
      </c>
      <c r="R801">
        <v>100</v>
      </c>
      <c r="S801" t="str">
        <f>_xll.BDP("912828GA Govt","ID_CUSIP")</f>
        <v>912828GA2</v>
      </c>
      <c r="T801" t="str">
        <f>_xll.BDP("912828GA Govt","IDX_RATIO")</f>
        <v>#N/A Field Not Applicable</v>
      </c>
    </row>
    <row r="802" spans="1:20" x14ac:dyDescent="0.25">
      <c r="A802" t="s">
        <v>14</v>
      </c>
      <c r="B802" t="str">
        <f>_xll.BDP("912828GJ Govt","TICKER")</f>
        <v>T</v>
      </c>
      <c r="C802">
        <f>_xll.BDP("912828GJ Govt","CPN")</f>
        <v>4.75</v>
      </c>
      <c r="D802" t="str">
        <f>_xll.BDP("912828GJ Govt","YLD_YTM_BID")</f>
        <v>#N/A N/A</v>
      </c>
      <c r="E802" t="str">
        <f>_xll.BDP("912828GJ Govt","MATURITY")</f>
        <v>2/28/2009</v>
      </c>
      <c r="F802" t="str">
        <f>_xll.BDP("912828GJ Govt","MTY_TYP")</f>
        <v>NORMAL</v>
      </c>
      <c r="G802" t="str">
        <f>_xll.BDP("912828GJ Govt","CRNCY")</f>
        <v>USD</v>
      </c>
      <c r="H802" t="str">
        <f>_xll.BDP("912828GJ Govt","COUNTRY_FULL_NAME")</f>
        <v>UNITED STATES</v>
      </c>
      <c r="I802" t="str">
        <f>_xll.BDP("912828GJ Govt","FIRST_CPN_DT")</f>
        <v>8/31/2007</v>
      </c>
      <c r="J802" t="str">
        <f>_xll.BDP("912828GJ Govt","COUPON_FREQUENCY_DESCRIPTION")</f>
        <v>S/A</v>
      </c>
      <c r="K802" t="str">
        <f>_xll.BDP("912828GJ Govt","CPN_TYP")</f>
        <v>FIXED</v>
      </c>
      <c r="L802" t="str">
        <f>_xll.BDP("912828GJ Govt","ID_ISIN")</f>
        <v>US912828GJ33</v>
      </c>
      <c r="M802">
        <v>23038000000</v>
      </c>
      <c r="N802">
        <v>0</v>
      </c>
      <c r="O802" t="str">
        <f>_xll.BDP("912828GJ Govt","ISSUE_DT")</f>
        <v>2/28/2007</v>
      </c>
      <c r="P802" t="str">
        <f>_xll.BDP("912828GJ Govt","SECURITY_NAME")</f>
        <v>T 4 3/4 02/28/09</v>
      </c>
      <c r="Q802" t="str">
        <f>_xll.BDP("912828GJ Govt","DAY_CNT_DES")</f>
        <v>ACT/ACT</v>
      </c>
      <c r="R802">
        <v>100</v>
      </c>
      <c r="S802" t="str">
        <f>_xll.BDP("912828GJ Govt","ID_CUSIP")</f>
        <v>912828GJ3</v>
      </c>
      <c r="T802" t="str">
        <f>_xll.BDP("912828GJ Govt","IDX_RATIO")</f>
        <v>#N/A Field Not Applicable</v>
      </c>
    </row>
    <row r="803" spans="1:20" x14ac:dyDescent="0.25">
      <c r="A803" t="s">
        <v>14</v>
      </c>
      <c r="B803" t="str">
        <f>_xll.BDP("912828GP Govt","TICKER")</f>
        <v>T</v>
      </c>
      <c r="C803">
        <f>_xll.BDP("912828GP Govt","CPN")</f>
        <v>4.5</v>
      </c>
      <c r="D803" t="str">
        <f>_xll.BDP("912828GP Govt","YLD_YTM_BID")</f>
        <v>#N/A N/A</v>
      </c>
      <c r="E803" t="str">
        <f>_xll.BDP("912828GP Govt","MATURITY")</f>
        <v>4/30/2009</v>
      </c>
      <c r="F803" t="str">
        <f>_xll.BDP("912828GP Govt","MTY_TYP")</f>
        <v>NORMAL</v>
      </c>
      <c r="G803" t="str">
        <f>_xll.BDP("912828GP Govt","CRNCY")</f>
        <v>USD</v>
      </c>
      <c r="H803" t="str">
        <f>_xll.BDP("912828GP Govt","COUNTRY_FULL_NAME")</f>
        <v>UNITED STATES</v>
      </c>
      <c r="I803" t="str">
        <f>_xll.BDP("912828GP Govt","FIRST_CPN_DT")</f>
        <v>10/31/2007</v>
      </c>
      <c r="J803" t="str">
        <f>_xll.BDP("912828GP Govt","COUPON_FREQUENCY_DESCRIPTION")</f>
        <v>S/A</v>
      </c>
      <c r="K803" t="str">
        <f>_xll.BDP("912828GP Govt","CPN_TYP")</f>
        <v>FIXED</v>
      </c>
      <c r="L803" t="str">
        <f>_xll.BDP("912828GP Govt","ID_ISIN")</f>
        <v>US912828GP92</v>
      </c>
      <c r="M803">
        <v>22778000000</v>
      </c>
      <c r="N803">
        <v>0</v>
      </c>
      <c r="O803" t="str">
        <f>_xll.BDP("912828GP Govt","ISSUE_DT")</f>
        <v>4/30/2007</v>
      </c>
      <c r="P803" t="str">
        <f>_xll.BDP("912828GP Govt","SECURITY_NAME")</f>
        <v>T 4 1/2 04/30/09</v>
      </c>
      <c r="Q803" t="str">
        <f>_xll.BDP("912828GP Govt","DAY_CNT_DES")</f>
        <v>ACT/ACT</v>
      </c>
      <c r="R803">
        <v>100</v>
      </c>
      <c r="S803" t="str">
        <f>_xll.BDP("912828GP Govt","ID_CUSIP")</f>
        <v>912828GP9</v>
      </c>
      <c r="T803" t="str">
        <f>_xll.BDP("912828GP Govt","IDX_RATIO")</f>
        <v>#N/A Field Not Applicable</v>
      </c>
    </row>
    <row r="804" spans="1:20" x14ac:dyDescent="0.25">
      <c r="A804" t="s">
        <v>14</v>
      </c>
      <c r="B804" t="str">
        <f>_xll.BDP("912828GT Govt","TICKER")</f>
        <v>T</v>
      </c>
      <c r="C804">
        <f>_xll.BDP("912828GT Govt","CPN")</f>
        <v>4.875</v>
      </c>
      <c r="D804" t="str">
        <f>_xll.BDP("912828GT Govt","YLD_YTM_BID")</f>
        <v>#N/A N/A</v>
      </c>
      <c r="E804" t="str">
        <f>_xll.BDP("912828GT Govt","MATURITY")</f>
        <v>5/31/2009</v>
      </c>
      <c r="F804" t="str">
        <f>_xll.BDP("912828GT Govt","MTY_TYP")</f>
        <v>NORMAL</v>
      </c>
      <c r="G804" t="str">
        <f>_xll.BDP("912828GT Govt","CRNCY")</f>
        <v>USD</v>
      </c>
      <c r="H804" t="str">
        <f>_xll.BDP("912828GT Govt","COUNTRY_FULL_NAME")</f>
        <v>UNITED STATES</v>
      </c>
      <c r="I804" t="str">
        <f>_xll.BDP("912828GT Govt","FIRST_CPN_DT")</f>
        <v>11/30/2007</v>
      </c>
      <c r="J804" t="str">
        <f>_xll.BDP("912828GT Govt","COUPON_FREQUENCY_DESCRIPTION")</f>
        <v>S/A</v>
      </c>
      <c r="K804" t="str">
        <f>_xll.BDP("912828GT Govt","CPN_TYP")</f>
        <v>FIXED</v>
      </c>
      <c r="L804" t="str">
        <f>_xll.BDP("912828GT Govt","ID_ISIN")</f>
        <v>US912828GT15</v>
      </c>
      <c r="M804">
        <v>22486000000</v>
      </c>
      <c r="N804">
        <v>0</v>
      </c>
      <c r="O804" t="str">
        <f>_xll.BDP("912828GT Govt","ISSUE_DT")</f>
        <v>5/31/2007</v>
      </c>
      <c r="P804" t="str">
        <f>_xll.BDP("912828GT Govt","SECURITY_NAME")</f>
        <v>T 4 7/8 05/31/09</v>
      </c>
      <c r="Q804" t="str">
        <f>_xll.BDP("912828GT Govt","DAY_CNT_DES")</f>
        <v>ACT/ACT</v>
      </c>
      <c r="R804">
        <v>100</v>
      </c>
      <c r="S804" t="str">
        <f>_xll.BDP("912828GT Govt","ID_CUSIP")</f>
        <v>912828GT1</v>
      </c>
      <c r="T804" t="str">
        <f>_xll.BDP("912828GT Govt","IDX_RATIO")</f>
        <v>#N/A Field Not Applicable</v>
      </c>
    </row>
    <row r="805" spans="1:20" x14ac:dyDescent="0.25">
      <c r="A805" t="s">
        <v>14</v>
      </c>
      <c r="B805" t="str">
        <f>_xll.BDP("912828GV Govt","TICKER")</f>
        <v>T</v>
      </c>
      <c r="C805">
        <f>_xll.BDP("912828GV Govt","CPN")</f>
        <v>4.875</v>
      </c>
      <c r="D805" t="str">
        <f>_xll.BDP("912828GV Govt","YLD_YTM_BID")</f>
        <v>#N/A N/A</v>
      </c>
      <c r="E805" t="str">
        <f>_xll.BDP("912828GV Govt","MATURITY")</f>
        <v>6/30/2009</v>
      </c>
      <c r="F805" t="str">
        <f>_xll.BDP("912828GV Govt","MTY_TYP")</f>
        <v>NORMAL</v>
      </c>
      <c r="G805" t="str">
        <f>_xll.BDP("912828GV Govt","CRNCY")</f>
        <v>USD</v>
      </c>
      <c r="H805" t="str">
        <f>_xll.BDP("912828GV Govt","COUNTRY_FULL_NAME")</f>
        <v>UNITED STATES</v>
      </c>
      <c r="I805" t="str">
        <f>_xll.BDP("912828GV Govt","FIRST_CPN_DT")</f>
        <v>12/31/2007</v>
      </c>
      <c r="J805" t="str">
        <f>_xll.BDP("912828GV Govt","COUPON_FREQUENCY_DESCRIPTION")</f>
        <v>S/A</v>
      </c>
      <c r="K805" t="str">
        <f>_xll.BDP("912828GV Govt","CPN_TYP")</f>
        <v>FIXED</v>
      </c>
      <c r="L805" t="str">
        <f>_xll.BDP("912828GV Govt","ID_ISIN")</f>
        <v>US912828GV60</v>
      </c>
      <c r="M805">
        <v>22021000000</v>
      </c>
      <c r="N805">
        <v>0</v>
      </c>
      <c r="O805" t="str">
        <f>_xll.BDP("912828GV Govt","ISSUE_DT")</f>
        <v>7/2/2007</v>
      </c>
      <c r="P805" t="str">
        <f>_xll.BDP("912828GV Govt","SECURITY_NAME")</f>
        <v>T 4 7/8 06/30/09</v>
      </c>
      <c r="Q805" t="str">
        <f>_xll.BDP("912828GV Govt","DAY_CNT_DES")</f>
        <v>ACT/ACT</v>
      </c>
      <c r="R805">
        <v>100</v>
      </c>
      <c r="S805" t="str">
        <f>_xll.BDP("912828GV Govt","ID_CUSIP")</f>
        <v>912828GV6</v>
      </c>
      <c r="T805" t="str">
        <f>_xll.BDP("912828GV Govt","IDX_RATIO")</f>
        <v>#N/A Field Not Applicable</v>
      </c>
    </row>
    <row r="806" spans="1:20" x14ac:dyDescent="0.25">
      <c r="A806" t="s">
        <v>14</v>
      </c>
      <c r="B806" t="str">
        <f>_xll.BDP("912828HG Govt","TICKER")</f>
        <v>T</v>
      </c>
      <c r="C806">
        <f>_xll.BDP("912828HG Govt","CPN")</f>
        <v>3.875</v>
      </c>
      <c r="D806" t="str">
        <f>_xll.BDP("912828HG Govt","YLD_YTM_BID")</f>
        <v>#N/A N/A</v>
      </c>
      <c r="E806" t="str">
        <f>_xll.BDP("912828HG Govt","MATURITY")</f>
        <v>10/31/2012</v>
      </c>
      <c r="F806" t="str">
        <f>_xll.BDP("912828HG Govt","MTY_TYP")</f>
        <v>NORMAL</v>
      </c>
      <c r="G806" t="str">
        <f>_xll.BDP("912828HG Govt","CRNCY")</f>
        <v>USD</v>
      </c>
      <c r="H806" t="str">
        <f>_xll.BDP("912828HG Govt","COUNTRY_FULL_NAME")</f>
        <v>UNITED STATES</v>
      </c>
      <c r="I806" t="str">
        <f>_xll.BDP("912828HG Govt","FIRST_CPN_DT")</f>
        <v>4/30/2008</v>
      </c>
      <c r="J806" t="str">
        <f>_xll.BDP("912828HG Govt","COUPON_FREQUENCY_DESCRIPTION")</f>
        <v>S/A</v>
      </c>
      <c r="K806" t="str">
        <f>_xll.BDP("912828HG Govt","CPN_TYP")</f>
        <v>FIXED</v>
      </c>
      <c r="L806" t="str">
        <f>_xll.BDP("912828HG Govt","ID_ISIN")</f>
        <v>US912828HG84</v>
      </c>
      <c r="M806">
        <v>15510000000</v>
      </c>
      <c r="N806">
        <v>0</v>
      </c>
      <c r="O806" t="str">
        <f>_xll.BDP("912828HG Govt","ISSUE_DT")</f>
        <v>10/31/2007</v>
      </c>
      <c r="P806" t="str">
        <f>_xll.BDP("912828HG Govt","SECURITY_NAME")</f>
        <v>T 3 7/8 10/31/12</v>
      </c>
      <c r="Q806" t="str">
        <f>_xll.BDP("912828HG Govt","DAY_CNT_DES")</f>
        <v>ACT/ACT</v>
      </c>
      <c r="R806">
        <v>100</v>
      </c>
      <c r="S806" t="str">
        <f>_xll.BDP("912828HG Govt","ID_CUSIP")</f>
        <v>912828HG8</v>
      </c>
      <c r="T806" t="str">
        <f>_xll.BDP("912828HG Govt","IDX_RATIO")</f>
        <v>#N/A Field Not Applicable</v>
      </c>
    </row>
    <row r="807" spans="1:20" x14ac:dyDescent="0.25">
      <c r="A807" t="s">
        <v>14</v>
      </c>
      <c r="B807" t="str">
        <f>_xll.BDP("912828HJ Govt","TICKER")</f>
        <v>T</v>
      </c>
      <c r="C807">
        <f>_xll.BDP("912828HJ Govt","CPN")</f>
        <v>3.125</v>
      </c>
      <c r="D807" t="str">
        <f>_xll.BDP("912828HJ Govt","YLD_YTM_BID")</f>
        <v>#N/A N/A</v>
      </c>
      <c r="E807" t="str">
        <f>_xll.BDP("912828HJ Govt","MATURITY")</f>
        <v>11/30/2009</v>
      </c>
      <c r="F807" t="str">
        <f>_xll.BDP("912828HJ Govt","MTY_TYP")</f>
        <v>NORMAL</v>
      </c>
      <c r="G807" t="str">
        <f>_xll.BDP("912828HJ Govt","CRNCY")</f>
        <v>USD</v>
      </c>
      <c r="H807" t="str">
        <f>_xll.BDP("912828HJ Govt","COUNTRY_FULL_NAME")</f>
        <v>UNITED STATES</v>
      </c>
      <c r="I807" t="str">
        <f>_xll.BDP("912828HJ Govt","FIRST_CPN_DT")</f>
        <v>5/31/2008</v>
      </c>
      <c r="J807" t="str">
        <f>_xll.BDP("912828HJ Govt","COUPON_FREQUENCY_DESCRIPTION")</f>
        <v>S/A</v>
      </c>
      <c r="K807" t="str">
        <f>_xll.BDP("912828HJ Govt","CPN_TYP")</f>
        <v>FIXED</v>
      </c>
      <c r="L807" t="str">
        <f>_xll.BDP("912828HJ Govt","ID_ISIN")</f>
        <v>US912828HJ24</v>
      </c>
      <c r="M807">
        <v>24544000000</v>
      </c>
      <c r="N807">
        <v>0</v>
      </c>
      <c r="O807" t="str">
        <f>_xll.BDP("912828HJ Govt","ISSUE_DT")</f>
        <v>11/30/2007</v>
      </c>
      <c r="P807" t="str">
        <f>_xll.BDP("912828HJ Govt","SECURITY_NAME")</f>
        <v>T 3 1/8 11/30/09</v>
      </c>
      <c r="Q807" t="str">
        <f>_xll.BDP("912828HJ Govt","DAY_CNT_DES")</f>
        <v>ACT/ACT</v>
      </c>
      <c r="R807">
        <v>100</v>
      </c>
      <c r="S807" t="str">
        <f>_xll.BDP("912828HJ Govt","ID_CUSIP")</f>
        <v>912828HJ2</v>
      </c>
      <c r="T807" t="str">
        <f>_xll.BDP("912828HJ Govt","IDX_RATIO")</f>
        <v>#N/A Field Not Applicable</v>
      </c>
    </row>
    <row r="808" spans="1:20" x14ac:dyDescent="0.25">
      <c r="A808" t="s">
        <v>14</v>
      </c>
      <c r="B808" t="str">
        <f>_xll.BDP("912828HU Govt","TICKER")</f>
        <v>T</v>
      </c>
      <c r="C808">
        <f>_xll.BDP("912828HU Govt","CPN")</f>
        <v>1.75</v>
      </c>
      <c r="D808" t="str">
        <f>_xll.BDP("912828HU Govt","YLD_YTM_BID")</f>
        <v>#N/A N/A</v>
      </c>
      <c r="E808" t="str">
        <f>_xll.BDP("912828HU Govt","MATURITY")</f>
        <v>3/31/2010</v>
      </c>
      <c r="F808" t="str">
        <f>_xll.BDP("912828HU Govt","MTY_TYP")</f>
        <v>NORMAL</v>
      </c>
      <c r="G808" t="str">
        <f>_xll.BDP("912828HU Govt","CRNCY")</f>
        <v>USD</v>
      </c>
      <c r="H808" t="str">
        <f>_xll.BDP("912828HU Govt","COUNTRY_FULL_NAME")</f>
        <v>UNITED STATES</v>
      </c>
      <c r="I808" t="str">
        <f>_xll.BDP("912828HU Govt","FIRST_CPN_DT")</f>
        <v>9/30/2008</v>
      </c>
      <c r="J808" t="str">
        <f>_xll.BDP("912828HU Govt","COUPON_FREQUENCY_DESCRIPTION")</f>
        <v>S/A</v>
      </c>
      <c r="K808" t="str">
        <f>_xll.BDP("912828HU Govt","CPN_TYP")</f>
        <v>FIXED</v>
      </c>
      <c r="L808" t="str">
        <f>_xll.BDP("912828HU Govt","ID_ISIN")</f>
        <v>US912828HU78</v>
      </c>
      <c r="M808">
        <v>31992000000</v>
      </c>
      <c r="N808">
        <v>0</v>
      </c>
      <c r="O808" t="str">
        <f>_xll.BDP("912828HU Govt","ISSUE_DT")</f>
        <v>3/31/2008</v>
      </c>
      <c r="P808" t="str">
        <f>_xll.BDP("912828HU Govt","SECURITY_NAME")</f>
        <v>T 1 3/4 03/31/10</v>
      </c>
      <c r="Q808" t="str">
        <f>_xll.BDP("912828HU Govt","DAY_CNT_DES")</f>
        <v>ACT/ACT</v>
      </c>
      <c r="R808">
        <v>100</v>
      </c>
      <c r="S808" t="str">
        <f>_xll.BDP("912828HU Govt","ID_CUSIP")</f>
        <v>912828HU7</v>
      </c>
      <c r="T808" t="str">
        <f>_xll.BDP("912828HU Govt","IDX_RATIO")</f>
        <v>#N/A Field Not Applicable</v>
      </c>
    </row>
    <row r="809" spans="1:20" x14ac:dyDescent="0.25">
      <c r="A809" t="s">
        <v>14</v>
      </c>
      <c r="B809" t="str">
        <f>_xll.BDP("912828HX Govt","TICKER")</f>
        <v>T</v>
      </c>
      <c r="C809">
        <f>_xll.BDP("912828HX Govt","CPN")</f>
        <v>2.125</v>
      </c>
      <c r="D809" t="str">
        <f>_xll.BDP("912828HX Govt","YLD_YTM_BID")</f>
        <v>#N/A N/A</v>
      </c>
      <c r="E809" t="str">
        <f>_xll.BDP("912828HX Govt","MATURITY")</f>
        <v>4/30/2010</v>
      </c>
      <c r="F809" t="str">
        <f>_xll.BDP("912828HX Govt","MTY_TYP")</f>
        <v>NORMAL</v>
      </c>
      <c r="G809" t="str">
        <f>_xll.BDP("912828HX Govt","CRNCY")</f>
        <v>USD</v>
      </c>
      <c r="H809" t="str">
        <f>_xll.BDP("912828HX Govt","COUNTRY_FULL_NAME")</f>
        <v>UNITED STATES</v>
      </c>
      <c r="I809" t="str">
        <f>_xll.BDP("912828HX Govt","FIRST_CPN_DT")</f>
        <v>10/31/2008</v>
      </c>
      <c r="J809" t="str">
        <f>_xll.BDP("912828HX Govt","COUPON_FREQUENCY_DESCRIPTION")</f>
        <v>S/A</v>
      </c>
      <c r="K809" t="str">
        <f>_xll.BDP("912828HX Govt","CPN_TYP")</f>
        <v>FIXED</v>
      </c>
      <c r="L809" t="str">
        <f>_xll.BDP("912828HX Govt","ID_ISIN")</f>
        <v>US912828HX18</v>
      </c>
      <c r="M809">
        <v>32752000000</v>
      </c>
      <c r="N809">
        <v>0</v>
      </c>
      <c r="O809" t="str">
        <f>_xll.BDP("912828HX Govt","ISSUE_DT")</f>
        <v>4/30/2008</v>
      </c>
      <c r="P809" t="str">
        <f>_xll.BDP("912828HX Govt","SECURITY_NAME")</f>
        <v>T 2 1/8 04/30/10</v>
      </c>
      <c r="Q809" t="str">
        <f>_xll.BDP("912828HX Govt","DAY_CNT_DES")</f>
        <v>ACT/ACT</v>
      </c>
      <c r="R809">
        <v>100</v>
      </c>
      <c r="S809" t="str">
        <f>_xll.BDP("912828HX Govt","ID_CUSIP")</f>
        <v>912828HX1</v>
      </c>
      <c r="T809" t="str">
        <f>_xll.BDP("912828HX Govt","IDX_RATIO")</f>
        <v>#N/A Field Not Applicable</v>
      </c>
    </row>
    <row r="810" spans="1:20" x14ac:dyDescent="0.25">
      <c r="A810" t="s">
        <v>14</v>
      </c>
      <c r="B810" t="str">
        <f>_xll.BDP("912828JM Govt","TICKER")</f>
        <v>T</v>
      </c>
      <c r="C810">
        <f>_xll.BDP("912828JM Govt","CPN")</f>
        <v>3.125</v>
      </c>
      <c r="D810" t="str">
        <f>_xll.BDP("912828JM Govt","YLD_YTM_BID")</f>
        <v>#N/A N/A</v>
      </c>
      <c r="E810" t="str">
        <f>_xll.BDP("912828JM Govt","MATURITY")</f>
        <v>9/30/2013</v>
      </c>
      <c r="F810" t="str">
        <f>_xll.BDP("912828JM Govt","MTY_TYP")</f>
        <v>NORMAL</v>
      </c>
      <c r="G810" t="str">
        <f>_xll.BDP("912828JM Govt","CRNCY")</f>
        <v>USD</v>
      </c>
      <c r="H810" t="str">
        <f>_xll.BDP("912828JM Govt","COUNTRY_FULL_NAME")</f>
        <v>UNITED STATES</v>
      </c>
      <c r="I810" t="str">
        <f>_xll.BDP("912828JM Govt","FIRST_CPN_DT")</f>
        <v>3/31/2009</v>
      </c>
      <c r="J810" t="str">
        <f>_xll.BDP("912828JM Govt","COUPON_FREQUENCY_DESCRIPTION")</f>
        <v>S/A</v>
      </c>
      <c r="K810" t="str">
        <f>_xll.BDP("912828JM Govt","CPN_TYP")</f>
        <v>FIXED</v>
      </c>
      <c r="L810" t="str">
        <f>_xll.BDP("912828JM Govt","ID_ISIN")</f>
        <v>US912828JM35</v>
      </c>
      <c r="M810">
        <v>26220000000</v>
      </c>
      <c r="N810">
        <v>0</v>
      </c>
      <c r="O810" t="str">
        <f>_xll.BDP("912828JM Govt","ISSUE_DT")</f>
        <v>9/30/2008</v>
      </c>
      <c r="P810" t="str">
        <f>_xll.BDP("912828JM Govt","SECURITY_NAME")</f>
        <v>T 3 1/8 09/30/13</v>
      </c>
      <c r="Q810" t="str">
        <f>_xll.BDP("912828JM Govt","DAY_CNT_DES")</f>
        <v>ACT/ACT</v>
      </c>
      <c r="R810">
        <v>100</v>
      </c>
      <c r="S810" t="str">
        <f>_xll.BDP("912828JM Govt","ID_CUSIP")</f>
        <v>912828JM3</v>
      </c>
      <c r="T810" t="str">
        <f>_xll.BDP("912828JM Govt","IDX_RATIO")</f>
        <v>#N/A Field Not Applicable</v>
      </c>
    </row>
    <row r="811" spans="1:20" x14ac:dyDescent="0.25">
      <c r="A811" t="s">
        <v>14</v>
      </c>
      <c r="B811" t="str">
        <f>_xll.BDP("912828JQ Govt","TICKER")</f>
        <v>T</v>
      </c>
      <c r="C811">
        <f>_xll.BDP("912828JQ Govt","CPN")</f>
        <v>2.75</v>
      </c>
      <c r="D811" t="str">
        <f>_xll.BDP("912828JQ Govt","YLD_YTM_BID")</f>
        <v>#N/A N/A</v>
      </c>
      <c r="E811" t="str">
        <f>_xll.BDP("912828JQ Govt","MATURITY")</f>
        <v>10/31/2013</v>
      </c>
      <c r="F811" t="str">
        <f>_xll.BDP("912828JQ Govt","MTY_TYP")</f>
        <v>NORMAL</v>
      </c>
      <c r="G811" t="str">
        <f>_xll.BDP("912828JQ Govt","CRNCY")</f>
        <v>USD</v>
      </c>
      <c r="H811" t="str">
        <f>_xll.BDP("912828JQ Govt","COUNTRY_FULL_NAME")</f>
        <v>UNITED STATES</v>
      </c>
      <c r="I811" t="str">
        <f>_xll.BDP("912828JQ Govt","FIRST_CPN_DT")</f>
        <v>4/30/2009</v>
      </c>
      <c r="J811" t="str">
        <f>_xll.BDP("912828JQ Govt","COUPON_FREQUENCY_DESCRIPTION")</f>
        <v>S/A</v>
      </c>
      <c r="K811" t="str">
        <f>_xll.BDP("912828JQ Govt","CPN_TYP")</f>
        <v>FIXED</v>
      </c>
      <c r="L811" t="str">
        <f>_xll.BDP("912828JQ Govt","ID_ISIN")</f>
        <v>US912828JQ49</v>
      </c>
      <c r="M811">
        <v>25063000000</v>
      </c>
      <c r="N811">
        <v>0</v>
      </c>
      <c r="O811" t="str">
        <f>_xll.BDP("912828JQ Govt","ISSUE_DT")</f>
        <v>10/31/2008</v>
      </c>
      <c r="P811" t="str">
        <f>_xll.BDP("912828JQ Govt","SECURITY_NAME")</f>
        <v>T 2 3/4 10/31/13</v>
      </c>
      <c r="Q811" t="str">
        <f>_xll.BDP("912828JQ Govt","DAY_CNT_DES")</f>
        <v>ACT/ACT</v>
      </c>
      <c r="R811">
        <v>100</v>
      </c>
      <c r="S811" t="str">
        <f>_xll.BDP("912828JQ Govt","ID_CUSIP")</f>
        <v>912828JQ4</v>
      </c>
      <c r="T811" t="str">
        <f>_xll.BDP("912828JQ Govt","IDX_RATIO")</f>
        <v>#N/A Field Not Applicable</v>
      </c>
    </row>
    <row r="812" spans="1:20" x14ac:dyDescent="0.25">
      <c r="A812" t="s">
        <v>14</v>
      </c>
      <c r="B812" t="str">
        <f>_xll.BDP("912828KF Govt","TICKER")</f>
        <v>T</v>
      </c>
      <c r="C812">
        <f>_xll.BDP("912828KF Govt","CPN")</f>
        <v>1.875</v>
      </c>
      <c r="D812" t="str">
        <f>_xll.BDP("912828KF Govt","YLD_YTM_BID")</f>
        <v>#N/A N/A</v>
      </c>
      <c r="E812" t="str">
        <f>_xll.BDP("912828KF Govt","MATURITY")</f>
        <v>2/28/2014</v>
      </c>
      <c r="F812" t="str">
        <f>_xll.BDP("912828KF Govt","MTY_TYP")</f>
        <v>NORMAL</v>
      </c>
      <c r="G812" t="str">
        <f>_xll.BDP("912828KF Govt","CRNCY")</f>
        <v>USD</v>
      </c>
      <c r="H812" t="str">
        <f>_xll.BDP("912828KF Govt","COUNTRY_FULL_NAME")</f>
        <v>UNITED STATES</v>
      </c>
      <c r="I812" t="str">
        <f>_xll.BDP("912828KF Govt","FIRST_CPN_DT")</f>
        <v>8/31/2009</v>
      </c>
      <c r="J812" t="str">
        <f>_xll.BDP("912828KF Govt","COUPON_FREQUENCY_DESCRIPTION")</f>
        <v>S/A</v>
      </c>
      <c r="K812" t="str">
        <f>_xll.BDP("912828KF Govt","CPN_TYP")</f>
        <v>FIXED</v>
      </c>
      <c r="L812" t="str">
        <f>_xll.BDP("912828KF Govt","ID_ISIN")</f>
        <v>US912828KF64</v>
      </c>
      <c r="M812">
        <v>33714000000</v>
      </c>
      <c r="N812">
        <v>0</v>
      </c>
      <c r="O812" t="str">
        <f>_xll.BDP("912828KF Govt","ISSUE_DT")</f>
        <v>3/2/2009</v>
      </c>
      <c r="P812" t="str">
        <f>_xll.BDP("912828KF Govt","SECURITY_NAME")</f>
        <v>T 1 7/8 02/28/14</v>
      </c>
      <c r="Q812" t="str">
        <f>_xll.BDP("912828KF Govt","DAY_CNT_DES")</f>
        <v>ACT/ACT</v>
      </c>
      <c r="R812">
        <v>100</v>
      </c>
      <c r="S812" t="str">
        <f>_xll.BDP("912828KF Govt","ID_CUSIP")</f>
        <v>912828KF6</v>
      </c>
      <c r="T812" t="str">
        <f>_xll.BDP("912828KF Govt","IDX_RATIO")</f>
        <v>#N/A Field Not Applicable</v>
      </c>
    </row>
    <row r="813" spans="1:20" x14ac:dyDescent="0.25">
      <c r="A813" t="s">
        <v>14</v>
      </c>
      <c r="B813" t="str">
        <f>_xll.BDP("912828KU Govt","TICKER")</f>
        <v>T</v>
      </c>
      <c r="C813">
        <f>_xll.BDP("912828KU Govt","CPN")</f>
        <v>0.875</v>
      </c>
      <c r="D813" t="str">
        <f>_xll.BDP("912828KU Govt","YLD_YTM_BID")</f>
        <v>#N/A N/A</v>
      </c>
      <c r="E813" t="str">
        <f>_xll.BDP("912828KU Govt","MATURITY")</f>
        <v>5/31/2011</v>
      </c>
      <c r="F813" t="str">
        <f>_xll.BDP("912828KU Govt","MTY_TYP")</f>
        <v>NORMAL</v>
      </c>
      <c r="G813" t="str">
        <f>_xll.BDP("912828KU Govt","CRNCY")</f>
        <v>USD</v>
      </c>
      <c r="H813" t="str">
        <f>_xll.BDP("912828KU Govt","COUNTRY_FULL_NAME")</f>
        <v>UNITED STATES</v>
      </c>
      <c r="I813" t="str">
        <f>_xll.BDP("912828KU Govt","FIRST_CPN_DT")</f>
        <v>11/30/2009</v>
      </c>
      <c r="J813" t="str">
        <f>_xll.BDP("912828KU Govt","COUPON_FREQUENCY_DESCRIPTION")</f>
        <v>S/A</v>
      </c>
      <c r="K813" t="str">
        <f>_xll.BDP("912828KU Govt","CPN_TYP")</f>
        <v>FIXED</v>
      </c>
      <c r="L813" t="str">
        <f>_xll.BDP("912828KU Govt","ID_ISIN")</f>
        <v>US912828KU32</v>
      </c>
      <c r="M813">
        <v>41287000000</v>
      </c>
      <c r="N813">
        <v>0</v>
      </c>
      <c r="O813" t="str">
        <f>_xll.BDP("912828KU Govt","ISSUE_DT")</f>
        <v>6/1/2009</v>
      </c>
      <c r="P813" t="str">
        <f>_xll.BDP("912828KU Govt","SECURITY_NAME")</f>
        <v>T 0 7/8 05/31/11</v>
      </c>
      <c r="Q813" t="str">
        <f>_xll.BDP("912828KU Govt","DAY_CNT_DES")</f>
        <v>ACT/ACT</v>
      </c>
      <c r="R813">
        <v>100</v>
      </c>
      <c r="S813" t="str">
        <f>_xll.BDP("912828KU Govt","ID_CUSIP")</f>
        <v>912828KU3</v>
      </c>
      <c r="T813" t="str">
        <f>_xll.BDP("912828KU Govt","IDX_RATIO")</f>
        <v>#N/A Field Not Applicable</v>
      </c>
    </row>
    <row r="814" spans="1:20" x14ac:dyDescent="0.25">
      <c r="A814" t="s">
        <v>14</v>
      </c>
      <c r="B814" t="str">
        <f>_xll.BDP("912828LD Govt","TICKER")</f>
        <v>T</v>
      </c>
      <c r="C814">
        <f>_xll.BDP("912828LD Govt","CPN")</f>
        <v>3.25</v>
      </c>
      <c r="D814" t="str">
        <f>_xll.BDP("912828LD Govt","YLD_YTM_BID")</f>
        <v>#N/A N/A</v>
      </c>
      <c r="E814" t="str">
        <f>_xll.BDP("912828LD Govt","MATURITY")</f>
        <v>7/31/2016</v>
      </c>
      <c r="F814" t="str">
        <f>_xll.BDP("912828LD Govt","MTY_TYP")</f>
        <v>NORMAL</v>
      </c>
      <c r="G814" t="str">
        <f>_xll.BDP("912828LD Govt","CRNCY")</f>
        <v>USD</v>
      </c>
      <c r="H814" t="str">
        <f>_xll.BDP("912828LD Govt","COUNTRY_FULL_NAME")</f>
        <v>UNITED STATES</v>
      </c>
      <c r="I814" t="str">
        <f>_xll.BDP("912828LD Govt","FIRST_CPN_DT")</f>
        <v>1/31/2010</v>
      </c>
      <c r="J814" t="str">
        <f>_xll.BDP("912828LD Govt","COUPON_FREQUENCY_DESCRIPTION")</f>
        <v>S/A</v>
      </c>
      <c r="K814" t="str">
        <f>_xll.BDP("912828LD Govt","CPN_TYP")</f>
        <v>FIXED</v>
      </c>
      <c r="L814" t="str">
        <f>_xll.BDP("912828LD Govt","ID_ISIN")</f>
        <v>US912828LD08</v>
      </c>
      <c r="M814">
        <v>28701000000</v>
      </c>
      <c r="N814">
        <v>0</v>
      </c>
      <c r="O814" t="str">
        <f>_xll.BDP("912828LD Govt","ISSUE_DT")</f>
        <v>7/31/2009</v>
      </c>
      <c r="P814" t="str">
        <f>_xll.BDP("912828LD Govt","SECURITY_NAME")</f>
        <v>T 3 1/4 07/31/16</v>
      </c>
      <c r="Q814" t="str">
        <f>_xll.BDP("912828LD Govt","DAY_CNT_DES")</f>
        <v>ACT/ACT</v>
      </c>
      <c r="R814">
        <v>100</v>
      </c>
      <c r="S814" t="str">
        <f>_xll.BDP("912828LD Govt","ID_CUSIP")</f>
        <v>912828LD0</v>
      </c>
      <c r="T814" t="str">
        <f>_xll.BDP("912828LD Govt","IDX_RATIO")</f>
        <v>#N/A Field Not Applicable</v>
      </c>
    </row>
    <row r="815" spans="1:20" x14ac:dyDescent="0.25">
      <c r="A815" t="s">
        <v>14</v>
      </c>
      <c r="B815" t="str">
        <f>_xll.BDP("912828LG Govt","TICKER")</f>
        <v>T</v>
      </c>
      <c r="C815">
        <f>_xll.BDP("912828LG Govt","CPN")</f>
        <v>1</v>
      </c>
      <c r="D815" t="str">
        <f>_xll.BDP("912828LG Govt","YLD_YTM_BID")</f>
        <v>#N/A N/A</v>
      </c>
      <c r="E815" t="str">
        <f>_xll.BDP("912828LG Govt","MATURITY")</f>
        <v>7/31/2011</v>
      </c>
      <c r="F815" t="str">
        <f>_xll.BDP("912828LG Govt","MTY_TYP")</f>
        <v>NORMAL</v>
      </c>
      <c r="G815" t="str">
        <f>_xll.BDP("912828LG Govt","CRNCY")</f>
        <v>USD</v>
      </c>
      <c r="H815" t="str">
        <f>_xll.BDP("912828LG Govt","COUNTRY_FULL_NAME")</f>
        <v>UNITED STATES</v>
      </c>
      <c r="I815" t="str">
        <f>_xll.BDP("912828LG Govt","FIRST_CPN_DT")</f>
        <v>1/31/2010</v>
      </c>
      <c r="J815" t="str">
        <f>_xll.BDP("912828LG Govt","COUPON_FREQUENCY_DESCRIPTION")</f>
        <v>S/A</v>
      </c>
      <c r="K815" t="str">
        <f>_xll.BDP("912828LG Govt","CPN_TYP")</f>
        <v>FIXED</v>
      </c>
      <c r="L815" t="str">
        <f>_xll.BDP("912828LG Govt","ID_ISIN")</f>
        <v>US912828LG39</v>
      </c>
      <c r="M815">
        <v>43052000000</v>
      </c>
      <c r="N815">
        <v>0</v>
      </c>
      <c r="O815" t="str">
        <f>_xll.BDP("912828LG Govt","ISSUE_DT")</f>
        <v>7/31/2009</v>
      </c>
      <c r="P815" t="str">
        <f>_xll.BDP("912828LG Govt","SECURITY_NAME")</f>
        <v>T 1 07/31/11</v>
      </c>
      <c r="Q815" t="str">
        <f>_xll.BDP("912828LG Govt","DAY_CNT_DES")</f>
        <v>ACT/ACT</v>
      </c>
      <c r="R815">
        <v>100</v>
      </c>
      <c r="S815" t="str">
        <f>_xll.BDP("912828LG Govt","ID_CUSIP")</f>
        <v>912828LG3</v>
      </c>
      <c r="T815" t="str">
        <f>_xll.BDP("912828LG Govt","IDX_RATIO")</f>
        <v>#N/A Field Not Applicable</v>
      </c>
    </row>
    <row r="816" spans="1:20" x14ac:dyDescent="0.25">
      <c r="A816" t="s">
        <v>14</v>
      </c>
      <c r="B816" t="str">
        <f>_xll.BDP("912828LP Govt","TICKER")</f>
        <v>T</v>
      </c>
      <c r="C816">
        <f>_xll.BDP("912828LP Govt","CPN")</f>
        <v>3</v>
      </c>
      <c r="D816" t="str">
        <f>_xll.BDP("912828LP Govt","YLD_YTM_BID")</f>
        <v>#N/A N/A</v>
      </c>
      <c r="E816" t="str">
        <f>_xll.BDP("912828LP Govt","MATURITY")</f>
        <v>9/30/2016</v>
      </c>
      <c r="F816" t="str">
        <f>_xll.BDP("912828LP Govt","MTY_TYP")</f>
        <v>NORMAL</v>
      </c>
      <c r="G816" t="str">
        <f>_xll.BDP("912828LP Govt","CRNCY")</f>
        <v>USD</v>
      </c>
      <c r="H816" t="str">
        <f>_xll.BDP("912828LP Govt","COUNTRY_FULL_NAME")</f>
        <v>UNITED STATES</v>
      </c>
      <c r="I816" t="str">
        <f>_xll.BDP("912828LP Govt","FIRST_CPN_DT")</f>
        <v>3/31/2010</v>
      </c>
      <c r="J816" t="str">
        <f>_xll.BDP("912828LP Govt","COUPON_FREQUENCY_DESCRIPTION")</f>
        <v>S/A</v>
      </c>
      <c r="K816" t="str">
        <f>_xll.BDP("912828LP Govt","CPN_TYP")</f>
        <v>FIXED</v>
      </c>
      <c r="L816" t="str">
        <f>_xll.BDP("912828LP Govt","ID_ISIN")</f>
        <v>US912828LP38</v>
      </c>
      <c r="M816">
        <v>29514000000</v>
      </c>
      <c r="N816">
        <v>0</v>
      </c>
      <c r="O816" t="str">
        <f>_xll.BDP("912828LP Govt","ISSUE_DT")</f>
        <v>9/30/2009</v>
      </c>
      <c r="P816" t="str">
        <f>_xll.BDP("912828LP Govt","SECURITY_NAME")</f>
        <v>T 3 09/30/16</v>
      </c>
      <c r="Q816" t="str">
        <f>_xll.BDP("912828LP Govt","DAY_CNT_DES")</f>
        <v>ACT/ACT</v>
      </c>
      <c r="R816">
        <v>100</v>
      </c>
      <c r="S816" t="str">
        <f>_xll.BDP("912828LP Govt","ID_CUSIP")</f>
        <v>912828LP3</v>
      </c>
      <c r="T816" t="str">
        <f>_xll.BDP("912828LP Govt","IDX_RATIO")</f>
        <v>#N/A Field Not Applicable</v>
      </c>
    </row>
    <row r="817" spans="1:20" x14ac:dyDescent="0.25">
      <c r="A817" t="s">
        <v>14</v>
      </c>
      <c r="B817" t="str">
        <f>_xll.BDP("912828LR Govt","TICKER")</f>
        <v>T</v>
      </c>
      <c r="C817">
        <f>_xll.BDP("912828LR Govt","CPN")</f>
        <v>1.375</v>
      </c>
      <c r="D817" t="str">
        <f>_xll.BDP("912828LR Govt","YLD_YTM_BID")</f>
        <v>#N/A N/A</v>
      </c>
      <c r="E817" t="str">
        <f>_xll.BDP("912828LR Govt","MATURITY")</f>
        <v>10/15/2012</v>
      </c>
      <c r="F817" t="str">
        <f>_xll.BDP("912828LR Govt","MTY_TYP")</f>
        <v>NORMAL</v>
      </c>
      <c r="G817" t="str">
        <f>_xll.BDP("912828LR Govt","CRNCY")</f>
        <v>USD</v>
      </c>
      <c r="H817" t="str">
        <f>_xll.BDP("912828LR Govt","COUNTRY_FULL_NAME")</f>
        <v>UNITED STATES</v>
      </c>
      <c r="I817" t="str">
        <f>_xll.BDP("912828LR Govt","FIRST_CPN_DT")</f>
        <v>4/15/2010</v>
      </c>
      <c r="J817" t="str">
        <f>_xll.BDP("912828LR Govt","COUPON_FREQUENCY_DESCRIPTION")</f>
        <v>S/A</v>
      </c>
      <c r="K817" t="str">
        <f>_xll.BDP("912828LR Govt","CPN_TYP")</f>
        <v>FIXED</v>
      </c>
      <c r="L817" t="str">
        <f>_xll.BDP("912828LR Govt","ID_ISIN")</f>
        <v>US912828LR93</v>
      </c>
      <c r="M817">
        <v>39306000000</v>
      </c>
      <c r="N817">
        <v>0</v>
      </c>
      <c r="O817" t="str">
        <f>_xll.BDP("912828LR Govt","ISSUE_DT")</f>
        <v>10/15/2009</v>
      </c>
      <c r="P817" t="str">
        <f>_xll.BDP("912828LR Govt","SECURITY_NAME")</f>
        <v>T 1 3/8 10/15/12</v>
      </c>
      <c r="Q817" t="str">
        <f>_xll.BDP("912828LR Govt","DAY_CNT_DES")</f>
        <v>ACT/ACT</v>
      </c>
      <c r="R817">
        <v>100</v>
      </c>
      <c r="S817" t="str">
        <f>_xll.BDP("912828LR Govt","ID_CUSIP")</f>
        <v>912828LR9</v>
      </c>
      <c r="T817" t="str">
        <f>_xll.BDP("912828LR Govt","IDX_RATIO")</f>
        <v>#N/A Field Not Applicable</v>
      </c>
    </row>
    <row r="818" spans="1:20" x14ac:dyDescent="0.25">
      <c r="A818" t="s">
        <v>14</v>
      </c>
      <c r="B818" t="str">
        <f>_xll.BDP("912828LU Govt","TICKER")</f>
        <v>T</v>
      </c>
      <c r="C818">
        <f>_xll.BDP("912828LU Govt","CPN")</f>
        <v>3.125</v>
      </c>
      <c r="D818" t="str">
        <f>_xll.BDP("912828LU Govt","YLD_YTM_BID")</f>
        <v>#N/A N/A</v>
      </c>
      <c r="E818" t="str">
        <f>_xll.BDP("912828LU Govt","MATURITY")</f>
        <v>10/31/2016</v>
      </c>
      <c r="F818" t="str">
        <f>_xll.BDP("912828LU Govt","MTY_TYP")</f>
        <v>NORMAL</v>
      </c>
      <c r="G818" t="str">
        <f>_xll.BDP("912828LU Govt","CRNCY")</f>
        <v>USD</v>
      </c>
      <c r="H818" t="str">
        <f>_xll.BDP("912828LU Govt","COUNTRY_FULL_NAME")</f>
        <v>UNITED STATES</v>
      </c>
      <c r="I818" t="str">
        <f>_xll.BDP("912828LU Govt","FIRST_CPN_DT")</f>
        <v>4/30/2010</v>
      </c>
      <c r="J818" t="str">
        <f>_xll.BDP("912828LU Govt","COUPON_FREQUENCY_DESCRIPTION")</f>
        <v>S/A</v>
      </c>
      <c r="K818" t="str">
        <f>_xll.BDP("912828LU Govt","CPN_TYP")</f>
        <v>FIXED</v>
      </c>
      <c r="L818" t="str">
        <f>_xll.BDP("912828LU Govt","ID_ISIN")</f>
        <v>US912828LU23</v>
      </c>
      <c r="M818">
        <v>31764000000</v>
      </c>
      <c r="N818">
        <v>0</v>
      </c>
      <c r="O818" t="str">
        <f>_xll.BDP("912828LU Govt","ISSUE_DT")</f>
        <v>11/2/2009</v>
      </c>
      <c r="P818" t="str">
        <f>_xll.BDP("912828LU Govt","SECURITY_NAME")</f>
        <v>T 3 1/8 10/31/16</v>
      </c>
      <c r="Q818" t="str">
        <f>_xll.BDP("912828LU Govt","DAY_CNT_DES")</f>
        <v>ACT/ACT</v>
      </c>
      <c r="R818">
        <v>100</v>
      </c>
      <c r="S818" t="str">
        <f>_xll.BDP("912828LU Govt","ID_CUSIP")</f>
        <v>912828LU2</v>
      </c>
      <c r="T818" t="str">
        <f>_xll.BDP("912828LU Govt","IDX_RATIO")</f>
        <v>#N/A Field Not Applicable</v>
      </c>
    </row>
    <row r="819" spans="1:20" x14ac:dyDescent="0.25">
      <c r="A819" t="s">
        <v>14</v>
      </c>
      <c r="B819" t="str">
        <f>_xll.BDP("912828MB Govt","TICKER")</f>
        <v>T</v>
      </c>
      <c r="C819">
        <f>_xll.BDP("912828MB Govt","CPN")</f>
        <v>1.125</v>
      </c>
      <c r="D819" t="str">
        <f>_xll.BDP("912828MB Govt","YLD_YTM_BID")</f>
        <v>#N/A N/A</v>
      </c>
      <c r="E819" t="str">
        <f>_xll.BDP("912828MB Govt","MATURITY")</f>
        <v>12/15/2012</v>
      </c>
      <c r="F819" t="str">
        <f>_xll.BDP("912828MB Govt","MTY_TYP")</f>
        <v>NORMAL</v>
      </c>
      <c r="G819" t="str">
        <f>_xll.BDP("912828MB Govt","CRNCY")</f>
        <v>USD</v>
      </c>
      <c r="H819" t="str">
        <f>_xll.BDP("912828MB Govt","COUNTRY_FULL_NAME")</f>
        <v>UNITED STATES</v>
      </c>
      <c r="I819" t="str">
        <f>_xll.BDP("912828MB Govt","FIRST_CPN_DT")</f>
        <v>6/15/2010</v>
      </c>
      <c r="J819" t="str">
        <f>_xll.BDP("912828MB Govt","COUPON_FREQUENCY_DESCRIPTION")</f>
        <v>S/A</v>
      </c>
      <c r="K819" t="str">
        <f>_xll.BDP("912828MB Govt","CPN_TYP")</f>
        <v>FIXED</v>
      </c>
      <c r="L819" t="str">
        <f>_xll.BDP("912828MB Govt","ID_ISIN")</f>
        <v>US912828MB33</v>
      </c>
      <c r="M819">
        <v>40217000000</v>
      </c>
      <c r="N819">
        <v>0</v>
      </c>
      <c r="O819" t="str">
        <f>_xll.BDP("912828MB Govt","ISSUE_DT")</f>
        <v>12/15/2009</v>
      </c>
      <c r="P819" t="str">
        <f>_xll.BDP("912828MB Govt","SECURITY_NAME")</f>
        <v>T 1 1/8 12/15/12</v>
      </c>
      <c r="Q819" t="str">
        <f>_xll.BDP("912828MB Govt","DAY_CNT_DES")</f>
        <v>ACT/ACT</v>
      </c>
      <c r="R819">
        <v>100</v>
      </c>
      <c r="S819" t="str">
        <f>_xll.BDP("912828MB Govt","ID_CUSIP")</f>
        <v>912828MB3</v>
      </c>
      <c r="T819" t="str">
        <f>_xll.BDP("912828MB Govt","IDX_RATIO")</f>
        <v>#N/A Field Not Applicable</v>
      </c>
    </row>
    <row r="820" spans="1:20" x14ac:dyDescent="0.25">
      <c r="A820" t="s">
        <v>14</v>
      </c>
      <c r="B820" t="str">
        <f>_xll.BDP("912828MJ Govt","TICKER")</f>
        <v>T</v>
      </c>
      <c r="C820">
        <f>_xll.BDP("912828MJ Govt","CPN")</f>
        <v>0.875</v>
      </c>
      <c r="D820" t="str">
        <f>_xll.BDP("912828MJ Govt","YLD_YTM_BID")</f>
        <v>#N/A N/A</v>
      </c>
      <c r="E820" t="str">
        <f>_xll.BDP("912828MJ Govt","MATURITY")</f>
        <v>1/31/2012</v>
      </c>
      <c r="F820" t="str">
        <f>_xll.BDP("912828MJ Govt","MTY_TYP")</f>
        <v>NORMAL</v>
      </c>
      <c r="G820" t="str">
        <f>_xll.BDP("912828MJ Govt","CRNCY")</f>
        <v>USD</v>
      </c>
      <c r="H820" t="str">
        <f>_xll.BDP("912828MJ Govt","COUNTRY_FULL_NAME")</f>
        <v>UNITED STATES</v>
      </c>
      <c r="I820" t="str">
        <f>_xll.BDP("912828MJ Govt","FIRST_CPN_DT")</f>
        <v>7/31/2010</v>
      </c>
      <c r="J820" t="str">
        <f>_xll.BDP("912828MJ Govt","COUPON_FREQUENCY_DESCRIPTION")</f>
        <v>S/A</v>
      </c>
      <c r="K820" t="str">
        <f>_xll.BDP("912828MJ Govt","CPN_TYP")</f>
        <v>FIXED</v>
      </c>
      <c r="L820" t="str">
        <f>_xll.BDP("912828MJ Govt","ID_ISIN")</f>
        <v>US912828MJ68</v>
      </c>
      <c r="M820">
        <v>44716000000</v>
      </c>
      <c r="N820">
        <v>0</v>
      </c>
      <c r="O820" t="str">
        <f>_xll.BDP("912828MJ Govt","ISSUE_DT")</f>
        <v>2/1/2010</v>
      </c>
      <c r="P820" t="str">
        <f>_xll.BDP("912828MJ Govt","SECURITY_NAME")</f>
        <v>T 0 7/8 01/31/12</v>
      </c>
      <c r="Q820" t="str">
        <f>_xll.BDP("912828MJ Govt","DAY_CNT_DES")</f>
        <v>ACT/ACT</v>
      </c>
      <c r="R820">
        <v>100</v>
      </c>
      <c r="S820" t="str">
        <f>_xll.BDP("912828MJ Govt","ID_CUSIP")</f>
        <v>912828MJ6</v>
      </c>
      <c r="T820" t="str">
        <f>_xll.BDP("912828MJ Govt","IDX_RATIO")</f>
        <v>#N/A Field Not Applicable</v>
      </c>
    </row>
    <row r="821" spans="1:20" x14ac:dyDescent="0.25">
      <c r="A821" t="s">
        <v>14</v>
      </c>
      <c r="B821" t="str">
        <f>_xll.BDP("912828MM Govt","TICKER")</f>
        <v>T</v>
      </c>
      <c r="C821">
        <f>_xll.BDP("912828MM Govt","CPN")</f>
        <v>0.75</v>
      </c>
      <c r="D821" t="str">
        <f>_xll.BDP("912828MM Govt","YLD_YTM_BID")</f>
        <v>#N/A N/A</v>
      </c>
      <c r="E821" t="str">
        <f>_xll.BDP("912828MM Govt","MATURITY")</f>
        <v>11/30/2011</v>
      </c>
      <c r="F821" t="str">
        <f>_xll.BDP("912828MM Govt","MTY_TYP")</f>
        <v>NORMAL</v>
      </c>
      <c r="G821" t="str">
        <f>_xll.BDP("912828MM Govt","CRNCY")</f>
        <v>USD</v>
      </c>
      <c r="H821" t="str">
        <f>_xll.BDP("912828MM Govt","COUNTRY_FULL_NAME")</f>
        <v>UNITED STATES</v>
      </c>
      <c r="I821" t="str">
        <f>_xll.BDP("912828MM Govt","FIRST_CPN_DT")</f>
        <v>5/31/2010</v>
      </c>
      <c r="J821" t="str">
        <f>_xll.BDP("912828MM Govt","COUPON_FREQUENCY_DESCRIPTION")</f>
        <v>S/A</v>
      </c>
      <c r="K821" t="str">
        <f>_xll.BDP("912828MM Govt","CPN_TYP")</f>
        <v>FIXED</v>
      </c>
      <c r="L821" t="str">
        <f>_xll.BDP("912828MM Govt","ID_ISIN")</f>
        <v>US912828MM97</v>
      </c>
      <c r="M821">
        <v>45321000000</v>
      </c>
      <c r="N821">
        <v>0</v>
      </c>
      <c r="O821" t="str">
        <f>_xll.BDP("912828MM Govt","ISSUE_DT")</f>
        <v>11/30/2009</v>
      </c>
      <c r="P821" t="str">
        <f>_xll.BDP("912828MM Govt","SECURITY_NAME")</f>
        <v>T 0 3/4 11/30/11</v>
      </c>
      <c r="Q821" t="str">
        <f>_xll.BDP("912828MM Govt","DAY_CNT_DES")</f>
        <v>ACT/ACT</v>
      </c>
      <c r="R821">
        <v>100</v>
      </c>
      <c r="S821" t="str">
        <f>_xll.BDP("912828MM Govt","ID_CUSIP")</f>
        <v>912828MM9</v>
      </c>
      <c r="T821" t="str">
        <f>_xll.BDP("912828MM Govt","IDX_RATIO")</f>
        <v>#N/A Field Not Applicable</v>
      </c>
    </row>
    <row r="822" spans="1:20" x14ac:dyDescent="0.25">
      <c r="A822" t="s">
        <v>14</v>
      </c>
      <c r="B822" t="str">
        <f>_xll.BDP("912828MN Govt","TICKER")</f>
        <v>T</v>
      </c>
      <c r="C822">
        <f>_xll.BDP("912828MN Govt","CPN")</f>
        <v>1.375</v>
      </c>
      <c r="D822" t="str">
        <f>_xll.BDP("912828MN Govt","YLD_YTM_BID")</f>
        <v>#N/A N/A</v>
      </c>
      <c r="E822" t="str">
        <f>_xll.BDP("912828MN Govt","MATURITY")</f>
        <v>2/15/2013</v>
      </c>
      <c r="F822" t="str">
        <f>_xll.BDP("912828MN Govt","MTY_TYP")</f>
        <v>NORMAL</v>
      </c>
      <c r="G822" t="str">
        <f>_xll.BDP("912828MN Govt","CRNCY")</f>
        <v>USD</v>
      </c>
      <c r="H822" t="str">
        <f>_xll.BDP("912828MN Govt","COUNTRY_FULL_NAME")</f>
        <v>UNITED STATES</v>
      </c>
      <c r="I822" t="str">
        <f>_xll.BDP("912828MN Govt","FIRST_CPN_DT")</f>
        <v>8/15/2010</v>
      </c>
      <c r="J822" t="str">
        <f>_xll.BDP("912828MN Govt","COUPON_FREQUENCY_DESCRIPTION")</f>
        <v>S/A</v>
      </c>
      <c r="K822" t="str">
        <f>_xll.BDP("912828MN Govt","CPN_TYP")</f>
        <v>FIXED</v>
      </c>
      <c r="L822" t="str">
        <f>_xll.BDP("912828MN Govt","ID_ISIN")</f>
        <v>US912828MN70</v>
      </c>
      <c r="M822">
        <v>44497000000</v>
      </c>
      <c r="N822">
        <v>0</v>
      </c>
      <c r="O822" t="str">
        <f>_xll.BDP("912828MN Govt","ISSUE_DT")</f>
        <v>2/16/2010</v>
      </c>
      <c r="P822" t="str">
        <f>_xll.BDP("912828MN Govt","SECURITY_NAME")</f>
        <v>T 1 3/8 02/15/13</v>
      </c>
      <c r="Q822" t="str">
        <f>_xll.BDP("912828MN Govt","DAY_CNT_DES")</f>
        <v>ACT/ACT</v>
      </c>
      <c r="R822">
        <v>100</v>
      </c>
      <c r="S822" t="str">
        <f>_xll.BDP("912828MN Govt","ID_CUSIP")</f>
        <v>912828MN7</v>
      </c>
      <c r="T822" t="str">
        <f>_xll.BDP("912828MN Govt","IDX_RATIO")</f>
        <v>#N/A Field Not Applicable</v>
      </c>
    </row>
    <row r="823" spans="1:20" x14ac:dyDescent="0.25">
      <c r="A823" t="s">
        <v>14</v>
      </c>
      <c r="B823" t="str">
        <f>_xll.BDP("912828MR Govt","TICKER")</f>
        <v>T</v>
      </c>
      <c r="C823">
        <f>_xll.BDP("912828MR Govt","CPN")</f>
        <v>2.375</v>
      </c>
      <c r="D823" t="str">
        <f>_xll.BDP("912828MR Govt","YLD_YTM_BID")</f>
        <v>#N/A N/A</v>
      </c>
      <c r="E823" t="str">
        <f>_xll.BDP("912828MR Govt","MATURITY")</f>
        <v>2/28/2015</v>
      </c>
      <c r="F823" t="str">
        <f>_xll.BDP("912828MR Govt","MTY_TYP")</f>
        <v>NORMAL</v>
      </c>
      <c r="G823" t="str">
        <f>_xll.BDP("912828MR Govt","CRNCY")</f>
        <v>USD</v>
      </c>
      <c r="H823" t="str">
        <f>_xll.BDP("912828MR Govt","COUNTRY_FULL_NAME")</f>
        <v>UNITED STATES</v>
      </c>
      <c r="I823" t="str">
        <f>_xll.BDP("912828MR Govt","FIRST_CPN_DT")</f>
        <v>8/31/2010</v>
      </c>
      <c r="J823" t="str">
        <f>_xll.BDP("912828MR Govt","COUPON_FREQUENCY_DESCRIPTION")</f>
        <v>S/A</v>
      </c>
      <c r="K823" t="str">
        <f>_xll.BDP("912828MR Govt","CPN_TYP")</f>
        <v>FIXED</v>
      </c>
      <c r="L823" t="str">
        <f>_xll.BDP("912828MR Govt","ID_ISIN")</f>
        <v>US912828MR84</v>
      </c>
      <c r="M823">
        <v>43033000000</v>
      </c>
      <c r="N823">
        <v>0</v>
      </c>
      <c r="O823" t="str">
        <f>_xll.BDP("912828MR Govt","ISSUE_DT")</f>
        <v>3/1/2010</v>
      </c>
      <c r="P823" t="str">
        <f>_xll.BDP("912828MR Govt","SECURITY_NAME")</f>
        <v>T 2 3/8 02/28/15</v>
      </c>
      <c r="Q823" t="str">
        <f>_xll.BDP("912828MR Govt","DAY_CNT_DES")</f>
        <v>ACT/ACT</v>
      </c>
      <c r="R823">
        <v>100</v>
      </c>
      <c r="S823" t="str">
        <f>_xll.BDP("912828MR Govt","ID_CUSIP")</f>
        <v>912828MR8</v>
      </c>
      <c r="T823" t="str">
        <f>_xll.BDP("912828MR Govt","IDX_RATIO")</f>
        <v>#N/A Field Not Applicable</v>
      </c>
    </row>
    <row r="824" spans="1:20" x14ac:dyDescent="0.25">
      <c r="A824" t="s">
        <v>14</v>
      </c>
      <c r="B824" t="str">
        <f>_xll.BDP("912828MV Govt","TICKER")</f>
        <v>T</v>
      </c>
      <c r="C824">
        <f>_xll.BDP("912828MV Govt","CPN")</f>
        <v>3.25</v>
      </c>
      <c r="D824" t="str">
        <f>_xll.BDP("912828MV Govt","YLD_YTM_BID")</f>
        <v>#N/A N/A</v>
      </c>
      <c r="E824" t="str">
        <f>_xll.BDP("912828MV Govt","MATURITY")</f>
        <v>3/31/2017</v>
      </c>
      <c r="F824" t="str">
        <f>_xll.BDP("912828MV Govt","MTY_TYP")</f>
        <v>NORMAL</v>
      </c>
      <c r="G824" t="str">
        <f>_xll.BDP("912828MV Govt","CRNCY")</f>
        <v>USD</v>
      </c>
      <c r="H824" t="str">
        <f>_xll.BDP("912828MV Govt","COUNTRY_FULL_NAME")</f>
        <v>UNITED STATES</v>
      </c>
      <c r="I824" t="str">
        <f>_xll.BDP("912828MV Govt","FIRST_CPN_DT")</f>
        <v>9/30/2010</v>
      </c>
      <c r="J824" t="str">
        <f>_xll.BDP("912828MV Govt","COUPON_FREQUENCY_DESCRIPTION")</f>
        <v>S/A</v>
      </c>
      <c r="K824" t="str">
        <f>_xll.BDP("912828MV Govt","CPN_TYP")</f>
        <v>FIXED</v>
      </c>
      <c r="L824" t="str">
        <f>_xll.BDP("912828MV Govt","ID_ISIN")</f>
        <v>US912828MV96</v>
      </c>
      <c r="M824">
        <v>33083000000</v>
      </c>
      <c r="N824">
        <v>0</v>
      </c>
      <c r="O824" t="str">
        <f>_xll.BDP("912828MV Govt","ISSUE_DT")</f>
        <v>3/31/2010</v>
      </c>
      <c r="P824" t="str">
        <f>_xll.BDP("912828MV Govt","SECURITY_NAME")</f>
        <v>T 3 1/4 03/31/17</v>
      </c>
      <c r="Q824" t="str">
        <f>_xll.BDP("912828MV Govt","DAY_CNT_DES")</f>
        <v>ACT/ACT</v>
      </c>
      <c r="R824">
        <v>100</v>
      </c>
      <c r="S824" t="str">
        <f>_xll.BDP("912828MV Govt","ID_CUSIP")</f>
        <v>912828MV9</v>
      </c>
      <c r="T824" t="str">
        <f>_xll.BDP("912828MV Govt","IDX_RATIO")</f>
        <v>#N/A Field Not Applicable</v>
      </c>
    </row>
    <row r="825" spans="1:20" x14ac:dyDescent="0.25">
      <c r="A825" t="s">
        <v>14</v>
      </c>
      <c r="B825" t="str">
        <f>_xll.BDP("912828MX Govt","TICKER")</f>
        <v>T</v>
      </c>
      <c r="C825">
        <f>_xll.BDP("912828MX Govt","CPN")</f>
        <v>1.75</v>
      </c>
      <c r="D825" t="str">
        <f>_xll.BDP("912828MX Govt","YLD_YTM_BID")</f>
        <v>#N/A N/A</v>
      </c>
      <c r="E825" t="str">
        <f>_xll.BDP("912828MX Govt","MATURITY")</f>
        <v>4/15/2013</v>
      </c>
      <c r="F825" t="str">
        <f>_xll.BDP("912828MX Govt","MTY_TYP")</f>
        <v>NORMAL</v>
      </c>
      <c r="G825" t="str">
        <f>_xll.BDP("912828MX Govt","CRNCY")</f>
        <v>USD</v>
      </c>
      <c r="H825" t="str">
        <f>_xll.BDP("912828MX Govt","COUNTRY_FULL_NAME")</f>
        <v>UNITED STATES</v>
      </c>
      <c r="I825" t="str">
        <f>_xll.BDP("912828MX Govt","FIRST_CPN_DT")</f>
        <v>10/15/2010</v>
      </c>
      <c r="J825" t="str">
        <f>_xll.BDP("912828MX Govt","COUPON_FREQUENCY_DESCRIPTION")</f>
        <v>S/A</v>
      </c>
      <c r="K825" t="str">
        <f>_xll.BDP("912828MX Govt","CPN_TYP")</f>
        <v>FIXED</v>
      </c>
      <c r="L825" t="str">
        <f>_xll.BDP("912828MX Govt","ID_ISIN")</f>
        <v>US912828MX52</v>
      </c>
      <c r="M825">
        <v>42928000000</v>
      </c>
      <c r="N825">
        <v>0</v>
      </c>
      <c r="O825" t="str">
        <f>_xll.BDP("912828MX Govt","ISSUE_DT")</f>
        <v>4/15/2010</v>
      </c>
      <c r="P825" t="str">
        <f>_xll.BDP("912828MX Govt","SECURITY_NAME")</f>
        <v>T 1 3/4 04/15/13</v>
      </c>
      <c r="Q825" t="str">
        <f>_xll.BDP("912828MX Govt","DAY_CNT_DES")</f>
        <v>ACT/ACT</v>
      </c>
      <c r="R825">
        <v>100</v>
      </c>
      <c r="S825" t="str">
        <f>_xll.BDP("912828MX Govt","ID_CUSIP")</f>
        <v>912828MX5</v>
      </c>
      <c r="T825" t="str">
        <f>_xll.BDP("912828MX Govt","IDX_RATIO")</f>
        <v>#N/A Field Not Applicable</v>
      </c>
    </row>
    <row r="826" spans="1:20" x14ac:dyDescent="0.25">
      <c r="A826" t="s">
        <v>14</v>
      </c>
      <c r="B826" t="str">
        <f>_xll.BDP("912828QU Govt","TICKER")</f>
        <v>T</v>
      </c>
      <c r="C826">
        <f>_xll.BDP("912828QU Govt","CPN")</f>
        <v>0.625</v>
      </c>
      <c r="D826" t="str">
        <f>_xll.BDP("912828QU Govt","YLD_YTM_BID")</f>
        <v>#N/A N/A</v>
      </c>
      <c r="E826" t="str">
        <f>_xll.BDP("912828QU Govt","MATURITY")</f>
        <v>7/15/2014</v>
      </c>
      <c r="F826" t="str">
        <f>_xll.BDP("912828QU Govt","MTY_TYP")</f>
        <v>NORMAL</v>
      </c>
      <c r="G826" t="str">
        <f>_xll.BDP("912828QU Govt","CRNCY")</f>
        <v>USD</v>
      </c>
      <c r="H826" t="str">
        <f>_xll.BDP("912828QU Govt","COUNTRY_FULL_NAME")</f>
        <v>UNITED STATES</v>
      </c>
      <c r="I826" t="str">
        <f>_xll.BDP("912828QU Govt","FIRST_CPN_DT")</f>
        <v>1/15/2012</v>
      </c>
      <c r="J826" t="str">
        <f>_xll.BDP("912828QU Govt","COUPON_FREQUENCY_DESCRIPTION")</f>
        <v>S/A</v>
      </c>
      <c r="K826" t="str">
        <f>_xll.BDP("912828QU Govt","CPN_TYP")</f>
        <v>FIXED</v>
      </c>
      <c r="L826" t="str">
        <f>_xll.BDP("912828QU Govt","ID_ISIN")</f>
        <v>US912828QU77</v>
      </c>
      <c r="M826">
        <v>32000000000</v>
      </c>
      <c r="N826">
        <v>0</v>
      </c>
      <c r="O826" t="str">
        <f>_xll.BDP("912828QU Govt","ISSUE_DT")</f>
        <v>7/15/2011</v>
      </c>
      <c r="P826" t="str">
        <f>_xll.BDP("912828QU Govt","SECURITY_NAME")</f>
        <v>T 0 5/8 07/15/14</v>
      </c>
      <c r="Q826" t="str">
        <f>_xll.BDP("912828QU Govt","DAY_CNT_DES")</f>
        <v>ACT/ACT</v>
      </c>
      <c r="R826">
        <v>100</v>
      </c>
      <c r="S826" t="str">
        <f>_xll.BDP("912828QU Govt","ID_CUSIP")</f>
        <v>912828QU7</v>
      </c>
      <c r="T826" t="str">
        <f>_xll.BDP("912828QU Govt","IDX_RATIO")</f>
        <v>#N/A Field Not Applicable</v>
      </c>
    </row>
    <row r="827" spans="1:20" x14ac:dyDescent="0.25">
      <c r="A827" t="s">
        <v>14</v>
      </c>
      <c r="B827" t="str">
        <f>_xll.BDP("912828QY Govt","TICKER")</f>
        <v>T</v>
      </c>
      <c r="C827">
        <f>_xll.BDP("912828QY Govt","CPN")</f>
        <v>2.25</v>
      </c>
      <c r="D827" t="str">
        <f>_xll.BDP("912828QY Govt","YLD_YTM_BID")</f>
        <v>#N/A N/A</v>
      </c>
      <c r="E827" t="str">
        <f>_xll.BDP("912828QY Govt","MATURITY")</f>
        <v>7/31/2018</v>
      </c>
      <c r="F827" t="str">
        <f>_xll.BDP("912828QY Govt","MTY_TYP")</f>
        <v>NORMAL</v>
      </c>
      <c r="G827" t="str">
        <f>_xll.BDP("912828QY Govt","CRNCY")</f>
        <v>USD</v>
      </c>
      <c r="H827" t="str">
        <f>_xll.BDP("912828QY Govt","COUNTRY_FULL_NAME")</f>
        <v>UNITED STATES</v>
      </c>
      <c r="I827" t="str">
        <f>_xll.BDP("912828QY Govt","FIRST_CPN_DT")</f>
        <v>1/31/2012</v>
      </c>
      <c r="J827" t="str">
        <f>_xll.BDP("912828QY Govt","COUPON_FREQUENCY_DESCRIPTION")</f>
        <v>S/A</v>
      </c>
      <c r="K827" t="str">
        <f>_xll.BDP("912828QY Govt","CPN_TYP")</f>
        <v>FIXED</v>
      </c>
      <c r="L827" t="str">
        <f>_xll.BDP("912828QY Govt","ID_ISIN")</f>
        <v>US912828QY99</v>
      </c>
      <c r="M827">
        <v>29864000000</v>
      </c>
      <c r="N827">
        <v>0</v>
      </c>
      <c r="O827" t="str">
        <f>_xll.BDP("912828QY Govt","ISSUE_DT")</f>
        <v>8/1/2011</v>
      </c>
      <c r="P827" t="str">
        <f>_xll.BDP("912828QY Govt","SECURITY_NAME")</f>
        <v>T 2 1/4 07/31/18</v>
      </c>
      <c r="Q827" t="str">
        <f>_xll.BDP("912828QY Govt","DAY_CNT_DES")</f>
        <v>ACT/ACT</v>
      </c>
      <c r="R827">
        <v>100</v>
      </c>
      <c r="S827" t="str">
        <f>_xll.BDP("912828QY Govt","ID_CUSIP")</f>
        <v>912828QY9</v>
      </c>
      <c r="T827" t="str">
        <f>_xll.BDP("912828QY Govt","IDX_RATIO")</f>
        <v>#N/A Field Not Applicable</v>
      </c>
    </row>
    <row r="828" spans="1:20" x14ac:dyDescent="0.25">
      <c r="A828" t="s">
        <v>14</v>
      </c>
      <c r="B828" t="str">
        <f>_xll.BDP("912828RF Govt","TICKER")</f>
        <v>T</v>
      </c>
      <c r="C828">
        <f>_xll.BDP("912828RF Govt","CPN")</f>
        <v>1</v>
      </c>
      <c r="D828" t="str">
        <f>_xll.BDP("912828RF Govt","YLD_YTM_BID")</f>
        <v>#N/A N/A</v>
      </c>
      <c r="E828" t="str">
        <f>_xll.BDP("912828RF Govt","MATURITY")</f>
        <v>8/31/2016</v>
      </c>
      <c r="F828" t="str">
        <f>_xll.BDP("912828RF Govt","MTY_TYP")</f>
        <v>NORMAL</v>
      </c>
      <c r="G828" t="str">
        <f>_xll.BDP("912828RF Govt","CRNCY")</f>
        <v>USD</v>
      </c>
      <c r="H828" t="str">
        <f>_xll.BDP("912828RF Govt","COUNTRY_FULL_NAME")</f>
        <v>UNITED STATES</v>
      </c>
      <c r="I828" t="str">
        <f>_xll.BDP("912828RF Govt","FIRST_CPN_DT")</f>
        <v>2/29/2012</v>
      </c>
      <c r="J828" t="str">
        <f>_xll.BDP("912828RF Govt","COUPON_FREQUENCY_DESCRIPTION")</f>
        <v>S/A</v>
      </c>
      <c r="K828" t="str">
        <f>_xll.BDP("912828RF Govt","CPN_TYP")</f>
        <v>FIXED</v>
      </c>
      <c r="L828" t="str">
        <f>_xll.BDP("912828RF Govt","ID_ISIN")</f>
        <v>US912828RF91</v>
      </c>
      <c r="M828">
        <v>36070000000</v>
      </c>
      <c r="N828">
        <v>0</v>
      </c>
      <c r="O828" t="str">
        <f>_xll.BDP("912828RF Govt","ISSUE_DT")</f>
        <v>8/31/2011</v>
      </c>
      <c r="P828" t="str">
        <f>_xll.BDP("912828RF Govt","SECURITY_NAME")</f>
        <v>T 1 08/31/16</v>
      </c>
      <c r="Q828" t="str">
        <f>_xll.BDP("912828RF Govt","DAY_CNT_DES")</f>
        <v>ACT/ACT</v>
      </c>
      <c r="R828">
        <v>100</v>
      </c>
      <c r="S828" t="str">
        <f>_xll.BDP("912828RF Govt","ID_CUSIP")</f>
        <v>912828RF9</v>
      </c>
      <c r="T828" t="str">
        <f>_xll.BDP("912828RF Govt","IDX_RATIO")</f>
        <v>#N/A Field Not Applicable</v>
      </c>
    </row>
    <row r="829" spans="1:20" x14ac:dyDescent="0.25">
      <c r="A829" t="s">
        <v>14</v>
      </c>
      <c r="B829" t="str">
        <f>_xll.BDP("912827RR Govt","TICKER")</f>
        <v>T</v>
      </c>
      <c r="C829">
        <f>_xll.BDP("912827RR Govt","CPN")</f>
        <v>9.875</v>
      </c>
      <c r="D829" t="str">
        <f>_xll.BDP("912827RR Govt","YLD_YTM_BID")</f>
        <v>#N/A N/A</v>
      </c>
      <c r="E829" t="str">
        <f>_xll.BDP("912827RR Govt","MATURITY")</f>
        <v>12/31/1986</v>
      </c>
      <c r="F829" t="str">
        <f>_xll.BDP("912827RR Govt","MTY_TYP")</f>
        <v>NORMAL</v>
      </c>
      <c r="G829" t="str">
        <f>_xll.BDP("912827RR Govt","CRNCY")</f>
        <v>USD</v>
      </c>
      <c r="H829" t="str">
        <f>_xll.BDP("912827RR Govt","COUNTRY_FULL_NAME")</f>
        <v>UNITED STATES</v>
      </c>
      <c r="I829" t="str">
        <f>_xll.BDP("912827RR Govt","FIRST_CPN_DT")</f>
        <v>6/30/1985</v>
      </c>
      <c r="J829" t="str">
        <f>_xll.BDP("912827RR Govt","COUPON_FREQUENCY_DESCRIPTION")</f>
        <v>S/A</v>
      </c>
      <c r="K829" t="str">
        <f>_xll.BDP("912827RR Govt","CPN_TYP")</f>
        <v>FIXED</v>
      </c>
      <c r="L829" t="str">
        <f>_xll.BDP("912827RR Govt","ID_ISIN")</f>
        <v>US912827RR56</v>
      </c>
      <c r="N829">
        <v>0</v>
      </c>
      <c r="O829" t="str">
        <f>_xll.BDP("912827RR Govt","ISSUE_DT")</f>
        <v>12/31/1984</v>
      </c>
      <c r="P829" t="str">
        <f>_xll.BDP("912827RR Govt","SECURITY_NAME")</f>
        <v>T 9 7/8 12/31/86</v>
      </c>
      <c r="Q829" t="str">
        <f>_xll.BDP("912827RR Govt","DAY_CNT_DES")</f>
        <v>ACT/ACT</v>
      </c>
      <c r="R829">
        <v>100</v>
      </c>
      <c r="S829" t="str">
        <f>_xll.BDP("912827RR Govt","ID_CUSIP")</f>
        <v>912827RR5</v>
      </c>
      <c r="T829" t="str">
        <f>_xll.BDP("912827RR Govt","IDX_RATIO")</f>
        <v>#N/A Field Not Applicable</v>
      </c>
    </row>
    <row r="830" spans="1:20" x14ac:dyDescent="0.25">
      <c r="A830" t="s">
        <v>14</v>
      </c>
      <c r="B830" t="str">
        <f>_xll.BDP("912827RW Govt","TICKER")</f>
        <v>T</v>
      </c>
      <c r="C830">
        <f>_xll.BDP("912827RW Govt","CPN")</f>
        <v>11.25</v>
      </c>
      <c r="D830" t="str">
        <f>_xll.BDP("912827RW Govt","YLD_YTM_BID")</f>
        <v>#N/A N/A</v>
      </c>
      <c r="E830" t="str">
        <f>_xll.BDP("912827RW Govt","MATURITY")</f>
        <v>2/15/1995</v>
      </c>
      <c r="F830" t="str">
        <f>_xll.BDP("912827RW Govt","MTY_TYP")</f>
        <v>NORMAL</v>
      </c>
      <c r="G830" t="str">
        <f>_xll.BDP("912827RW Govt","CRNCY")</f>
        <v>USD</v>
      </c>
      <c r="H830" t="str">
        <f>_xll.BDP("912827RW Govt","COUNTRY_FULL_NAME")</f>
        <v>UNITED STATES</v>
      </c>
      <c r="I830" t="str">
        <f>_xll.BDP("912827RW Govt","FIRST_CPN_DT")</f>
        <v>8/15/1985</v>
      </c>
      <c r="J830" t="str">
        <f>_xll.BDP("912827RW Govt","COUPON_FREQUENCY_DESCRIPTION")</f>
        <v>S/A</v>
      </c>
      <c r="K830" t="str">
        <f>_xll.BDP("912827RW Govt","CPN_TYP")</f>
        <v>FIXED</v>
      </c>
      <c r="L830" t="str">
        <f>_xll.BDP("912827RW Govt","ID_ISIN")</f>
        <v>US912827RW42</v>
      </c>
      <c r="N830">
        <v>0</v>
      </c>
      <c r="O830" t="str">
        <f>_xll.BDP("912827RW Govt","ISSUE_DT")</f>
        <v>2/15/1985</v>
      </c>
      <c r="P830" t="str">
        <f>_xll.BDP("912827RW Govt","SECURITY_NAME")</f>
        <v>T 11 1/4 02/15/95</v>
      </c>
      <c r="Q830" t="str">
        <f>_xll.BDP("912827RW Govt","DAY_CNT_DES")</f>
        <v>ACT/ACT</v>
      </c>
      <c r="R830">
        <v>100</v>
      </c>
      <c r="S830" t="str">
        <f>_xll.BDP("912827RW Govt","ID_CUSIP")</f>
        <v>912827RW4</v>
      </c>
      <c r="T830" t="str">
        <f>_xll.BDP("912827RW Govt","IDX_RATIO")</f>
        <v>#N/A Field Not Applicable</v>
      </c>
    </row>
    <row r="831" spans="1:20" x14ac:dyDescent="0.25">
      <c r="A831" t="s">
        <v>14</v>
      </c>
      <c r="B831" t="str">
        <f>_xll.BDP("912827S5 Govt","TICKER")</f>
        <v>T</v>
      </c>
      <c r="C831">
        <f>_xll.BDP("912827S5 Govt","CPN")</f>
        <v>7.5</v>
      </c>
      <c r="D831" t="str">
        <f>_xll.BDP("912827S5 Govt","YLD_YTM_BID")</f>
        <v>#N/A N/A</v>
      </c>
      <c r="E831" t="str">
        <f>_xll.BDP("912827S5 Govt","MATURITY")</f>
        <v>1/31/1997</v>
      </c>
      <c r="F831" t="str">
        <f>_xll.BDP("912827S5 Govt","MTY_TYP")</f>
        <v>NORMAL</v>
      </c>
      <c r="G831" t="str">
        <f>_xll.BDP("912827S5 Govt","CRNCY")</f>
        <v>USD</v>
      </c>
      <c r="H831" t="str">
        <f>_xll.BDP("912827S5 Govt","COUNTRY_FULL_NAME")</f>
        <v>UNITED STATES</v>
      </c>
      <c r="I831" t="str">
        <f>_xll.BDP("912827S5 Govt","FIRST_CPN_DT")</f>
        <v>7/31/1995</v>
      </c>
      <c r="J831" t="str">
        <f>_xll.BDP("912827S5 Govt","COUPON_FREQUENCY_DESCRIPTION")</f>
        <v>S/A</v>
      </c>
      <c r="K831" t="str">
        <f>_xll.BDP("912827S5 Govt","CPN_TYP")</f>
        <v>FIXED</v>
      </c>
      <c r="L831" t="str">
        <f>_xll.BDP("912827S5 Govt","ID_ISIN")</f>
        <v>US912827S523</v>
      </c>
      <c r="N831">
        <v>0</v>
      </c>
      <c r="O831" t="str">
        <f>_xll.BDP("912827S5 Govt","ISSUE_DT")</f>
        <v>1/31/1995</v>
      </c>
      <c r="P831" t="str">
        <f>_xll.BDP("912827S5 Govt","SECURITY_NAME")</f>
        <v>T 7 1/2 01/31/97</v>
      </c>
      <c r="Q831" t="str">
        <f>_xll.BDP("912827S5 Govt","DAY_CNT_DES")</f>
        <v>ACT/ACT</v>
      </c>
      <c r="R831">
        <v>100</v>
      </c>
      <c r="S831" t="str">
        <f>_xll.BDP("912827S5 Govt","ID_CUSIP")</f>
        <v>912827S52</v>
      </c>
      <c r="T831" t="str">
        <f>_xll.BDP("912827S5 Govt","IDX_RATIO")</f>
        <v>#N/A Field Not Applicable</v>
      </c>
    </row>
    <row r="832" spans="1:20" x14ac:dyDescent="0.25">
      <c r="A832" t="s">
        <v>14</v>
      </c>
      <c r="B832" t="str">
        <f>_xll.BDP("912827SU Govt","TICKER")</f>
        <v>T</v>
      </c>
      <c r="C832">
        <f>_xll.BDP("912827SU Govt","CPN")</f>
        <v>9.375</v>
      </c>
      <c r="D832" t="str">
        <f>_xll.BDP("912827SU Govt","YLD_YTM_BID")</f>
        <v>#N/A N/A</v>
      </c>
      <c r="E832" t="str">
        <f>_xll.BDP("912827SU Govt","MATURITY")</f>
        <v>9/30/1989</v>
      </c>
      <c r="F832" t="str">
        <f>_xll.BDP("912827SU Govt","MTY_TYP")</f>
        <v>NORMAL</v>
      </c>
      <c r="G832" t="str">
        <f>_xll.BDP("912827SU Govt","CRNCY")</f>
        <v>USD</v>
      </c>
      <c r="H832" t="str">
        <f>_xll.BDP("912827SU Govt","COUNTRY_FULL_NAME")</f>
        <v>UNITED STATES</v>
      </c>
      <c r="I832" t="str">
        <f>_xll.BDP("912827SU Govt","FIRST_CPN_DT")</f>
        <v>3/31/1986</v>
      </c>
      <c r="J832" t="str">
        <f>_xll.BDP("912827SU Govt","COUPON_FREQUENCY_DESCRIPTION")</f>
        <v>S/A</v>
      </c>
      <c r="K832" t="str">
        <f>_xll.BDP("912827SU Govt","CPN_TYP")</f>
        <v>FIXED</v>
      </c>
      <c r="L832" t="str">
        <f>_xll.BDP("912827SU Govt","ID_ISIN")</f>
        <v>US912827SU76</v>
      </c>
      <c r="N832">
        <v>0</v>
      </c>
      <c r="O832" t="str">
        <f>_xll.BDP("912827SU Govt","ISSUE_DT")</f>
        <v>11/1/1985</v>
      </c>
      <c r="P832" t="str">
        <f>_xll.BDP("912827SU Govt","SECURITY_NAME")</f>
        <v>T 9 3/8 09/30/89</v>
      </c>
      <c r="Q832" t="str">
        <f>_xll.BDP("912827SU Govt","DAY_CNT_DES")</f>
        <v>ACT/ACT</v>
      </c>
      <c r="R832">
        <v>100</v>
      </c>
      <c r="S832" t="str">
        <f>_xll.BDP("912827SU Govt","ID_CUSIP")</f>
        <v>912827SU7</v>
      </c>
      <c r="T832" t="str">
        <f>_xll.BDP("912827SU Govt","IDX_RATIO")</f>
        <v>#N/A Field Not Applicable</v>
      </c>
    </row>
    <row r="833" spans="1:20" x14ac:dyDescent="0.25">
      <c r="A833" t="s">
        <v>14</v>
      </c>
      <c r="B833" t="str">
        <f>_xll.BDP("912827T2 Govt","TICKER")</f>
        <v>T</v>
      </c>
      <c r="C833">
        <f>_xll.BDP("912827T2 Govt","CPN")</f>
        <v>7.125</v>
      </c>
      <c r="D833" t="str">
        <f>_xll.BDP("912827T2 Govt","YLD_YTM_BID")</f>
        <v>#N/A N/A</v>
      </c>
      <c r="E833" t="str">
        <f>_xll.BDP("912827T2 Govt","MATURITY")</f>
        <v>2/29/2000</v>
      </c>
      <c r="F833" t="str">
        <f>_xll.BDP("912827T2 Govt","MTY_TYP")</f>
        <v>NORMAL</v>
      </c>
      <c r="G833" t="str">
        <f>_xll.BDP("912827T2 Govt","CRNCY")</f>
        <v>USD</v>
      </c>
      <c r="H833" t="str">
        <f>_xll.BDP("912827T2 Govt","COUNTRY_FULL_NAME")</f>
        <v>UNITED STATES</v>
      </c>
      <c r="I833" t="str">
        <f>_xll.BDP("912827T2 Govt","FIRST_CPN_DT")</f>
        <v>8/31/1995</v>
      </c>
      <c r="J833" t="str">
        <f>_xll.BDP("912827T2 Govt","COUPON_FREQUENCY_DESCRIPTION")</f>
        <v>S/A</v>
      </c>
      <c r="K833" t="str">
        <f>_xll.BDP("912827T2 Govt","CPN_TYP")</f>
        <v>FIXED</v>
      </c>
      <c r="L833" t="str">
        <f>_xll.BDP("912827T2 Govt","ID_ISIN")</f>
        <v>US912827T281</v>
      </c>
      <c r="M833">
        <v>12496000000</v>
      </c>
      <c r="N833">
        <v>0</v>
      </c>
      <c r="O833" t="str">
        <f>_xll.BDP("912827T2 Govt","ISSUE_DT")</f>
        <v>2/28/1995</v>
      </c>
      <c r="P833" t="str">
        <f>_xll.BDP("912827T2 Govt","SECURITY_NAME")</f>
        <v>T 7 1/8 02/29/00</v>
      </c>
      <c r="Q833" t="str">
        <f>_xll.BDP("912827T2 Govt","DAY_CNT_DES")</f>
        <v>ACT/ACT</v>
      </c>
      <c r="R833">
        <v>100</v>
      </c>
      <c r="S833" t="str">
        <f>_xll.BDP("912827T2 Govt","ID_CUSIP")</f>
        <v>912827T28</v>
      </c>
      <c r="T833" t="str">
        <f>_xll.BDP("912827T2 Govt","IDX_RATIO")</f>
        <v>#N/A Field Not Applicable</v>
      </c>
    </row>
    <row r="834" spans="1:20" x14ac:dyDescent="0.25">
      <c r="A834" t="s">
        <v>14</v>
      </c>
      <c r="B834" t="str">
        <f>_xll.BDP("912827TA Govt","TICKER")</f>
        <v>T</v>
      </c>
      <c r="C834">
        <f>_xll.BDP("912827TA Govt","CPN")</f>
        <v>7.875</v>
      </c>
      <c r="D834" t="str">
        <f>_xll.BDP("912827TA Govt","YLD_YTM_BID")</f>
        <v>#N/A N/A</v>
      </c>
      <c r="E834" t="str">
        <f>_xll.BDP("912827TA Govt","MATURITY")</f>
        <v>12/31/1987</v>
      </c>
      <c r="F834" t="str">
        <f>_xll.BDP("912827TA Govt","MTY_TYP")</f>
        <v>NORMAL</v>
      </c>
      <c r="G834" t="str">
        <f>_xll.BDP("912827TA Govt","CRNCY")</f>
        <v>USD</v>
      </c>
      <c r="H834" t="str">
        <f>_xll.BDP("912827TA Govt","COUNTRY_FULL_NAME")</f>
        <v>UNITED STATES</v>
      </c>
      <c r="I834" t="str">
        <f>_xll.BDP("912827TA Govt","FIRST_CPN_DT")</f>
        <v>6/30/1986</v>
      </c>
      <c r="J834" t="str">
        <f>_xll.BDP("912827TA Govt","COUPON_FREQUENCY_DESCRIPTION")</f>
        <v>S/A</v>
      </c>
      <c r="K834" t="str">
        <f>_xll.BDP("912827TA Govt","CPN_TYP")</f>
        <v>FIXED</v>
      </c>
      <c r="L834" t="str">
        <f>_xll.BDP("912827TA Govt","ID_ISIN")</f>
        <v>US912827TA04</v>
      </c>
      <c r="N834">
        <v>0</v>
      </c>
      <c r="O834" t="str">
        <f>_xll.BDP("912827TA Govt","ISSUE_DT")</f>
        <v>12/31/1985</v>
      </c>
      <c r="P834" t="str">
        <f>_xll.BDP("912827TA Govt","SECURITY_NAME")</f>
        <v>T 7 7/8 12/31/87</v>
      </c>
      <c r="Q834" t="str">
        <f>_xll.BDP("912827TA Govt","DAY_CNT_DES")</f>
        <v>ACT/ACT</v>
      </c>
      <c r="R834">
        <v>100</v>
      </c>
      <c r="S834" t="str">
        <f>_xll.BDP("912827TA Govt","ID_CUSIP")</f>
        <v>912827TA0</v>
      </c>
      <c r="T834" t="str">
        <f>_xll.BDP("912827TA Govt","IDX_RATIO")</f>
        <v>#N/A Field Not Applicable</v>
      </c>
    </row>
    <row r="835" spans="1:20" x14ac:dyDescent="0.25">
      <c r="A835" t="s">
        <v>14</v>
      </c>
      <c r="B835" t="str">
        <f>_xll.BDP("912827U2 Govt","TICKER")</f>
        <v>T</v>
      </c>
      <c r="C835">
        <f>_xll.BDP("912827U2 Govt","CPN")</f>
        <v>6.25</v>
      </c>
      <c r="D835" t="str">
        <f>_xll.BDP("912827U2 Govt","YLD_YTM_BID")</f>
        <v>#N/A N/A</v>
      </c>
      <c r="E835" t="str">
        <f>_xll.BDP("912827U2 Govt","MATURITY")</f>
        <v>5/31/2000</v>
      </c>
      <c r="F835" t="str">
        <f>_xll.BDP("912827U2 Govt","MTY_TYP")</f>
        <v>NORMAL</v>
      </c>
      <c r="G835" t="str">
        <f>_xll.BDP("912827U2 Govt","CRNCY")</f>
        <v>USD</v>
      </c>
      <c r="H835" t="str">
        <f>_xll.BDP("912827U2 Govt","COUNTRY_FULL_NAME")</f>
        <v>UNITED STATES</v>
      </c>
      <c r="I835" t="str">
        <f>_xll.BDP("912827U2 Govt","FIRST_CPN_DT")</f>
        <v>11/30/1995</v>
      </c>
      <c r="J835" t="str">
        <f>_xll.BDP("912827U2 Govt","COUPON_FREQUENCY_DESCRIPTION")</f>
        <v>S/A</v>
      </c>
      <c r="K835" t="str">
        <f>_xll.BDP("912827U2 Govt","CPN_TYP")</f>
        <v>FIXED</v>
      </c>
      <c r="L835" t="str">
        <f>_xll.BDP("912827U2 Govt","ID_ISIN")</f>
        <v>US912827U263</v>
      </c>
      <c r="M835">
        <v>12752000000</v>
      </c>
      <c r="N835">
        <v>0</v>
      </c>
      <c r="O835" t="str">
        <f>_xll.BDP("912827U2 Govt","ISSUE_DT")</f>
        <v>5/31/1995</v>
      </c>
      <c r="P835" t="str">
        <f>_xll.BDP("912827U2 Govt","SECURITY_NAME")</f>
        <v>T 6 1/4 05/31/00</v>
      </c>
      <c r="Q835" t="str">
        <f>_xll.BDP("912827U2 Govt","DAY_CNT_DES")</f>
        <v>ACT/ACT</v>
      </c>
      <c r="R835">
        <v>100</v>
      </c>
      <c r="S835" t="str">
        <f>_xll.BDP("912827U2 Govt","ID_CUSIP")</f>
        <v>912827U26</v>
      </c>
      <c r="T835" t="str">
        <f>_xll.BDP("912827U2 Govt","IDX_RATIO")</f>
        <v>#N/A Field Not Applicable</v>
      </c>
    </row>
    <row r="836" spans="1:20" x14ac:dyDescent="0.25">
      <c r="A836" t="s">
        <v>14</v>
      </c>
      <c r="B836" t="str">
        <f>_xll.BDP("912827UA Govt","TICKER")</f>
        <v>T</v>
      </c>
      <c r="C836">
        <f>_xll.BDP("912827UA Govt","CPN")</f>
        <v>6.375</v>
      </c>
      <c r="D836" t="str">
        <f>_xll.BDP("912827UA Govt","YLD_YTM_BID")</f>
        <v>#N/A N/A</v>
      </c>
      <c r="E836" t="str">
        <f>_xll.BDP("912827UA Govt","MATURITY")</f>
        <v>9/30/1988</v>
      </c>
      <c r="F836" t="str">
        <f>_xll.BDP("912827UA Govt","MTY_TYP")</f>
        <v>NORMAL</v>
      </c>
      <c r="G836" t="str">
        <f>_xll.BDP("912827UA Govt","CRNCY")</f>
        <v>USD</v>
      </c>
      <c r="H836" t="str">
        <f>_xll.BDP("912827UA Govt","COUNTRY_FULL_NAME")</f>
        <v>UNITED STATES</v>
      </c>
      <c r="I836" t="str">
        <f>_xll.BDP("912827UA Govt","FIRST_CPN_DT")</f>
        <v>3/31/1987</v>
      </c>
      <c r="J836" t="str">
        <f>_xll.BDP("912827UA Govt","COUPON_FREQUENCY_DESCRIPTION")</f>
        <v>S/A</v>
      </c>
      <c r="K836" t="str">
        <f>_xll.BDP("912827UA Govt","CPN_TYP")</f>
        <v>FIXED</v>
      </c>
      <c r="L836" t="str">
        <f>_xll.BDP("912827UA Govt","ID_ISIN")</f>
        <v>US912827UA84</v>
      </c>
      <c r="N836">
        <v>0</v>
      </c>
      <c r="O836" t="str">
        <f>_xll.BDP("912827UA Govt","ISSUE_DT")</f>
        <v>9/30/1986</v>
      </c>
      <c r="P836" t="str">
        <f>_xll.BDP("912827UA Govt","SECURITY_NAME")</f>
        <v>T 6 3/8 09/30/88</v>
      </c>
      <c r="Q836" t="str">
        <f>_xll.BDP("912827UA Govt","DAY_CNT_DES")</f>
        <v>ACT/ACT</v>
      </c>
      <c r="R836">
        <v>100</v>
      </c>
      <c r="S836" t="str">
        <f>_xll.BDP("912827UA Govt","ID_CUSIP")</f>
        <v>912827UA8</v>
      </c>
      <c r="T836" t="str">
        <f>_xll.BDP("912827UA Govt","IDX_RATIO")</f>
        <v>#N/A Field Not Applicable</v>
      </c>
    </row>
    <row r="837" spans="1:20" x14ac:dyDescent="0.25">
      <c r="A837" t="s">
        <v>14</v>
      </c>
      <c r="B837" t="str">
        <f>_xll.BDP("912828AG Govt","TICKER")</f>
        <v>T</v>
      </c>
      <c r="C837">
        <f>_xll.BDP("912828AG Govt","CPN")</f>
        <v>2.25</v>
      </c>
      <c r="D837" t="str">
        <f>_xll.BDP("912828AG Govt","YLD_YTM_BID")</f>
        <v>#N/A N/A</v>
      </c>
      <c r="E837" t="str">
        <f>_xll.BDP("912828AG Govt","MATURITY")</f>
        <v>7/31/2004</v>
      </c>
      <c r="F837" t="str">
        <f>_xll.BDP("912828AG Govt","MTY_TYP")</f>
        <v>NORMAL</v>
      </c>
      <c r="G837" t="str">
        <f>_xll.BDP("912828AG Govt","CRNCY")</f>
        <v>USD</v>
      </c>
      <c r="H837" t="str">
        <f>_xll.BDP("912828AG Govt","COUNTRY_FULL_NAME")</f>
        <v>UNITED STATES</v>
      </c>
      <c r="I837" t="str">
        <f>_xll.BDP("912828AG Govt","FIRST_CPN_DT")</f>
        <v>1/31/2003</v>
      </c>
      <c r="J837" t="str">
        <f>_xll.BDP("912828AG Govt","COUPON_FREQUENCY_DESCRIPTION")</f>
        <v>S/A</v>
      </c>
      <c r="K837" t="str">
        <f>_xll.BDP("912828AG Govt","CPN_TYP")</f>
        <v>FIXED</v>
      </c>
      <c r="L837" t="str">
        <f>_xll.BDP("912828AG Govt","ID_ISIN")</f>
        <v>US912828AG57</v>
      </c>
      <c r="M837">
        <v>33250000000</v>
      </c>
      <c r="N837">
        <v>0</v>
      </c>
      <c r="O837" t="str">
        <f>_xll.BDP("912828AG Govt","ISSUE_DT")</f>
        <v>7/31/2002</v>
      </c>
      <c r="P837" t="str">
        <f>_xll.BDP("912828AG Govt","SECURITY_NAME")</f>
        <v>T 2 1/4 07/31/04</v>
      </c>
      <c r="Q837" t="str">
        <f>_xll.BDP("912828AG Govt","DAY_CNT_DES")</f>
        <v>ACT/ACT</v>
      </c>
      <c r="R837">
        <v>100</v>
      </c>
      <c r="S837" t="str">
        <f>_xll.BDP("912828AG Govt","ID_CUSIP")</f>
        <v>912828AG5</v>
      </c>
      <c r="T837" t="str">
        <f>_xll.BDP("912828AG Govt","IDX_RATIO")</f>
        <v>#N/A Field Not Applicable</v>
      </c>
    </row>
    <row r="838" spans="1:20" x14ac:dyDescent="0.25">
      <c r="A838" t="s">
        <v>14</v>
      </c>
      <c r="B838" t="str">
        <f>_xll.BDP("912828C3 Govt","TICKER")</f>
        <v>T</v>
      </c>
      <c r="C838">
        <f>_xll.BDP("912828C3 Govt","CPN")</f>
        <v>0.75</v>
      </c>
      <c r="D838" t="str">
        <f>_xll.BDP("912828C3 Govt","YLD_YTM_BID")</f>
        <v>#N/A N/A</v>
      </c>
      <c r="E838" t="str">
        <f>_xll.BDP("912828C3 Govt","MATURITY")</f>
        <v>3/15/2017</v>
      </c>
      <c r="F838" t="str">
        <f>_xll.BDP("912828C3 Govt","MTY_TYP")</f>
        <v>NORMAL</v>
      </c>
      <c r="G838" t="str">
        <f>_xll.BDP("912828C3 Govt","CRNCY")</f>
        <v>USD</v>
      </c>
      <c r="H838" t="str">
        <f>_xll.BDP("912828C3 Govt","COUNTRY_FULL_NAME")</f>
        <v>UNITED STATES</v>
      </c>
      <c r="I838" t="str">
        <f>_xll.BDP("912828C3 Govt","FIRST_CPN_DT")</f>
        <v>9/15/2014</v>
      </c>
      <c r="J838" t="str">
        <f>_xll.BDP("912828C3 Govt","COUPON_FREQUENCY_DESCRIPTION")</f>
        <v>S/A</v>
      </c>
      <c r="K838" t="str">
        <f>_xll.BDP("912828C3 Govt","CPN_TYP")</f>
        <v>FIXED</v>
      </c>
      <c r="L838" t="str">
        <f>_xll.BDP("912828C3 Govt","ID_ISIN")</f>
        <v>US912828C327</v>
      </c>
      <c r="M838">
        <v>30000000000</v>
      </c>
      <c r="N838">
        <v>0</v>
      </c>
      <c r="O838" t="str">
        <f>_xll.BDP("912828C3 Govt","ISSUE_DT")</f>
        <v>3/17/2014</v>
      </c>
      <c r="P838" t="str">
        <f>_xll.BDP("912828C3 Govt","SECURITY_NAME")</f>
        <v>T 0 3/4 03/15/17</v>
      </c>
      <c r="Q838" t="str">
        <f>_xll.BDP("912828C3 Govt","DAY_CNT_DES")</f>
        <v>ACT/ACT</v>
      </c>
      <c r="R838">
        <v>100</v>
      </c>
      <c r="S838" t="str">
        <f>_xll.BDP("912828C3 Govt","ID_CUSIP")</f>
        <v>912828C32</v>
      </c>
      <c r="T838" t="str">
        <f>_xll.BDP("912828C3 Govt","IDX_RATIO")</f>
        <v>#N/A Field Not Applicable</v>
      </c>
    </row>
    <row r="839" spans="1:20" x14ac:dyDescent="0.25">
      <c r="A839" t="s">
        <v>14</v>
      </c>
      <c r="B839" t="str">
        <f>_xll.BDP("912828D9 Govt","TICKER")</f>
        <v>T</v>
      </c>
      <c r="C839">
        <f>_xll.BDP("912828D9 Govt","CPN")</f>
        <v>1</v>
      </c>
      <c r="D839" t="str">
        <f>_xll.BDP("912828D9 Govt","YLD_YTM_BID")</f>
        <v>#N/A N/A</v>
      </c>
      <c r="E839" t="str">
        <f>_xll.BDP("912828D9 Govt","MATURITY")</f>
        <v>9/15/2017</v>
      </c>
      <c r="F839" t="str">
        <f>_xll.BDP("912828D9 Govt","MTY_TYP")</f>
        <v>NORMAL</v>
      </c>
      <c r="G839" t="str">
        <f>_xll.BDP("912828D9 Govt","CRNCY")</f>
        <v>USD</v>
      </c>
      <c r="H839" t="str">
        <f>_xll.BDP("912828D9 Govt","COUNTRY_FULL_NAME")</f>
        <v>UNITED STATES</v>
      </c>
      <c r="I839" t="str">
        <f>_xll.BDP("912828D9 Govt","FIRST_CPN_DT")</f>
        <v>3/15/2015</v>
      </c>
      <c r="J839" t="str">
        <f>_xll.BDP("912828D9 Govt","COUPON_FREQUENCY_DESCRIPTION")</f>
        <v>S/A</v>
      </c>
      <c r="K839" t="str">
        <f>_xll.BDP("912828D9 Govt","CPN_TYP")</f>
        <v>FIXED</v>
      </c>
      <c r="L839" t="str">
        <f>_xll.BDP("912828D9 Govt","ID_ISIN")</f>
        <v>US912828D986</v>
      </c>
      <c r="M839">
        <v>27005000000</v>
      </c>
      <c r="N839">
        <v>0</v>
      </c>
      <c r="O839" t="str">
        <f>_xll.BDP("912828D9 Govt","ISSUE_DT")</f>
        <v>9/15/2014</v>
      </c>
      <c r="P839" t="str">
        <f>_xll.BDP("912828D9 Govt","SECURITY_NAME")</f>
        <v>T 1 09/15/17</v>
      </c>
      <c r="Q839" t="str">
        <f>_xll.BDP("912828D9 Govt","DAY_CNT_DES")</f>
        <v>ACT/ACT</v>
      </c>
      <c r="R839">
        <v>100</v>
      </c>
      <c r="S839" t="str">
        <f>_xll.BDP("912828D9 Govt","ID_CUSIP")</f>
        <v>912828D98</v>
      </c>
      <c r="T839" t="str">
        <f>_xll.BDP("912828D9 Govt","IDX_RATIO")</f>
        <v>#N/A Field Not Applicable</v>
      </c>
    </row>
    <row r="840" spans="1:20" x14ac:dyDescent="0.25">
      <c r="A840" t="s">
        <v>14</v>
      </c>
      <c r="B840" t="str">
        <f>_xll.BDP("912828DF Govt","TICKER")</f>
        <v>T</v>
      </c>
      <c r="C840">
        <f>_xll.BDP("912828DF Govt","CPN")</f>
        <v>3</v>
      </c>
      <c r="D840" t="str">
        <f>_xll.BDP("912828DF Govt","YLD_YTM_BID")</f>
        <v>#N/A N/A</v>
      </c>
      <c r="E840" t="str">
        <f>_xll.BDP("912828DF Govt","MATURITY")</f>
        <v>12/31/2006</v>
      </c>
      <c r="F840" t="str">
        <f>_xll.BDP("912828DF Govt","MTY_TYP")</f>
        <v>NORMAL</v>
      </c>
      <c r="G840" t="str">
        <f>_xll.BDP("912828DF Govt","CRNCY")</f>
        <v>USD</v>
      </c>
      <c r="H840" t="str">
        <f>_xll.BDP("912828DF Govt","COUNTRY_FULL_NAME")</f>
        <v>UNITED STATES</v>
      </c>
      <c r="I840" t="str">
        <f>_xll.BDP("912828DF Govt","FIRST_CPN_DT")</f>
        <v>6/30/2005</v>
      </c>
      <c r="J840" t="str">
        <f>_xll.BDP("912828DF Govt","COUPON_FREQUENCY_DESCRIPTION")</f>
        <v>S/A</v>
      </c>
      <c r="K840" t="str">
        <f>_xll.BDP("912828DF Govt","CPN_TYP")</f>
        <v>FIXED</v>
      </c>
      <c r="L840" t="str">
        <f>_xll.BDP("912828DF Govt","ID_ISIN")</f>
        <v>US912828DF48</v>
      </c>
      <c r="M840">
        <v>31952000000</v>
      </c>
      <c r="N840">
        <v>0</v>
      </c>
      <c r="O840" t="str">
        <f>_xll.BDP("912828DF Govt","ISSUE_DT")</f>
        <v>12/31/2004</v>
      </c>
      <c r="P840" t="str">
        <f>_xll.BDP("912828DF Govt","SECURITY_NAME")</f>
        <v>T 3 12/31/06</v>
      </c>
      <c r="Q840" t="str">
        <f>_xll.BDP("912828DF Govt","DAY_CNT_DES")</f>
        <v>ACT/ACT</v>
      </c>
      <c r="R840">
        <v>100</v>
      </c>
      <c r="S840" t="str">
        <f>_xll.BDP("912828DF Govt","ID_CUSIP")</f>
        <v>912828DF4</v>
      </c>
      <c r="T840" t="str">
        <f>_xll.BDP("912828DF Govt","IDX_RATIO")</f>
        <v>#N/A Field Not Applicable</v>
      </c>
    </row>
    <row r="841" spans="1:20" x14ac:dyDescent="0.25">
      <c r="A841" t="s">
        <v>14</v>
      </c>
      <c r="B841" t="str">
        <f>_xll.BDP("912828EV Govt","TICKER")</f>
        <v>T</v>
      </c>
      <c r="C841">
        <f>_xll.BDP("912828EV Govt","CPN")</f>
        <v>4.5</v>
      </c>
      <c r="D841" t="str">
        <f>_xll.BDP("912828EV Govt","YLD_YTM_BID")</f>
        <v>#N/A N/A</v>
      </c>
      <c r="E841" t="str">
        <f>_xll.BDP("912828EV Govt","MATURITY")</f>
        <v>2/15/2009</v>
      </c>
      <c r="F841" t="str">
        <f>_xll.BDP("912828EV Govt","MTY_TYP")</f>
        <v>NORMAL</v>
      </c>
      <c r="G841" t="str">
        <f>_xll.BDP("912828EV Govt","CRNCY")</f>
        <v>USD</v>
      </c>
      <c r="H841" t="str">
        <f>_xll.BDP("912828EV Govt","COUNTRY_FULL_NAME")</f>
        <v>UNITED STATES</v>
      </c>
      <c r="I841" t="str">
        <f>_xll.BDP("912828EV Govt","FIRST_CPN_DT")</f>
        <v>8/15/2006</v>
      </c>
      <c r="J841" t="str">
        <f>_xll.BDP("912828EV Govt","COUPON_FREQUENCY_DESCRIPTION")</f>
        <v>S/A</v>
      </c>
      <c r="K841" t="str">
        <f>_xll.BDP("912828EV Govt","CPN_TYP")</f>
        <v>FIXED</v>
      </c>
      <c r="L841" t="str">
        <f>_xll.BDP("912828EV Govt","ID_ISIN")</f>
        <v>US912828EV88</v>
      </c>
      <c r="M841">
        <v>22309000000</v>
      </c>
      <c r="N841">
        <v>0</v>
      </c>
      <c r="O841" t="str">
        <f>_xll.BDP("912828EV Govt","ISSUE_DT")</f>
        <v>2/15/2006</v>
      </c>
      <c r="P841" t="str">
        <f>_xll.BDP("912828EV Govt","SECURITY_NAME")</f>
        <v>T 4 1/2 02/15/09</v>
      </c>
      <c r="Q841" t="str">
        <f>_xll.BDP("912828EV Govt","DAY_CNT_DES")</f>
        <v>ACT/ACT</v>
      </c>
      <c r="R841">
        <v>100</v>
      </c>
      <c r="S841" t="str">
        <f>_xll.BDP("912828EV Govt","ID_CUSIP")</f>
        <v>912828EV8</v>
      </c>
      <c r="T841" t="str">
        <f>_xll.BDP("912828EV Govt","IDX_RATIO")</f>
        <v>#N/A Field Not Applicable</v>
      </c>
    </row>
    <row r="842" spans="1:20" x14ac:dyDescent="0.25">
      <c r="A842" t="s">
        <v>14</v>
      </c>
      <c r="B842" t="str">
        <f>_xll.BDP("912828EW Govt","TICKER")</f>
        <v>T</v>
      </c>
      <c r="C842">
        <f>_xll.BDP("912828EW Govt","CPN")</f>
        <v>4.5</v>
      </c>
      <c r="D842" t="str">
        <f>_xll.BDP("912828EW Govt","YLD_YTM_BID")</f>
        <v>#N/A N/A</v>
      </c>
      <c r="E842" t="str">
        <f>_xll.BDP("912828EW Govt","MATURITY")</f>
        <v>2/15/2016</v>
      </c>
      <c r="F842" t="str">
        <f>_xll.BDP("912828EW Govt","MTY_TYP")</f>
        <v>NORMAL</v>
      </c>
      <c r="G842" t="str">
        <f>_xll.BDP("912828EW Govt","CRNCY")</f>
        <v>USD</v>
      </c>
      <c r="H842" t="str">
        <f>_xll.BDP("912828EW Govt","COUNTRY_FULL_NAME")</f>
        <v>UNITED STATES</v>
      </c>
      <c r="I842" t="str">
        <f>_xll.BDP("912828EW Govt","FIRST_CPN_DT")</f>
        <v>8/15/2006</v>
      </c>
      <c r="J842" t="str">
        <f>_xll.BDP("912828EW Govt","COUPON_FREQUENCY_DESCRIPTION")</f>
        <v>S/A</v>
      </c>
      <c r="K842" t="str">
        <f>_xll.BDP("912828EW Govt","CPN_TYP")</f>
        <v>FIXED</v>
      </c>
      <c r="L842" t="str">
        <f>_xll.BDP("912828EW Govt","ID_ISIN")</f>
        <v>US912828EW61</v>
      </c>
      <c r="M842">
        <v>21842000000</v>
      </c>
      <c r="N842">
        <v>0</v>
      </c>
      <c r="O842" t="str">
        <f>_xll.BDP("912828EW Govt","ISSUE_DT")</f>
        <v>2/15/2006</v>
      </c>
      <c r="P842" t="str">
        <f>_xll.BDP("912828EW Govt","SECURITY_NAME")</f>
        <v>T 4 1/2 02/15/16</v>
      </c>
      <c r="Q842" t="str">
        <f>_xll.BDP("912828EW Govt","DAY_CNT_DES")</f>
        <v>ACT/ACT</v>
      </c>
      <c r="R842">
        <v>100</v>
      </c>
      <c r="S842" t="str">
        <f>_xll.BDP("912828EW Govt","ID_CUSIP")</f>
        <v>912828EW6</v>
      </c>
      <c r="T842" t="str">
        <f>_xll.BDP("912828EW Govt","IDX_RATIO")</f>
        <v>#N/A Field Not Applicable</v>
      </c>
    </row>
    <row r="843" spans="1:20" x14ac:dyDescent="0.25">
      <c r="A843" t="s">
        <v>14</v>
      </c>
      <c r="B843" t="str">
        <f>_xll.BDP("912828FH Govt","TICKER")</f>
        <v>T</v>
      </c>
      <c r="C843">
        <f>_xll.BDP("912828FH Govt","CPN")</f>
        <v>4.875</v>
      </c>
      <c r="D843" t="str">
        <f>_xll.BDP("912828FH Govt","YLD_YTM_BID")</f>
        <v>#N/A N/A</v>
      </c>
      <c r="E843" t="str">
        <f>_xll.BDP("912828FH Govt","MATURITY")</f>
        <v>5/31/2011</v>
      </c>
      <c r="F843" t="str">
        <f>_xll.BDP("912828FH Govt","MTY_TYP")</f>
        <v>NORMAL</v>
      </c>
      <c r="G843" t="str">
        <f>_xll.BDP("912828FH Govt","CRNCY")</f>
        <v>USD</v>
      </c>
      <c r="H843" t="str">
        <f>_xll.BDP("912828FH Govt","COUNTRY_FULL_NAME")</f>
        <v>UNITED STATES</v>
      </c>
      <c r="I843" t="str">
        <f>_xll.BDP("912828FH Govt","FIRST_CPN_DT")</f>
        <v>11/30/2006</v>
      </c>
      <c r="J843" t="str">
        <f>_xll.BDP("912828FH Govt","COUPON_FREQUENCY_DESCRIPTION")</f>
        <v>S/A</v>
      </c>
      <c r="K843" t="str">
        <f>_xll.BDP("912828FH Govt","CPN_TYP")</f>
        <v>FIXED</v>
      </c>
      <c r="L843" t="str">
        <f>_xll.BDP("912828FH Govt","ID_ISIN")</f>
        <v>US912828FH85</v>
      </c>
      <c r="M843">
        <v>17145000000</v>
      </c>
      <c r="N843">
        <v>0</v>
      </c>
      <c r="O843" t="str">
        <f>_xll.BDP("912828FH Govt","ISSUE_DT")</f>
        <v>5/31/2006</v>
      </c>
      <c r="P843" t="str">
        <f>_xll.BDP("912828FH Govt","SECURITY_NAME")</f>
        <v>T 4 7/8 05/31/11</v>
      </c>
      <c r="Q843" t="str">
        <f>_xll.BDP("912828FH Govt","DAY_CNT_DES")</f>
        <v>ACT/ACT</v>
      </c>
      <c r="R843">
        <v>100</v>
      </c>
      <c r="S843" t="str">
        <f>_xll.BDP("912828FH Govt","ID_CUSIP")</f>
        <v>912828FH8</v>
      </c>
      <c r="T843" t="str">
        <f>_xll.BDP("912828FH Govt","IDX_RATIO")</f>
        <v>#N/A Field Not Applicable</v>
      </c>
    </row>
    <row r="844" spans="1:20" x14ac:dyDescent="0.25">
      <c r="A844" t="s">
        <v>14</v>
      </c>
      <c r="B844" t="str">
        <f>_xll.BDP("912828FK Govt","TICKER")</f>
        <v>T</v>
      </c>
      <c r="C844">
        <f>_xll.BDP("912828FK Govt","CPN")</f>
        <v>5.125</v>
      </c>
      <c r="D844" t="str">
        <f>_xll.BDP("912828FK Govt","YLD_YTM_BID")</f>
        <v>#N/A N/A</v>
      </c>
      <c r="E844" t="str">
        <f>_xll.BDP("912828FK Govt","MATURITY")</f>
        <v>6/30/2011</v>
      </c>
      <c r="F844" t="str">
        <f>_xll.BDP("912828FK Govt","MTY_TYP")</f>
        <v>NORMAL</v>
      </c>
      <c r="G844" t="str">
        <f>_xll.BDP("912828FK Govt","CRNCY")</f>
        <v>USD</v>
      </c>
      <c r="H844" t="str">
        <f>_xll.BDP("912828FK Govt","COUNTRY_FULL_NAME")</f>
        <v>UNITED STATES</v>
      </c>
      <c r="I844" t="str">
        <f>_xll.BDP("912828FK Govt","FIRST_CPN_DT")</f>
        <v>12/31/2006</v>
      </c>
      <c r="J844" t="str">
        <f>_xll.BDP("912828FK Govt","COUPON_FREQUENCY_DESCRIPTION")</f>
        <v>S/A</v>
      </c>
      <c r="K844" t="str">
        <f>_xll.BDP("912828FK Govt","CPN_TYP")</f>
        <v>FIXED</v>
      </c>
      <c r="L844" t="str">
        <f>_xll.BDP("912828FK Govt","ID_ISIN")</f>
        <v>US912828FK15</v>
      </c>
      <c r="M844">
        <v>17500000000</v>
      </c>
      <c r="N844">
        <v>0</v>
      </c>
      <c r="O844" t="str">
        <f>_xll.BDP("912828FK Govt","ISSUE_DT")</f>
        <v>6/30/2006</v>
      </c>
      <c r="P844" t="str">
        <f>_xll.BDP("912828FK Govt","SECURITY_NAME")</f>
        <v>T 5 1/8 06/30/11</v>
      </c>
      <c r="Q844" t="str">
        <f>_xll.BDP("912828FK Govt","DAY_CNT_DES")</f>
        <v>ACT/ACT</v>
      </c>
      <c r="R844">
        <v>100</v>
      </c>
      <c r="S844" t="str">
        <f>_xll.BDP("912828FK Govt","ID_CUSIP")</f>
        <v>912828FK1</v>
      </c>
      <c r="T844" t="str">
        <f>_xll.BDP("912828FK Govt","IDX_RATIO")</f>
        <v>#N/A Field Not Applicable</v>
      </c>
    </row>
    <row r="845" spans="1:20" x14ac:dyDescent="0.25">
      <c r="A845" t="s">
        <v>14</v>
      </c>
      <c r="B845" t="str">
        <f>_xll.BDP("912828FV Govt","TICKER")</f>
        <v>T</v>
      </c>
      <c r="C845">
        <f>_xll.BDP("912828FV Govt","CPN")</f>
        <v>4.875</v>
      </c>
      <c r="D845" t="str">
        <f>_xll.BDP("912828FV Govt","YLD_YTM_BID")</f>
        <v>#N/A N/A</v>
      </c>
      <c r="E845" t="str">
        <f>_xll.BDP("912828FV Govt","MATURITY")</f>
        <v>10/31/2008</v>
      </c>
      <c r="F845" t="str">
        <f>_xll.BDP("912828FV Govt","MTY_TYP")</f>
        <v>NORMAL</v>
      </c>
      <c r="G845" t="str">
        <f>_xll.BDP("912828FV Govt","CRNCY")</f>
        <v>USD</v>
      </c>
      <c r="H845" t="str">
        <f>_xll.BDP("912828FV Govt","COUNTRY_FULL_NAME")</f>
        <v>UNITED STATES</v>
      </c>
      <c r="I845" t="str">
        <f>_xll.BDP("912828FV Govt","FIRST_CPN_DT")</f>
        <v>4/30/2007</v>
      </c>
      <c r="J845" t="str">
        <f>_xll.BDP("912828FV Govt","COUPON_FREQUENCY_DESCRIPTION")</f>
        <v>S/A</v>
      </c>
      <c r="K845" t="str">
        <f>_xll.BDP("912828FV Govt","CPN_TYP")</f>
        <v>FIXED</v>
      </c>
      <c r="L845" t="str">
        <f>_xll.BDP("912828FV Govt","ID_ISIN")</f>
        <v>US912828FV79</v>
      </c>
      <c r="M845">
        <v>22728000000</v>
      </c>
      <c r="N845">
        <v>0</v>
      </c>
      <c r="O845" t="str">
        <f>_xll.BDP("912828FV Govt","ISSUE_DT")</f>
        <v>10/31/2006</v>
      </c>
      <c r="P845" t="str">
        <f>_xll.BDP("912828FV Govt","SECURITY_NAME")</f>
        <v>T 4 7/8 10/31/08</v>
      </c>
      <c r="Q845" t="str">
        <f>_xll.BDP("912828FV Govt","DAY_CNT_DES")</f>
        <v>ACT/ACT</v>
      </c>
      <c r="R845">
        <v>100</v>
      </c>
      <c r="S845" t="str">
        <f>_xll.BDP("912828FV Govt","ID_CUSIP")</f>
        <v>912828FV7</v>
      </c>
      <c r="T845" t="str">
        <f>_xll.BDP("912828FV Govt","IDX_RATIO")</f>
        <v>#N/A Field Not Applicable</v>
      </c>
    </row>
    <row r="846" spans="1:20" x14ac:dyDescent="0.25">
      <c r="A846" t="s">
        <v>14</v>
      </c>
      <c r="B846" t="str">
        <f>_xll.BDP("912828FW Govt","TICKER")</f>
        <v>T</v>
      </c>
      <c r="C846">
        <f>_xll.BDP("912828FW Govt","CPN")</f>
        <v>4.625</v>
      </c>
      <c r="D846" t="str">
        <f>_xll.BDP("912828FW Govt","YLD_YTM_BID")</f>
        <v>#N/A N/A</v>
      </c>
      <c r="E846" t="str">
        <f>_xll.BDP("912828FW Govt","MATURITY")</f>
        <v>10/31/2011</v>
      </c>
      <c r="F846" t="str">
        <f>_xll.BDP("912828FW Govt","MTY_TYP")</f>
        <v>NORMAL</v>
      </c>
      <c r="G846" t="str">
        <f>_xll.BDP("912828FW Govt","CRNCY")</f>
        <v>USD</v>
      </c>
      <c r="H846" t="str">
        <f>_xll.BDP("912828FW Govt","COUNTRY_FULL_NAME")</f>
        <v>UNITED STATES</v>
      </c>
      <c r="I846" t="str">
        <f>_xll.BDP("912828FW Govt","FIRST_CPN_DT")</f>
        <v>4/30/2007</v>
      </c>
      <c r="J846" t="str">
        <f>_xll.BDP("912828FW Govt","COUPON_FREQUENCY_DESCRIPTION")</f>
        <v>S/A</v>
      </c>
      <c r="K846" t="str">
        <f>_xll.BDP("912828FW Govt","CPN_TYP")</f>
        <v>FIXED</v>
      </c>
      <c r="L846" t="str">
        <f>_xll.BDP("912828FW Govt","ID_ISIN")</f>
        <v>US912828FW52</v>
      </c>
      <c r="M846">
        <v>16181000000</v>
      </c>
      <c r="N846">
        <v>0</v>
      </c>
      <c r="O846" t="str">
        <f>_xll.BDP("912828FW Govt","ISSUE_DT")</f>
        <v>10/31/2006</v>
      </c>
      <c r="P846" t="str">
        <f>_xll.BDP("912828FW Govt","SECURITY_NAME")</f>
        <v>T 4 5/8 10/31/11</v>
      </c>
      <c r="Q846" t="str">
        <f>_xll.BDP("912828FW Govt","DAY_CNT_DES")</f>
        <v>ACT/ACT</v>
      </c>
      <c r="R846">
        <v>100</v>
      </c>
      <c r="S846" t="str">
        <f>_xll.BDP("912828FW Govt","ID_CUSIP")</f>
        <v>912828FW5</v>
      </c>
      <c r="T846" t="str">
        <f>_xll.BDP("912828FW Govt","IDX_RATIO")</f>
        <v>#N/A Field Not Applicable</v>
      </c>
    </row>
    <row r="847" spans="1:20" x14ac:dyDescent="0.25">
      <c r="A847" t="s">
        <v>14</v>
      </c>
      <c r="B847" t="str">
        <f>_xll.BDP("912828GL Govt","TICKER")</f>
        <v>T</v>
      </c>
      <c r="C847">
        <f>_xll.BDP("912828GL Govt","CPN")</f>
        <v>4.5</v>
      </c>
      <c r="D847" t="str">
        <f>_xll.BDP("912828GL Govt","YLD_YTM_BID")</f>
        <v>#N/A N/A</v>
      </c>
      <c r="E847" t="str">
        <f>_xll.BDP("912828GL Govt","MATURITY")</f>
        <v>3/31/2009</v>
      </c>
      <c r="F847" t="str">
        <f>_xll.BDP("912828GL Govt","MTY_TYP")</f>
        <v>NORMAL</v>
      </c>
      <c r="G847" t="str">
        <f>_xll.BDP("912828GL Govt","CRNCY")</f>
        <v>USD</v>
      </c>
      <c r="H847" t="str">
        <f>_xll.BDP("912828GL Govt","COUNTRY_FULL_NAME")</f>
        <v>UNITED STATES</v>
      </c>
      <c r="I847" t="str">
        <f>_xll.BDP("912828GL Govt","FIRST_CPN_DT")</f>
        <v>9/30/2007</v>
      </c>
      <c r="J847" t="str">
        <f>_xll.BDP("912828GL Govt","COUPON_FREQUENCY_DESCRIPTION")</f>
        <v>S/A</v>
      </c>
      <c r="K847" t="str">
        <f>_xll.BDP("912828GL Govt","CPN_TYP")</f>
        <v>FIXED</v>
      </c>
      <c r="L847" t="str">
        <f>_xll.BDP("912828GL Govt","ID_ISIN")</f>
        <v>US912828GL88</v>
      </c>
      <c r="M847">
        <v>22646000000</v>
      </c>
      <c r="N847">
        <v>0</v>
      </c>
      <c r="O847" t="str">
        <f>_xll.BDP("912828GL Govt","ISSUE_DT")</f>
        <v>4/2/2007</v>
      </c>
      <c r="P847" t="str">
        <f>_xll.BDP("912828GL Govt","SECURITY_NAME")</f>
        <v>T 4 1/2 03/31/09</v>
      </c>
      <c r="Q847" t="str">
        <f>_xll.BDP("912828GL Govt","DAY_CNT_DES")</f>
        <v>ACT/ACT</v>
      </c>
      <c r="R847">
        <v>100</v>
      </c>
      <c r="S847" t="str">
        <f>_xll.BDP("912828GL Govt","ID_CUSIP")</f>
        <v>912828GL8</v>
      </c>
      <c r="T847" t="str">
        <f>_xll.BDP("912828GL Govt","IDX_RATIO")</f>
        <v>#N/A Field Not Applicable</v>
      </c>
    </row>
    <row r="848" spans="1:20" x14ac:dyDescent="0.25">
      <c r="A848" t="s">
        <v>14</v>
      </c>
      <c r="B848" t="str">
        <f>_xll.BDP("912828GU Govt","TICKER")</f>
        <v>T</v>
      </c>
      <c r="C848">
        <f>_xll.BDP("912828GU Govt","CPN")</f>
        <v>4.75</v>
      </c>
      <c r="D848" t="str">
        <f>_xll.BDP("912828GU Govt","YLD_YTM_BID")</f>
        <v>#N/A N/A</v>
      </c>
      <c r="E848" t="str">
        <f>_xll.BDP("912828GU Govt","MATURITY")</f>
        <v>5/31/2012</v>
      </c>
      <c r="F848" t="str">
        <f>_xll.BDP("912828GU Govt","MTY_TYP")</f>
        <v>NORMAL</v>
      </c>
      <c r="G848" t="str">
        <f>_xll.BDP("912828GU Govt","CRNCY")</f>
        <v>USD</v>
      </c>
      <c r="H848" t="str">
        <f>_xll.BDP("912828GU Govt","COUNTRY_FULL_NAME")</f>
        <v>UNITED STATES</v>
      </c>
      <c r="I848" t="str">
        <f>_xll.BDP("912828GU Govt","FIRST_CPN_DT")</f>
        <v>11/30/2007</v>
      </c>
      <c r="J848" t="str">
        <f>_xll.BDP("912828GU Govt","COUPON_FREQUENCY_DESCRIPTION")</f>
        <v>S/A</v>
      </c>
      <c r="K848" t="str">
        <f>_xll.BDP("912828GU Govt","CPN_TYP")</f>
        <v>FIXED</v>
      </c>
      <c r="L848" t="str">
        <f>_xll.BDP("912828GU Govt","ID_ISIN")</f>
        <v>US912828GU87</v>
      </c>
      <c r="M848">
        <v>16236000000</v>
      </c>
      <c r="N848">
        <v>0</v>
      </c>
      <c r="O848" t="str">
        <f>_xll.BDP("912828GU Govt","ISSUE_DT")</f>
        <v>5/31/2007</v>
      </c>
      <c r="P848" t="str">
        <f>_xll.BDP("912828GU Govt","SECURITY_NAME")</f>
        <v>T 4 3/4 05/31/12</v>
      </c>
      <c r="Q848" t="str">
        <f>_xll.BDP("912828GU Govt","DAY_CNT_DES")</f>
        <v>ACT/ACT</v>
      </c>
      <c r="R848">
        <v>100</v>
      </c>
      <c r="S848" t="str">
        <f>_xll.BDP("912828GU Govt","ID_CUSIP")</f>
        <v>912828GU8</v>
      </c>
      <c r="T848" t="str">
        <f>_xll.BDP("912828GU Govt","IDX_RATIO")</f>
        <v>#N/A Field Not Applicable</v>
      </c>
    </row>
    <row r="849" spans="1:20" x14ac:dyDescent="0.25">
      <c r="A849" t="s">
        <v>14</v>
      </c>
      <c r="B849" t="str">
        <f>_xll.BDP("912828HB Govt","TICKER")</f>
        <v>T</v>
      </c>
      <c r="C849">
        <f>_xll.BDP("912828HB Govt","CPN")</f>
        <v>4</v>
      </c>
      <c r="D849" t="str">
        <f>_xll.BDP("912828HB Govt","YLD_YTM_BID")</f>
        <v>#N/A N/A</v>
      </c>
      <c r="E849" t="str">
        <f>_xll.BDP("912828HB Govt","MATURITY")</f>
        <v>8/31/2009</v>
      </c>
      <c r="F849" t="str">
        <f>_xll.BDP("912828HB Govt","MTY_TYP")</f>
        <v>NORMAL</v>
      </c>
      <c r="G849" t="str">
        <f>_xll.BDP("912828HB Govt","CRNCY")</f>
        <v>USD</v>
      </c>
      <c r="H849" t="str">
        <f>_xll.BDP("912828HB Govt","COUNTRY_FULL_NAME")</f>
        <v>UNITED STATES</v>
      </c>
      <c r="I849" t="str">
        <f>_xll.BDP("912828HB Govt","FIRST_CPN_DT")</f>
        <v>2/29/2008</v>
      </c>
      <c r="J849" t="str">
        <f>_xll.BDP("912828HB Govt","COUPON_FREQUENCY_DESCRIPTION")</f>
        <v>S/A</v>
      </c>
      <c r="K849" t="str">
        <f>_xll.BDP("912828HB Govt","CPN_TYP")</f>
        <v>FIXED</v>
      </c>
      <c r="L849" t="str">
        <f>_xll.BDP("912828HB Govt","ID_ISIN")</f>
        <v>US912828HB97</v>
      </c>
      <c r="M849">
        <v>22282000000</v>
      </c>
      <c r="N849">
        <v>0</v>
      </c>
      <c r="O849" t="str">
        <f>_xll.BDP("912828HB Govt","ISSUE_DT")</f>
        <v>8/31/2007</v>
      </c>
      <c r="P849" t="str">
        <f>_xll.BDP("912828HB Govt","SECURITY_NAME")</f>
        <v>T 4 08/31/09</v>
      </c>
      <c r="Q849" t="str">
        <f>_xll.BDP("912828HB Govt","DAY_CNT_DES")</f>
        <v>ACT/ACT</v>
      </c>
      <c r="R849">
        <v>100</v>
      </c>
      <c r="S849" t="str">
        <f>_xll.BDP("912828HB Govt","ID_CUSIP")</f>
        <v>912828HB9</v>
      </c>
      <c r="T849" t="str">
        <f>_xll.BDP("912828HB Govt","IDX_RATIO")</f>
        <v>#N/A Field Not Applicable</v>
      </c>
    </row>
    <row r="850" spans="1:20" x14ac:dyDescent="0.25">
      <c r="A850" t="s">
        <v>14</v>
      </c>
      <c r="B850" t="str">
        <f>_xll.BDP("912828HE Govt","TICKER")</f>
        <v>T</v>
      </c>
      <c r="C850">
        <f>_xll.BDP("912828HE Govt","CPN")</f>
        <v>4.25</v>
      </c>
      <c r="D850" t="str">
        <f>_xll.BDP("912828HE Govt","YLD_YTM_BID")</f>
        <v>#N/A N/A</v>
      </c>
      <c r="E850" t="str">
        <f>_xll.BDP("912828HE Govt","MATURITY")</f>
        <v>9/30/2012</v>
      </c>
      <c r="F850" t="str">
        <f>_xll.BDP("912828HE Govt","MTY_TYP")</f>
        <v>NORMAL</v>
      </c>
      <c r="G850" t="str">
        <f>_xll.BDP("912828HE Govt","CRNCY")</f>
        <v>USD</v>
      </c>
      <c r="H850" t="str">
        <f>_xll.BDP("912828HE Govt","COUNTRY_FULL_NAME")</f>
        <v>UNITED STATES</v>
      </c>
      <c r="I850" t="str">
        <f>_xll.BDP("912828HE Govt","FIRST_CPN_DT")</f>
        <v>3/31/2008</v>
      </c>
      <c r="J850" t="str">
        <f>_xll.BDP("912828HE Govt","COUPON_FREQUENCY_DESCRIPTION")</f>
        <v>S/A</v>
      </c>
      <c r="K850" t="str">
        <f>_xll.BDP("912828HE Govt","CPN_TYP")</f>
        <v>FIXED</v>
      </c>
      <c r="L850" t="str">
        <f>_xll.BDP("912828HE Govt","ID_ISIN")</f>
        <v>US912828HE37</v>
      </c>
      <c r="M850">
        <v>15874000000</v>
      </c>
      <c r="N850">
        <v>0</v>
      </c>
      <c r="O850" t="str">
        <f>_xll.BDP("912828HE Govt","ISSUE_DT")</f>
        <v>10/1/2007</v>
      </c>
      <c r="P850" t="str">
        <f>_xll.BDP("912828HE Govt","SECURITY_NAME")</f>
        <v>T 4 1/4 09/30/12</v>
      </c>
      <c r="Q850" t="str">
        <f>_xll.BDP("912828HE Govt","DAY_CNT_DES")</f>
        <v>ACT/ACT</v>
      </c>
      <c r="R850">
        <v>100</v>
      </c>
      <c r="S850" t="str">
        <f>_xll.BDP("912828HE Govt","ID_CUSIP")</f>
        <v>912828HE3</v>
      </c>
      <c r="T850" t="str">
        <f>_xll.BDP("912828HE Govt","IDX_RATIO")</f>
        <v>#N/A Field Not Applicable</v>
      </c>
    </row>
    <row r="851" spans="1:20" x14ac:dyDescent="0.25">
      <c r="A851" t="s">
        <v>14</v>
      </c>
      <c r="B851" t="str">
        <f>_xll.BDP("912828HT Govt","TICKER")</f>
        <v>T</v>
      </c>
      <c r="C851">
        <f>_xll.BDP("912828HT Govt","CPN")</f>
        <v>2.75</v>
      </c>
      <c r="D851" t="str">
        <f>_xll.BDP("912828HT Govt","YLD_YTM_BID")</f>
        <v>#N/A N/A</v>
      </c>
      <c r="E851" t="str">
        <f>_xll.BDP("912828HT Govt","MATURITY")</f>
        <v>2/28/2013</v>
      </c>
      <c r="F851" t="str">
        <f>_xll.BDP("912828HT Govt","MTY_TYP")</f>
        <v>NORMAL</v>
      </c>
      <c r="G851" t="str">
        <f>_xll.BDP("912828HT Govt","CRNCY")</f>
        <v>USD</v>
      </c>
      <c r="H851" t="str">
        <f>_xll.BDP("912828HT Govt","COUNTRY_FULL_NAME")</f>
        <v>UNITED STATES</v>
      </c>
      <c r="I851" t="str">
        <f>_xll.BDP("912828HT Govt","FIRST_CPN_DT")</f>
        <v>8/31/2008</v>
      </c>
      <c r="J851" t="str">
        <f>_xll.BDP("912828HT Govt","COUPON_FREQUENCY_DESCRIPTION")</f>
        <v>S/A</v>
      </c>
      <c r="K851" t="str">
        <f>_xll.BDP("912828HT Govt","CPN_TYP")</f>
        <v>FIXED</v>
      </c>
      <c r="L851" t="str">
        <f>_xll.BDP("912828HT Govt","ID_ISIN")</f>
        <v>US912828HT06</v>
      </c>
      <c r="M851">
        <v>17784000000</v>
      </c>
      <c r="N851">
        <v>0</v>
      </c>
      <c r="O851" t="str">
        <f>_xll.BDP("912828HT Govt","ISSUE_DT")</f>
        <v>2/29/2008</v>
      </c>
      <c r="P851" t="str">
        <f>_xll.BDP("912828HT Govt","SECURITY_NAME")</f>
        <v>T 2 3/4 02/28/13</v>
      </c>
      <c r="Q851" t="str">
        <f>_xll.BDP("912828HT Govt","DAY_CNT_DES")</f>
        <v>ACT/ACT</v>
      </c>
      <c r="R851">
        <v>100</v>
      </c>
      <c r="S851" t="str">
        <f>_xll.BDP("912828HT Govt","ID_CUSIP")</f>
        <v>912828HT0</v>
      </c>
      <c r="T851" t="str">
        <f>_xll.BDP("912828HT Govt","IDX_RATIO")</f>
        <v>#N/A Field Not Applicable</v>
      </c>
    </row>
    <row r="852" spans="1:20" x14ac:dyDescent="0.25">
      <c r="A852" t="s">
        <v>14</v>
      </c>
      <c r="B852" t="str">
        <f>_xll.BDP("912828J9 Govt","TICKER")</f>
        <v>T</v>
      </c>
      <c r="C852">
        <f>_xll.BDP("912828J9 Govt","CPN")</f>
        <v>0.5</v>
      </c>
      <c r="D852" t="str">
        <f>_xll.BDP("912828J9 Govt","YLD_YTM_BID")</f>
        <v>#N/A N/A</v>
      </c>
      <c r="E852" t="str">
        <f>_xll.BDP("912828J9 Govt","MATURITY")</f>
        <v>3/31/2017</v>
      </c>
      <c r="F852" t="str">
        <f>_xll.BDP("912828J9 Govt","MTY_TYP")</f>
        <v>NORMAL</v>
      </c>
      <c r="G852" t="str">
        <f>_xll.BDP("912828J9 Govt","CRNCY")</f>
        <v>USD</v>
      </c>
      <c r="H852" t="str">
        <f>_xll.BDP("912828J9 Govt","COUNTRY_FULL_NAME")</f>
        <v>UNITED STATES</v>
      </c>
      <c r="I852" t="str">
        <f>_xll.BDP("912828J9 Govt","FIRST_CPN_DT")</f>
        <v>9/30/2015</v>
      </c>
      <c r="J852" t="str">
        <f>_xll.BDP("912828J9 Govt","COUPON_FREQUENCY_DESCRIPTION")</f>
        <v>S/A</v>
      </c>
      <c r="K852" t="str">
        <f>_xll.BDP("912828J9 Govt","CPN_TYP")</f>
        <v>FIXED</v>
      </c>
      <c r="L852" t="str">
        <f>_xll.BDP("912828J9 Govt","ID_ISIN")</f>
        <v>US912828J926</v>
      </c>
      <c r="M852">
        <v>26000000000</v>
      </c>
      <c r="N852">
        <v>0</v>
      </c>
      <c r="O852" t="str">
        <f>_xll.BDP("912828J9 Govt","ISSUE_DT")</f>
        <v>3/31/2015</v>
      </c>
      <c r="P852" t="str">
        <f>_xll.BDP("912828J9 Govt","SECURITY_NAME")</f>
        <v>T 0 1/2 03/31/17</v>
      </c>
      <c r="Q852" t="str">
        <f>_xll.BDP("912828J9 Govt","DAY_CNT_DES")</f>
        <v>ACT/ACT</v>
      </c>
      <c r="R852">
        <v>100</v>
      </c>
      <c r="S852" t="str">
        <f>_xll.BDP("912828J9 Govt","ID_CUSIP")</f>
        <v>912828J92</v>
      </c>
      <c r="T852" t="str">
        <f>_xll.BDP("912828J9 Govt","IDX_RATIO")</f>
        <v>#N/A Field Not Applicable</v>
      </c>
    </row>
    <row r="853" spans="1:20" x14ac:dyDescent="0.25">
      <c r="A853" t="s">
        <v>14</v>
      </c>
      <c r="B853" t="str">
        <f>_xll.BDP("912828JC Govt","TICKER")</f>
        <v>T</v>
      </c>
      <c r="C853">
        <f>_xll.BDP("912828JC Govt","CPN")</f>
        <v>2.875</v>
      </c>
      <c r="D853" t="str">
        <f>_xll.BDP("912828JC Govt","YLD_YTM_BID")</f>
        <v>#N/A N/A</v>
      </c>
      <c r="E853" t="str">
        <f>_xll.BDP("912828JC Govt","MATURITY")</f>
        <v>6/30/2010</v>
      </c>
      <c r="F853" t="str">
        <f>_xll.BDP("912828JC Govt","MTY_TYP")</f>
        <v>NORMAL</v>
      </c>
      <c r="G853" t="str">
        <f>_xll.BDP("912828JC Govt","CRNCY")</f>
        <v>USD</v>
      </c>
      <c r="H853" t="str">
        <f>_xll.BDP("912828JC Govt","COUNTRY_FULL_NAME")</f>
        <v>UNITED STATES</v>
      </c>
      <c r="I853" t="str">
        <f>_xll.BDP("912828JC Govt","FIRST_CPN_DT")</f>
        <v>12/31/2008</v>
      </c>
      <c r="J853" t="str">
        <f>_xll.BDP("912828JC Govt","COUPON_FREQUENCY_DESCRIPTION")</f>
        <v>S/A</v>
      </c>
      <c r="K853" t="str">
        <f>_xll.BDP("912828JC Govt","CPN_TYP")</f>
        <v>FIXED</v>
      </c>
      <c r="L853" t="str">
        <f>_xll.BDP("912828JC Govt","ID_ISIN")</f>
        <v>US912828JC52</v>
      </c>
      <c r="M853">
        <v>33219000000</v>
      </c>
      <c r="N853">
        <v>0</v>
      </c>
      <c r="O853" t="str">
        <f>_xll.BDP("912828JC Govt","ISSUE_DT")</f>
        <v>6/30/2008</v>
      </c>
      <c r="P853" t="str">
        <f>_xll.BDP("912828JC Govt","SECURITY_NAME")</f>
        <v>T 2 7/8 06/30/10</v>
      </c>
      <c r="Q853" t="str">
        <f>_xll.BDP("912828JC Govt","DAY_CNT_DES")</f>
        <v>ACT/ACT</v>
      </c>
      <c r="R853">
        <v>100</v>
      </c>
      <c r="S853" t="str">
        <f>_xll.BDP("912828JC Govt","ID_CUSIP")</f>
        <v>912828JC5</v>
      </c>
      <c r="T853" t="str">
        <f>_xll.BDP("912828JC Govt","IDX_RATIO")</f>
        <v>#N/A Field Not Applicable</v>
      </c>
    </row>
    <row r="854" spans="1:20" x14ac:dyDescent="0.25">
      <c r="A854" t="s">
        <v>14</v>
      </c>
      <c r="B854" t="str">
        <f>_xll.BDP("912828JK Govt","TICKER")</f>
        <v>T</v>
      </c>
      <c r="C854">
        <f>_xll.BDP("912828JK Govt","CPN")</f>
        <v>3.125</v>
      </c>
      <c r="D854" t="str">
        <f>_xll.BDP("912828JK Govt","YLD_YTM_BID")</f>
        <v>#N/A N/A</v>
      </c>
      <c r="E854" t="str">
        <f>_xll.BDP("912828JK Govt","MATURITY")</f>
        <v>8/31/2013</v>
      </c>
      <c r="F854" t="str">
        <f>_xll.BDP("912828JK Govt","MTY_TYP")</f>
        <v>NORMAL</v>
      </c>
      <c r="G854" t="str">
        <f>_xll.BDP("912828JK Govt","CRNCY")</f>
        <v>USD</v>
      </c>
      <c r="H854" t="str">
        <f>_xll.BDP("912828JK Govt","COUNTRY_FULL_NAME")</f>
        <v>UNITED STATES</v>
      </c>
      <c r="I854" t="str">
        <f>_xll.BDP("912828JK Govt","FIRST_CPN_DT")</f>
        <v>2/28/2009</v>
      </c>
      <c r="J854" t="str">
        <f>_xll.BDP("912828JK Govt","COUPON_FREQUENCY_DESCRIPTION")</f>
        <v>S/A</v>
      </c>
      <c r="K854" t="str">
        <f>_xll.BDP("912828JK Govt","CPN_TYP")</f>
        <v>FIXED</v>
      </c>
      <c r="L854" t="str">
        <f>_xll.BDP("912828JK Govt","ID_ISIN")</f>
        <v>US912828JK78</v>
      </c>
      <c r="M854">
        <v>23837000000</v>
      </c>
      <c r="N854">
        <v>0</v>
      </c>
      <c r="O854" t="str">
        <f>_xll.BDP("912828JK Govt","ISSUE_DT")</f>
        <v>9/2/2008</v>
      </c>
      <c r="P854" t="str">
        <f>_xll.BDP("912828JK Govt","SECURITY_NAME")</f>
        <v>T 3 1/8 08/31/13</v>
      </c>
      <c r="Q854" t="str">
        <f>_xll.BDP("912828JK Govt","DAY_CNT_DES")</f>
        <v>ACT/ACT</v>
      </c>
      <c r="R854">
        <v>100</v>
      </c>
      <c r="S854" t="str">
        <f>_xll.BDP("912828JK Govt","ID_CUSIP")</f>
        <v>912828JK7</v>
      </c>
      <c r="T854" t="str">
        <f>_xll.BDP("912828JK Govt","IDX_RATIO")</f>
        <v>#N/A Field Not Applicable</v>
      </c>
    </row>
    <row r="855" spans="1:20" x14ac:dyDescent="0.25">
      <c r="A855" t="s">
        <v>14</v>
      </c>
      <c r="B855" t="str">
        <f>_xll.BDP("912828JU Govt","TICKER")</f>
        <v>T</v>
      </c>
      <c r="C855">
        <f>_xll.BDP("912828JU Govt","CPN")</f>
        <v>1.75</v>
      </c>
      <c r="D855" t="str">
        <f>_xll.BDP("912828JU Govt","YLD_YTM_BID")</f>
        <v>#N/A N/A</v>
      </c>
      <c r="E855" t="str">
        <f>_xll.BDP("912828JU Govt","MATURITY")</f>
        <v>11/15/2011</v>
      </c>
      <c r="F855" t="str">
        <f>_xll.BDP("912828JU Govt","MTY_TYP")</f>
        <v>NORMAL</v>
      </c>
      <c r="G855" t="str">
        <f>_xll.BDP("912828JU Govt","CRNCY")</f>
        <v>USD</v>
      </c>
      <c r="H855" t="str">
        <f>_xll.BDP("912828JU Govt","COUNTRY_FULL_NAME")</f>
        <v>UNITED STATES</v>
      </c>
      <c r="I855" t="str">
        <f>_xll.BDP("912828JU Govt","FIRST_CPN_DT")</f>
        <v>5/15/2009</v>
      </c>
      <c r="J855" t="str">
        <f>_xll.BDP("912828JU Govt","COUPON_FREQUENCY_DESCRIPTION")</f>
        <v>S/A</v>
      </c>
      <c r="K855" t="str">
        <f>_xll.BDP("912828JU Govt","CPN_TYP")</f>
        <v>FIXED</v>
      </c>
      <c r="L855" t="str">
        <f>_xll.BDP("912828JU Govt","ID_ISIN")</f>
        <v>US912828JU50</v>
      </c>
      <c r="M855">
        <v>29443000000</v>
      </c>
      <c r="N855">
        <v>0</v>
      </c>
      <c r="O855" t="str">
        <f>_xll.BDP("912828JU Govt","ISSUE_DT")</f>
        <v>11/17/2008</v>
      </c>
      <c r="P855" t="str">
        <f>_xll.BDP("912828JU Govt","SECURITY_NAME")</f>
        <v>T 1 3/4 11/15/11</v>
      </c>
      <c r="Q855" t="str">
        <f>_xll.BDP("912828JU Govt","DAY_CNT_DES")</f>
        <v>ACT/ACT</v>
      </c>
      <c r="R855">
        <v>100</v>
      </c>
      <c r="S855" t="str">
        <f>_xll.BDP("912828JU Govt","ID_CUSIP")</f>
        <v>912828JU5</v>
      </c>
      <c r="T855" t="str">
        <f>_xll.BDP("912828JU Govt","IDX_RATIO")</f>
        <v>#N/A Field Not Applicable</v>
      </c>
    </row>
    <row r="856" spans="1:20" x14ac:dyDescent="0.25">
      <c r="A856" t="s">
        <v>14</v>
      </c>
      <c r="B856" t="str">
        <f>_xll.BDP("912828KA Govt","TICKER")</f>
        <v>T</v>
      </c>
      <c r="C856">
        <f>_xll.BDP("912828KA Govt","CPN")</f>
        <v>1.125</v>
      </c>
      <c r="D856" t="str">
        <f>_xll.BDP("912828KA Govt","YLD_YTM_BID")</f>
        <v>#N/A N/A</v>
      </c>
      <c r="E856" t="str">
        <f>_xll.BDP("912828KA Govt","MATURITY")</f>
        <v>12/15/2011</v>
      </c>
      <c r="F856" t="str">
        <f>_xll.BDP("912828KA Govt","MTY_TYP")</f>
        <v>NORMAL</v>
      </c>
      <c r="G856" t="str">
        <f>_xll.BDP("912828KA Govt","CRNCY")</f>
        <v>USD</v>
      </c>
      <c r="H856" t="str">
        <f>_xll.BDP("912828KA Govt","COUNTRY_FULL_NAME")</f>
        <v>UNITED STATES</v>
      </c>
      <c r="I856" t="str">
        <f>_xll.BDP("912828KA Govt","FIRST_CPN_DT")</f>
        <v>6/15/2009</v>
      </c>
      <c r="J856" t="str">
        <f>_xll.BDP("912828KA Govt","COUPON_FREQUENCY_DESCRIPTION")</f>
        <v>S/A</v>
      </c>
      <c r="K856" t="str">
        <f>_xll.BDP("912828KA Govt","CPN_TYP")</f>
        <v>FIXED</v>
      </c>
      <c r="L856" t="str">
        <f>_xll.BDP("912828KA Govt","ID_ISIN")</f>
        <v>US912828KA77</v>
      </c>
      <c r="M856">
        <v>28841000000</v>
      </c>
      <c r="N856">
        <v>0</v>
      </c>
      <c r="O856" t="str">
        <f>_xll.BDP("912828KA Govt","ISSUE_DT")</f>
        <v>12/15/2008</v>
      </c>
      <c r="P856" t="str">
        <f>_xll.BDP("912828KA Govt","SECURITY_NAME")</f>
        <v>T 1 1/8 12/15/11</v>
      </c>
      <c r="Q856" t="str">
        <f>_xll.BDP("912828KA Govt","DAY_CNT_DES")</f>
        <v>ACT/ACT</v>
      </c>
      <c r="R856">
        <v>100</v>
      </c>
      <c r="S856" t="str">
        <f>_xll.BDP("912828KA Govt","ID_CUSIP")</f>
        <v>912828KA7</v>
      </c>
      <c r="T856" t="str">
        <f>_xll.BDP("912828KA Govt","IDX_RATIO")</f>
        <v>#N/A Field Not Applicable</v>
      </c>
    </row>
    <row r="857" spans="1:20" x14ac:dyDescent="0.25">
      <c r="A857" t="s">
        <v>14</v>
      </c>
      <c r="B857" t="str">
        <f>_xll.BDP("912828KL Govt","TICKER")</f>
        <v>T</v>
      </c>
      <c r="C857">
        <f>_xll.BDP("912828KL Govt","CPN")</f>
        <v>0.875</v>
      </c>
      <c r="D857" t="str">
        <f>_xll.BDP("912828KL Govt","YLD_YTM_BID")</f>
        <v>#N/A N/A</v>
      </c>
      <c r="E857" t="str">
        <f>_xll.BDP("912828KL Govt","MATURITY")</f>
        <v>4/30/2011</v>
      </c>
      <c r="F857" t="str">
        <f>_xll.BDP("912828KL Govt","MTY_TYP")</f>
        <v>NORMAL</v>
      </c>
      <c r="G857" t="str">
        <f>_xll.BDP("912828KL Govt","CRNCY")</f>
        <v>USD</v>
      </c>
      <c r="H857" t="str">
        <f>_xll.BDP("912828KL Govt","COUNTRY_FULL_NAME")</f>
        <v>UNITED STATES</v>
      </c>
      <c r="I857" t="str">
        <f>_xll.BDP("912828KL Govt","FIRST_CPN_DT")</f>
        <v>10/31/2009</v>
      </c>
      <c r="J857" t="str">
        <f>_xll.BDP("912828KL Govt","COUPON_FREQUENCY_DESCRIPTION")</f>
        <v>S/A</v>
      </c>
      <c r="K857" t="str">
        <f>_xll.BDP("912828KL Govt","CPN_TYP")</f>
        <v>FIXED</v>
      </c>
      <c r="L857" t="str">
        <f>_xll.BDP("912828KL Govt","ID_ISIN")</f>
        <v>US912828KL33</v>
      </c>
      <c r="M857">
        <v>41387000000</v>
      </c>
      <c r="N857">
        <v>0</v>
      </c>
      <c r="O857" t="str">
        <f>_xll.BDP("912828KL Govt","ISSUE_DT")</f>
        <v>4/30/2009</v>
      </c>
      <c r="P857" t="str">
        <f>_xll.BDP("912828KL Govt","SECURITY_NAME")</f>
        <v>T 0 7/8 04/30/11</v>
      </c>
      <c r="Q857" t="str">
        <f>_xll.BDP("912828KL Govt","DAY_CNT_DES")</f>
        <v>ACT/ACT</v>
      </c>
      <c r="R857">
        <v>100</v>
      </c>
      <c r="S857" t="str">
        <f>_xll.BDP("912828KL Govt","ID_CUSIP")</f>
        <v>912828KL3</v>
      </c>
      <c r="T857" t="str">
        <f>_xll.BDP("912828KL Govt","IDX_RATIO")</f>
        <v>#N/A Field Not Applicable</v>
      </c>
    </row>
    <row r="858" spans="1:20" x14ac:dyDescent="0.25">
      <c r="A858" t="s">
        <v>14</v>
      </c>
      <c r="B858" t="str">
        <f>_xll.BDP("912828LS Govt","TICKER")</f>
        <v>T</v>
      </c>
      <c r="C858">
        <f>_xll.BDP("912828LS Govt","CPN")</f>
        <v>2.375</v>
      </c>
      <c r="D858" t="str">
        <f>_xll.BDP("912828LS Govt","YLD_YTM_BID")</f>
        <v>#N/A N/A</v>
      </c>
      <c r="E858" t="str">
        <f>_xll.BDP("912828LS Govt","MATURITY")</f>
        <v>10/31/2014</v>
      </c>
      <c r="F858" t="str">
        <f>_xll.BDP("912828LS Govt","MTY_TYP")</f>
        <v>NORMAL</v>
      </c>
      <c r="G858" t="str">
        <f>_xll.BDP("912828LS Govt","CRNCY")</f>
        <v>USD</v>
      </c>
      <c r="H858" t="str">
        <f>_xll.BDP("912828LS Govt","COUNTRY_FULL_NAME")</f>
        <v>UNITED STATES</v>
      </c>
      <c r="I858" t="str">
        <f>_xll.BDP("912828LS Govt","FIRST_CPN_DT")</f>
        <v>4/30/2010</v>
      </c>
      <c r="J858" t="str">
        <f>_xll.BDP("912828LS Govt","COUPON_FREQUENCY_DESCRIPTION")</f>
        <v>S/A</v>
      </c>
      <c r="K858" t="str">
        <f>_xll.BDP("912828LS Govt","CPN_TYP")</f>
        <v>FIXED</v>
      </c>
      <c r="L858" t="str">
        <f>_xll.BDP("912828LS Govt","ID_ISIN")</f>
        <v>US912828LS76</v>
      </c>
      <c r="M858">
        <v>42011000000</v>
      </c>
      <c r="N858">
        <v>0</v>
      </c>
      <c r="O858" t="str">
        <f>_xll.BDP("912828LS Govt","ISSUE_DT")</f>
        <v>11/2/2009</v>
      </c>
      <c r="P858" t="str">
        <f>_xll.BDP("912828LS Govt","SECURITY_NAME")</f>
        <v>T 2 3/8 10/31/14</v>
      </c>
      <c r="Q858" t="str">
        <f>_xll.BDP("912828LS Govt","DAY_CNT_DES")</f>
        <v>ACT/ACT</v>
      </c>
      <c r="R858">
        <v>100</v>
      </c>
      <c r="S858" t="str">
        <f>_xll.BDP("912828LS Govt","ID_CUSIP")</f>
        <v>912828LS7</v>
      </c>
      <c r="T858" t="str">
        <f>_xll.BDP("912828LS Govt","IDX_RATIO")</f>
        <v>#N/A Field Not Applicable</v>
      </c>
    </row>
    <row r="859" spans="1:20" x14ac:dyDescent="0.25">
      <c r="A859" t="s">
        <v>14</v>
      </c>
      <c r="B859" t="str">
        <f>_xll.BDP("912828MD Govt","TICKER")</f>
        <v>T</v>
      </c>
      <c r="C859">
        <f>_xll.BDP("912828MD Govt","CPN")</f>
        <v>3.25</v>
      </c>
      <c r="D859" t="str">
        <f>_xll.BDP("912828MD Govt","YLD_YTM_BID")</f>
        <v>#N/A N/A</v>
      </c>
      <c r="E859" t="str">
        <f>_xll.BDP("912828MD Govt","MATURITY")</f>
        <v>12/31/2016</v>
      </c>
      <c r="F859" t="str">
        <f>_xll.BDP("912828MD Govt","MTY_TYP")</f>
        <v>NORMAL</v>
      </c>
      <c r="G859" t="str">
        <f>_xll.BDP("912828MD Govt","CRNCY")</f>
        <v>USD</v>
      </c>
      <c r="H859" t="str">
        <f>_xll.BDP("912828MD Govt","COUNTRY_FULL_NAME")</f>
        <v>UNITED STATES</v>
      </c>
      <c r="I859" t="str">
        <f>_xll.BDP("912828MD Govt","FIRST_CPN_DT")</f>
        <v>6/30/2010</v>
      </c>
      <c r="J859" t="str">
        <f>_xll.BDP("912828MD Govt","COUPON_FREQUENCY_DESCRIPTION")</f>
        <v>S/A</v>
      </c>
      <c r="K859" t="str">
        <f>_xll.BDP("912828MD Govt","CPN_TYP")</f>
        <v>FIXED</v>
      </c>
      <c r="L859" t="str">
        <f>_xll.BDP("912828MD Govt","ID_ISIN")</f>
        <v>US912828MD98</v>
      </c>
      <c r="M859">
        <v>32948000000</v>
      </c>
      <c r="N859">
        <v>0</v>
      </c>
      <c r="O859" t="str">
        <f>_xll.BDP("912828MD Govt","ISSUE_DT")</f>
        <v>12/31/2009</v>
      </c>
      <c r="P859" t="str">
        <f>_xll.BDP("912828MD Govt","SECURITY_NAME")</f>
        <v>T 3 1/4 12/31/16</v>
      </c>
      <c r="Q859" t="str">
        <f>_xll.BDP("912828MD Govt","DAY_CNT_DES")</f>
        <v>ACT/ACT</v>
      </c>
      <c r="R859">
        <v>100</v>
      </c>
      <c r="S859" t="str">
        <f>_xll.BDP("912828MD Govt","ID_CUSIP")</f>
        <v>912828MD9</v>
      </c>
      <c r="T859" t="str">
        <f>_xll.BDP("912828MD Govt","IDX_RATIO")</f>
        <v>#N/A Field Not Applicable</v>
      </c>
    </row>
    <row r="860" spans="1:20" x14ac:dyDescent="0.25">
      <c r="A860" t="s">
        <v>14</v>
      </c>
      <c r="B860" t="str">
        <f>_xll.BDP("912828MG Govt","TICKER")</f>
        <v>T</v>
      </c>
      <c r="C860">
        <f>_xll.BDP("912828MG Govt","CPN")</f>
        <v>1.375</v>
      </c>
      <c r="D860" t="str">
        <f>_xll.BDP("912828MG Govt","YLD_YTM_BID")</f>
        <v>#N/A N/A</v>
      </c>
      <c r="E860" t="str">
        <f>_xll.BDP("912828MG Govt","MATURITY")</f>
        <v>1/15/2013</v>
      </c>
      <c r="F860" t="str">
        <f>_xll.BDP("912828MG Govt","MTY_TYP")</f>
        <v>NORMAL</v>
      </c>
      <c r="G860" t="str">
        <f>_xll.BDP("912828MG Govt","CRNCY")</f>
        <v>USD</v>
      </c>
      <c r="H860" t="str">
        <f>_xll.BDP("912828MG Govt","COUNTRY_FULL_NAME")</f>
        <v>UNITED STATES</v>
      </c>
      <c r="I860" t="str">
        <f>_xll.BDP("912828MG Govt","FIRST_CPN_DT")</f>
        <v>7/15/2010</v>
      </c>
      <c r="J860" t="str">
        <f>_xll.BDP("912828MG Govt","COUPON_FREQUENCY_DESCRIPTION")</f>
        <v>S/A</v>
      </c>
      <c r="K860" t="str">
        <f>_xll.BDP("912828MG Govt","CPN_TYP")</f>
        <v>FIXED</v>
      </c>
      <c r="L860" t="str">
        <f>_xll.BDP("912828MG Govt","ID_ISIN")</f>
        <v>US912828MG20</v>
      </c>
      <c r="M860">
        <v>41552000000</v>
      </c>
      <c r="N860">
        <v>0</v>
      </c>
      <c r="O860" t="str">
        <f>_xll.BDP("912828MG Govt","ISSUE_DT")</f>
        <v>1/15/2010</v>
      </c>
      <c r="P860" t="str">
        <f>_xll.BDP("912828MG Govt","SECURITY_NAME")</f>
        <v>T 1 3/8 01/15/13</v>
      </c>
      <c r="Q860" t="str">
        <f>_xll.BDP("912828MG Govt","DAY_CNT_DES")</f>
        <v>ACT/ACT</v>
      </c>
      <c r="R860">
        <v>100</v>
      </c>
      <c r="S860" t="str">
        <f>_xll.BDP("912828MG Govt","ID_CUSIP")</f>
        <v>912828MG2</v>
      </c>
      <c r="T860" t="str">
        <f>_xll.BDP("912828MG Govt","IDX_RATIO")</f>
        <v>#N/A Field Not Applicable</v>
      </c>
    </row>
    <row r="861" spans="1:20" x14ac:dyDescent="0.25">
      <c r="A861" t="s">
        <v>14</v>
      </c>
      <c r="B861" t="str">
        <f>_xll.BDP("912828MS Govt","TICKER")</f>
        <v>T</v>
      </c>
      <c r="C861">
        <f>_xll.BDP("912828MS Govt","CPN")</f>
        <v>3</v>
      </c>
      <c r="D861" t="str">
        <f>_xll.BDP("912828MS Govt","YLD_YTM_BID")</f>
        <v>#N/A N/A</v>
      </c>
      <c r="E861" t="str">
        <f>_xll.BDP("912828MS Govt","MATURITY")</f>
        <v>2/28/2017</v>
      </c>
      <c r="F861" t="str">
        <f>_xll.BDP("912828MS Govt","MTY_TYP")</f>
        <v>NORMAL</v>
      </c>
      <c r="G861" t="str">
        <f>_xll.BDP("912828MS Govt","CRNCY")</f>
        <v>USD</v>
      </c>
      <c r="H861" t="str">
        <f>_xll.BDP("912828MS Govt","COUNTRY_FULL_NAME")</f>
        <v>UNITED STATES</v>
      </c>
      <c r="I861" t="str">
        <f>_xll.BDP("912828MS Govt","FIRST_CPN_DT")</f>
        <v>8/31/2010</v>
      </c>
      <c r="J861" t="str">
        <f>_xll.BDP("912828MS Govt","COUPON_FREQUENCY_DESCRIPTION")</f>
        <v>S/A</v>
      </c>
      <c r="K861" t="str">
        <f>_xll.BDP("912828MS Govt","CPN_TYP")</f>
        <v>FIXED</v>
      </c>
      <c r="L861" t="str">
        <f>_xll.BDP("912828MS Govt","ID_ISIN")</f>
        <v>US912828MS67</v>
      </c>
      <c r="M861">
        <v>32786000000</v>
      </c>
      <c r="N861">
        <v>0</v>
      </c>
      <c r="O861" t="str">
        <f>_xll.BDP("912828MS Govt","ISSUE_DT")</f>
        <v>3/1/2010</v>
      </c>
      <c r="P861" t="str">
        <f>_xll.BDP("912828MS Govt","SECURITY_NAME")</f>
        <v>T 3 02/28/17</v>
      </c>
      <c r="Q861" t="str">
        <f>_xll.BDP("912828MS Govt","DAY_CNT_DES")</f>
        <v>ACT/ACT</v>
      </c>
      <c r="R861">
        <v>100</v>
      </c>
      <c r="S861" t="str">
        <f>_xll.BDP("912828MS Govt","ID_CUSIP")</f>
        <v>912828MS6</v>
      </c>
      <c r="T861" t="str">
        <f>_xll.BDP("912828MS Govt","IDX_RATIO")</f>
        <v>#N/A Field Not Applicable</v>
      </c>
    </row>
    <row r="862" spans="1:20" x14ac:dyDescent="0.25">
      <c r="A862" t="s">
        <v>14</v>
      </c>
      <c r="B862" t="str">
        <f>_xll.BDP("912828NC Govt","TICKER")</f>
        <v>T</v>
      </c>
      <c r="C862">
        <f>_xll.BDP("912828NC Govt","CPN")</f>
        <v>1.375</v>
      </c>
      <c r="D862" t="str">
        <f>_xll.BDP("912828NC Govt","YLD_YTM_BID")</f>
        <v>#N/A N/A</v>
      </c>
      <c r="E862" t="str">
        <f>_xll.BDP("912828NC Govt","MATURITY")</f>
        <v>5/15/2013</v>
      </c>
      <c r="F862" t="str">
        <f>_xll.BDP("912828NC Govt","MTY_TYP")</f>
        <v>NORMAL</v>
      </c>
      <c r="G862" t="str">
        <f>_xll.BDP("912828NC Govt","CRNCY")</f>
        <v>USD</v>
      </c>
      <c r="H862" t="str">
        <f>_xll.BDP("912828NC Govt","COUNTRY_FULL_NAME")</f>
        <v>UNITED STATES</v>
      </c>
      <c r="I862" t="str">
        <f>_xll.BDP("912828NC Govt","FIRST_CPN_DT")</f>
        <v>11/15/2010</v>
      </c>
      <c r="J862" t="str">
        <f>_xll.BDP("912828NC Govt","COUPON_FREQUENCY_DESCRIPTION")</f>
        <v>S/A</v>
      </c>
      <c r="K862" t="str">
        <f>_xll.BDP("912828NC Govt","CPN_TYP")</f>
        <v>FIXED</v>
      </c>
      <c r="L862" t="str">
        <f>_xll.BDP("912828NC Govt","ID_ISIN")</f>
        <v>US912828NC07</v>
      </c>
      <c r="M862">
        <v>41317000000</v>
      </c>
      <c r="N862">
        <v>0</v>
      </c>
      <c r="O862" t="str">
        <f>_xll.BDP("912828NC Govt","ISSUE_DT")</f>
        <v>5/17/2010</v>
      </c>
      <c r="P862" t="str">
        <f>_xll.BDP("912828NC Govt","SECURITY_NAME")</f>
        <v>T 1 3/8 05/15/13</v>
      </c>
      <c r="Q862" t="str">
        <f>_xll.BDP("912828NC Govt","DAY_CNT_DES")</f>
        <v>ACT/ACT</v>
      </c>
      <c r="R862">
        <v>100</v>
      </c>
      <c r="S862" t="str">
        <f>_xll.BDP("912828NC Govt","ID_CUSIP")</f>
        <v>912828NC0</v>
      </c>
      <c r="T862" t="str">
        <f>_xll.BDP("912828NC Govt","IDX_RATIO")</f>
        <v>#N/A Field Not Applicable</v>
      </c>
    </row>
    <row r="863" spans="1:20" x14ac:dyDescent="0.25">
      <c r="A863" t="s">
        <v>14</v>
      </c>
      <c r="B863" t="str">
        <f>_xll.BDP("912828NL Govt","TICKER")</f>
        <v>T</v>
      </c>
      <c r="C863">
        <f>_xll.BDP("912828NL Govt","CPN")</f>
        <v>1.875</v>
      </c>
      <c r="D863" t="str">
        <f>_xll.BDP("912828NL Govt","YLD_YTM_BID")</f>
        <v>#N/A N/A</v>
      </c>
      <c r="E863" t="str">
        <f>_xll.BDP("912828NL Govt","MATURITY")</f>
        <v>6/30/2015</v>
      </c>
      <c r="F863" t="str">
        <f>_xll.BDP("912828NL Govt","MTY_TYP")</f>
        <v>NORMAL</v>
      </c>
      <c r="G863" t="str">
        <f>_xll.BDP("912828NL Govt","CRNCY")</f>
        <v>USD</v>
      </c>
      <c r="H863" t="str">
        <f>_xll.BDP("912828NL Govt","COUNTRY_FULL_NAME")</f>
        <v>UNITED STATES</v>
      </c>
      <c r="I863" t="str">
        <f>_xll.BDP("912828NL Govt","FIRST_CPN_DT")</f>
        <v>12/31/2010</v>
      </c>
      <c r="J863" t="str">
        <f>_xll.BDP("912828NL Govt","COUPON_FREQUENCY_DESCRIPTION")</f>
        <v>S/A</v>
      </c>
      <c r="K863" t="str">
        <f>_xll.BDP("912828NL Govt","CPN_TYP")</f>
        <v>FIXED</v>
      </c>
      <c r="L863" t="str">
        <f>_xll.BDP("912828NL Govt","ID_ISIN")</f>
        <v>US912828NL06</v>
      </c>
      <c r="M863">
        <v>39132000000</v>
      </c>
      <c r="N863">
        <v>0</v>
      </c>
      <c r="O863" t="str">
        <f>_xll.BDP("912828NL Govt","ISSUE_DT")</f>
        <v>6/30/2010</v>
      </c>
      <c r="P863" t="str">
        <f>_xll.BDP("912828NL Govt","SECURITY_NAME")</f>
        <v>T 1 7/8 06/30/15</v>
      </c>
      <c r="Q863" t="str">
        <f>_xll.BDP("912828NL Govt","DAY_CNT_DES")</f>
        <v>ACT/ACT</v>
      </c>
      <c r="R863">
        <v>100</v>
      </c>
      <c r="S863" t="str">
        <f>_xll.BDP("912828NL Govt","ID_CUSIP")</f>
        <v>912828NL0</v>
      </c>
      <c r="T863" t="str">
        <f>_xll.BDP("912828NL Govt","IDX_RATIO")</f>
        <v>#N/A Field Not Applicable</v>
      </c>
    </row>
    <row r="864" spans="1:20" x14ac:dyDescent="0.25">
      <c r="A864" t="s">
        <v>14</v>
      </c>
      <c r="B864" t="str">
        <f>_xll.BDP("912828NN Govt","TICKER")</f>
        <v>T</v>
      </c>
      <c r="C864">
        <f>_xll.BDP("912828NN Govt","CPN")</f>
        <v>1</v>
      </c>
      <c r="D864" t="str">
        <f>_xll.BDP("912828NN Govt","YLD_YTM_BID")</f>
        <v>#N/A N/A</v>
      </c>
      <c r="E864" t="str">
        <f>_xll.BDP("912828NN Govt","MATURITY")</f>
        <v>7/15/2013</v>
      </c>
      <c r="F864" t="str">
        <f>_xll.BDP("912828NN Govt","MTY_TYP")</f>
        <v>NORMAL</v>
      </c>
      <c r="G864" t="str">
        <f>_xll.BDP("912828NN Govt","CRNCY")</f>
        <v>USD</v>
      </c>
      <c r="H864" t="str">
        <f>_xll.BDP("912828NN Govt","COUNTRY_FULL_NAME")</f>
        <v>UNITED STATES</v>
      </c>
      <c r="I864" t="str">
        <f>_xll.BDP("912828NN Govt","FIRST_CPN_DT")</f>
        <v>1/15/2011</v>
      </c>
      <c r="J864" t="str">
        <f>_xll.BDP("912828NN Govt","COUPON_FREQUENCY_DESCRIPTION")</f>
        <v>S/A</v>
      </c>
      <c r="K864" t="str">
        <f>_xll.BDP("912828NN Govt","CPN_TYP")</f>
        <v>FIXED</v>
      </c>
      <c r="L864" t="str">
        <f>_xll.BDP("912828NN Govt","ID_ISIN")</f>
        <v>US912828NN61</v>
      </c>
      <c r="M864">
        <v>35010000000</v>
      </c>
      <c r="N864">
        <v>0</v>
      </c>
      <c r="O864" t="str">
        <f>_xll.BDP("912828NN Govt","ISSUE_DT")</f>
        <v>7/15/2010</v>
      </c>
      <c r="P864" t="str">
        <f>_xll.BDP("912828NN Govt","SECURITY_NAME")</f>
        <v>T 1 07/15/13</v>
      </c>
      <c r="Q864" t="str">
        <f>_xll.BDP("912828NN Govt","DAY_CNT_DES")</f>
        <v>ACT/ACT</v>
      </c>
      <c r="R864">
        <v>100</v>
      </c>
      <c r="S864" t="str">
        <f>_xll.BDP("912828NN Govt","ID_CUSIP")</f>
        <v>912828NN6</v>
      </c>
      <c r="T864" t="str">
        <f>_xll.BDP("912828NN Govt","IDX_RATIO")</f>
        <v>#N/A Field Not Applicable</v>
      </c>
    </row>
    <row r="865" spans="1:20" x14ac:dyDescent="0.25">
      <c r="A865" t="s">
        <v>14</v>
      </c>
      <c r="B865" t="str">
        <f>_xll.BDP("912828NP Govt","TICKER")</f>
        <v>T</v>
      </c>
      <c r="C865">
        <f>_xll.BDP("912828NP Govt","CPN")</f>
        <v>1.75</v>
      </c>
      <c r="D865" t="str">
        <f>_xll.BDP("912828NP Govt","YLD_YTM_BID")</f>
        <v>#N/A N/A</v>
      </c>
      <c r="E865" t="str">
        <f>_xll.BDP("912828NP Govt","MATURITY")</f>
        <v>7/31/2015</v>
      </c>
      <c r="F865" t="str">
        <f>_xll.BDP("912828NP Govt","MTY_TYP")</f>
        <v>NORMAL</v>
      </c>
      <c r="G865" t="str">
        <f>_xll.BDP("912828NP Govt","CRNCY")</f>
        <v>USD</v>
      </c>
      <c r="H865" t="str">
        <f>_xll.BDP("912828NP Govt","COUNTRY_FULL_NAME")</f>
        <v>UNITED STATES</v>
      </c>
      <c r="I865" t="str">
        <f>_xll.BDP("912828NP Govt","FIRST_CPN_DT")</f>
        <v>1/31/2011</v>
      </c>
      <c r="J865" t="str">
        <f>_xll.BDP("912828NP Govt","COUPON_FREQUENCY_DESCRIPTION")</f>
        <v>S/A</v>
      </c>
      <c r="K865" t="str">
        <f>_xll.BDP("912828NP Govt","CPN_TYP")</f>
        <v>FIXED</v>
      </c>
      <c r="L865" t="str">
        <f>_xll.BDP("912828NP Govt","ID_ISIN")</f>
        <v>US912828NP10</v>
      </c>
      <c r="M865">
        <v>38214000000</v>
      </c>
      <c r="N865">
        <v>0</v>
      </c>
      <c r="O865" t="str">
        <f>_xll.BDP("912828NP Govt","ISSUE_DT")</f>
        <v>8/2/2010</v>
      </c>
      <c r="P865" t="str">
        <f>_xll.BDP("912828NP Govt","SECURITY_NAME")</f>
        <v>T 1 3/4 07/31/15</v>
      </c>
      <c r="Q865" t="str">
        <f>_xll.BDP("912828NP Govt","DAY_CNT_DES")</f>
        <v>ACT/ACT</v>
      </c>
      <c r="R865">
        <v>100</v>
      </c>
      <c r="S865" t="str">
        <f>_xll.BDP("912828NP Govt","ID_CUSIP")</f>
        <v>912828NP1</v>
      </c>
      <c r="T865" t="str">
        <f>_xll.BDP("912828NP Govt","IDX_RATIO")</f>
        <v>#N/A Field Not Applicable</v>
      </c>
    </row>
    <row r="866" spans="1:20" x14ac:dyDescent="0.25">
      <c r="A866" t="s">
        <v>14</v>
      </c>
      <c r="B866" t="str">
        <f>_xll.BDP("912828QR Govt","TICKER")</f>
        <v>T</v>
      </c>
      <c r="C866">
        <f>_xll.BDP("912828QR Govt","CPN")</f>
        <v>1.5</v>
      </c>
      <c r="D866" t="str">
        <f>_xll.BDP("912828QR Govt","YLD_YTM_BID")</f>
        <v>#N/A N/A</v>
      </c>
      <c r="E866" t="str">
        <f>_xll.BDP("912828QR Govt","MATURITY")</f>
        <v>6/30/2016</v>
      </c>
      <c r="F866" t="str">
        <f>_xll.BDP("912828QR Govt","MTY_TYP")</f>
        <v>NORMAL</v>
      </c>
      <c r="G866" t="str">
        <f>_xll.BDP("912828QR Govt","CRNCY")</f>
        <v>USD</v>
      </c>
      <c r="H866" t="str">
        <f>_xll.BDP("912828QR Govt","COUNTRY_FULL_NAME")</f>
        <v>UNITED STATES</v>
      </c>
      <c r="I866" t="str">
        <f>_xll.BDP("912828QR Govt","FIRST_CPN_DT")</f>
        <v>12/31/2011</v>
      </c>
      <c r="J866" t="str">
        <f>_xll.BDP("912828QR Govt","COUPON_FREQUENCY_DESCRIPTION")</f>
        <v>S/A</v>
      </c>
      <c r="K866" t="str">
        <f>_xll.BDP("912828QR Govt","CPN_TYP")</f>
        <v>FIXED</v>
      </c>
      <c r="L866" t="str">
        <f>_xll.BDP("912828QR Govt","ID_ISIN")</f>
        <v>US912828QR49</v>
      </c>
      <c r="M866">
        <v>36127000000</v>
      </c>
      <c r="N866">
        <v>0</v>
      </c>
      <c r="O866" t="str">
        <f>_xll.BDP("912828QR Govt","ISSUE_DT")</f>
        <v>6/30/2011</v>
      </c>
      <c r="P866" t="str">
        <f>_xll.BDP("912828QR Govt","SECURITY_NAME")</f>
        <v>T 1 1/2 06/30/16</v>
      </c>
      <c r="Q866" t="str">
        <f>_xll.BDP("912828QR Govt","DAY_CNT_DES")</f>
        <v>ACT/ACT</v>
      </c>
      <c r="R866">
        <v>100</v>
      </c>
      <c r="S866" t="str">
        <f>_xll.BDP("912828QR Govt","ID_CUSIP")</f>
        <v>912828QR4</v>
      </c>
      <c r="T866" t="str">
        <f>_xll.BDP("912828QR Govt","IDX_RATIO")</f>
        <v>#N/A Field Not Applicable</v>
      </c>
    </row>
    <row r="867" spans="1:20" x14ac:dyDescent="0.25">
      <c r="A867" t="s">
        <v>14</v>
      </c>
      <c r="B867" t="str">
        <f>_xll.BDP("912828QT Govt","TICKER")</f>
        <v>T</v>
      </c>
      <c r="C867">
        <f>_xll.BDP("912828QT Govt","CPN")</f>
        <v>2.375</v>
      </c>
      <c r="D867" t="str">
        <f>_xll.BDP("912828QT Govt","YLD_YTM_BID")</f>
        <v>#N/A N/A</v>
      </c>
      <c r="E867" t="str">
        <f>_xll.BDP("912828QT Govt","MATURITY")</f>
        <v>6/30/2018</v>
      </c>
      <c r="F867" t="str">
        <f>_xll.BDP("912828QT Govt","MTY_TYP")</f>
        <v>NORMAL</v>
      </c>
      <c r="G867" t="str">
        <f>_xll.BDP("912828QT Govt","CRNCY")</f>
        <v>USD</v>
      </c>
      <c r="H867" t="str">
        <f>_xll.BDP("912828QT Govt","COUNTRY_FULL_NAME")</f>
        <v>UNITED STATES</v>
      </c>
      <c r="I867" t="str">
        <f>_xll.BDP("912828QT Govt","FIRST_CPN_DT")</f>
        <v>12/31/2011</v>
      </c>
      <c r="J867" t="str">
        <f>_xll.BDP("912828QT Govt","COUPON_FREQUENCY_DESCRIPTION")</f>
        <v>S/A</v>
      </c>
      <c r="K867" t="str">
        <f>_xll.BDP("912828QT Govt","CPN_TYP")</f>
        <v>FIXED</v>
      </c>
      <c r="L867" t="str">
        <f>_xll.BDP("912828QT Govt","ID_ISIN")</f>
        <v>US912828QT05</v>
      </c>
      <c r="M867">
        <v>29934000000</v>
      </c>
      <c r="N867">
        <v>0</v>
      </c>
      <c r="O867" t="str">
        <f>_xll.BDP("912828QT Govt","ISSUE_DT")</f>
        <v>6/30/2011</v>
      </c>
      <c r="P867" t="str">
        <f>_xll.BDP("912828QT Govt","SECURITY_NAME")</f>
        <v>T 2 3/8 06/30/18</v>
      </c>
      <c r="Q867" t="str">
        <f>_xll.BDP("912828QT Govt","DAY_CNT_DES")</f>
        <v>ACT/ACT</v>
      </c>
      <c r="R867">
        <v>100</v>
      </c>
      <c r="S867" t="str">
        <f>_xll.BDP("912828QT Govt","ID_CUSIP")</f>
        <v>912828QT0</v>
      </c>
      <c r="T867" t="str">
        <f>_xll.BDP("912828QT Govt","IDX_RATIO")</f>
        <v>#N/A Field Not Applicable</v>
      </c>
    </row>
    <row r="868" spans="1:20" x14ac:dyDescent="0.25">
      <c r="A868" t="s">
        <v>14</v>
      </c>
      <c r="B868" t="str">
        <f>_xll.BDP("912828RE Govt","TICKER")</f>
        <v>T</v>
      </c>
      <c r="C868">
        <f>_xll.BDP("912828RE Govt","CPN")</f>
        <v>1.5</v>
      </c>
      <c r="D868" t="str">
        <f>_xll.BDP("912828RE Govt","YLD_YTM_BID")</f>
        <v>#N/A N/A</v>
      </c>
      <c r="E868" t="str">
        <f>_xll.BDP("912828RE Govt","MATURITY")</f>
        <v>8/31/2018</v>
      </c>
      <c r="F868" t="str">
        <f>_xll.BDP("912828RE Govt","MTY_TYP")</f>
        <v>NORMAL</v>
      </c>
      <c r="G868" t="str">
        <f>_xll.BDP("912828RE Govt","CRNCY")</f>
        <v>USD</v>
      </c>
      <c r="H868" t="str">
        <f>_xll.BDP("912828RE Govt","COUNTRY_FULL_NAME")</f>
        <v>UNITED STATES</v>
      </c>
      <c r="I868" t="str">
        <f>_xll.BDP("912828RE Govt","FIRST_CPN_DT")</f>
        <v>2/29/2012</v>
      </c>
      <c r="J868" t="str">
        <f>_xll.BDP("912828RE Govt","COUPON_FREQUENCY_DESCRIPTION")</f>
        <v>S/A</v>
      </c>
      <c r="K868" t="str">
        <f>_xll.BDP("912828RE Govt","CPN_TYP")</f>
        <v>FIXED</v>
      </c>
      <c r="L868" t="str">
        <f>_xll.BDP("912828RE Govt","ID_ISIN")</f>
        <v>US912828RE27</v>
      </c>
      <c r="M868">
        <v>64887000000</v>
      </c>
      <c r="N868">
        <v>0</v>
      </c>
      <c r="O868" t="str">
        <f>_xll.BDP("912828RE Govt","ISSUE_DT")</f>
        <v>8/31/2011</v>
      </c>
      <c r="P868" t="str">
        <f>_xll.BDP("912828RE Govt","SECURITY_NAME")</f>
        <v>T 1 1/2 08/31/18</v>
      </c>
      <c r="Q868" t="str">
        <f>_xll.BDP("912828RE Govt","DAY_CNT_DES")</f>
        <v>ACT/ACT</v>
      </c>
      <c r="R868">
        <v>100</v>
      </c>
      <c r="S868" t="str">
        <f>_xll.BDP("912828RE Govt","ID_CUSIP")</f>
        <v>912828RE2</v>
      </c>
      <c r="T868" t="str">
        <f>_xll.BDP("912828RE Govt","IDX_RATIO")</f>
        <v>#N/A Field Not Applicable</v>
      </c>
    </row>
    <row r="869" spans="1:20" x14ac:dyDescent="0.25">
      <c r="A869" t="s">
        <v>14</v>
      </c>
      <c r="B869" t="str">
        <f>_xll.BDP("912828RG Govt","TICKER")</f>
        <v>T</v>
      </c>
      <c r="C869">
        <f>_xll.BDP("912828RG Govt","CPN")</f>
        <v>0.25</v>
      </c>
      <c r="D869" t="str">
        <f>_xll.BDP("912828RG Govt","YLD_YTM_BID")</f>
        <v>#N/A N/A</v>
      </c>
      <c r="E869" t="str">
        <f>_xll.BDP("912828RG Govt","MATURITY")</f>
        <v>9/15/2014</v>
      </c>
      <c r="F869" t="str">
        <f>_xll.BDP("912828RG Govt","MTY_TYP")</f>
        <v>NORMAL</v>
      </c>
      <c r="G869" t="str">
        <f>_xll.BDP("912828RG Govt","CRNCY")</f>
        <v>USD</v>
      </c>
      <c r="H869" t="str">
        <f>_xll.BDP("912828RG Govt","COUNTRY_FULL_NAME")</f>
        <v>UNITED STATES</v>
      </c>
      <c r="I869" t="str">
        <f>_xll.BDP("912828RG Govt","FIRST_CPN_DT")</f>
        <v>3/15/2012</v>
      </c>
      <c r="J869" t="str">
        <f>_xll.BDP("912828RG Govt","COUPON_FREQUENCY_DESCRIPTION")</f>
        <v>S/A</v>
      </c>
      <c r="K869" t="str">
        <f>_xll.BDP("912828RG Govt","CPN_TYP")</f>
        <v>FIXED</v>
      </c>
      <c r="L869" t="str">
        <f>_xll.BDP("912828RG Govt","ID_ISIN")</f>
        <v>US912828RG74</v>
      </c>
      <c r="M869">
        <v>32000000000</v>
      </c>
      <c r="N869">
        <v>0</v>
      </c>
      <c r="O869" t="str">
        <f>_xll.BDP("912828RG Govt","ISSUE_DT")</f>
        <v>9/15/2011</v>
      </c>
      <c r="P869" t="str">
        <f>_xll.BDP("912828RG Govt","SECURITY_NAME")</f>
        <v>T 0 1/4 09/15/14</v>
      </c>
      <c r="Q869" t="str">
        <f>_xll.BDP("912828RG Govt","DAY_CNT_DES")</f>
        <v>ACT/ACT</v>
      </c>
      <c r="R869">
        <v>100</v>
      </c>
      <c r="S869" t="str">
        <f>_xll.BDP("912828RG Govt","ID_CUSIP")</f>
        <v>912828RG7</v>
      </c>
      <c r="T869" t="str">
        <f>_xll.BDP("912828RG Govt","IDX_RATIO")</f>
        <v>#N/A Field Not Applicable</v>
      </c>
    </row>
    <row r="870" spans="1:20" x14ac:dyDescent="0.25">
      <c r="A870" t="s">
        <v>14</v>
      </c>
      <c r="B870" t="str">
        <f>_xll.BDP("912828SX Govt","TICKER")</f>
        <v>T</v>
      </c>
      <c r="C870">
        <f>_xll.BDP("912828SX Govt","CPN")</f>
        <v>1.125</v>
      </c>
      <c r="D870" t="str">
        <f>_xll.BDP("912828SX Govt","YLD_YTM_BID")</f>
        <v>#N/A N/A</v>
      </c>
      <c r="E870" t="str">
        <f>_xll.BDP("912828SX Govt","MATURITY")</f>
        <v>5/31/2019</v>
      </c>
      <c r="F870" t="str">
        <f>_xll.BDP("912828SX Govt","MTY_TYP")</f>
        <v>NORMAL</v>
      </c>
      <c r="G870" t="str">
        <f>_xll.BDP("912828SX Govt","CRNCY")</f>
        <v>USD</v>
      </c>
      <c r="H870" t="str">
        <f>_xll.BDP("912828SX Govt","COUNTRY_FULL_NAME")</f>
        <v>UNITED STATES</v>
      </c>
      <c r="I870" t="str">
        <f>_xll.BDP("912828SX Govt","FIRST_CPN_DT")</f>
        <v>11/30/2012</v>
      </c>
      <c r="J870" t="str">
        <f>_xll.BDP("912828SX Govt","COUPON_FREQUENCY_DESCRIPTION")</f>
        <v>S/A</v>
      </c>
      <c r="K870" t="str">
        <f>_xll.BDP("912828SX Govt","CPN_TYP")</f>
        <v>FIXED</v>
      </c>
      <c r="L870" t="str">
        <f>_xll.BDP("912828SX Govt","ID_ISIN")</f>
        <v>US912828SX98</v>
      </c>
      <c r="M870">
        <v>28999000000</v>
      </c>
      <c r="N870">
        <v>0</v>
      </c>
      <c r="O870" t="str">
        <f>_xll.BDP("912828SX Govt","ISSUE_DT")</f>
        <v>5/31/2012</v>
      </c>
      <c r="P870" t="str">
        <f>_xll.BDP("912828SX Govt","SECURITY_NAME")</f>
        <v>T 1 1/8 05/31/19</v>
      </c>
      <c r="Q870" t="str">
        <f>_xll.BDP("912828SX Govt","DAY_CNT_DES")</f>
        <v>ACT/ACT</v>
      </c>
      <c r="R870">
        <v>100</v>
      </c>
      <c r="S870" t="str">
        <f>_xll.BDP("912828SX Govt","ID_CUSIP")</f>
        <v>912828SX9</v>
      </c>
      <c r="T870" t="str">
        <f>_xll.BDP("912828SX Govt","IDX_RATIO")</f>
        <v>#N/A Field Not Applicable</v>
      </c>
    </row>
    <row r="871" spans="1:20" x14ac:dyDescent="0.25">
      <c r="A871" t="s">
        <v>14</v>
      </c>
      <c r="B871" t="str">
        <f>_xll.BDP("912828T4 Govt","TICKER")</f>
        <v>T</v>
      </c>
      <c r="C871">
        <f>_xll.BDP("912828T4 Govt","CPN")</f>
        <v>0.75</v>
      </c>
      <c r="D871" t="str">
        <f>_xll.BDP("912828T4 Govt","YLD_YTM_BID")</f>
        <v>#N/A N/A</v>
      </c>
      <c r="E871" t="str">
        <f>_xll.BDP("912828T4 Govt","MATURITY")</f>
        <v>9/30/2018</v>
      </c>
      <c r="F871" t="str">
        <f>_xll.BDP("912828T4 Govt","MTY_TYP")</f>
        <v>NORMAL</v>
      </c>
      <c r="G871" t="str">
        <f>_xll.BDP("912828T4 Govt","CRNCY")</f>
        <v>USD</v>
      </c>
      <c r="H871" t="str">
        <f>_xll.BDP("912828T4 Govt","COUNTRY_FULL_NAME")</f>
        <v>UNITED STATES</v>
      </c>
      <c r="I871" t="str">
        <f>_xll.BDP("912828T4 Govt","FIRST_CPN_DT")</f>
        <v>3/31/2017</v>
      </c>
      <c r="J871" t="str">
        <f>_xll.BDP("912828T4 Govt","COUPON_FREQUENCY_DESCRIPTION")</f>
        <v>S/A</v>
      </c>
      <c r="K871" t="str">
        <f>_xll.BDP("912828T4 Govt","CPN_TYP")</f>
        <v>FIXED</v>
      </c>
      <c r="L871" t="str">
        <f>_xll.BDP("912828T4 Govt","ID_ISIN")</f>
        <v>US912828T420</v>
      </c>
      <c r="M871">
        <v>27584000000</v>
      </c>
      <c r="N871">
        <v>0</v>
      </c>
      <c r="O871" t="str">
        <f>_xll.BDP("912828T4 Govt","ISSUE_DT")</f>
        <v>9/30/2016</v>
      </c>
      <c r="P871" t="str">
        <f>_xll.BDP("912828T4 Govt","SECURITY_NAME")</f>
        <v>T 0 3/4 09/30/18</v>
      </c>
      <c r="Q871" t="str">
        <f>_xll.BDP("912828T4 Govt","DAY_CNT_DES")</f>
        <v>ACT/ACT</v>
      </c>
      <c r="R871">
        <v>100</v>
      </c>
      <c r="S871" t="str">
        <f>_xll.BDP("912828T4 Govt","ID_CUSIP")</f>
        <v>912828T42</v>
      </c>
      <c r="T871" t="str">
        <f>_xll.BDP("912828T4 Govt","IDX_RATIO")</f>
        <v>#N/A Field Not Applicable</v>
      </c>
    </row>
    <row r="872" spans="1:20" x14ac:dyDescent="0.25">
      <c r="A872" t="s">
        <v>14</v>
      </c>
      <c r="B872" t="str">
        <f>_xll.BDP("912828TD Govt","TICKER")</f>
        <v>T</v>
      </c>
      <c r="C872">
        <f>_xll.BDP("912828TD Govt","CPN")</f>
        <v>0.25</v>
      </c>
      <c r="D872" t="str">
        <f>_xll.BDP("912828TD Govt","YLD_YTM_BID")</f>
        <v>#N/A N/A</v>
      </c>
      <c r="E872" t="str">
        <f>_xll.BDP("912828TD Govt","MATURITY")</f>
        <v>7/15/2015</v>
      </c>
      <c r="F872" t="str">
        <f>_xll.BDP("912828TD Govt","MTY_TYP")</f>
        <v>NORMAL</v>
      </c>
      <c r="G872" t="str">
        <f>_xll.BDP("912828TD Govt","CRNCY")</f>
        <v>USD</v>
      </c>
      <c r="H872" t="str">
        <f>_xll.BDP("912828TD Govt","COUNTRY_FULL_NAME")</f>
        <v>UNITED STATES</v>
      </c>
      <c r="I872" t="str">
        <f>_xll.BDP("912828TD Govt","FIRST_CPN_DT")</f>
        <v>1/15/2013</v>
      </c>
      <c r="J872" t="str">
        <f>_xll.BDP("912828TD Govt","COUPON_FREQUENCY_DESCRIPTION")</f>
        <v>S/A</v>
      </c>
      <c r="K872" t="str">
        <f>_xll.BDP("912828TD Govt","CPN_TYP")</f>
        <v>FIXED</v>
      </c>
      <c r="L872" t="str">
        <f>_xll.BDP("912828TD Govt","ID_ISIN")</f>
        <v>US912828TD26</v>
      </c>
      <c r="M872">
        <v>32000000000</v>
      </c>
      <c r="N872">
        <v>0</v>
      </c>
      <c r="O872" t="str">
        <f>_xll.BDP("912828TD Govt","ISSUE_DT")</f>
        <v>7/16/2012</v>
      </c>
      <c r="P872" t="str">
        <f>_xll.BDP("912828TD Govt","SECURITY_NAME")</f>
        <v>T 0 1/4 07/15/15</v>
      </c>
      <c r="Q872" t="str">
        <f>_xll.BDP("912828TD Govt","DAY_CNT_DES")</f>
        <v>ACT/ACT</v>
      </c>
      <c r="R872">
        <v>100</v>
      </c>
      <c r="S872" t="str">
        <f>_xll.BDP("912828TD Govt","ID_CUSIP")</f>
        <v>912828TD2</v>
      </c>
      <c r="T872" t="str">
        <f>_xll.BDP("912828TD Govt","IDX_RATIO")</f>
        <v>#N/A Field Not Applicable</v>
      </c>
    </row>
    <row r="873" spans="1:20" x14ac:dyDescent="0.25">
      <c r="A873" t="s">
        <v>14</v>
      </c>
      <c r="B873" t="str">
        <f>_xll.BDP("912828TM Govt","TICKER")</f>
        <v>T</v>
      </c>
      <c r="C873">
        <f>_xll.BDP("912828TM Govt","CPN")</f>
        <v>0.625</v>
      </c>
      <c r="D873" t="str">
        <f>_xll.BDP("912828TM Govt","YLD_YTM_BID")</f>
        <v>#N/A N/A</v>
      </c>
      <c r="E873" t="str">
        <f>_xll.BDP("912828TM Govt","MATURITY")</f>
        <v>8/31/2017</v>
      </c>
      <c r="F873" t="str">
        <f>_xll.BDP("912828TM Govt","MTY_TYP")</f>
        <v>NORMAL</v>
      </c>
      <c r="G873" t="str">
        <f>_xll.BDP("912828TM Govt","CRNCY")</f>
        <v>USD</v>
      </c>
      <c r="H873" t="str">
        <f>_xll.BDP("912828TM Govt","COUNTRY_FULL_NAME")</f>
        <v>UNITED STATES</v>
      </c>
      <c r="I873" t="str">
        <f>_xll.BDP("912828TM Govt","FIRST_CPN_DT")</f>
        <v>2/28/2013</v>
      </c>
      <c r="J873" t="str">
        <f>_xll.BDP("912828TM Govt","COUPON_FREQUENCY_DESCRIPTION")</f>
        <v>S/A</v>
      </c>
      <c r="K873" t="str">
        <f>_xll.BDP("912828TM Govt","CPN_TYP")</f>
        <v>FIXED</v>
      </c>
      <c r="L873" t="str">
        <f>_xll.BDP("912828TM Govt","ID_ISIN")</f>
        <v>US912828TM25</v>
      </c>
      <c r="M873">
        <v>61000000000</v>
      </c>
      <c r="N873">
        <v>0</v>
      </c>
      <c r="O873" t="str">
        <f>_xll.BDP("912828TM Govt","ISSUE_DT")</f>
        <v>8/31/2012</v>
      </c>
      <c r="P873" t="str">
        <f>_xll.BDP("912828TM Govt","SECURITY_NAME")</f>
        <v>T 0 5/8 08/31/17</v>
      </c>
      <c r="Q873" t="str">
        <f>_xll.BDP("912828TM Govt","DAY_CNT_DES")</f>
        <v>ACT/ACT</v>
      </c>
      <c r="R873">
        <v>100</v>
      </c>
      <c r="S873" t="str">
        <f>_xll.BDP("912828TM Govt","ID_CUSIP")</f>
        <v>912828TM2</v>
      </c>
      <c r="T873" t="str">
        <f>_xll.BDP("912828TM Govt","IDX_RATIO")</f>
        <v>#N/A Field Not Applicable</v>
      </c>
    </row>
    <row r="874" spans="1:20" x14ac:dyDescent="0.25">
      <c r="A874" t="s">
        <v>14</v>
      </c>
      <c r="B874" t="str">
        <f>_xll.BDP("912828TQ Govt","TICKER")</f>
        <v>T</v>
      </c>
      <c r="C874">
        <f>_xll.BDP("912828TQ Govt","CPN")</f>
        <v>0.25</v>
      </c>
      <c r="D874" t="str">
        <f>_xll.BDP("912828TQ Govt","YLD_YTM_BID")</f>
        <v>#N/A N/A</v>
      </c>
      <c r="E874" t="str">
        <f>_xll.BDP("912828TQ Govt","MATURITY")</f>
        <v>9/30/2014</v>
      </c>
      <c r="F874" t="str">
        <f>_xll.BDP("912828TQ Govt","MTY_TYP")</f>
        <v>NORMAL</v>
      </c>
      <c r="G874" t="str">
        <f>_xll.BDP("912828TQ Govt","CRNCY")</f>
        <v>USD</v>
      </c>
      <c r="H874" t="str">
        <f>_xll.BDP("912828TQ Govt","COUNTRY_FULL_NAME")</f>
        <v>UNITED STATES</v>
      </c>
      <c r="I874" t="str">
        <f>_xll.BDP("912828TQ Govt","FIRST_CPN_DT")</f>
        <v>3/31/2013</v>
      </c>
      <c r="J874" t="str">
        <f>_xll.BDP("912828TQ Govt","COUPON_FREQUENCY_DESCRIPTION")</f>
        <v>S/A</v>
      </c>
      <c r="K874" t="str">
        <f>_xll.BDP("912828TQ Govt","CPN_TYP")</f>
        <v>FIXED</v>
      </c>
      <c r="L874" t="str">
        <f>_xll.BDP("912828TQ Govt","ID_ISIN")</f>
        <v>US912828TQ39</v>
      </c>
      <c r="M874">
        <v>35000000000</v>
      </c>
      <c r="N874">
        <v>0</v>
      </c>
      <c r="O874" t="str">
        <f>_xll.BDP("912828TQ Govt","ISSUE_DT")</f>
        <v>10/1/2012</v>
      </c>
      <c r="P874" t="str">
        <f>_xll.BDP("912828TQ Govt","SECURITY_NAME")</f>
        <v>T 0 1/4 09/30/14</v>
      </c>
      <c r="Q874" t="str">
        <f>_xll.BDP("912828TQ Govt","DAY_CNT_DES")</f>
        <v>ACT/ACT</v>
      </c>
      <c r="R874">
        <v>100</v>
      </c>
      <c r="S874" t="str">
        <f>_xll.BDP("912828TQ Govt","ID_CUSIP")</f>
        <v>912828TQ3</v>
      </c>
      <c r="T874" t="str">
        <f>_xll.BDP("912828TQ Govt","IDX_RATIO")</f>
        <v>#N/A Field Not Applicable</v>
      </c>
    </row>
    <row r="875" spans="1:20" x14ac:dyDescent="0.25">
      <c r="A875" t="s">
        <v>14</v>
      </c>
      <c r="B875" t="str">
        <f>_xll.BDP("912828TZ Govt","TICKER")</f>
        <v>T</v>
      </c>
      <c r="C875">
        <f>_xll.BDP("912828TZ Govt","CPN")</f>
        <v>0.25</v>
      </c>
      <c r="D875" t="str">
        <f>_xll.BDP("912828TZ Govt","YLD_YTM_BID")</f>
        <v>#N/A N/A</v>
      </c>
      <c r="E875" t="str">
        <f>_xll.BDP("912828TZ Govt","MATURITY")</f>
        <v>11/30/2014</v>
      </c>
      <c r="F875" t="str">
        <f>_xll.BDP("912828TZ Govt","MTY_TYP")</f>
        <v>NORMAL</v>
      </c>
      <c r="G875" t="str">
        <f>_xll.BDP("912828TZ Govt","CRNCY")</f>
        <v>USD</v>
      </c>
      <c r="H875" t="str">
        <f>_xll.BDP("912828TZ Govt","COUNTRY_FULL_NAME")</f>
        <v>UNITED STATES</v>
      </c>
      <c r="I875" t="str">
        <f>_xll.BDP("912828TZ Govt","FIRST_CPN_DT")</f>
        <v>5/31/2013</v>
      </c>
      <c r="J875" t="str">
        <f>_xll.BDP("912828TZ Govt","COUPON_FREQUENCY_DESCRIPTION")</f>
        <v>S/A</v>
      </c>
      <c r="K875" t="str">
        <f>_xll.BDP("912828TZ Govt","CPN_TYP")</f>
        <v>FIXED</v>
      </c>
      <c r="L875" t="str">
        <f>_xll.BDP("912828TZ Govt","ID_ISIN")</f>
        <v>US912828TZ38</v>
      </c>
      <c r="M875">
        <v>35000000000</v>
      </c>
      <c r="N875">
        <v>0</v>
      </c>
      <c r="O875" t="str">
        <f>_xll.BDP("912828TZ Govt","ISSUE_DT")</f>
        <v>11/30/2012</v>
      </c>
      <c r="P875" t="str">
        <f>_xll.BDP("912828TZ Govt","SECURITY_NAME")</f>
        <v>T 0 1/4 11/30/14</v>
      </c>
      <c r="Q875" t="str">
        <f>_xll.BDP("912828TZ Govt","DAY_CNT_DES")</f>
        <v>ACT/ACT</v>
      </c>
      <c r="R875">
        <v>100</v>
      </c>
      <c r="S875" t="str">
        <f>_xll.BDP("912828TZ Govt","ID_CUSIP")</f>
        <v>912828TZ3</v>
      </c>
      <c r="T875" t="str">
        <f>_xll.BDP("912828TZ Govt","IDX_RATIO")</f>
        <v>#N/A Field Not Applicable</v>
      </c>
    </row>
    <row r="876" spans="1:20" x14ac:dyDescent="0.25">
      <c r="A876" t="s">
        <v>14</v>
      </c>
      <c r="B876" t="str">
        <f>_xll.BDP("912828U4 Govt","TICKER")</f>
        <v>T</v>
      </c>
      <c r="C876">
        <f>_xll.BDP("912828U4 Govt","CPN")</f>
        <v>1</v>
      </c>
      <c r="D876" t="str">
        <f>_xll.BDP("912828U4 Govt","YLD_YTM_BID")</f>
        <v>#N/A N/A</v>
      </c>
      <c r="E876" t="str">
        <f>_xll.BDP("912828U4 Govt","MATURITY")</f>
        <v>11/30/2018</v>
      </c>
      <c r="F876" t="str">
        <f>_xll.BDP("912828U4 Govt","MTY_TYP")</f>
        <v>NORMAL</v>
      </c>
      <c r="G876" t="str">
        <f>_xll.BDP("912828U4 Govt","CRNCY")</f>
        <v>USD</v>
      </c>
      <c r="H876" t="str">
        <f>_xll.BDP("912828U4 Govt","COUNTRY_FULL_NAME")</f>
        <v>UNITED STATES</v>
      </c>
      <c r="I876" t="str">
        <f>_xll.BDP("912828U4 Govt","FIRST_CPN_DT")</f>
        <v>5/31/2017</v>
      </c>
      <c r="J876" t="str">
        <f>_xll.BDP("912828U4 Govt","COUPON_FREQUENCY_DESCRIPTION")</f>
        <v>S/A</v>
      </c>
      <c r="K876" t="str">
        <f>_xll.BDP("912828U4 Govt","CPN_TYP")</f>
        <v>FIXED</v>
      </c>
      <c r="L876" t="str">
        <f>_xll.BDP("912828U4 Govt","ID_ISIN")</f>
        <v>US912828U402</v>
      </c>
      <c r="M876">
        <v>28764000000</v>
      </c>
      <c r="N876">
        <v>0</v>
      </c>
      <c r="O876" t="str">
        <f>_xll.BDP("912828U4 Govt","ISSUE_DT")</f>
        <v>11/30/2016</v>
      </c>
      <c r="P876" t="str">
        <f>_xll.BDP("912828U4 Govt","SECURITY_NAME")</f>
        <v>T 1 11/30/18</v>
      </c>
      <c r="Q876" t="str">
        <f>_xll.BDP("912828U4 Govt","DAY_CNT_DES")</f>
        <v>ACT/ACT</v>
      </c>
      <c r="R876">
        <v>100</v>
      </c>
      <c r="S876" t="str">
        <f>_xll.BDP("912828U4 Govt","ID_CUSIP")</f>
        <v>912828U40</v>
      </c>
      <c r="T876" t="str">
        <f>_xll.BDP("912828U4 Govt","IDX_RATIO")</f>
        <v>#N/A Field Not Applicable</v>
      </c>
    </row>
    <row r="877" spans="1:20" x14ac:dyDescent="0.25">
      <c r="A877" t="s">
        <v>14</v>
      </c>
      <c r="B877" t="str">
        <f>_xll.BDP("912828V3 Govt","TICKER")</f>
        <v>T</v>
      </c>
      <c r="C877">
        <f>_xll.BDP("912828V3 Govt","CPN")</f>
        <v>1.375</v>
      </c>
      <c r="D877" t="str">
        <f>_xll.BDP("912828V3 Govt","YLD_YTM_BID")</f>
        <v>#N/A N/A</v>
      </c>
      <c r="E877" t="str">
        <f>_xll.BDP("912828V3 Govt","MATURITY")</f>
        <v>1/15/2020</v>
      </c>
      <c r="F877" t="str">
        <f>_xll.BDP("912828V3 Govt","MTY_TYP")</f>
        <v>NORMAL</v>
      </c>
      <c r="G877" t="str">
        <f>_xll.BDP("912828V3 Govt","CRNCY")</f>
        <v>USD</v>
      </c>
      <c r="H877" t="str">
        <f>_xll.BDP("912828V3 Govt","COUNTRY_FULL_NAME")</f>
        <v>UNITED STATES</v>
      </c>
      <c r="I877" t="str">
        <f>_xll.BDP("912828V3 Govt","FIRST_CPN_DT")</f>
        <v>7/15/2017</v>
      </c>
      <c r="J877" t="str">
        <f>_xll.BDP("912828V3 Govt","COUPON_FREQUENCY_DESCRIPTION")</f>
        <v>S/A</v>
      </c>
      <c r="K877" t="str">
        <f>_xll.BDP("912828V3 Govt","CPN_TYP")</f>
        <v>FIXED</v>
      </c>
      <c r="L877" t="str">
        <f>_xll.BDP("912828V3 Govt","ID_ISIN")</f>
        <v>US912828V319</v>
      </c>
      <c r="M877">
        <v>25327000000</v>
      </c>
      <c r="N877">
        <v>0</v>
      </c>
      <c r="O877" t="str">
        <f>_xll.BDP("912828V3 Govt","ISSUE_DT")</f>
        <v>1/17/2017</v>
      </c>
      <c r="P877" t="str">
        <f>_xll.BDP("912828V3 Govt","SECURITY_NAME")</f>
        <v>T 1 3/8 01/15/20</v>
      </c>
      <c r="Q877" t="str">
        <f>_xll.BDP("912828V3 Govt","DAY_CNT_DES")</f>
        <v>ACT/ACT</v>
      </c>
      <c r="R877">
        <v>100</v>
      </c>
      <c r="S877" t="str">
        <f>_xll.BDP("912828V3 Govt","ID_CUSIP")</f>
        <v>912828V31</v>
      </c>
      <c r="T877" t="str">
        <f>_xll.BDP("912828V3 Govt","IDX_RATIO")</f>
        <v>#N/A Field Not Applicable</v>
      </c>
    </row>
    <row r="878" spans="1:20" x14ac:dyDescent="0.25">
      <c r="A878" t="s">
        <v>14</v>
      </c>
      <c r="B878" t="str">
        <f>_xll.BDP("912828VL Govt","TICKER")</f>
        <v>T</v>
      </c>
      <c r="C878">
        <f>_xll.BDP("912828VL Govt","CPN")</f>
        <v>0.625</v>
      </c>
      <c r="D878" t="str">
        <f>_xll.BDP("912828VL Govt","YLD_YTM_BID")</f>
        <v>#N/A N/A</v>
      </c>
      <c r="E878" t="str">
        <f>_xll.BDP("912828VL Govt","MATURITY")</f>
        <v>7/15/2016</v>
      </c>
      <c r="F878" t="str">
        <f>_xll.BDP("912828VL Govt","MTY_TYP")</f>
        <v>NORMAL</v>
      </c>
      <c r="G878" t="str">
        <f>_xll.BDP("912828VL Govt","CRNCY")</f>
        <v>USD</v>
      </c>
      <c r="H878" t="str">
        <f>_xll.BDP("912828VL Govt","COUNTRY_FULL_NAME")</f>
        <v>UNITED STATES</v>
      </c>
      <c r="I878" t="str">
        <f>_xll.BDP("912828VL Govt","FIRST_CPN_DT")</f>
        <v>1/15/2014</v>
      </c>
      <c r="J878" t="str">
        <f>_xll.BDP("912828VL Govt","COUPON_FREQUENCY_DESCRIPTION")</f>
        <v>S/A</v>
      </c>
      <c r="K878" t="str">
        <f>_xll.BDP("912828VL Govt","CPN_TYP")</f>
        <v>FIXED</v>
      </c>
      <c r="L878" t="str">
        <f>_xll.BDP("912828VL Govt","ID_ISIN")</f>
        <v>US912828VL14</v>
      </c>
      <c r="M878">
        <v>32000000000</v>
      </c>
      <c r="N878">
        <v>0</v>
      </c>
      <c r="O878" t="str">
        <f>_xll.BDP("912828VL Govt","ISSUE_DT")</f>
        <v>7/15/2013</v>
      </c>
      <c r="P878" t="str">
        <f>_xll.BDP("912828VL Govt","SECURITY_NAME")</f>
        <v>T 0 5/8 07/15/16</v>
      </c>
      <c r="Q878" t="str">
        <f>_xll.BDP("912828VL Govt","DAY_CNT_DES")</f>
        <v>ACT/ACT</v>
      </c>
      <c r="R878">
        <v>100</v>
      </c>
      <c r="S878" t="str">
        <f>_xll.BDP("912828VL Govt","ID_CUSIP")</f>
        <v>912828VL1</v>
      </c>
      <c r="T878" t="str">
        <f>_xll.BDP("912828VL Govt","IDX_RATIO")</f>
        <v>#N/A Field Not Applicable</v>
      </c>
    </row>
    <row r="879" spans="1:20" x14ac:dyDescent="0.25">
      <c r="A879" t="s">
        <v>14</v>
      </c>
      <c r="B879" t="str">
        <f>_xll.BDP("912828VN Govt","TICKER")</f>
        <v>T</v>
      </c>
      <c r="C879">
        <f>_xll.BDP("912828VN Govt","CPN")</f>
        <v>0.25</v>
      </c>
      <c r="D879" t="str">
        <f>_xll.BDP("912828VN Govt","YLD_YTM_BID")</f>
        <v>#N/A N/A</v>
      </c>
      <c r="E879" t="str">
        <f>_xll.BDP("912828VN Govt","MATURITY")</f>
        <v>7/31/2015</v>
      </c>
      <c r="F879" t="str">
        <f>_xll.BDP("912828VN Govt","MTY_TYP")</f>
        <v>NORMAL</v>
      </c>
      <c r="G879" t="str">
        <f>_xll.BDP("912828VN Govt","CRNCY")</f>
        <v>USD</v>
      </c>
      <c r="H879" t="str">
        <f>_xll.BDP("912828VN Govt","COUNTRY_FULL_NAME")</f>
        <v>UNITED STATES</v>
      </c>
      <c r="I879" t="str">
        <f>_xll.BDP("912828VN Govt","FIRST_CPN_DT")</f>
        <v>1/31/2014</v>
      </c>
      <c r="J879" t="str">
        <f>_xll.BDP("912828VN Govt","COUPON_FREQUENCY_DESCRIPTION")</f>
        <v>S/A</v>
      </c>
      <c r="K879" t="str">
        <f>_xll.BDP("912828VN Govt","CPN_TYP")</f>
        <v>FIXED</v>
      </c>
      <c r="L879" t="str">
        <f>_xll.BDP("912828VN Govt","ID_ISIN")</f>
        <v>US912828VN79</v>
      </c>
      <c r="M879">
        <v>35000000000</v>
      </c>
      <c r="N879">
        <v>0</v>
      </c>
      <c r="O879" t="str">
        <f>_xll.BDP("912828VN Govt","ISSUE_DT")</f>
        <v>7/31/2013</v>
      </c>
      <c r="P879" t="str">
        <f>_xll.BDP("912828VN Govt","SECURITY_NAME")</f>
        <v>T 0 1/4 07/31/15</v>
      </c>
      <c r="Q879" t="str">
        <f>_xll.BDP("912828VN Govt","DAY_CNT_DES")</f>
        <v>ACT/ACT</v>
      </c>
      <c r="R879">
        <v>100</v>
      </c>
      <c r="S879" t="str">
        <f>_xll.BDP("912828VN Govt","ID_CUSIP")</f>
        <v>912828VN7</v>
      </c>
      <c r="T879" t="str">
        <f>_xll.BDP("912828VN Govt","IDX_RATIO")</f>
        <v>#N/A Field Not Applicable</v>
      </c>
    </row>
    <row r="880" spans="1:20" x14ac:dyDescent="0.25">
      <c r="A880" t="s">
        <v>14</v>
      </c>
      <c r="B880" t="str">
        <f>_xll.BDP("912828VQ Govt","TICKER")</f>
        <v>T</v>
      </c>
      <c r="C880">
        <f>_xll.BDP("912828VQ Govt","CPN")</f>
        <v>1.375</v>
      </c>
      <c r="D880" t="str">
        <f>_xll.BDP("912828VQ Govt","YLD_YTM_BID")</f>
        <v>#N/A N/A</v>
      </c>
      <c r="E880" t="str">
        <f>_xll.BDP("912828VQ Govt","MATURITY")</f>
        <v>7/31/2018</v>
      </c>
      <c r="F880" t="str">
        <f>_xll.BDP("912828VQ Govt","MTY_TYP")</f>
        <v>NORMAL</v>
      </c>
      <c r="G880" t="str">
        <f>_xll.BDP("912828VQ Govt","CRNCY")</f>
        <v>USD</v>
      </c>
      <c r="H880" t="str">
        <f>_xll.BDP("912828VQ Govt","COUNTRY_FULL_NAME")</f>
        <v>UNITED STATES</v>
      </c>
      <c r="I880" t="str">
        <f>_xll.BDP("912828VQ Govt","FIRST_CPN_DT")</f>
        <v>1/31/2014</v>
      </c>
      <c r="J880" t="str">
        <f>_xll.BDP("912828VQ Govt","COUPON_FREQUENCY_DESCRIPTION")</f>
        <v>S/A</v>
      </c>
      <c r="K880" t="str">
        <f>_xll.BDP("912828VQ Govt","CPN_TYP")</f>
        <v>FIXED</v>
      </c>
      <c r="L880" t="str">
        <f>_xll.BDP("912828VQ Govt","ID_ISIN")</f>
        <v>US912828VQ01</v>
      </c>
      <c r="M880">
        <v>35000000000</v>
      </c>
      <c r="N880">
        <v>0</v>
      </c>
      <c r="O880" t="str">
        <f>_xll.BDP("912828VQ Govt","ISSUE_DT")</f>
        <v>7/31/2013</v>
      </c>
      <c r="P880" t="str">
        <f>_xll.BDP("912828VQ Govt","SECURITY_NAME")</f>
        <v>T 1 3/8 07/31/18</v>
      </c>
      <c r="Q880" t="str">
        <f>_xll.BDP("912828VQ Govt","DAY_CNT_DES")</f>
        <v>ACT/ACT</v>
      </c>
      <c r="R880">
        <v>100</v>
      </c>
      <c r="S880" t="str">
        <f>_xll.BDP("912828VQ Govt","ID_CUSIP")</f>
        <v>912828VQ0</v>
      </c>
      <c r="T880" t="str">
        <f>_xll.BDP("912828VQ Govt","IDX_RATIO")</f>
        <v>#N/A Field Not Applicable</v>
      </c>
    </row>
    <row r="881" spans="1:20" x14ac:dyDescent="0.25">
      <c r="A881" t="s">
        <v>14</v>
      </c>
      <c r="B881" t="str">
        <f>_xll.BDP("912828WX Govt","TICKER")</f>
        <v>T</v>
      </c>
      <c r="C881">
        <f>_xll.BDP("912828WX Govt","CPN")</f>
        <v>0.5</v>
      </c>
      <c r="D881" t="str">
        <f>_xll.BDP("912828WX Govt","YLD_YTM_BID")</f>
        <v>#N/A N/A</v>
      </c>
      <c r="E881" t="str">
        <f>_xll.BDP("912828WX Govt","MATURITY")</f>
        <v>7/31/2016</v>
      </c>
      <c r="F881" t="str">
        <f>_xll.BDP("912828WX Govt","MTY_TYP")</f>
        <v>NORMAL</v>
      </c>
      <c r="G881" t="str">
        <f>_xll.BDP("912828WX Govt","CRNCY")</f>
        <v>USD</v>
      </c>
      <c r="H881" t="str">
        <f>_xll.BDP("912828WX Govt","COUNTRY_FULL_NAME")</f>
        <v>UNITED STATES</v>
      </c>
      <c r="I881" t="str">
        <f>_xll.BDP("912828WX Govt","FIRST_CPN_DT")</f>
        <v>1/31/2015</v>
      </c>
      <c r="J881" t="str">
        <f>_xll.BDP("912828WX Govt","COUPON_FREQUENCY_DESCRIPTION")</f>
        <v>S/A</v>
      </c>
      <c r="K881" t="str">
        <f>_xll.BDP("912828WX Govt","CPN_TYP")</f>
        <v>FIXED</v>
      </c>
      <c r="L881" t="str">
        <f>_xll.BDP("912828WX Govt","ID_ISIN")</f>
        <v>US912828WX43</v>
      </c>
      <c r="M881">
        <v>29009000000</v>
      </c>
      <c r="N881">
        <v>0</v>
      </c>
      <c r="O881" t="str">
        <f>_xll.BDP("912828WX Govt","ISSUE_DT")</f>
        <v>7/31/2014</v>
      </c>
      <c r="P881" t="str">
        <f>_xll.BDP("912828WX Govt","SECURITY_NAME")</f>
        <v>T 0 1/2 07/31/16</v>
      </c>
      <c r="Q881" t="str">
        <f>_xll.BDP("912828WX Govt","DAY_CNT_DES")</f>
        <v>ACT/ACT</v>
      </c>
      <c r="R881">
        <v>100</v>
      </c>
      <c r="S881" t="str">
        <f>_xll.BDP("912828WX Govt","ID_CUSIP")</f>
        <v>912828WX4</v>
      </c>
      <c r="T881" t="str">
        <f>_xll.BDP("912828WX Govt","IDX_RATIO")</f>
        <v>#N/A Field Not Applicable</v>
      </c>
    </row>
    <row r="882" spans="1:20" x14ac:dyDescent="0.25">
      <c r="A882" t="s">
        <v>14</v>
      </c>
      <c r="B882" t="str">
        <f>_xll.BDP("912828X9 Govt","TICKER")</f>
        <v>T</v>
      </c>
      <c r="C882">
        <f>_xll.BDP("912828X9 Govt","CPN")</f>
        <v>1.5</v>
      </c>
      <c r="D882" t="str">
        <f>_xll.BDP("912828X9 Govt","YLD_YTM_BID")</f>
        <v>#N/A N/A</v>
      </c>
      <c r="E882" t="str">
        <f>_xll.BDP("912828X9 Govt","MATURITY")</f>
        <v>5/15/2020</v>
      </c>
      <c r="F882" t="str">
        <f>_xll.BDP("912828X9 Govt","MTY_TYP")</f>
        <v>NORMAL</v>
      </c>
      <c r="G882" t="str">
        <f>_xll.BDP("912828X9 Govt","CRNCY")</f>
        <v>USD</v>
      </c>
      <c r="H882" t="str">
        <f>_xll.BDP("912828X9 Govt","COUNTRY_FULL_NAME")</f>
        <v>UNITED STATES</v>
      </c>
      <c r="I882" t="str">
        <f>_xll.BDP("912828X9 Govt","FIRST_CPN_DT")</f>
        <v>11/15/2017</v>
      </c>
      <c r="J882" t="str">
        <f>_xll.BDP("912828X9 Govt","COUPON_FREQUENCY_DESCRIPTION")</f>
        <v>S/A</v>
      </c>
      <c r="K882" t="str">
        <f>_xll.BDP("912828X9 Govt","CPN_TYP")</f>
        <v>FIXED</v>
      </c>
      <c r="L882" t="str">
        <f>_xll.BDP("912828X9 Govt","ID_ISIN")</f>
        <v>US912828X968</v>
      </c>
      <c r="M882">
        <v>31929000000</v>
      </c>
      <c r="N882">
        <v>0</v>
      </c>
      <c r="O882" t="str">
        <f>_xll.BDP("912828X9 Govt","ISSUE_DT")</f>
        <v>5/15/2017</v>
      </c>
      <c r="P882" t="str">
        <f>_xll.BDP("912828X9 Govt","SECURITY_NAME")</f>
        <v>T 1 1/2 05/15/20</v>
      </c>
      <c r="Q882" t="str">
        <f>_xll.BDP("912828X9 Govt","DAY_CNT_DES")</f>
        <v>ACT/ACT</v>
      </c>
      <c r="R882">
        <v>100</v>
      </c>
      <c r="S882" t="str">
        <f>_xll.BDP("912828X9 Govt","ID_CUSIP")</f>
        <v>912828X96</v>
      </c>
      <c r="T882" t="str">
        <f>_xll.BDP("912828X9 Govt","IDX_RATIO")</f>
        <v>#N/A Field Not Applicable</v>
      </c>
    </row>
    <row r="883" spans="1:20" x14ac:dyDescent="0.25">
      <c r="A883" t="s">
        <v>14</v>
      </c>
      <c r="B883" t="str">
        <f>_xll.BDP("912828XV Govt","TICKER")</f>
        <v>T</v>
      </c>
      <c r="C883">
        <f>_xll.BDP("912828XV Govt","CPN")</f>
        <v>1.25</v>
      </c>
      <c r="D883" t="str">
        <f>_xll.BDP("912828XV Govt","YLD_YTM_BID")</f>
        <v>#N/A N/A</v>
      </c>
      <c r="E883" t="str">
        <f>_xll.BDP("912828XV Govt","MATURITY")</f>
        <v>6/30/2019</v>
      </c>
      <c r="F883" t="str">
        <f>_xll.BDP("912828XV Govt","MTY_TYP")</f>
        <v>NORMAL</v>
      </c>
      <c r="G883" t="str">
        <f>_xll.BDP("912828XV Govt","CRNCY")</f>
        <v>USD</v>
      </c>
      <c r="H883" t="str">
        <f>_xll.BDP("912828XV Govt","COUNTRY_FULL_NAME")</f>
        <v>UNITED STATES</v>
      </c>
      <c r="I883" t="str">
        <f>_xll.BDP("912828XV Govt","FIRST_CPN_DT")</f>
        <v>12/31/2017</v>
      </c>
      <c r="J883" t="str">
        <f>_xll.BDP("912828XV Govt","COUPON_FREQUENCY_DESCRIPTION")</f>
        <v>S/A</v>
      </c>
      <c r="K883" t="str">
        <f>_xll.BDP("912828XV Govt","CPN_TYP")</f>
        <v>FIXED</v>
      </c>
      <c r="L883" t="str">
        <f>_xll.BDP("912828XV Govt","ID_ISIN")</f>
        <v>US912828XV77</v>
      </c>
      <c r="M883">
        <v>29160000000</v>
      </c>
      <c r="N883">
        <v>0</v>
      </c>
      <c r="O883" t="str">
        <f>_xll.BDP("912828XV Govt","ISSUE_DT")</f>
        <v>6/30/2017</v>
      </c>
      <c r="P883" t="str">
        <f>_xll.BDP("912828XV Govt","SECURITY_NAME")</f>
        <v>T 1 1/4 06/30/19</v>
      </c>
      <c r="Q883" t="str">
        <f>_xll.BDP("912828XV Govt","DAY_CNT_DES")</f>
        <v>ACT/ACT</v>
      </c>
      <c r="R883">
        <v>100</v>
      </c>
      <c r="S883" t="str">
        <f>_xll.BDP("912828XV Govt","ID_CUSIP")</f>
        <v>912828XV7</v>
      </c>
      <c r="T883" t="str">
        <f>_xll.BDP("912828XV Govt","IDX_RATIO")</f>
        <v>#N/A Field Not Applicable</v>
      </c>
    </row>
    <row r="884" spans="1:20" x14ac:dyDescent="0.25">
      <c r="A884" t="s">
        <v>14</v>
      </c>
      <c r="B884" t="str">
        <f>_xll.BDP("912827KJ Govt","TICKER")</f>
        <v>T</v>
      </c>
      <c r="C884">
        <f>_xll.BDP("912827KJ Govt","CPN")</f>
        <v>11.875</v>
      </c>
      <c r="D884" t="str">
        <f>_xll.BDP("912827KJ Govt","YLD_YTM_BID")</f>
        <v>#N/A N/A</v>
      </c>
      <c r="E884" t="str">
        <f>_xll.BDP("912827KJ Govt","MATURITY")</f>
        <v>8/15/1983</v>
      </c>
      <c r="F884" t="str">
        <f>_xll.BDP("912827KJ Govt","MTY_TYP")</f>
        <v>NORMAL</v>
      </c>
      <c r="G884" t="str">
        <f>_xll.BDP("912827KJ Govt","CRNCY")</f>
        <v>USD</v>
      </c>
      <c r="H884" t="str">
        <f>_xll.BDP("912827KJ Govt","COUNTRY_FULL_NAME")</f>
        <v>UNITED STATES</v>
      </c>
      <c r="I884" t="str">
        <f>_xll.BDP("912827KJ Govt","FIRST_CPN_DT")</f>
        <v>8/15/1980</v>
      </c>
      <c r="J884" t="str">
        <f>_xll.BDP("912827KJ Govt","COUPON_FREQUENCY_DESCRIPTION")</f>
        <v>S/A</v>
      </c>
      <c r="K884" t="str">
        <f>_xll.BDP("912827KJ Govt","CPN_TYP")</f>
        <v>FIXED</v>
      </c>
      <c r="L884" t="str">
        <f>_xll.BDP("912827KJ Govt","ID_ISIN")</f>
        <v>US912827KJ04</v>
      </c>
      <c r="N884">
        <v>0</v>
      </c>
      <c r="O884" t="str">
        <f>_xll.BDP("912827KJ Govt","ISSUE_DT")</f>
        <v>2/15/1980</v>
      </c>
      <c r="P884" t="str">
        <f>_xll.BDP("912827KJ Govt","SECURITY_NAME")</f>
        <v>T 11 7/8 08/15/83</v>
      </c>
      <c r="Q884" t="str">
        <f>_xll.BDP("912827KJ Govt","DAY_CNT_DES")</f>
        <v>ACT/ACT</v>
      </c>
      <c r="R884">
        <v>100</v>
      </c>
      <c r="S884" t="str">
        <f>_xll.BDP("912827KJ Govt","ID_CUSIP")</f>
        <v>912827KJ0</v>
      </c>
      <c r="T884" t="str">
        <f>_xll.BDP("912827KJ Govt","IDX_RATIO")</f>
        <v>#N/A Field Not Applicable</v>
      </c>
    </row>
    <row r="885" spans="1:20" x14ac:dyDescent="0.25">
      <c r="A885" t="s">
        <v>14</v>
      </c>
      <c r="B885" t="str">
        <f>_xll.BDP("912827KP Govt","TICKER")</f>
        <v>T</v>
      </c>
      <c r="C885">
        <f>_xll.BDP("912827KP Govt","CPN")</f>
        <v>14.25</v>
      </c>
      <c r="D885" t="str">
        <f>_xll.BDP("912827KP Govt","YLD_YTM_BID")</f>
        <v>#N/A N/A</v>
      </c>
      <c r="E885" t="str">
        <f>_xll.BDP("912827KP Govt","MATURITY")</f>
        <v>3/31/1984</v>
      </c>
      <c r="F885" t="str">
        <f>_xll.BDP("912827KP Govt","MTY_TYP")</f>
        <v>NORMAL</v>
      </c>
      <c r="G885" t="str">
        <f>_xll.BDP("912827KP Govt","CRNCY")</f>
        <v>USD</v>
      </c>
      <c r="H885" t="str">
        <f>_xll.BDP("912827KP Govt","COUNTRY_FULL_NAME")</f>
        <v>UNITED STATES</v>
      </c>
      <c r="I885" t="str">
        <f>_xll.BDP("912827KP Govt","FIRST_CPN_DT")</f>
        <v>9/30/1980</v>
      </c>
      <c r="J885" t="str">
        <f>_xll.BDP("912827KP Govt","COUPON_FREQUENCY_DESCRIPTION")</f>
        <v>S/A</v>
      </c>
      <c r="K885" t="str">
        <f>_xll.BDP("912827KP Govt","CPN_TYP")</f>
        <v>FIXED</v>
      </c>
      <c r="L885" t="str">
        <f>_xll.BDP("912827KP Govt","ID_ISIN")</f>
        <v>US912827KP63</v>
      </c>
      <c r="N885">
        <v>0</v>
      </c>
      <c r="O885" t="str">
        <f>_xll.BDP("912827KP Govt","ISSUE_DT")</f>
        <v>3/31/1980</v>
      </c>
      <c r="P885" t="str">
        <f>_xll.BDP("912827KP Govt","SECURITY_NAME")</f>
        <v>T 14 1/4 03/31/84</v>
      </c>
      <c r="Q885" t="str">
        <f>_xll.BDP("912827KP Govt","DAY_CNT_DES")</f>
        <v>ACT/ACT</v>
      </c>
      <c r="R885">
        <v>100</v>
      </c>
      <c r="S885" t="str">
        <f>_xll.BDP("912827KP Govt","ID_CUSIP")</f>
        <v>912827KP6</v>
      </c>
      <c r="T885" t="str">
        <f>_xll.BDP("912827KP Govt","IDX_RATIO")</f>
        <v>#N/A Field Not Applicable</v>
      </c>
    </row>
    <row r="886" spans="1:20" x14ac:dyDescent="0.25">
      <c r="A886" t="s">
        <v>14</v>
      </c>
      <c r="B886" t="str">
        <f>_xll.BDP("912827L5 Govt","TICKER")</f>
        <v>T</v>
      </c>
      <c r="C886">
        <f>_xll.BDP("912827L5 Govt","CPN")</f>
        <v>4.25</v>
      </c>
      <c r="D886" t="str">
        <f>_xll.BDP("912827L5 Govt","YLD_YTM_BID")</f>
        <v>#N/A N/A</v>
      </c>
      <c r="E886" t="str">
        <f>_xll.BDP("912827L5 Govt","MATURITY")</f>
        <v>7/31/1995</v>
      </c>
      <c r="F886" t="str">
        <f>_xll.BDP("912827L5 Govt","MTY_TYP")</f>
        <v>NORMAL</v>
      </c>
      <c r="G886" t="str">
        <f>_xll.BDP("912827L5 Govt","CRNCY")</f>
        <v>USD</v>
      </c>
      <c r="H886" t="str">
        <f>_xll.BDP("912827L5 Govt","COUNTRY_FULL_NAME")</f>
        <v>UNITED STATES</v>
      </c>
      <c r="I886" t="str">
        <f>_xll.BDP("912827L5 Govt","FIRST_CPN_DT")</f>
        <v>1/31/1994</v>
      </c>
      <c r="J886" t="str">
        <f>_xll.BDP("912827L5 Govt","COUPON_FREQUENCY_DESCRIPTION")</f>
        <v>S/A</v>
      </c>
      <c r="K886" t="str">
        <f>_xll.BDP("912827L5 Govt","CPN_TYP")</f>
        <v>FIXED</v>
      </c>
      <c r="L886" t="str">
        <f>_xll.BDP("912827L5 Govt","ID_ISIN")</f>
        <v>US912827L593</v>
      </c>
      <c r="N886">
        <v>0</v>
      </c>
      <c r="O886" t="str">
        <f>_xll.BDP("912827L5 Govt","ISSUE_DT")</f>
        <v>8/2/1993</v>
      </c>
      <c r="P886" t="str">
        <f>_xll.BDP("912827L5 Govt","SECURITY_NAME")</f>
        <v>T 4 1/4 07/31/95</v>
      </c>
      <c r="Q886" t="str">
        <f>_xll.BDP("912827L5 Govt","DAY_CNT_DES")</f>
        <v>ACT/ACT</v>
      </c>
      <c r="R886">
        <v>100</v>
      </c>
      <c r="S886" t="str">
        <f>_xll.BDP("912827L5 Govt","ID_CUSIP")</f>
        <v>912827L59</v>
      </c>
      <c r="T886" t="str">
        <f>_xll.BDP("912827L5 Govt","IDX_RATIO")</f>
        <v>#N/A Field Not Applicable</v>
      </c>
    </row>
    <row r="887" spans="1:20" x14ac:dyDescent="0.25">
      <c r="A887" t="s">
        <v>14</v>
      </c>
      <c r="B887" t="str">
        <f>_xll.BDP("912827LA Govt","TICKER")</f>
        <v>T</v>
      </c>
      <c r="C887">
        <f>_xll.BDP("912827LA Govt","CPN")</f>
        <v>11.75</v>
      </c>
      <c r="D887" t="str">
        <f>_xll.BDP("912827LA Govt","YLD_YTM_BID")</f>
        <v>#N/A N/A</v>
      </c>
      <c r="E887" t="str">
        <f>_xll.BDP("912827LA Govt","MATURITY")</f>
        <v>11/15/1985</v>
      </c>
      <c r="F887" t="str">
        <f>_xll.BDP("912827LA Govt","MTY_TYP")</f>
        <v>NORMAL</v>
      </c>
      <c r="G887" t="str">
        <f>_xll.BDP("912827LA Govt","CRNCY")</f>
        <v>USD</v>
      </c>
      <c r="H887" t="str">
        <f>_xll.BDP("912827LA Govt","COUNTRY_FULL_NAME")</f>
        <v>UNITED STATES</v>
      </c>
      <c r="I887" t="str">
        <f>_xll.BDP("912827LA Govt","FIRST_CPN_DT")</f>
        <v>5/15/1981</v>
      </c>
      <c r="J887" t="str">
        <f>_xll.BDP("912827LA Govt","COUPON_FREQUENCY_DESCRIPTION")</f>
        <v>S/A</v>
      </c>
      <c r="K887" t="str">
        <f>_xll.BDP("912827LA Govt","CPN_TYP")</f>
        <v>FIXED</v>
      </c>
      <c r="L887" t="str">
        <f>_xll.BDP("912827LA Govt","ID_ISIN")</f>
        <v>US912827LA85</v>
      </c>
      <c r="N887">
        <v>0</v>
      </c>
      <c r="O887" t="str">
        <f>_xll.BDP("912827LA Govt","ISSUE_DT")</f>
        <v>9/3/1980</v>
      </c>
      <c r="P887" t="str">
        <f>_xll.BDP("912827LA Govt","SECURITY_NAME")</f>
        <v>T 11 3/4 11/15/85</v>
      </c>
      <c r="Q887" t="str">
        <f>_xll.BDP("912827LA Govt","DAY_CNT_DES")</f>
        <v>ACT/ACT</v>
      </c>
      <c r="R887">
        <v>100</v>
      </c>
      <c r="S887" t="str">
        <f>_xll.BDP("912827LA Govt","ID_CUSIP")</f>
        <v>912827LA8</v>
      </c>
      <c r="T887" t="str">
        <f>_xll.BDP("912827LA Govt","IDX_RATIO")</f>
        <v>#N/A Field Not Applicable</v>
      </c>
    </row>
    <row r="888" spans="1:20" x14ac:dyDescent="0.25">
      <c r="A888" t="s">
        <v>14</v>
      </c>
      <c r="B888" t="str">
        <f>_xll.BDP("912827LC Govt","TICKER")</f>
        <v>T</v>
      </c>
      <c r="C888">
        <f>_xll.BDP("912827LC Govt","CPN")</f>
        <v>12.125</v>
      </c>
      <c r="D888" t="str">
        <f>_xll.BDP("912827LC Govt","YLD_YTM_BID")</f>
        <v>#N/A N/A</v>
      </c>
      <c r="E888" t="str">
        <f>_xll.BDP("912827LC Govt","MATURITY")</f>
        <v>9/30/1984</v>
      </c>
      <c r="F888" t="str">
        <f>_xll.BDP("912827LC Govt","MTY_TYP")</f>
        <v>NORMAL</v>
      </c>
      <c r="G888" t="str">
        <f>_xll.BDP("912827LC Govt","CRNCY")</f>
        <v>USD</v>
      </c>
      <c r="H888" t="str">
        <f>_xll.BDP("912827LC Govt","COUNTRY_FULL_NAME")</f>
        <v>UNITED STATES</v>
      </c>
      <c r="I888" t="str">
        <f>_xll.BDP("912827LC Govt","FIRST_CPN_DT")</f>
        <v>3/31/1981</v>
      </c>
      <c r="J888" t="str">
        <f>_xll.BDP("912827LC Govt","COUPON_FREQUENCY_DESCRIPTION")</f>
        <v>S/A</v>
      </c>
      <c r="K888" t="str">
        <f>_xll.BDP("912827LC Govt","CPN_TYP")</f>
        <v>FIXED</v>
      </c>
      <c r="L888" t="str">
        <f>_xll.BDP("912827LC Govt","ID_ISIN")</f>
        <v>US912827LC42</v>
      </c>
      <c r="N888">
        <v>0</v>
      </c>
      <c r="O888" t="str">
        <f>_xll.BDP("912827LC Govt","ISSUE_DT")</f>
        <v>9/30/1980</v>
      </c>
      <c r="P888" t="str">
        <f>_xll.BDP("912827LC Govt","SECURITY_NAME")</f>
        <v>T 12 1/8 09/30/84</v>
      </c>
      <c r="Q888" t="str">
        <f>_xll.BDP("912827LC Govt","DAY_CNT_DES")</f>
        <v>ACT/ACT</v>
      </c>
      <c r="R888">
        <v>100</v>
      </c>
      <c r="S888" t="str">
        <f>_xll.BDP("912827LC Govt","ID_CUSIP")</f>
        <v>912827LC4</v>
      </c>
      <c r="T888" t="str">
        <f>_xll.BDP("912827LC Govt","IDX_RATIO")</f>
        <v>#N/A Field Not Applicable</v>
      </c>
    </row>
    <row r="889" spans="1:20" x14ac:dyDescent="0.25">
      <c r="A889" t="s">
        <v>14</v>
      </c>
      <c r="B889" t="str">
        <f>_xll.BDP("912827LE Govt","TICKER")</f>
        <v>T</v>
      </c>
      <c r="C889">
        <f>_xll.BDP("912827LE Govt","CPN")</f>
        <v>13.25</v>
      </c>
      <c r="D889" t="str">
        <f>_xll.BDP("912827LE Govt","YLD_YTM_BID")</f>
        <v>#N/A N/A</v>
      </c>
      <c r="E889" t="str">
        <f>_xll.BDP("912827LE Govt","MATURITY")</f>
        <v>5/15/1984</v>
      </c>
      <c r="F889" t="str">
        <f>_xll.BDP("912827LE Govt","MTY_TYP")</f>
        <v>NORMAL</v>
      </c>
      <c r="G889" t="str">
        <f>_xll.BDP("912827LE Govt","CRNCY")</f>
        <v>USD</v>
      </c>
      <c r="H889" t="str">
        <f>_xll.BDP("912827LE Govt","COUNTRY_FULL_NAME")</f>
        <v>UNITED STATES</v>
      </c>
      <c r="I889" t="str">
        <f>_xll.BDP("912827LE Govt","FIRST_CPN_DT")</f>
        <v>5/15/1981</v>
      </c>
      <c r="J889" t="str">
        <f>_xll.BDP("912827LE Govt","COUPON_FREQUENCY_DESCRIPTION")</f>
        <v>S/A</v>
      </c>
      <c r="K889" t="str">
        <f>_xll.BDP("912827LE Govt","CPN_TYP")</f>
        <v>FIXED</v>
      </c>
      <c r="L889" t="str">
        <f>_xll.BDP("912827LE Govt","ID_ISIN")</f>
        <v>US912827LE08</v>
      </c>
      <c r="N889">
        <v>0</v>
      </c>
      <c r="O889" t="str">
        <f>_xll.BDP("912827LE Govt","ISSUE_DT")</f>
        <v>11/17/1980</v>
      </c>
      <c r="P889" t="str">
        <f>_xll.BDP("912827LE Govt","SECURITY_NAME")</f>
        <v>T 13 1/4 05/15/84</v>
      </c>
      <c r="Q889" t="str">
        <f>_xll.BDP("912827LE Govt","DAY_CNT_DES")</f>
        <v>ACT/ACT</v>
      </c>
      <c r="R889">
        <v>100</v>
      </c>
      <c r="S889" t="str">
        <f>_xll.BDP("912827LE Govt","ID_CUSIP")</f>
        <v>912827LE0</v>
      </c>
      <c r="T889" t="str">
        <f>_xll.BDP("912827LE Govt","IDX_RATIO")</f>
        <v>#N/A Field Not Applicable</v>
      </c>
    </row>
    <row r="890" spans="1:20" x14ac:dyDescent="0.25">
      <c r="A890" t="s">
        <v>14</v>
      </c>
      <c r="B890" t="str">
        <f>_xll.BDP("912827LJ Govt","TICKER")</f>
        <v>T</v>
      </c>
      <c r="C890">
        <f>_xll.BDP("912827LJ Govt","CPN")</f>
        <v>15.125</v>
      </c>
      <c r="D890" t="str">
        <f>_xll.BDP("912827LJ Govt","YLD_YTM_BID")</f>
        <v>#N/A N/A</v>
      </c>
      <c r="E890" t="str">
        <f>_xll.BDP("912827LJ Govt","MATURITY")</f>
        <v>12/31/1982</v>
      </c>
      <c r="F890" t="str">
        <f>_xll.BDP("912827LJ Govt","MTY_TYP")</f>
        <v>NORMAL</v>
      </c>
      <c r="G890" t="str">
        <f>_xll.BDP("912827LJ Govt","CRNCY")</f>
        <v>USD</v>
      </c>
      <c r="H890" t="str">
        <f>_xll.BDP("912827LJ Govt","COUNTRY_FULL_NAME")</f>
        <v>UNITED STATES</v>
      </c>
      <c r="I890" t="str">
        <f>_xll.BDP("912827LJ Govt","FIRST_CPN_DT")</f>
        <v>6/30/1981</v>
      </c>
      <c r="J890" t="str">
        <f>_xll.BDP("912827LJ Govt","COUPON_FREQUENCY_DESCRIPTION")</f>
        <v>S/A</v>
      </c>
      <c r="K890" t="str">
        <f>_xll.BDP("912827LJ Govt","CPN_TYP")</f>
        <v>FIXED</v>
      </c>
      <c r="L890" t="str">
        <f>_xll.BDP("912827LJ Govt","ID_ISIN")</f>
        <v>US912827LJ94</v>
      </c>
      <c r="N890">
        <v>0</v>
      </c>
      <c r="O890" t="str">
        <f>_xll.BDP("912827LJ Govt","ISSUE_DT")</f>
        <v>12/31/1980</v>
      </c>
      <c r="P890" t="str">
        <f>_xll.BDP("912827LJ Govt","SECURITY_NAME")</f>
        <v>T 15 1/8 12/31/82</v>
      </c>
      <c r="Q890" t="str">
        <f>_xll.BDP("912827LJ Govt","DAY_CNT_DES")</f>
        <v>ACT/ACT</v>
      </c>
      <c r="R890">
        <v>100</v>
      </c>
      <c r="S890" t="str">
        <f>_xll.BDP("912827LJ Govt","ID_CUSIP")</f>
        <v>912827LJ9</v>
      </c>
      <c r="T890" t="str">
        <f>_xll.BDP("912827LJ Govt","IDX_RATIO")</f>
        <v>#N/A Field Not Applicable</v>
      </c>
    </row>
    <row r="891" spans="1:20" x14ac:dyDescent="0.25">
      <c r="A891" t="s">
        <v>14</v>
      </c>
      <c r="B891" t="str">
        <f>_xll.BDP("912827LL Govt","TICKER")</f>
        <v>T</v>
      </c>
      <c r="C891">
        <f>_xll.BDP("912827LL Govt","CPN")</f>
        <v>12.375</v>
      </c>
      <c r="D891" t="str">
        <f>_xll.BDP("912827LL Govt","YLD_YTM_BID")</f>
        <v>#N/A N/A</v>
      </c>
      <c r="E891" t="str">
        <f>_xll.BDP("912827LL Govt","MATURITY")</f>
        <v>1/15/1988</v>
      </c>
      <c r="F891" t="str">
        <f>_xll.BDP("912827LL Govt","MTY_TYP")</f>
        <v>NORMAL</v>
      </c>
      <c r="G891" t="str">
        <f>_xll.BDP("912827LL Govt","CRNCY")</f>
        <v>USD</v>
      </c>
      <c r="H891" t="str">
        <f>_xll.BDP("912827LL Govt","COUNTRY_FULL_NAME")</f>
        <v>UNITED STATES</v>
      </c>
      <c r="I891" t="str">
        <f>_xll.BDP("912827LL Govt","FIRST_CPN_DT")</f>
        <v>7/15/1981</v>
      </c>
      <c r="J891" t="str">
        <f>_xll.BDP("912827LL Govt","COUPON_FREQUENCY_DESCRIPTION")</f>
        <v>S/A</v>
      </c>
      <c r="K891" t="str">
        <f>_xll.BDP("912827LL Govt","CPN_TYP")</f>
        <v>FIXED</v>
      </c>
      <c r="L891" t="str">
        <f>_xll.BDP("912827LL Govt","ID_ISIN")</f>
        <v>US912827LL41</v>
      </c>
      <c r="N891">
        <v>0</v>
      </c>
      <c r="O891" t="str">
        <f>_xll.BDP("912827LL Govt","ISSUE_DT")</f>
        <v>1/5/1981</v>
      </c>
      <c r="P891" t="str">
        <f>_xll.BDP("912827LL Govt","SECURITY_NAME")</f>
        <v>T 12 3/8 01/15/88</v>
      </c>
      <c r="Q891" t="str">
        <f>_xll.BDP("912827LL Govt","DAY_CNT_DES")</f>
        <v>ACT/ACT</v>
      </c>
      <c r="R891">
        <v>100</v>
      </c>
      <c r="S891" t="str">
        <f>_xll.BDP("912827LL Govt","ID_CUSIP")</f>
        <v>912827LL4</v>
      </c>
      <c r="T891" t="str">
        <f>_xll.BDP("912827LL Govt","IDX_RATIO")</f>
        <v>#N/A Field Not Applicable</v>
      </c>
    </row>
    <row r="892" spans="1:20" x14ac:dyDescent="0.25">
      <c r="A892" t="s">
        <v>14</v>
      </c>
      <c r="B892" t="str">
        <f>_xll.BDP("912827LU Govt","TICKER")</f>
        <v>T</v>
      </c>
      <c r="C892">
        <f>_xll.BDP("912827LU Govt","CPN")</f>
        <v>14.5</v>
      </c>
      <c r="D892" t="str">
        <f>_xll.BDP("912827LU Govt","YLD_YTM_BID")</f>
        <v>#N/A N/A</v>
      </c>
      <c r="E892" t="str">
        <f>_xll.BDP("912827LU Govt","MATURITY")</f>
        <v>4/30/1983</v>
      </c>
      <c r="F892" t="str">
        <f>_xll.BDP("912827LU Govt","MTY_TYP")</f>
        <v>NORMAL</v>
      </c>
      <c r="G892" t="str">
        <f>_xll.BDP("912827LU Govt","CRNCY")</f>
        <v>USD</v>
      </c>
      <c r="H892" t="str">
        <f>_xll.BDP("912827LU Govt","COUNTRY_FULL_NAME")</f>
        <v>UNITED STATES</v>
      </c>
      <c r="I892" t="str">
        <f>_xll.BDP("912827LU Govt","FIRST_CPN_DT")</f>
        <v>10/31/1981</v>
      </c>
      <c r="J892" t="str">
        <f>_xll.BDP("912827LU Govt","COUPON_FREQUENCY_DESCRIPTION")</f>
        <v>S/A</v>
      </c>
      <c r="K892" t="str">
        <f>_xll.BDP("912827LU Govt","CPN_TYP")</f>
        <v>FIXED</v>
      </c>
      <c r="L892" t="str">
        <f>_xll.BDP("912827LU Govt","ID_ISIN")</f>
        <v>US912827LU40</v>
      </c>
      <c r="N892">
        <v>0</v>
      </c>
      <c r="O892" t="str">
        <f>_xll.BDP("912827LU Govt","ISSUE_DT")</f>
        <v>4/30/1981</v>
      </c>
      <c r="P892" t="str">
        <f>_xll.BDP("912827LU Govt","SECURITY_NAME")</f>
        <v>T 14 1/2 04/30/83</v>
      </c>
      <c r="Q892" t="str">
        <f>_xll.BDP("912827LU Govt","DAY_CNT_DES")</f>
        <v>ACT/ACT</v>
      </c>
      <c r="R892">
        <v>100</v>
      </c>
      <c r="S892" t="str">
        <f>_xll.BDP("912827LU Govt","ID_CUSIP")</f>
        <v>912827LU4</v>
      </c>
      <c r="T892" t="str">
        <f>_xll.BDP("912827LU Govt","IDX_RATIO")</f>
        <v>#N/A Field Not Applicable</v>
      </c>
    </row>
    <row r="893" spans="1:20" x14ac:dyDescent="0.25">
      <c r="A893" t="s">
        <v>14</v>
      </c>
      <c r="B893" t="str">
        <f>_xll.BDP("912827LX Govt","TICKER")</f>
        <v>T</v>
      </c>
      <c r="C893">
        <f>_xll.BDP("912827LX Govt","CPN")</f>
        <v>15.625</v>
      </c>
      <c r="D893" t="str">
        <f>_xll.BDP("912827LX Govt","YLD_YTM_BID")</f>
        <v>#N/A N/A</v>
      </c>
      <c r="E893" t="str">
        <f>_xll.BDP("912827LX Govt","MATURITY")</f>
        <v>5/31/1983</v>
      </c>
      <c r="F893" t="str">
        <f>_xll.BDP("912827LX Govt","MTY_TYP")</f>
        <v>NORMAL</v>
      </c>
      <c r="G893" t="str">
        <f>_xll.BDP("912827LX Govt","CRNCY")</f>
        <v>USD</v>
      </c>
      <c r="H893" t="str">
        <f>_xll.BDP("912827LX Govt","COUNTRY_FULL_NAME")</f>
        <v>UNITED STATES</v>
      </c>
      <c r="I893" t="str">
        <f>_xll.BDP("912827LX Govt","FIRST_CPN_DT")</f>
        <v>11/30/1981</v>
      </c>
      <c r="J893" t="str">
        <f>_xll.BDP("912827LX Govt","COUPON_FREQUENCY_DESCRIPTION")</f>
        <v>S/A</v>
      </c>
      <c r="K893" t="str">
        <f>_xll.BDP("912827LX Govt","CPN_TYP")</f>
        <v>FIXED</v>
      </c>
      <c r="L893" t="str">
        <f>_xll.BDP("912827LX Govt","ID_ISIN")</f>
        <v>US912827LX88</v>
      </c>
      <c r="N893">
        <v>0</v>
      </c>
      <c r="O893" t="str">
        <f>_xll.BDP("912827LX Govt","ISSUE_DT")</f>
        <v>6/1/1981</v>
      </c>
      <c r="P893" t="str">
        <f>_xll.BDP("912827LX Govt","SECURITY_NAME")</f>
        <v>T 15 5/8 05/31/83</v>
      </c>
      <c r="Q893" t="str">
        <f>_xll.BDP("912827LX Govt","DAY_CNT_DES")</f>
        <v>ACT/ACT</v>
      </c>
      <c r="R893">
        <v>100</v>
      </c>
      <c r="S893" t="str">
        <f>_xll.BDP("912827LX Govt","ID_CUSIP")</f>
        <v>912827LX8</v>
      </c>
      <c r="T893" t="str">
        <f>_xll.BDP("912827LX Govt","IDX_RATIO")</f>
        <v>#N/A Field Not Applicable</v>
      </c>
    </row>
    <row r="894" spans="1:20" x14ac:dyDescent="0.25">
      <c r="A894" t="s">
        <v>14</v>
      </c>
      <c r="B894" t="str">
        <f>_xll.BDP("912827LY Govt","TICKER")</f>
        <v>T</v>
      </c>
      <c r="C894">
        <f>_xll.BDP("912827LY Govt","CPN")</f>
        <v>13.875</v>
      </c>
      <c r="D894" t="str">
        <f>_xll.BDP("912827LY Govt","YLD_YTM_BID")</f>
        <v>#N/A N/A</v>
      </c>
      <c r="E894" t="str">
        <f>_xll.BDP("912827LY Govt","MATURITY")</f>
        <v>11/15/1986</v>
      </c>
      <c r="F894" t="str">
        <f>_xll.BDP("912827LY Govt","MTY_TYP")</f>
        <v>NORMAL</v>
      </c>
      <c r="G894" t="str">
        <f>_xll.BDP("912827LY Govt","CRNCY")</f>
        <v>USD</v>
      </c>
      <c r="H894" t="str">
        <f>_xll.BDP("912827LY Govt","COUNTRY_FULL_NAME")</f>
        <v>UNITED STATES</v>
      </c>
      <c r="I894" t="str">
        <f>_xll.BDP("912827LY Govt","FIRST_CPN_DT")</f>
        <v>11/15/1981</v>
      </c>
      <c r="J894" t="str">
        <f>_xll.BDP("912827LY Govt","COUPON_FREQUENCY_DESCRIPTION")</f>
        <v>S/A</v>
      </c>
      <c r="K894" t="str">
        <f>_xll.BDP("912827LY Govt","CPN_TYP")</f>
        <v>FIXED</v>
      </c>
      <c r="L894" t="str">
        <f>_xll.BDP("912827LY Govt","ID_ISIN")</f>
        <v>US912827LY61</v>
      </c>
      <c r="N894">
        <v>0</v>
      </c>
      <c r="O894" t="str">
        <f>_xll.BDP("912827LY Govt","ISSUE_DT")</f>
        <v>6/3/1981</v>
      </c>
      <c r="P894" t="str">
        <f>_xll.BDP("912827LY Govt","SECURITY_NAME")</f>
        <v>T 13 7/8 11/15/86</v>
      </c>
      <c r="Q894" t="str">
        <f>_xll.BDP("912827LY Govt","DAY_CNT_DES")</f>
        <v>ACT/ACT</v>
      </c>
      <c r="R894">
        <v>100</v>
      </c>
      <c r="S894" t="str">
        <f>_xll.BDP("912827LY Govt","ID_CUSIP")</f>
        <v>912827LY6</v>
      </c>
      <c r="T894" t="str">
        <f>_xll.BDP("912827LY Govt","IDX_RATIO")</f>
        <v>#N/A Field Not Applicable</v>
      </c>
    </row>
    <row r="895" spans="1:20" x14ac:dyDescent="0.25">
      <c r="A895" t="s">
        <v>14</v>
      </c>
      <c r="B895" t="str">
        <f>_xll.BDP("912827ME Govt","TICKER")</f>
        <v>T</v>
      </c>
      <c r="C895">
        <f>_xll.BDP("912827ME Govt","CPN")</f>
        <v>14.875</v>
      </c>
      <c r="D895" t="str">
        <f>_xll.BDP("912827ME Govt","YLD_YTM_BID")</f>
        <v>#N/A N/A</v>
      </c>
      <c r="E895" t="str">
        <f>_xll.BDP("912827ME Govt","MATURITY")</f>
        <v>8/15/1991</v>
      </c>
      <c r="F895" t="str">
        <f>_xll.BDP("912827ME Govt","MTY_TYP")</f>
        <v>NORMAL</v>
      </c>
      <c r="G895" t="str">
        <f>_xll.BDP("912827ME Govt","CRNCY")</f>
        <v>USD</v>
      </c>
      <c r="H895" t="str">
        <f>_xll.BDP("912827ME Govt","COUNTRY_FULL_NAME")</f>
        <v>UNITED STATES</v>
      </c>
      <c r="I895" t="str">
        <f>_xll.BDP("912827ME Govt","FIRST_CPN_DT")</f>
        <v>2/15/1982</v>
      </c>
      <c r="J895" t="str">
        <f>_xll.BDP("912827ME Govt","COUPON_FREQUENCY_DESCRIPTION")</f>
        <v>S/A</v>
      </c>
      <c r="K895" t="str">
        <f>_xll.BDP("912827ME Govt","CPN_TYP")</f>
        <v>FIXED</v>
      </c>
      <c r="L895" t="str">
        <f>_xll.BDP("912827ME Govt","ID_ISIN")</f>
        <v>US912827ME98</v>
      </c>
      <c r="N895">
        <v>0</v>
      </c>
      <c r="O895" t="str">
        <f>_xll.BDP("912827ME Govt","ISSUE_DT")</f>
        <v>8/17/1981</v>
      </c>
      <c r="P895" t="str">
        <f>_xll.BDP("912827ME Govt","SECURITY_NAME")</f>
        <v>T 14 7/8 08/15/91</v>
      </c>
      <c r="Q895" t="str">
        <f>_xll.BDP("912827ME Govt","DAY_CNT_DES")</f>
        <v>ACT/ACT</v>
      </c>
      <c r="R895">
        <v>100</v>
      </c>
      <c r="S895" t="str">
        <f>_xll.BDP("912827ME Govt","ID_CUSIP")</f>
        <v>912827ME9</v>
      </c>
      <c r="T895" t="str">
        <f>_xll.BDP("912827ME Govt","IDX_RATIO")</f>
        <v>#N/A Field Not Applicable</v>
      </c>
    </row>
    <row r="896" spans="1:20" x14ac:dyDescent="0.25">
      <c r="A896" t="s">
        <v>14</v>
      </c>
      <c r="B896" t="str">
        <f>_xll.BDP("912827MG Govt","TICKER")</f>
        <v>T</v>
      </c>
      <c r="C896">
        <f>_xll.BDP("912827MG Govt","CPN")</f>
        <v>16.125</v>
      </c>
      <c r="D896" t="str">
        <f>_xll.BDP("912827MG Govt","YLD_YTM_BID")</f>
        <v>#N/A N/A</v>
      </c>
      <c r="E896" t="str">
        <f>_xll.BDP("912827MG Govt","MATURITY")</f>
        <v>11/15/1986</v>
      </c>
      <c r="F896" t="str">
        <f>_xll.BDP("912827MG Govt","MTY_TYP")</f>
        <v>NORMAL</v>
      </c>
      <c r="G896" t="str">
        <f>_xll.BDP("912827MG Govt","CRNCY")</f>
        <v>USD</v>
      </c>
      <c r="H896" t="str">
        <f>_xll.BDP("912827MG Govt","COUNTRY_FULL_NAME")</f>
        <v>UNITED STATES</v>
      </c>
      <c r="I896" t="str">
        <f>_xll.BDP("912827MG Govt","FIRST_CPN_DT")</f>
        <v>5/15/1982</v>
      </c>
      <c r="J896" t="str">
        <f>_xll.BDP("912827MG Govt","COUPON_FREQUENCY_DESCRIPTION")</f>
        <v>S/A</v>
      </c>
      <c r="K896" t="str">
        <f>_xll.BDP("912827MG Govt","CPN_TYP")</f>
        <v>FIXED</v>
      </c>
      <c r="L896" t="str">
        <f>_xll.BDP("912827MG Govt","ID_ISIN")</f>
        <v>US912827MG47</v>
      </c>
      <c r="N896">
        <v>0</v>
      </c>
      <c r="O896" t="str">
        <f>_xll.BDP("912827MG Govt","ISSUE_DT")</f>
        <v>9/8/1981</v>
      </c>
      <c r="P896" t="str">
        <f>_xll.BDP("912827MG Govt","SECURITY_NAME")</f>
        <v>T 16 1/8 11/15/86</v>
      </c>
      <c r="Q896" t="str">
        <f>_xll.BDP("912827MG Govt","DAY_CNT_DES")</f>
        <v>ACT/ACT</v>
      </c>
      <c r="R896">
        <v>100</v>
      </c>
      <c r="S896" t="str">
        <f>_xll.BDP("912827MG Govt","ID_CUSIP")</f>
        <v>912827MG4</v>
      </c>
      <c r="T896" t="str">
        <f>_xll.BDP("912827MG Govt","IDX_RATIO")</f>
        <v>#N/A Field Not Applicable</v>
      </c>
    </row>
    <row r="897" spans="1:20" x14ac:dyDescent="0.25">
      <c r="A897" t="s">
        <v>14</v>
      </c>
      <c r="B897" t="str">
        <f>_xll.BDP("912827MJ Govt","TICKER")</f>
        <v>T</v>
      </c>
      <c r="C897">
        <f>_xll.BDP("912827MJ Govt","CPN")</f>
        <v>15.875</v>
      </c>
      <c r="D897" t="str">
        <f>_xll.BDP("912827MJ Govt","YLD_YTM_BID")</f>
        <v>#N/A N/A</v>
      </c>
      <c r="E897" t="str">
        <f>_xll.BDP("912827MJ Govt","MATURITY")</f>
        <v>9/30/1985</v>
      </c>
      <c r="F897" t="str">
        <f>_xll.BDP("912827MJ Govt","MTY_TYP")</f>
        <v>NORMAL</v>
      </c>
      <c r="G897" t="str">
        <f>_xll.BDP("912827MJ Govt","CRNCY")</f>
        <v>USD</v>
      </c>
      <c r="H897" t="str">
        <f>_xll.BDP("912827MJ Govt","COUNTRY_FULL_NAME")</f>
        <v>UNITED STATES</v>
      </c>
      <c r="I897" t="str">
        <f>_xll.BDP("912827MJ Govt","FIRST_CPN_DT")</f>
        <v>3/31/1982</v>
      </c>
      <c r="J897" t="str">
        <f>_xll.BDP("912827MJ Govt","COUPON_FREQUENCY_DESCRIPTION")</f>
        <v>S/A</v>
      </c>
      <c r="K897" t="str">
        <f>_xll.BDP("912827MJ Govt","CPN_TYP")</f>
        <v>FIXED</v>
      </c>
      <c r="L897" t="str">
        <f>_xll.BDP("912827MJ Govt","ID_ISIN")</f>
        <v>US912827MJ85</v>
      </c>
      <c r="N897">
        <v>0</v>
      </c>
      <c r="O897" t="str">
        <f>_xll.BDP("912827MJ Govt","ISSUE_DT")</f>
        <v>9/30/1981</v>
      </c>
      <c r="P897" t="str">
        <f>_xll.BDP("912827MJ Govt","SECURITY_NAME")</f>
        <v>T 15 7/8 09/30/85</v>
      </c>
      <c r="Q897" t="str">
        <f>_xll.BDP("912827MJ Govt","DAY_CNT_DES")</f>
        <v>ACT/ACT</v>
      </c>
      <c r="R897">
        <v>100</v>
      </c>
      <c r="S897" t="str">
        <f>_xll.BDP("912827MJ Govt","ID_CUSIP")</f>
        <v>912827MJ8</v>
      </c>
      <c r="T897" t="str">
        <f>_xll.BDP("912827MJ Govt","IDX_RATIO")</f>
        <v>#N/A Field Not Applicable</v>
      </c>
    </row>
    <row r="898" spans="1:20" x14ac:dyDescent="0.25">
      <c r="A898" t="s">
        <v>14</v>
      </c>
      <c r="B898" t="str">
        <f>_xll.BDP("912827MK Govt","TICKER")</f>
        <v>T</v>
      </c>
      <c r="C898">
        <f>_xll.BDP("912827MK Govt","CPN")</f>
        <v>15.375</v>
      </c>
      <c r="D898" t="str">
        <f>_xll.BDP("912827MK Govt","YLD_YTM_BID")</f>
        <v>#N/A N/A</v>
      </c>
      <c r="E898" t="str">
        <f>_xll.BDP("912827MK Govt","MATURITY")</f>
        <v>10/15/1988</v>
      </c>
      <c r="F898" t="str">
        <f>_xll.BDP("912827MK Govt","MTY_TYP")</f>
        <v>NORMAL</v>
      </c>
      <c r="G898" t="str">
        <f>_xll.BDP("912827MK Govt","CRNCY")</f>
        <v>USD</v>
      </c>
      <c r="H898" t="str">
        <f>_xll.BDP("912827MK Govt","COUNTRY_FULL_NAME")</f>
        <v>UNITED STATES</v>
      </c>
      <c r="I898" t="str">
        <f>_xll.BDP("912827MK Govt","FIRST_CPN_DT")</f>
        <v>4/15/1982</v>
      </c>
      <c r="J898" t="str">
        <f>_xll.BDP("912827MK Govt","COUPON_FREQUENCY_DESCRIPTION")</f>
        <v>S/A</v>
      </c>
      <c r="K898" t="str">
        <f>_xll.BDP("912827MK Govt","CPN_TYP")</f>
        <v>FIXED</v>
      </c>
      <c r="L898" t="str">
        <f>_xll.BDP("912827MK Govt","ID_ISIN")</f>
        <v>US912827MK58</v>
      </c>
      <c r="N898">
        <v>0</v>
      </c>
      <c r="O898" t="str">
        <f>_xll.BDP("912827MK Govt","ISSUE_DT")</f>
        <v>10/14/1981</v>
      </c>
      <c r="P898" t="str">
        <f>_xll.BDP("912827MK Govt","SECURITY_NAME")</f>
        <v>T 15 3/8 10/15/88</v>
      </c>
      <c r="Q898" t="str">
        <f>_xll.BDP("912827MK Govt","DAY_CNT_DES")</f>
        <v>ACT/ACT</v>
      </c>
      <c r="R898">
        <v>100</v>
      </c>
      <c r="S898" t="str">
        <f>_xll.BDP("912827MK Govt","ID_CUSIP")</f>
        <v>912827MK5</v>
      </c>
      <c r="T898" t="str">
        <f>_xll.BDP("912827MK Govt","IDX_RATIO")</f>
        <v>#N/A Field Not Applicable</v>
      </c>
    </row>
    <row r="899" spans="1:20" x14ac:dyDescent="0.25">
      <c r="A899" t="s">
        <v>14</v>
      </c>
      <c r="B899" t="str">
        <f>_xll.BDP("912827MP Govt","TICKER")</f>
        <v>T</v>
      </c>
      <c r="C899">
        <f>_xll.BDP("912827MP Govt","CPN")</f>
        <v>12.125</v>
      </c>
      <c r="D899" t="str">
        <f>_xll.BDP("912827MP Govt","YLD_YTM_BID")</f>
        <v>#N/A N/A</v>
      </c>
      <c r="E899" t="str">
        <f>_xll.BDP("912827MP Govt","MATURITY")</f>
        <v>11/30/1983</v>
      </c>
      <c r="F899" t="str">
        <f>_xll.BDP("912827MP Govt","MTY_TYP")</f>
        <v>NORMAL</v>
      </c>
      <c r="G899" t="str">
        <f>_xll.BDP("912827MP Govt","CRNCY")</f>
        <v>USD</v>
      </c>
      <c r="H899" t="str">
        <f>_xll.BDP("912827MP Govt","COUNTRY_FULL_NAME")</f>
        <v>UNITED STATES</v>
      </c>
      <c r="I899" t="str">
        <f>_xll.BDP("912827MP Govt","FIRST_CPN_DT")</f>
        <v>5/31/1982</v>
      </c>
      <c r="J899" t="str">
        <f>_xll.BDP("912827MP Govt","COUPON_FREQUENCY_DESCRIPTION")</f>
        <v>S/A</v>
      </c>
      <c r="K899" t="str">
        <f>_xll.BDP("912827MP Govt","CPN_TYP")</f>
        <v>FIXED</v>
      </c>
      <c r="L899" t="str">
        <f>_xll.BDP("912827MP Govt","ID_ISIN")</f>
        <v>US912827MP46</v>
      </c>
      <c r="N899">
        <v>0</v>
      </c>
      <c r="O899" t="str">
        <f>_xll.BDP("912827MP Govt","ISSUE_DT")</f>
        <v>11/30/1981</v>
      </c>
      <c r="P899" t="str">
        <f>_xll.BDP("912827MP Govt","SECURITY_NAME")</f>
        <v>T 12 1/8 11/30/83</v>
      </c>
      <c r="Q899" t="str">
        <f>_xll.BDP("912827MP Govt","DAY_CNT_DES")</f>
        <v>ACT/ACT</v>
      </c>
      <c r="R899">
        <v>100</v>
      </c>
      <c r="S899" t="str">
        <f>_xll.BDP("912827MP Govt","ID_CUSIP")</f>
        <v>912827MP4</v>
      </c>
      <c r="T899" t="str">
        <f>_xll.BDP("912827MP Govt","IDX_RATIO")</f>
        <v>#N/A Field Not Applicable</v>
      </c>
    </row>
    <row r="900" spans="1:20" x14ac:dyDescent="0.25">
      <c r="A900" t="s">
        <v>14</v>
      </c>
      <c r="B900" t="str">
        <f>_xll.BDP("912827N7 Govt","TICKER")</f>
        <v>T</v>
      </c>
      <c r="C900">
        <f>_xll.BDP("912827N7 Govt","CPN")</f>
        <v>4.75</v>
      </c>
      <c r="D900" t="str">
        <f>_xll.BDP("912827N7 Govt","YLD_YTM_BID")</f>
        <v>#N/A N/A</v>
      </c>
      <c r="E900" t="str">
        <f>_xll.BDP("912827N7 Govt","MATURITY")</f>
        <v>2/15/1997</v>
      </c>
      <c r="F900" t="str">
        <f>_xll.BDP("912827N7 Govt","MTY_TYP")</f>
        <v>NORMAL</v>
      </c>
      <c r="G900" t="str">
        <f>_xll.BDP("912827N7 Govt","CRNCY")</f>
        <v>USD</v>
      </c>
      <c r="H900" t="str">
        <f>_xll.BDP("912827N7 Govt","COUNTRY_FULL_NAME")</f>
        <v>UNITED STATES</v>
      </c>
      <c r="I900" t="str">
        <f>_xll.BDP("912827N7 Govt","FIRST_CPN_DT")</f>
        <v>8/15/1994</v>
      </c>
      <c r="J900" t="str">
        <f>_xll.BDP("912827N7 Govt","COUPON_FREQUENCY_DESCRIPTION")</f>
        <v>S/A</v>
      </c>
      <c r="K900" t="str">
        <f>_xll.BDP("912827N7 Govt","CPN_TYP")</f>
        <v>FIXED</v>
      </c>
      <c r="L900" t="str">
        <f>_xll.BDP("912827N7 Govt","ID_ISIN")</f>
        <v>US912827N730</v>
      </c>
      <c r="N900">
        <v>0</v>
      </c>
      <c r="O900" t="str">
        <f>_xll.BDP("912827N7 Govt","ISSUE_DT")</f>
        <v>2/15/1994</v>
      </c>
      <c r="P900" t="str">
        <f>_xll.BDP("912827N7 Govt","SECURITY_NAME")</f>
        <v>T 4 3/4 02/15/97</v>
      </c>
      <c r="Q900" t="str">
        <f>_xll.BDP("912827N7 Govt","DAY_CNT_DES")</f>
        <v>ACT/ACT</v>
      </c>
      <c r="R900">
        <v>100</v>
      </c>
      <c r="S900" t="str">
        <f>_xll.BDP("912827N7 Govt","ID_CUSIP")</f>
        <v>912827N73</v>
      </c>
      <c r="T900" t="str">
        <f>_xll.BDP("912827N7 Govt","IDX_RATIO")</f>
        <v>#N/A Field Not Applicable</v>
      </c>
    </row>
    <row r="901" spans="1:20" x14ac:dyDescent="0.25">
      <c r="A901" t="s">
        <v>14</v>
      </c>
      <c r="B901" t="str">
        <f>_xll.BDP("912827NK Govt","TICKER")</f>
        <v>T</v>
      </c>
      <c r="C901">
        <f>_xll.BDP("912827NK Govt","CPN")</f>
        <v>14.5</v>
      </c>
      <c r="D901" t="str">
        <f>_xll.BDP("912827NK Govt","YLD_YTM_BID")</f>
        <v>#N/A N/A</v>
      </c>
      <c r="E901" t="str">
        <f>_xll.BDP("912827NK Govt","MATURITY")</f>
        <v>7/15/1989</v>
      </c>
      <c r="F901" t="str">
        <f>_xll.BDP("912827NK Govt","MTY_TYP")</f>
        <v>NORMAL</v>
      </c>
      <c r="G901" t="str">
        <f>_xll.BDP("912827NK Govt","CRNCY")</f>
        <v>USD</v>
      </c>
      <c r="H901" t="str">
        <f>_xll.BDP("912827NK Govt","COUNTRY_FULL_NAME")</f>
        <v>UNITED STATES</v>
      </c>
      <c r="I901" t="str">
        <f>_xll.BDP("912827NK Govt","FIRST_CPN_DT")</f>
        <v>1/15/1983</v>
      </c>
      <c r="J901" t="str">
        <f>_xll.BDP("912827NK Govt","COUPON_FREQUENCY_DESCRIPTION")</f>
        <v>S/A</v>
      </c>
      <c r="K901" t="str">
        <f>_xll.BDP("912827NK Govt","CPN_TYP")</f>
        <v>FIXED</v>
      </c>
      <c r="L901" t="str">
        <f>_xll.BDP("912827NK Govt","ID_ISIN")</f>
        <v>US912827NK40</v>
      </c>
      <c r="N901">
        <v>0</v>
      </c>
      <c r="O901" t="str">
        <f>_xll.BDP("912827NK Govt","ISSUE_DT")</f>
        <v>7/8/1982</v>
      </c>
      <c r="P901" t="str">
        <f>_xll.BDP("912827NK Govt","SECURITY_NAME")</f>
        <v>T 14 1/2 07/15/89</v>
      </c>
      <c r="Q901" t="str">
        <f>_xll.BDP("912827NK Govt","DAY_CNT_DES")</f>
        <v>ACT/ACT</v>
      </c>
      <c r="R901">
        <v>100</v>
      </c>
      <c r="S901" t="str">
        <f>_xll.BDP("912827NK Govt","ID_CUSIP")</f>
        <v>912827NK4</v>
      </c>
      <c r="T901" t="str">
        <f>_xll.BDP("912827NK Govt","IDX_RATIO")</f>
        <v>#N/A Field Not Applicable</v>
      </c>
    </row>
    <row r="902" spans="1:20" x14ac:dyDescent="0.25">
      <c r="A902" t="s">
        <v>14</v>
      </c>
      <c r="B902" t="str">
        <f>_xll.BDP("912827NL Govt","TICKER")</f>
        <v>T</v>
      </c>
      <c r="C902">
        <f>_xll.BDP("912827NL Govt","CPN")</f>
        <v>13.125</v>
      </c>
      <c r="D902" t="str">
        <f>_xll.BDP("912827NL Govt","YLD_YTM_BID")</f>
        <v>#N/A N/A</v>
      </c>
      <c r="E902" t="str">
        <f>_xll.BDP("912827NL Govt","MATURITY")</f>
        <v>7/31/1984</v>
      </c>
      <c r="F902" t="str">
        <f>_xll.BDP("912827NL Govt","MTY_TYP")</f>
        <v>NORMAL</v>
      </c>
      <c r="G902" t="str">
        <f>_xll.BDP("912827NL Govt","CRNCY")</f>
        <v>USD</v>
      </c>
      <c r="H902" t="str">
        <f>_xll.BDP("912827NL Govt","COUNTRY_FULL_NAME")</f>
        <v>UNITED STATES</v>
      </c>
      <c r="I902" t="str">
        <f>_xll.BDP("912827NL Govt","FIRST_CPN_DT")</f>
        <v>1/31/1983</v>
      </c>
      <c r="J902" t="str">
        <f>_xll.BDP("912827NL Govt","COUPON_FREQUENCY_DESCRIPTION")</f>
        <v>S/A</v>
      </c>
      <c r="K902" t="str">
        <f>_xll.BDP("912827NL Govt","CPN_TYP")</f>
        <v>FIXED</v>
      </c>
      <c r="L902" t="str">
        <f>_xll.BDP("912827NL Govt","ID_ISIN")</f>
        <v>US912827NL23</v>
      </c>
      <c r="N902">
        <v>0</v>
      </c>
      <c r="O902" t="str">
        <f>_xll.BDP("912827NL Govt","ISSUE_DT")</f>
        <v>8/2/1982</v>
      </c>
      <c r="P902" t="str">
        <f>_xll.BDP("912827NL Govt","SECURITY_NAME")</f>
        <v>T 13 1/8 07/31/84</v>
      </c>
      <c r="Q902" t="str">
        <f>_xll.BDP("912827NL Govt","DAY_CNT_DES")</f>
        <v>ACT/ACT</v>
      </c>
      <c r="R902">
        <v>100</v>
      </c>
      <c r="S902" t="str">
        <f>_xll.BDP("912827NL Govt","ID_CUSIP")</f>
        <v>912827NL2</v>
      </c>
      <c r="T902" t="str">
        <f>_xll.BDP("912827NL Govt","IDX_RATIO")</f>
        <v>#N/A Field Not Applicable</v>
      </c>
    </row>
    <row r="903" spans="1:20" x14ac:dyDescent="0.25">
      <c r="A903" t="s">
        <v>14</v>
      </c>
      <c r="B903" t="str">
        <f>_xll.BDP("912827PN Govt","TICKER")</f>
        <v>T</v>
      </c>
      <c r="C903">
        <f>_xll.BDP("912827PN Govt","CPN")</f>
        <v>9.875</v>
      </c>
      <c r="D903" t="str">
        <f>_xll.BDP("912827PN Govt","YLD_YTM_BID")</f>
        <v>#N/A N/A</v>
      </c>
      <c r="E903" t="str">
        <f>_xll.BDP("912827PN Govt","MATURITY")</f>
        <v>5/31/1985</v>
      </c>
      <c r="F903" t="str">
        <f>_xll.BDP("912827PN Govt","MTY_TYP")</f>
        <v>NORMAL</v>
      </c>
      <c r="G903" t="str">
        <f>_xll.BDP("912827PN Govt","CRNCY")</f>
        <v>USD</v>
      </c>
      <c r="H903" t="str">
        <f>_xll.BDP("912827PN Govt","COUNTRY_FULL_NAME")</f>
        <v>UNITED STATES</v>
      </c>
      <c r="I903" t="str">
        <f>_xll.BDP("912827PN Govt","FIRST_CPN_DT")</f>
        <v>11/30/1983</v>
      </c>
      <c r="J903" t="str">
        <f>_xll.BDP("912827PN Govt","COUPON_FREQUENCY_DESCRIPTION")</f>
        <v>S/A</v>
      </c>
      <c r="K903" t="str">
        <f>_xll.BDP("912827PN Govt","CPN_TYP")</f>
        <v>FIXED</v>
      </c>
      <c r="L903" t="str">
        <f>_xll.BDP("912827PN Govt","ID_ISIN")</f>
        <v>US912827PN60</v>
      </c>
      <c r="N903">
        <v>0</v>
      </c>
      <c r="O903" t="str">
        <f>_xll.BDP("912827PN Govt","ISSUE_DT")</f>
        <v>5/31/1983</v>
      </c>
      <c r="P903" t="str">
        <f>_xll.BDP("912827PN Govt","SECURITY_NAME")</f>
        <v>T 9 7/8 05/31/85</v>
      </c>
      <c r="Q903" t="str">
        <f>_xll.BDP("912827PN Govt","DAY_CNT_DES")</f>
        <v>ACT/ACT</v>
      </c>
      <c r="R903">
        <v>100</v>
      </c>
      <c r="S903" t="str">
        <f>_xll.BDP("912827PN Govt","ID_CUSIP")</f>
        <v>912827PN6</v>
      </c>
      <c r="T903" t="str">
        <f>_xll.BDP("912827PN Govt","IDX_RATIO")</f>
        <v>#N/A Field Not Applicable</v>
      </c>
    </row>
    <row r="904" spans="1:20" x14ac:dyDescent="0.25">
      <c r="A904" t="s">
        <v>14</v>
      </c>
      <c r="B904" t="str">
        <f>_xll.BDP("912827PP Govt","TICKER")</f>
        <v>T</v>
      </c>
      <c r="C904">
        <f>_xll.BDP("912827PP Govt","CPN")</f>
        <v>10.5</v>
      </c>
      <c r="D904" t="str">
        <f>_xll.BDP("912827PP Govt","YLD_YTM_BID")</f>
        <v>#N/A N/A</v>
      </c>
      <c r="E904" t="str">
        <f>_xll.BDP("912827PP Govt","MATURITY")</f>
        <v>8/15/1988</v>
      </c>
      <c r="F904" t="str">
        <f>_xll.BDP("912827PP Govt","MTY_TYP")</f>
        <v>NORMAL</v>
      </c>
      <c r="G904" t="str">
        <f>_xll.BDP("912827PP Govt","CRNCY")</f>
        <v>USD</v>
      </c>
      <c r="H904" t="str">
        <f>_xll.BDP("912827PP Govt","COUNTRY_FULL_NAME")</f>
        <v>UNITED STATES</v>
      </c>
      <c r="I904" t="str">
        <f>_xll.BDP("912827PP Govt","FIRST_CPN_DT")</f>
        <v>2/15/1984</v>
      </c>
      <c r="J904" t="str">
        <f>_xll.BDP("912827PP Govt","COUPON_FREQUENCY_DESCRIPTION")</f>
        <v>S/A</v>
      </c>
      <c r="K904" t="str">
        <f>_xll.BDP("912827PP Govt","CPN_TYP")</f>
        <v>FIXED</v>
      </c>
      <c r="L904" t="str">
        <f>_xll.BDP("912827PP Govt","ID_ISIN")</f>
        <v>US912827PP19</v>
      </c>
      <c r="N904">
        <v>0</v>
      </c>
      <c r="O904" t="str">
        <f>_xll.BDP("912827PP Govt","ISSUE_DT")</f>
        <v>6/3/1983</v>
      </c>
      <c r="P904" t="str">
        <f>_xll.BDP("912827PP Govt","SECURITY_NAME")</f>
        <v>T 10 1/2 08/15/88</v>
      </c>
      <c r="Q904" t="str">
        <f>_xll.BDP("912827PP Govt","DAY_CNT_DES")</f>
        <v>ACT/ACT</v>
      </c>
      <c r="R904">
        <v>100</v>
      </c>
      <c r="S904" t="str">
        <f>_xll.BDP("912827PP Govt","ID_CUSIP")</f>
        <v>912827PP1</v>
      </c>
      <c r="T904" t="str">
        <f>_xll.BDP("912827PP Govt","IDX_RATIO")</f>
        <v>#N/A Field Not Applicable</v>
      </c>
    </row>
    <row r="905" spans="1:20" x14ac:dyDescent="0.25">
      <c r="A905" t="s">
        <v>14</v>
      </c>
      <c r="B905" t="str">
        <f>_xll.BDP("912827Q5 Govt","TICKER")</f>
        <v>T</v>
      </c>
      <c r="C905">
        <f>_xll.BDP("912827Q5 Govt","CPN")</f>
        <v>6.125</v>
      </c>
      <c r="D905" t="str">
        <f>_xll.BDP("912827Q5 Govt","YLD_YTM_BID")</f>
        <v>#N/A N/A</v>
      </c>
      <c r="E905" t="str">
        <f>_xll.BDP("912827Q5 Govt","MATURITY")</f>
        <v>7/31/1996</v>
      </c>
      <c r="F905" t="str">
        <f>_xll.BDP("912827Q5 Govt","MTY_TYP")</f>
        <v>NORMAL</v>
      </c>
      <c r="G905" t="str">
        <f>_xll.BDP("912827Q5 Govt","CRNCY")</f>
        <v>USD</v>
      </c>
      <c r="H905" t="str">
        <f>_xll.BDP("912827Q5 Govt","COUNTRY_FULL_NAME")</f>
        <v>UNITED STATES</v>
      </c>
      <c r="I905" t="str">
        <f>_xll.BDP("912827Q5 Govt","FIRST_CPN_DT")</f>
        <v>1/31/1995</v>
      </c>
      <c r="J905" t="str">
        <f>_xll.BDP("912827Q5 Govt","COUPON_FREQUENCY_DESCRIPTION")</f>
        <v>S/A</v>
      </c>
      <c r="K905" t="str">
        <f>_xll.BDP("912827Q5 Govt","CPN_TYP")</f>
        <v>FIXED</v>
      </c>
      <c r="L905" t="str">
        <f>_xll.BDP("912827Q5 Govt","ID_ISIN")</f>
        <v>US912827Q543</v>
      </c>
      <c r="N905">
        <v>0</v>
      </c>
      <c r="O905" t="str">
        <f>_xll.BDP("912827Q5 Govt","ISSUE_DT")</f>
        <v>8/1/1994</v>
      </c>
      <c r="P905" t="str">
        <f>_xll.BDP("912827Q5 Govt","SECURITY_NAME")</f>
        <v>T 6 1/8 07/31/96</v>
      </c>
      <c r="Q905" t="str">
        <f>_xll.BDP("912827Q5 Govt","DAY_CNT_DES")</f>
        <v>ACT/ACT</v>
      </c>
      <c r="R905">
        <v>100</v>
      </c>
      <c r="S905" t="str">
        <f>_xll.BDP("912827Q5 Govt","ID_CUSIP")</f>
        <v>912827Q54</v>
      </c>
      <c r="T905" t="str">
        <f>_xll.BDP("912827Q5 Govt","IDX_RATIO")</f>
        <v>#N/A Field Not Applicable</v>
      </c>
    </row>
    <row r="906" spans="1:20" x14ac:dyDescent="0.25">
      <c r="A906" t="s">
        <v>14</v>
      </c>
      <c r="B906" t="str">
        <f>_xll.BDP("912827QG Govt","TICKER")</f>
        <v>T</v>
      </c>
      <c r="C906">
        <f>_xll.BDP("912827QG Govt","CPN")</f>
        <v>10.875</v>
      </c>
      <c r="D906" t="str">
        <f>_xll.BDP("912827QG Govt","YLD_YTM_BID")</f>
        <v>#N/A N/A</v>
      </c>
      <c r="E906" t="str">
        <f>_xll.BDP("912827QG Govt","MATURITY")</f>
        <v>12/31/1985</v>
      </c>
      <c r="F906" t="str">
        <f>_xll.BDP("912827QG Govt","MTY_TYP")</f>
        <v>NORMAL</v>
      </c>
      <c r="G906" t="str">
        <f>_xll.BDP("912827QG Govt","CRNCY")</f>
        <v>USD</v>
      </c>
      <c r="H906" t="str">
        <f>_xll.BDP("912827QG Govt","COUNTRY_FULL_NAME")</f>
        <v>UNITED STATES</v>
      </c>
      <c r="I906" t="str">
        <f>_xll.BDP("912827QG Govt","FIRST_CPN_DT")</f>
        <v>6/30/1984</v>
      </c>
      <c r="J906" t="str">
        <f>_xll.BDP("912827QG Govt","COUPON_FREQUENCY_DESCRIPTION")</f>
        <v>S/A</v>
      </c>
      <c r="K906" t="str">
        <f>_xll.BDP("912827QG Govt","CPN_TYP")</f>
        <v>FIXED</v>
      </c>
      <c r="L906" t="str">
        <f>_xll.BDP("912827QG Govt","ID_ISIN")</f>
        <v>US912827QG01</v>
      </c>
      <c r="N906">
        <v>0</v>
      </c>
      <c r="O906" t="str">
        <f>_xll.BDP("912827QG Govt","ISSUE_DT")</f>
        <v>1/3/1984</v>
      </c>
      <c r="P906" t="str">
        <f>_xll.BDP("912827QG Govt","SECURITY_NAME")</f>
        <v>T 10 7/8 12/31/85</v>
      </c>
      <c r="Q906" t="str">
        <f>_xll.BDP("912827QG Govt","DAY_CNT_DES")</f>
        <v>ACT/ACT</v>
      </c>
      <c r="R906">
        <v>100</v>
      </c>
      <c r="S906" t="str">
        <f>_xll.BDP("912827QG Govt","ID_CUSIP")</f>
        <v>912827QG0</v>
      </c>
      <c r="T906" t="str">
        <f>_xll.BDP("912827QG Govt","IDX_RATIO")</f>
        <v>#N/A Field Not Applicable</v>
      </c>
    </row>
    <row r="907" spans="1:20" x14ac:dyDescent="0.25">
      <c r="A907" t="s">
        <v>14</v>
      </c>
      <c r="B907" t="str">
        <f>_xll.BDP("912827QJ Govt","TICKER")</f>
        <v>T</v>
      </c>
      <c r="C907">
        <f>_xll.BDP("912827QJ Govt","CPN")</f>
        <v>11.75</v>
      </c>
      <c r="D907" t="str">
        <f>_xll.BDP("912827QJ Govt","YLD_YTM_BID")</f>
        <v>#N/A N/A</v>
      </c>
      <c r="E907" t="str">
        <f>_xll.BDP("912827QJ Govt","MATURITY")</f>
        <v>1/15/1991</v>
      </c>
      <c r="F907" t="str">
        <f>_xll.BDP("912827QJ Govt","MTY_TYP")</f>
        <v>NORMAL</v>
      </c>
      <c r="G907" t="str">
        <f>_xll.BDP("912827QJ Govt","CRNCY")</f>
        <v>USD</v>
      </c>
      <c r="H907" t="str">
        <f>_xll.BDP("912827QJ Govt","COUNTRY_FULL_NAME")</f>
        <v>UNITED STATES</v>
      </c>
      <c r="I907" t="str">
        <f>_xll.BDP("912827QJ Govt","FIRST_CPN_DT")</f>
        <v>7/15/1984</v>
      </c>
      <c r="J907" t="str">
        <f>_xll.BDP("912827QJ Govt","COUPON_FREQUENCY_DESCRIPTION")</f>
        <v>S/A</v>
      </c>
      <c r="K907" t="str">
        <f>_xll.BDP("912827QJ Govt","CPN_TYP")</f>
        <v>FIXED</v>
      </c>
      <c r="L907" t="str">
        <f>_xll.BDP("912827QJ Govt","ID_ISIN")</f>
        <v>US912827QJ40</v>
      </c>
      <c r="N907">
        <v>0</v>
      </c>
      <c r="O907" t="str">
        <f>_xll.BDP("912827QJ Govt","ISSUE_DT")</f>
        <v>1/4/1984</v>
      </c>
      <c r="P907" t="str">
        <f>_xll.BDP("912827QJ Govt","SECURITY_NAME")</f>
        <v>T 11 3/4 01/15/91</v>
      </c>
      <c r="Q907" t="str">
        <f>_xll.BDP("912827QJ Govt","DAY_CNT_DES")</f>
        <v>ACT/ACT</v>
      </c>
      <c r="R907">
        <v>100</v>
      </c>
      <c r="S907" t="str">
        <f>_xll.BDP("912827QJ Govt","ID_CUSIP")</f>
        <v>912827QJ4</v>
      </c>
      <c r="T907" t="str">
        <f>_xll.BDP("912827QJ Govt","IDX_RATIO")</f>
        <v>#N/A Field Not Applicable</v>
      </c>
    </row>
    <row r="908" spans="1:20" x14ac:dyDescent="0.25">
      <c r="A908" t="s">
        <v>14</v>
      </c>
      <c r="B908" t="str">
        <f>_xll.BDP("912827QR Govt","TICKER")</f>
        <v>T</v>
      </c>
      <c r="C908">
        <f>_xll.BDP("912827QR Govt","CPN")</f>
        <v>12.375</v>
      </c>
      <c r="D908" t="str">
        <f>_xll.BDP("912827QR Govt","YLD_YTM_BID")</f>
        <v>#N/A N/A</v>
      </c>
      <c r="E908" t="str">
        <f>_xll.BDP("912827QR Govt","MATURITY")</f>
        <v>4/15/1991</v>
      </c>
      <c r="F908" t="str">
        <f>_xll.BDP("912827QR Govt","MTY_TYP")</f>
        <v>NORMAL</v>
      </c>
      <c r="G908" t="str">
        <f>_xll.BDP("912827QR Govt","CRNCY")</f>
        <v>USD</v>
      </c>
      <c r="H908" t="str">
        <f>_xll.BDP("912827QR Govt","COUNTRY_FULL_NAME")</f>
        <v>UNITED STATES</v>
      </c>
      <c r="I908" t="str">
        <f>_xll.BDP("912827QR Govt","FIRST_CPN_DT")</f>
        <v>10/15/1984</v>
      </c>
      <c r="J908" t="str">
        <f>_xll.BDP("912827QR Govt","COUPON_FREQUENCY_DESCRIPTION")</f>
        <v>S/A</v>
      </c>
      <c r="K908" t="str">
        <f>_xll.BDP("912827QR Govt","CPN_TYP")</f>
        <v>FIXED</v>
      </c>
      <c r="L908" t="str">
        <f>_xll.BDP("912827QR Govt","ID_ISIN")</f>
        <v>US912827QR65</v>
      </c>
      <c r="N908">
        <v>0</v>
      </c>
      <c r="O908" t="str">
        <f>_xll.BDP("912827QR Govt","ISSUE_DT")</f>
        <v>4/4/1984</v>
      </c>
      <c r="P908" t="str">
        <f>_xll.BDP("912827QR Govt","SECURITY_NAME")</f>
        <v>T 12 3/8 04/15/91</v>
      </c>
      <c r="Q908" t="str">
        <f>_xll.BDP("912827QR Govt","DAY_CNT_DES")</f>
        <v>ACT/ACT</v>
      </c>
      <c r="R908">
        <v>100</v>
      </c>
      <c r="S908" t="str">
        <f>_xll.BDP("912827QR Govt","ID_CUSIP")</f>
        <v>912827QR6</v>
      </c>
      <c r="T908" t="str">
        <f>_xll.BDP("912827QR Govt","IDX_RATIO")</f>
        <v>#N/A Field Not Applicable</v>
      </c>
    </row>
    <row r="909" spans="1:20" x14ac:dyDescent="0.25">
      <c r="A909" t="s">
        <v>14</v>
      </c>
      <c r="B909" t="str">
        <f>_xll.BDP("912827R8 Govt","TICKER")</f>
        <v>T</v>
      </c>
      <c r="C909">
        <f>_xll.BDP("912827R8 Govt","CPN")</f>
        <v>7.875</v>
      </c>
      <c r="D909" t="str">
        <f>_xll.BDP("912827R8 Govt","YLD_YTM_BID")</f>
        <v>#N/A N/A</v>
      </c>
      <c r="E909" t="str">
        <f>_xll.BDP("912827R8 Govt","MATURITY")</f>
        <v>11/15/2004</v>
      </c>
      <c r="F909" t="str">
        <f>_xll.BDP("912827R8 Govt","MTY_TYP")</f>
        <v>NORMAL</v>
      </c>
      <c r="G909" t="str">
        <f>_xll.BDP("912827R8 Govt","CRNCY")</f>
        <v>USD</v>
      </c>
      <c r="H909" t="str">
        <f>_xll.BDP("912827R8 Govt","COUNTRY_FULL_NAME")</f>
        <v>UNITED STATES</v>
      </c>
      <c r="I909" t="str">
        <f>_xll.BDP("912827R8 Govt","FIRST_CPN_DT")</f>
        <v>5/15/1995</v>
      </c>
      <c r="J909" t="str">
        <f>_xll.BDP("912827R8 Govt","COUPON_FREQUENCY_DESCRIPTION")</f>
        <v>S/A</v>
      </c>
      <c r="K909" t="str">
        <f>_xll.BDP("912827R8 Govt","CPN_TYP")</f>
        <v>FIXED</v>
      </c>
      <c r="L909" t="str">
        <f>_xll.BDP("912827R8 Govt","ID_ISIN")</f>
        <v>US912827R871</v>
      </c>
      <c r="M909">
        <v>14374000000</v>
      </c>
      <c r="N909">
        <v>0</v>
      </c>
      <c r="O909" t="str">
        <f>_xll.BDP("912827R8 Govt","ISSUE_DT")</f>
        <v>11/15/1994</v>
      </c>
      <c r="P909" t="str">
        <f>_xll.BDP("912827R8 Govt","SECURITY_NAME")</f>
        <v>T 7 7/8 11/15/04</v>
      </c>
      <c r="Q909" t="str">
        <f>_xll.BDP("912827R8 Govt","DAY_CNT_DES")</f>
        <v>ACT/ACT</v>
      </c>
      <c r="R909">
        <v>100</v>
      </c>
      <c r="S909" t="str">
        <f>_xll.BDP("912827R8 Govt","ID_CUSIP")</f>
        <v>912827R87</v>
      </c>
      <c r="T909" t="str">
        <f>_xll.BDP("912827R8 Govt","IDX_RATIO")</f>
        <v>#N/A Field Not Applicable</v>
      </c>
    </row>
    <row r="910" spans="1:20" x14ac:dyDescent="0.25">
      <c r="A910" t="s">
        <v>14</v>
      </c>
      <c r="B910" t="str">
        <f>_xll.BDP("912827RD Govt","TICKER")</f>
        <v>T</v>
      </c>
      <c r="C910">
        <f>_xll.BDP("912827RD Govt","CPN")</f>
        <v>12.375</v>
      </c>
      <c r="D910" t="str">
        <f>_xll.BDP("912827RD Govt","YLD_YTM_BID")</f>
        <v>#N/A N/A</v>
      </c>
      <c r="E910" t="str">
        <f>_xll.BDP("912827RD Govt","MATURITY")</f>
        <v>8/31/1986</v>
      </c>
      <c r="F910" t="str">
        <f>_xll.BDP("912827RD Govt","MTY_TYP")</f>
        <v>NORMAL</v>
      </c>
      <c r="G910" t="str">
        <f>_xll.BDP("912827RD Govt","CRNCY")</f>
        <v>USD</v>
      </c>
      <c r="H910" t="str">
        <f>_xll.BDP("912827RD Govt","COUNTRY_FULL_NAME")</f>
        <v>UNITED STATES</v>
      </c>
      <c r="I910" t="str">
        <f>_xll.BDP("912827RD Govt","FIRST_CPN_DT")</f>
        <v>2/28/1985</v>
      </c>
      <c r="J910" t="str">
        <f>_xll.BDP("912827RD Govt","COUPON_FREQUENCY_DESCRIPTION")</f>
        <v>S/A</v>
      </c>
      <c r="K910" t="str">
        <f>_xll.BDP("912827RD Govt","CPN_TYP")</f>
        <v>FIXED</v>
      </c>
      <c r="L910" t="str">
        <f>_xll.BDP("912827RD Govt","ID_ISIN")</f>
        <v>US912827RD60</v>
      </c>
      <c r="N910">
        <v>0</v>
      </c>
      <c r="O910" t="str">
        <f>_xll.BDP("912827RD Govt","ISSUE_DT")</f>
        <v>8/31/1984</v>
      </c>
      <c r="P910" t="str">
        <f>_xll.BDP("912827RD Govt","SECURITY_NAME")</f>
        <v>T 12 3/8 08/31/86</v>
      </c>
      <c r="Q910" t="str">
        <f>_xll.BDP("912827RD Govt","DAY_CNT_DES")</f>
        <v>ACT/ACT</v>
      </c>
      <c r="R910">
        <v>100</v>
      </c>
      <c r="S910" t="str">
        <f>_xll.BDP("912827RD Govt","ID_CUSIP")</f>
        <v>912827RD6</v>
      </c>
      <c r="T910" t="str">
        <f>_xll.BDP("912827RD Govt","IDX_RATIO")</f>
        <v>#N/A Field Not Applicable</v>
      </c>
    </row>
    <row r="911" spans="1:20" x14ac:dyDescent="0.25">
      <c r="A911" t="s">
        <v>14</v>
      </c>
      <c r="B911" t="str">
        <f>_xll.BDP("912827RK Govt","TICKER")</f>
        <v>T</v>
      </c>
      <c r="C911">
        <f>_xll.BDP("912827RK Govt","CPN")</f>
        <v>11.625</v>
      </c>
      <c r="D911" t="str">
        <f>_xll.BDP("912827RK Govt","YLD_YTM_BID")</f>
        <v>#N/A N/A</v>
      </c>
      <c r="E911" t="str">
        <f>_xll.BDP("912827RK Govt","MATURITY")</f>
        <v>10/31/1986</v>
      </c>
      <c r="F911" t="str">
        <f>_xll.BDP("912827RK Govt","MTY_TYP")</f>
        <v>NORMAL</v>
      </c>
      <c r="G911" t="str">
        <f>_xll.BDP("912827RK Govt","CRNCY")</f>
        <v>USD</v>
      </c>
      <c r="H911" t="str">
        <f>_xll.BDP("912827RK Govt","COUNTRY_FULL_NAME")</f>
        <v>UNITED STATES</v>
      </c>
      <c r="I911" t="str">
        <f>_xll.BDP("912827RK Govt","FIRST_CPN_DT")</f>
        <v>4/30/1985</v>
      </c>
      <c r="J911" t="str">
        <f>_xll.BDP("912827RK Govt","COUPON_FREQUENCY_DESCRIPTION")</f>
        <v>S/A</v>
      </c>
      <c r="K911" t="str">
        <f>_xll.BDP("912827RK Govt","CPN_TYP")</f>
        <v>FIXED</v>
      </c>
      <c r="L911" t="str">
        <f>_xll.BDP("912827RK Govt","ID_ISIN")</f>
        <v>US912827RK04</v>
      </c>
      <c r="N911">
        <v>0</v>
      </c>
      <c r="O911" t="str">
        <f>_xll.BDP("912827RK Govt","ISSUE_DT")</f>
        <v>10/31/1984</v>
      </c>
      <c r="P911" t="str">
        <f>_xll.BDP("912827RK Govt","SECURITY_NAME")</f>
        <v>T 11 5/8 10/31/86</v>
      </c>
      <c r="Q911" t="str">
        <f>_xll.BDP("912827RK Govt","DAY_CNT_DES")</f>
        <v>ACT/ACT</v>
      </c>
      <c r="R911">
        <v>100</v>
      </c>
      <c r="S911" t="str">
        <f>_xll.BDP("912827RK Govt","ID_CUSIP")</f>
        <v>912827RK0</v>
      </c>
      <c r="T911" t="str">
        <f>_xll.BDP("912827RK Govt","IDX_RATIO")</f>
        <v>#N/A Field Not Applicable</v>
      </c>
    </row>
    <row r="912" spans="1:20" x14ac:dyDescent="0.25">
      <c r="A912" t="s">
        <v>14</v>
      </c>
      <c r="B912" t="str">
        <f>_xll.BDP("912827RP Govt","TICKER")</f>
        <v>T</v>
      </c>
      <c r="C912">
        <f>_xll.BDP("912827RP Govt","CPN")</f>
        <v>11</v>
      </c>
      <c r="D912" t="str">
        <f>_xll.BDP("912827RP Govt","YLD_YTM_BID")</f>
        <v>#N/A N/A</v>
      </c>
      <c r="E912" t="str">
        <f>_xll.BDP("912827RP Govt","MATURITY")</f>
        <v>2/15/1990</v>
      </c>
      <c r="F912" t="str">
        <f>_xll.BDP("912827RP Govt","MTY_TYP")</f>
        <v>NORMAL</v>
      </c>
      <c r="G912" t="str">
        <f>_xll.BDP("912827RP Govt","CRNCY")</f>
        <v>USD</v>
      </c>
      <c r="H912" t="str">
        <f>_xll.BDP("912827RP Govt","COUNTRY_FULL_NAME")</f>
        <v>UNITED STATES</v>
      </c>
      <c r="I912" t="str">
        <f>_xll.BDP("912827RP Govt","FIRST_CPN_DT")</f>
        <v>8/15/1985</v>
      </c>
      <c r="J912" t="str">
        <f>_xll.BDP("912827RP Govt","COUPON_FREQUENCY_DESCRIPTION")</f>
        <v>S/A</v>
      </c>
      <c r="K912" t="str">
        <f>_xll.BDP("912827RP Govt","CPN_TYP")</f>
        <v>FIXED</v>
      </c>
      <c r="L912" t="str">
        <f>_xll.BDP("912827RP Govt","ID_ISIN")</f>
        <v>US912827RP90</v>
      </c>
      <c r="N912">
        <v>0</v>
      </c>
      <c r="O912" t="str">
        <f>_xll.BDP("912827RP Govt","ISSUE_DT")</f>
        <v>12/3/1984</v>
      </c>
      <c r="P912" t="str">
        <f>_xll.BDP("912827RP Govt","SECURITY_NAME")</f>
        <v>T 11 02/15/90</v>
      </c>
      <c r="Q912" t="str">
        <f>_xll.BDP("912827RP Govt","DAY_CNT_DES")</f>
        <v>ACT/ACT</v>
      </c>
      <c r="R912">
        <v>100</v>
      </c>
      <c r="S912" t="str">
        <f>_xll.BDP("912827RP Govt","ID_CUSIP")</f>
        <v>912827RP9</v>
      </c>
      <c r="T912" t="str">
        <f>_xll.BDP("912827RP Govt","IDX_RATIO")</f>
        <v>#N/A Field Not Applicable</v>
      </c>
    </row>
    <row r="913" spans="1:20" x14ac:dyDescent="0.25">
      <c r="A913" t="s">
        <v>14</v>
      </c>
      <c r="B913" t="str">
        <f>_xll.BDP("912827RS Govt","TICKER")</f>
        <v>T</v>
      </c>
      <c r="C913">
        <f>_xll.BDP("912827RS Govt","CPN")</f>
        <v>10.625</v>
      </c>
      <c r="D913" t="str">
        <f>_xll.BDP("912827RS Govt","YLD_YTM_BID")</f>
        <v>#N/A N/A</v>
      </c>
      <c r="E913" t="str">
        <f>_xll.BDP("912827RS Govt","MATURITY")</f>
        <v>12/31/1988</v>
      </c>
      <c r="F913" t="str">
        <f>_xll.BDP("912827RS Govt","MTY_TYP")</f>
        <v>NORMAL</v>
      </c>
      <c r="G913" t="str">
        <f>_xll.BDP("912827RS Govt","CRNCY")</f>
        <v>USD</v>
      </c>
      <c r="H913" t="str">
        <f>_xll.BDP("912827RS Govt","COUNTRY_FULL_NAME")</f>
        <v>UNITED STATES</v>
      </c>
      <c r="I913" t="str">
        <f>_xll.BDP("912827RS Govt","FIRST_CPN_DT")</f>
        <v>6/30/1985</v>
      </c>
      <c r="J913" t="str">
        <f>_xll.BDP("912827RS Govt","COUPON_FREQUENCY_DESCRIPTION")</f>
        <v>S/A</v>
      </c>
      <c r="K913" t="str">
        <f>_xll.BDP("912827RS Govt","CPN_TYP")</f>
        <v>FIXED</v>
      </c>
      <c r="L913" t="str">
        <f>_xll.BDP("912827RS Govt","ID_ISIN")</f>
        <v>US912827RS30</v>
      </c>
      <c r="N913">
        <v>0</v>
      </c>
      <c r="O913" t="str">
        <f>_xll.BDP("912827RS Govt","ISSUE_DT")</f>
        <v>12/31/1984</v>
      </c>
      <c r="P913" t="str">
        <f>_xll.BDP("912827RS Govt","SECURITY_NAME")</f>
        <v>T 10 5/8 12/31/88</v>
      </c>
      <c r="Q913" t="str">
        <f>_xll.BDP("912827RS Govt","DAY_CNT_DES")</f>
        <v>ACT/ACT</v>
      </c>
      <c r="R913">
        <v>100</v>
      </c>
      <c r="S913" t="str">
        <f>_xll.BDP("912827RS Govt","ID_CUSIP")</f>
        <v>912827RS3</v>
      </c>
      <c r="T913" t="str">
        <f>_xll.BDP("912827RS Govt","IDX_RATIO")</f>
        <v>#N/A Field Not Applicable</v>
      </c>
    </row>
    <row r="914" spans="1:20" x14ac:dyDescent="0.25">
      <c r="A914" t="s">
        <v>14</v>
      </c>
      <c r="B914" t="str">
        <f>_xll.BDP("912827RU Govt","TICKER")</f>
        <v>T</v>
      </c>
      <c r="C914">
        <f>_xll.BDP("912827RU Govt","CPN")</f>
        <v>9.75</v>
      </c>
      <c r="D914" t="str">
        <f>_xll.BDP("912827RU Govt","YLD_YTM_BID")</f>
        <v>#N/A N/A</v>
      </c>
      <c r="E914" t="str">
        <f>_xll.BDP("912827RU Govt","MATURITY")</f>
        <v>1/31/1987</v>
      </c>
      <c r="F914" t="str">
        <f>_xll.BDP("912827RU Govt","MTY_TYP")</f>
        <v>NORMAL</v>
      </c>
      <c r="G914" t="str">
        <f>_xll.BDP("912827RU Govt","CRNCY")</f>
        <v>USD</v>
      </c>
      <c r="H914" t="str">
        <f>_xll.BDP("912827RU Govt","COUNTRY_FULL_NAME")</f>
        <v>UNITED STATES</v>
      </c>
      <c r="I914" t="str">
        <f>_xll.BDP("912827RU Govt","FIRST_CPN_DT")</f>
        <v>7/31/1985</v>
      </c>
      <c r="J914" t="str">
        <f>_xll.BDP("912827RU Govt","COUPON_FREQUENCY_DESCRIPTION")</f>
        <v>S/A</v>
      </c>
      <c r="K914" t="str">
        <f>_xll.BDP("912827RU Govt","CPN_TYP")</f>
        <v>FIXED</v>
      </c>
      <c r="L914" t="str">
        <f>_xll.BDP("912827RU Govt","ID_ISIN")</f>
        <v>US912827RU85</v>
      </c>
      <c r="N914">
        <v>0</v>
      </c>
      <c r="O914" t="str">
        <f>_xll.BDP("912827RU Govt","ISSUE_DT")</f>
        <v>1/31/1985</v>
      </c>
      <c r="P914" t="str">
        <f>_xll.BDP("912827RU Govt","SECURITY_NAME")</f>
        <v>T 9 3/4 01/31/87</v>
      </c>
      <c r="Q914" t="str">
        <f>_xll.BDP("912827RU Govt","DAY_CNT_DES")</f>
        <v>ACT/ACT</v>
      </c>
      <c r="R914">
        <v>100</v>
      </c>
      <c r="S914" t="str">
        <f>_xll.BDP("912827RU Govt","ID_CUSIP")</f>
        <v>912827RU8</v>
      </c>
      <c r="T914" t="str">
        <f>_xll.BDP("912827RU Govt","IDX_RATIO")</f>
        <v>#N/A Field Not Applicable</v>
      </c>
    </row>
    <row r="915" spans="1:20" x14ac:dyDescent="0.25">
      <c r="A915" t="s">
        <v>14</v>
      </c>
      <c r="B915" t="str">
        <f>_xll.BDP("912827RX Govt","TICKER")</f>
        <v>T</v>
      </c>
      <c r="C915">
        <f>_xll.BDP("912827RX Govt","CPN")</f>
        <v>10</v>
      </c>
      <c r="D915" t="str">
        <f>_xll.BDP("912827RX Govt","YLD_YTM_BID")</f>
        <v>#N/A N/A</v>
      </c>
      <c r="E915" t="str">
        <f>_xll.BDP("912827RX Govt","MATURITY")</f>
        <v>2/28/1987</v>
      </c>
      <c r="F915" t="str">
        <f>_xll.BDP("912827RX Govt","MTY_TYP")</f>
        <v>NORMAL</v>
      </c>
      <c r="G915" t="str">
        <f>_xll.BDP("912827RX Govt","CRNCY")</f>
        <v>USD</v>
      </c>
      <c r="H915" t="str">
        <f>_xll.BDP("912827RX Govt","COUNTRY_FULL_NAME")</f>
        <v>UNITED STATES</v>
      </c>
      <c r="I915" t="str">
        <f>_xll.BDP("912827RX Govt","FIRST_CPN_DT")</f>
        <v>8/31/1985</v>
      </c>
      <c r="J915" t="str">
        <f>_xll.BDP("912827RX Govt","COUPON_FREQUENCY_DESCRIPTION")</f>
        <v>S/A</v>
      </c>
      <c r="K915" t="str">
        <f>_xll.BDP("912827RX Govt","CPN_TYP")</f>
        <v>FIXED</v>
      </c>
      <c r="L915" t="str">
        <f>_xll.BDP("912827RX Govt","ID_ISIN")</f>
        <v>US912827RX25</v>
      </c>
      <c r="N915">
        <v>0</v>
      </c>
      <c r="O915" t="str">
        <f>_xll.BDP("912827RX Govt","ISSUE_DT")</f>
        <v>2/28/1985</v>
      </c>
      <c r="P915" t="str">
        <f>_xll.BDP("912827RX Govt","SECURITY_NAME")</f>
        <v>T 10 02/28/87</v>
      </c>
      <c r="Q915" t="str">
        <f>_xll.BDP("912827RX Govt","DAY_CNT_DES")</f>
        <v>ACT/ACT</v>
      </c>
      <c r="R915">
        <v>100</v>
      </c>
      <c r="S915" t="str">
        <f>_xll.BDP("912827RX Govt","ID_CUSIP")</f>
        <v>912827RX2</v>
      </c>
      <c r="T915" t="str">
        <f>_xll.BDP("912827RX Govt","IDX_RATIO")</f>
        <v>#N/A Field Not Applicable</v>
      </c>
    </row>
    <row r="916" spans="1:20" x14ac:dyDescent="0.25">
      <c r="A916" t="s">
        <v>14</v>
      </c>
      <c r="B916" t="str">
        <f>_xll.BDP("912827SD Govt","TICKER")</f>
        <v>T</v>
      </c>
      <c r="C916">
        <f>_xll.BDP("912827SD Govt","CPN")</f>
        <v>10</v>
      </c>
      <c r="D916" t="str">
        <f>_xll.BDP("912827SD Govt","YLD_YTM_BID")</f>
        <v>#N/A N/A</v>
      </c>
      <c r="E916" t="str">
        <f>_xll.BDP("912827SD Govt","MATURITY")</f>
        <v>5/15/1988</v>
      </c>
      <c r="F916" t="str">
        <f>_xll.BDP("912827SD Govt","MTY_TYP")</f>
        <v>NORMAL</v>
      </c>
      <c r="G916" t="str">
        <f>_xll.BDP("912827SD Govt","CRNCY")</f>
        <v>USD</v>
      </c>
      <c r="H916" t="str">
        <f>_xll.BDP("912827SD Govt","COUNTRY_FULL_NAME")</f>
        <v>UNITED STATES</v>
      </c>
      <c r="I916" t="str">
        <f>_xll.BDP("912827SD Govt","FIRST_CPN_DT")</f>
        <v>11/15/1985</v>
      </c>
      <c r="J916" t="str">
        <f>_xll.BDP("912827SD Govt","COUPON_FREQUENCY_DESCRIPTION")</f>
        <v>S/A</v>
      </c>
      <c r="K916" t="str">
        <f>_xll.BDP("912827SD Govt","CPN_TYP")</f>
        <v>FIXED</v>
      </c>
      <c r="L916" t="str">
        <f>_xll.BDP("912827SD Govt","ID_ISIN")</f>
        <v>US912827SD51</v>
      </c>
      <c r="N916">
        <v>0</v>
      </c>
      <c r="O916" t="str">
        <f>_xll.BDP("912827SD Govt","ISSUE_DT")</f>
        <v>5/15/1985</v>
      </c>
      <c r="P916" t="str">
        <f>_xll.BDP("912827SD Govt","SECURITY_NAME")</f>
        <v>T 10 05/15/88</v>
      </c>
      <c r="Q916" t="str">
        <f>_xll.BDP("912827SD Govt","DAY_CNT_DES")</f>
        <v>ACT/ACT</v>
      </c>
      <c r="R916">
        <v>100</v>
      </c>
      <c r="S916" t="str">
        <f>_xll.BDP("912827SD Govt","ID_CUSIP")</f>
        <v>912827SD5</v>
      </c>
      <c r="T916" t="str">
        <f>_xll.BDP("912827SD Govt","IDX_RATIO")</f>
        <v>#N/A Field Not Applicable</v>
      </c>
    </row>
    <row r="917" spans="1:20" x14ac:dyDescent="0.25">
      <c r="A917" t="s">
        <v>14</v>
      </c>
      <c r="B917" t="str">
        <f>_xll.BDP("912827SL Govt","TICKER")</f>
        <v>T</v>
      </c>
      <c r="C917">
        <f>_xll.BDP("912827SL Govt","CPN")</f>
        <v>10.375</v>
      </c>
      <c r="D917" t="str">
        <f>_xll.BDP("912827SL Govt","YLD_YTM_BID")</f>
        <v>#N/A N/A</v>
      </c>
      <c r="E917" t="str">
        <f>_xll.BDP("912827SL Govt","MATURITY")</f>
        <v>7/15/1992</v>
      </c>
      <c r="F917" t="str">
        <f>_xll.BDP("912827SL Govt","MTY_TYP")</f>
        <v>NORMAL</v>
      </c>
      <c r="G917" t="str">
        <f>_xll.BDP("912827SL Govt","CRNCY")</f>
        <v>USD</v>
      </c>
      <c r="H917" t="str">
        <f>_xll.BDP("912827SL Govt","COUNTRY_FULL_NAME")</f>
        <v>UNITED STATES</v>
      </c>
      <c r="I917" t="str">
        <f>_xll.BDP("912827SL Govt","FIRST_CPN_DT")</f>
        <v>1/15/1986</v>
      </c>
      <c r="J917" t="str">
        <f>_xll.BDP("912827SL Govt","COUPON_FREQUENCY_DESCRIPTION")</f>
        <v>S/A</v>
      </c>
      <c r="K917" t="str">
        <f>_xll.BDP("912827SL Govt","CPN_TYP")</f>
        <v>FIXED</v>
      </c>
      <c r="L917" t="str">
        <f>_xll.BDP("912827SL Govt","ID_ISIN")</f>
        <v>US912827SL77</v>
      </c>
      <c r="N917">
        <v>0</v>
      </c>
      <c r="O917" t="str">
        <f>_xll.BDP("912827SL Govt","ISSUE_DT")</f>
        <v>7/2/1985</v>
      </c>
      <c r="P917" t="str">
        <f>_xll.BDP("912827SL Govt","SECURITY_NAME")</f>
        <v>T 10 3/8 07/15/92</v>
      </c>
      <c r="Q917" t="str">
        <f>_xll.BDP("912827SL Govt","DAY_CNT_DES")</f>
        <v>ACT/ACT</v>
      </c>
      <c r="R917">
        <v>100</v>
      </c>
      <c r="S917" t="str">
        <f>_xll.BDP("912827SL Govt","ID_CUSIP")</f>
        <v>912827SL7</v>
      </c>
      <c r="T917" t="str">
        <f>_xll.BDP("912827SL Govt","IDX_RATIO")</f>
        <v>#N/A Field Not Applicable</v>
      </c>
    </row>
    <row r="918" spans="1:20" x14ac:dyDescent="0.25">
      <c r="A918" t="s">
        <v>14</v>
      </c>
      <c r="B918" t="str">
        <f>_xll.BDP("912827SV Govt","TICKER")</f>
        <v>T</v>
      </c>
      <c r="C918">
        <f>_xll.BDP("912827SV Govt","CPN")</f>
        <v>9.75</v>
      </c>
      <c r="D918" t="str">
        <f>_xll.BDP("912827SV Govt","YLD_YTM_BID")</f>
        <v>#N/A N/A</v>
      </c>
      <c r="E918" t="str">
        <f>_xll.BDP("912827SV Govt","MATURITY")</f>
        <v>10/15/1992</v>
      </c>
      <c r="F918" t="str">
        <f>_xll.BDP("912827SV Govt","MTY_TYP")</f>
        <v>NORMAL</v>
      </c>
      <c r="G918" t="str">
        <f>_xll.BDP("912827SV Govt","CRNCY")</f>
        <v>USD</v>
      </c>
      <c r="H918" t="str">
        <f>_xll.BDP("912827SV Govt","COUNTRY_FULL_NAME")</f>
        <v>UNITED STATES</v>
      </c>
      <c r="I918" t="str">
        <f>_xll.BDP("912827SV Govt","FIRST_CPN_DT")</f>
        <v>4/15/1986</v>
      </c>
      <c r="J918" t="str">
        <f>_xll.BDP("912827SV Govt","COUPON_FREQUENCY_DESCRIPTION")</f>
        <v>S/A</v>
      </c>
      <c r="K918" t="str">
        <f>_xll.BDP("912827SV Govt","CPN_TYP")</f>
        <v>FIXED</v>
      </c>
      <c r="L918" t="str">
        <f>_xll.BDP("912827SV Govt","ID_ISIN")</f>
        <v>US912827SV59</v>
      </c>
      <c r="N918">
        <v>0</v>
      </c>
      <c r="O918" t="str">
        <f>_xll.BDP("912827SV Govt","ISSUE_DT")</f>
        <v>11/1/1985</v>
      </c>
      <c r="P918" t="str">
        <f>_xll.BDP("912827SV Govt","SECURITY_NAME")</f>
        <v>T 9 3/4 10/15/92</v>
      </c>
      <c r="Q918" t="str">
        <f>_xll.BDP("912827SV Govt","DAY_CNT_DES")</f>
        <v>ACT/ACT</v>
      </c>
      <c r="R918">
        <v>100</v>
      </c>
      <c r="S918" t="str">
        <f>_xll.BDP("912827SV Govt","ID_CUSIP")</f>
        <v>912827SV5</v>
      </c>
      <c r="T918" t="str">
        <f>_xll.BDP("912827SV Govt","IDX_RATIO")</f>
        <v>#N/A Field Not Applicable</v>
      </c>
    </row>
    <row r="919" spans="1:20" x14ac:dyDescent="0.25">
      <c r="A919" t="s">
        <v>14</v>
      </c>
      <c r="B919" t="str">
        <f>_xll.BDP("912827T5 Govt","TICKER")</f>
        <v>T</v>
      </c>
      <c r="C919">
        <f>_xll.BDP("912827T5 Govt","CPN")</f>
        <v>6.5</v>
      </c>
      <c r="D919" t="str">
        <f>_xll.BDP("912827T5 Govt","YLD_YTM_BID")</f>
        <v>#N/A N/A</v>
      </c>
      <c r="E919" t="str">
        <f>_xll.BDP("912827T5 Govt","MATURITY")</f>
        <v>4/30/1997</v>
      </c>
      <c r="F919" t="str">
        <f>_xll.BDP("912827T5 Govt","MTY_TYP")</f>
        <v>NORMAL</v>
      </c>
      <c r="G919" t="str">
        <f>_xll.BDP("912827T5 Govt","CRNCY")</f>
        <v>USD</v>
      </c>
      <c r="H919" t="str">
        <f>_xll.BDP("912827T5 Govt","COUNTRY_FULL_NAME")</f>
        <v>UNITED STATES</v>
      </c>
      <c r="I919" t="str">
        <f>_xll.BDP("912827T5 Govt","FIRST_CPN_DT")</f>
        <v>10/31/1995</v>
      </c>
      <c r="J919" t="str">
        <f>_xll.BDP("912827T5 Govt","COUPON_FREQUENCY_DESCRIPTION")</f>
        <v>S/A</v>
      </c>
      <c r="K919" t="str">
        <f>_xll.BDP("912827T5 Govt","CPN_TYP")</f>
        <v>FIXED</v>
      </c>
      <c r="L919" t="str">
        <f>_xll.BDP("912827T5 Govt","ID_ISIN")</f>
        <v>US912827T513</v>
      </c>
      <c r="N919">
        <v>0</v>
      </c>
      <c r="O919" t="str">
        <f>_xll.BDP("912827T5 Govt","ISSUE_DT")</f>
        <v>5/1/1995</v>
      </c>
      <c r="P919" t="str">
        <f>_xll.BDP("912827T5 Govt","SECURITY_NAME")</f>
        <v>T 6 1/2 04/30/97</v>
      </c>
      <c r="Q919" t="str">
        <f>_xll.BDP("912827T5 Govt","DAY_CNT_DES")</f>
        <v>ACT/ACT</v>
      </c>
      <c r="R919">
        <v>100</v>
      </c>
      <c r="S919" t="str">
        <f>_xll.BDP("912827T5 Govt","ID_CUSIP")</f>
        <v>912827T51</v>
      </c>
      <c r="T919" t="str">
        <f>_xll.BDP("912827T5 Govt","IDX_RATIO")</f>
        <v>#N/A Field Not Applicable</v>
      </c>
    </row>
    <row r="920" spans="1:20" x14ac:dyDescent="0.25">
      <c r="A920" t="s">
        <v>14</v>
      </c>
      <c r="B920" t="str">
        <f>_xll.BDP("912827TZ Govt","TICKER")</f>
        <v>T</v>
      </c>
      <c r="C920">
        <f>_xll.BDP("912827TZ Govt","CPN")</f>
        <v>6.5</v>
      </c>
      <c r="D920" t="str">
        <f>_xll.BDP("912827TZ Govt","YLD_YTM_BID")</f>
        <v>#N/A N/A</v>
      </c>
      <c r="E920" t="str">
        <f>_xll.BDP("912827TZ Govt","MATURITY")</f>
        <v>11/15/1991</v>
      </c>
      <c r="F920" t="str">
        <f>_xll.BDP("912827TZ Govt","MTY_TYP")</f>
        <v>NORMAL</v>
      </c>
      <c r="G920" t="str">
        <f>_xll.BDP("912827TZ Govt","CRNCY")</f>
        <v>USD</v>
      </c>
      <c r="H920" t="str">
        <f>_xll.BDP("912827TZ Govt","COUNTRY_FULL_NAME")</f>
        <v>UNITED STATES</v>
      </c>
      <c r="I920" t="str">
        <f>_xll.BDP("912827TZ Govt","FIRST_CPN_DT")</f>
        <v>5/15/1987</v>
      </c>
      <c r="J920" t="str">
        <f>_xll.BDP("912827TZ Govt","COUPON_FREQUENCY_DESCRIPTION")</f>
        <v>S/A</v>
      </c>
      <c r="K920" t="str">
        <f>_xll.BDP("912827TZ Govt","CPN_TYP")</f>
        <v>FIXED</v>
      </c>
      <c r="L920" t="str">
        <f>_xll.BDP("912827TZ Govt","ID_ISIN")</f>
        <v>US912827TZ54</v>
      </c>
      <c r="N920">
        <v>0</v>
      </c>
      <c r="O920" t="str">
        <f>_xll.BDP("912827TZ Govt","ISSUE_DT")</f>
        <v>9/3/1986</v>
      </c>
      <c r="P920" t="str">
        <f>_xll.BDP("912827TZ Govt","SECURITY_NAME")</f>
        <v>T 6 1/2 11/15/91</v>
      </c>
      <c r="Q920" t="str">
        <f>_xll.BDP("912827TZ Govt","DAY_CNT_DES")</f>
        <v>ACT/ACT</v>
      </c>
      <c r="R920">
        <v>100</v>
      </c>
      <c r="S920" t="str">
        <f>_xll.BDP("912827TZ Govt","ID_CUSIP")</f>
        <v>912827TZ5</v>
      </c>
      <c r="T920" t="str">
        <f>_xll.BDP("912827TZ Govt","IDX_RATIO")</f>
        <v>#N/A Field Not Applicable</v>
      </c>
    </row>
    <row r="921" spans="1:20" x14ac:dyDescent="0.25">
      <c r="A921" t="s">
        <v>14</v>
      </c>
      <c r="B921" t="str">
        <f>_xll.BDP("912827U3 Govt","TICKER")</f>
        <v>T</v>
      </c>
      <c r="C921">
        <f>_xll.BDP("912827U3 Govt","CPN")</f>
        <v>5.625</v>
      </c>
      <c r="D921" t="str">
        <f>_xll.BDP("912827U3 Govt","YLD_YTM_BID")</f>
        <v>#N/A N/A</v>
      </c>
      <c r="E921" t="str">
        <f>_xll.BDP("912827U3 Govt","MATURITY")</f>
        <v>6/30/1997</v>
      </c>
      <c r="F921" t="str">
        <f>_xll.BDP("912827U3 Govt","MTY_TYP")</f>
        <v>NORMAL</v>
      </c>
      <c r="G921" t="str">
        <f>_xll.BDP("912827U3 Govt","CRNCY")</f>
        <v>USD</v>
      </c>
      <c r="H921" t="str">
        <f>_xll.BDP("912827U3 Govt","COUNTRY_FULL_NAME")</f>
        <v>UNITED STATES</v>
      </c>
      <c r="I921" t="str">
        <f>_xll.BDP("912827U3 Govt","FIRST_CPN_DT")</f>
        <v>12/31/1995</v>
      </c>
      <c r="J921" t="str">
        <f>_xll.BDP("912827U3 Govt","COUPON_FREQUENCY_DESCRIPTION")</f>
        <v>S/A</v>
      </c>
      <c r="K921" t="str">
        <f>_xll.BDP("912827U3 Govt","CPN_TYP")</f>
        <v>FIXED</v>
      </c>
      <c r="L921" t="str">
        <f>_xll.BDP("912827U3 Govt","ID_ISIN")</f>
        <v>US912827U347</v>
      </c>
      <c r="N921">
        <v>0</v>
      </c>
      <c r="O921" t="str">
        <f>_xll.BDP("912827U3 Govt","ISSUE_DT")</f>
        <v>6/30/1995</v>
      </c>
      <c r="P921" t="str">
        <f>_xll.BDP("912827U3 Govt","SECURITY_NAME")</f>
        <v>T 5 5/8 06/30/97</v>
      </c>
      <c r="Q921" t="str">
        <f>_xll.BDP("912827U3 Govt","DAY_CNT_DES")</f>
        <v>ACT/ACT</v>
      </c>
      <c r="R921">
        <v>100</v>
      </c>
      <c r="S921" t="str">
        <f>_xll.BDP("912827U3 Govt","ID_CUSIP")</f>
        <v>912827U34</v>
      </c>
      <c r="T921" t="str">
        <f>_xll.BDP("912827U3 Govt","IDX_RATIO")</f>
        <v>#N/A Field Not Applicable</v>
      </c>
    </row>
    <row r="922" spans="1:20" x14ac:dyDescent="0.25">
      <c r="A922" t="s">
        <v>14</v>
      </c>
      <c r="B922" t="str">
        <f>_xll.BDP("912827UV Govt","TICKER")</f>
        <v>T</v>
      </c>
      <c r="C922">
        <f>_xll.BDP("912827UV Govt","CPN")</f>
        <v>7.875</v>
      </c>
      <c r="D922" t="str">
        <f>_xll.BDP("912827UV Govt","YLD_YTM_BID")</f>
        <v>#N/A N/A</v>
      </c>
      <c r="E922" t="str">
        <f>_xll.BDP("912827UV Govt","MATURITY")</f>
        <v>5/15/1990</v>
      </c>
      <c r="F922" t="str">
        <f>_xll.BDP("912827UV Govt","MTY_TYP")</f>
        <v>NORMAL</v>
      </c>
      <c r="G922" t="str">
        <f>_xll.BDP("912827UV Govt","CRNCY")</f>
        <v>USD</v>
      </c>
      <c r="H922" t="str">
        <f>_xll.BDP("912827UV Govt","COUNTRY_FULL_NAME")</f>
        <v>UNITED STATES</v>
      </c>
      <c r="I922" t="str">
        <f>_xll.BDP("912827UV Govt","FIRST_CPN_DT")</f>
        <v>11/15/1987</v>
      </c>
      <c r="J922" t="str">
        <f>_xll.BDP("912827UV Govt","COUPON_FREQUENCY_DESCRIPTION")</f>
        <v>S/A</v>
      </c>
      <c r="K922" t="str">
        <f>_xll.BDP("912827UV Govt","CPN_TYP")</f>
        <v>FIXED</v>
      </c>
      <c r="L922" t="str">
        <f>_xll.BDP("912827UV Govt","ID_ISIN")</f>
        <v>US912827UV22</v>
      </c>
      <c r="N922">
        <v>0</v>
      </c>
      <c r="O922" t="str">
        <f>_xll.BDP("912827UV Govt","ISSUE_DT")</f>
        <v>5/15/1987</v>
      </c>
      <c r="P922" t="str">
        <f>_xll.BDP("912827UV Govt","SECURITY_NAME")</f>
        <v>T 7 7/8 05/15/90</v>
      </c>
      <c r="Q922" t="str">
        <f>_xll.BDP("912827UV Govt","DAY_CNT_DES")</f>
        <v>ACT/ACT</v>
      </c>
      <c r="R922">
        <v>100</v>
      </c>
      <c r="S922" t="str">
        <f>_xll.BDP("912827UV Govt","ID_CUSIP")</f>
        <v>912827UV2</v>
      </c>
      <c r="T922" t="str">
        <f>_xll.BDP("912827UV Govt","IDX_RATIO")</f>
        <v>#N/A Field Not Applicable</v>
      </c>
    </row>
    <row r="923" spans="1:20" x14ac:dyDescent="0.25">
      <c r="A923" t="s">
        <v>14</v>
      </c>
      <c r="B923" t="str">
        <f>_xll.BDP("912827V9 Govt","TICKER")</f>
        <v>T</v>
      </c>
      <c r="C923">
        <f>_xll.BDP("912827V9 Govt","CPN")</f>
        <v>5.375</v>
      </c>
      <c r="D923" t="str">
        <f>_xll.BDP("912827V9 Govt","YLD_YTM_BID")</f>
        <v>#N/A N/A</v>
      </c>
      <c r="E923" t="str">
        <f>_xll.BDP("912827V9 Govt","MATURITY")</f>
        <v>11/30/1997</v>
      </c>
      <c r="F923" t="str">
        <f>_xll.BDP("912827V9 Govt","MTY_TYP")</f>
        <v>NORMAL</v>
      </c>
      <c r="G923" t="str">
        <f>_xll.BDP("912827V9 Govt","CRNCY")</f>
        <v>USD</v>
      </c>
      <c r="H923" t="str">
        <f>_xll.BDP("912827V9 Govt","COUNTRY_FULL_NAME")</f>
        <v>UNITED STATES</v>
      </c>
      <c r="I923" t="str">
        <f>_xll.BDP("912827V9 Govt","FIRST_CPN_DT")</f>
        <v>5/31/1996</v>
      </c>
      <c r="J923" t="str">
        <f>_xll.BDP("912827V9 Govt","COUPON_FREQUENCY_DESCRIPTION")</f>
        <v>S/A</v>
      </c>
      <c r="K923" t="str">
        <f>_xll.BDP("912827V9 Govt","CPN_TYP")</f>
        <v>FIXED</v>
      </c>
      <c r="L923" t="str">
        <f>_xll.BDP("912827V9 Govt","ID_ISIN")</f>
        <v>US912827V907</v>
      </c>
      <c r="M923">
        <v>18688000000</v>
      </c>
      <c r="N923">
        <v>0</v>
      </c>
      <c r="O923" t="str">
        <f>_xll.BDP("912827V9 Govt","ISSUE_DT")</f>
        <v>11/30/1995</v>
      </c>
      <c r="P923" t="str">
        <f>_xll.BDP("912827V9 Govt","SECURITY_NAME")</f>
        <v>T 5 3/8 11/30/97</v>
      </c>
      <c r="Q923" t="str">
        <f>_xll.BDP("912827V9 Govt","DAY_CNT_DES")</f>
        <v>ACT/ACT</v>
      </c>
      <c r="R923">
        <v>100</v>
      </c>
      <c r="S923" t="str">
        <f>_xll.BDP("912827V9 Govt","ID_CUSIP")</f>
        <v>912827V90</v>
      </c>
      <c r="T923" t="str">
        <f>_xll.BDP("912827V9 Govt","IDX_RATIO")</f>
        <v>#N/A Field Not Applicable</v>
      </c>
    </row>
    <row r="924" spans="1:20" x14ac:dyDescent="0.25">
      <c r="A924" t="s">
        <v>14</v>
      </c>
      <c r="B924" t="str">
        <f>_xll.BDP("912827VH Govt","TICKER")</f>
        <v>T</v>
      </c>
      <c r="C924">
        <f>_xll.BDP("912827VH Govt","CPN")</f>
        <v>8.5</v>
      </c>
      <c r="D924" t="str">
        <f>_xll.BDP("912827VH Govt","YLD_YTM_BID")</f>
        <v>#N/A N/A</v>
      </c>
      <c r="E924" t="str">
        <f>_xll.BDP("912827VH Govt","MATURITY")</f>
        <v>9/30/1989</v>
      </c>
      <c r="F924" t="str">
        <f>_xll.BDP("912827VH Govt","MTY_TYP")</f>
        <v>NORMAL</v>
      </c>
      <c r="G924" t="str">
        <f>_xll.BDP("912827VH Govt","CRNCY")</f>
        <v>USD</v>
      </c>
      <c r="H924" t="str">
        <f>_xll.BDP("912827VH Govt","COUNTRY_FULL_NAME")</f>
        <v>UNITED STATES</v>
      </c>
      <c r="I924" t="str">
        <f>_xll.BDP("912827VH Govt","FIRST_CPN_DT")</f>
        <v>3/31/1988</v>
      </c>
      <c r="J924" t="str">
        <f>_xll.BDP("912827VH Govt","COUPON_FREQUENCY_DESCRIPTION")</f>
        <v>S/A</v>
      </c>
      <c r="K924" t="str">
        <f>_xll.BDP("912827VH Govt","CPN_TYP")</f>
        <v>FIXED</v>
      </c>
      <c r="L924" t="str">
        <f>_xll.BDP("912827VH Govt","ID_ISIN")</f>
        <v>US912827VH29</v>
      </c>
      <c r="N924">
        <v>0</v>
      </c>
      <c r="O924" t="str">
        <f>_xll.BDP("912827VH Govt","ISSUE_DT")</f>
        <v>9/30/1987</v>
      </c>
      <c r="P924" t="str">
        <f>_xll.BDP("912827VH Govt","SECURITY_NAME")</f>
        <v>T 8 1/2 09/30/89</v>
      </c>
      <c r="Q924" t="str">
        <f>_xll.BDP("912827VH Govt","DAY_CNT_DES")</f>
        <v>ACT/ACT</v>
      </c>
      <c r="R924">
        <v>100</v>
      </c>
      <c r="S924" t="str">
        <f>_xll.BDP("912827VH Govt","ID_CUSIP")</f>
        <v>912827VH2</v>
      </c>
      <c r="T924" t="str">
        <f>_xll.BDP("912827VH Govt","IDX_RATIO")</f>
        <v>#N/A Field Not Applicable</v>
      </c>
    </row>
    <row r="925" spans="1:20" x14ac:dyDescent="0.25">
      <c r="A925" t="s">
        <v>14</v>
      </c>
      <c r="B925" t="str">
        <f>_xll.BDP("912827VN Govt","TICKER")</f>
        <v>T</v>
      </c>
      <c r="C925">
        <f>_xll.BDP("912827VN Govt","CPN")</f>
        <v>8.875</v>
      </c>
      <c r="D925" t="str">
        <f>_xll.BDP("912827VN Govt","YLD_YTM_BID")</f>
        <v>#N/A N/A</v>
      </c>
      <c r="E925" t="str">
        <f>_xll.BDP("912827VN Govt","MATURITY")</f>
        <v>11/15/1997</v>
      </c>
      <c r="F925" t="str">
        <f>_xll.BDP("912827VN Govt","MTY_TYP")</f>
        <v>NORMAL</v>
      </c>
      <c r="G925" t="str">
        <f>_xll.BDP("912827VN Govt","CRNCY")</f>
        <v>USD</v>
      </c>
      <c r="H925" t="str">
        <f>_xll.BDP("912827VN Govt","COUNTRY_FULL_NAME")</f>
        <v>UNITED STATES</v>
      </c>
      <c r="I925" t="str">
        <f>_xll.BDP("912827VN Govt","FIRST_CPN_DT")</f>
        <v>5/15/1988</v>
      </c>
      <c r="J925" t="str">
        <f>_xll.BDP("912827VN Govt","COUPON_FREQUENCY_DESCRIPTION")</f>
        <v>S/A</v>
      </c>
      <c r="K925" t="str">
        <f>_xll.BDP("912827VN Govt","CPN_TYP")</f>
        <v>FIXED</v>
      </c>
      <c r="L925" t="str">
        <f>_xll.BDP("912827VN Govt","ID_ISIN")</f>
        <v>US912827VN96</v>
      </c>
      <c r="M925">
        <v>9808000000</v>
      </c>
      <c r="N925">
        <v>0</v>
      </c>
      <c r="O925" t="str">
        <f>_xll.BDP("912827VN Govt","ISSUE_DT")</f>
        <v>11/15/1987</v>
      </c>
      <c r="P925" t="str">
        <f>_xll.BDP("912827VN Govt","SECURITY_NAME")</f>
        <v>T 8 7/8 11/15/97</v>
      </c>
      <c r="Q925" t="str">
        <f>_xll.BDP("912827VN Govt","DAY_CNT_DES")</f>
        <v>ACT/ACT</v>
      </c>
      <c r="R925">
        <v>100</v>
      </c>
      <c r="S925" t="str">
        <f>_xll.BDP("912827VN Govt","ID_CUSIP")</f>
        <v>912827VN9</v>
      </c>
      <c r="T925" t="str">
        <f>_xll.BDP("912827VN Govt","IDX_RATIO")</f>
        <v>#N/A Field Not Applicable</v>
      </c>
    </row>
    <row r="926" spans="1:20" x14ac:dyDescent="0.25">
      <c r="A926" t="s">
        <v>14</v>
      </c>
      <c r="B926" t="str">
        <f>_xll.BDP("912827VV Govt","TICKER")</f>
        <v>T</v>
      </c>
      <c r="C926">
        <f>_xll.BDP("912827VV Govt","CPN")</f>
        <v>7.375</v>
      </c>
      <c r="D926" t="str">
        <f>_xll.BDP("912827VV Govt","YLD_YTM_BID")</f>
        <v>#N/A N/A</v>
      </c>
      <c r="E926" t="str">
        <f>_xll.BDP("912827VV Govt","MATURITY")</f>
        <v>2/15/1991</v>
      </c>
      <c r="F926" t="str">
        <f>_xll.BDP("912827VV Govt","MTY_TYP")</f>
        <v>NORMAL</v>
      </c>
      <c r="G926" t="str">
        <f>_xll.BDP("912827VV Govt","CRNCY")</f>
        <v>USD</v>
      </c>
      <c r="H926" t="str">
        <f>_xll.BDP("912827VV Govt","COUNTRY_FULL_NAME")</f>
        <v>UNITED STATES</v>
      </c>
      <c r="I926" t="str">
        <f>_xll.BDP("912827VV Govt","FIRST_CPN_DT")</f>
        <v>8/15/1988</v>
      </c>
      <c r="J926" t="str">
        <f>_xll.BDP("912827VV Govt","COUPON_FREQUENCY_DESCRIPTION")</f>
        <v>S/A</v>
      </c>
      <c r="K926" t="str">
        <f>_xll.BDP("912827VV Govt","CPN_TYP")</f>
        <v>FIXED</v>
      </c>
      <c r="L926" t="str">
        <f>_xll.BDP("912827VV Govt","ID_ISIN")</f>
        <v>US912827VV13</v>
      </c>
      <c r="N926">
        <v>0</v>
      </c>
      <c r="O926" t="str">
        <f>_xll.BDP("912827VV Govt","ISSUE_DT")</f>
        <v>2/16/1988</v>
      </c>
      <c r="P926" t="str">
        <f>_xll.BDP("912827VV Govt","SECURITY_NAME")</f>
        <v>T 7 3/8 02/15/91</v>
      </c>
      <c r="Q926" t="str">
        <f>_xll.BDP("912827VV Govt","DAY_CNT_DES")</f>
        <v>ACT/ACT</v>
      </c>
      <c r="R926">
        <v>100</v>
      </c>
      <c r="S926" t="str">
        <f>_xll.BDP("912827VV Govt","ID_CUSIP")</f>
        <v>912827VV1</v>
      </c>
      <c r="T926" t="str">
        <f>_xll.BDP("912827VV Govt","IDX_RATIO")</f>
        <v>#N/A Field Not Applicable</v>
      </c>
    </row>
    <row r="927" spans="1:20" x14ac:dyDescent="0.25">
      <c r="A927" t="s">
        <v>14</v>
      </c>
      <c r="B927" t="str">
        <f>_xll.BDP("912827VX Govt","TICKER")</f>
        <v>T</v>
      </c>
      <c r="C927">
        <f>_xll.BDP("912827VX Govt","CPN")</f>
        <v>7.125</v>
      </c>
      <c r="D927" t="str">
        <f>_xll.BDP("912827VX Govt","YLD_YTM_BID")</f>
        <v>#N/A N/A</v>
      </c>
      <c r="E927" t="str">
        <f>_xll.BDP("912827VX Govt","MATURITY")</f>
        <v>2/28/1990</v>
      </c>
      <c r="F927" t="str">
        <f>_xll.BDP("912827VX Govt","MTY_TYP")</f>
        <v>NORMAL</v>
      </c>
      <c r="G927" t="str">
        <f>_xll.BDP("912827VX Govt","CRNCY")</f>
        <v>USD</v>
      </c>
      <c r="H927" t="str">
        <f>_xll.BDP("912827VX Govt","COUNTRY_FULL_NAME")</f>
        <v>UNITED STATES</v>
      </c>
      <c r="I927" t="str">
        <f>_xll.BDP("912827VX Govt","FIRST_CPN_DT")</f>
        <v>8/31/1988</v>
      </c>
      <c r="J927" t="str">
        <f>_xll.BDP("912827VX Govt","COUPON_FREQUENCY_DESCRIPTION")</f>
        <v>S/A</v>
      </c>
      <c r="K927" t="str">
        <f>_xll.BDP("912827VX Govt","CPN_TYP")</f>
        <v>FIXED</v>
      </c>
      <c r="L927" t="str">
        <f>_xll.BDP("912827VX Govt","ID_ISIN")</f>
        <v>US912827VX78</v>
      </c>
      <c r="N927">
        <v>0</v>
      </c>
      <c r="O927" t="str">
        <f>_xll.BDP("912827VX Govt","ISSUE_DT")</f>
        <v>2/29/1988</v>
      </c>
      <c r="P927" t="str">
        <f>_xll.BDP("912827VX Govt","SECURITY_NAME")</f>
        <v>T 7 1/8 02/28/90</v>
      </c>
      <c r="Q927" t="str">
        <f>_xll.BDP("912827VX Govt","DAY_CNT_DES")</f>
        <v>ACT/ACT</v>
      </c>
      <c r="R927">
        <v>100</v>
      </c>
      <c r="S927" t="str">
        <f>_xll.BDP("912827VX Govt","ID_CUSIP")</f>
        <v>912827VX7</v>
      </c>
      <c r="T927" t="str">
        <f>_xll.BDP("912827VX Govt","IDX_RATIO")</f>
        <v>#N/A Field Not Applicable</v>
      </c>
    </row>
    <row r="928" spans="1:20" x14ac:dyDescent="0.25">
      <c r="A928" t="s">
        <v>14</v>
      </c>
      <c r="B928" t="str">
        <f>_xll.BDP("912827W3 Govt","TICKER")</f>
        <v>T</v>
      </c>
      <c r="C928">
        <f>_xll.BDP("912827W3 Govt","CPN")</f>
        <v>5.25</v>
      </c>
      <c r="D928" t="str">
        <f>_xll.BDP("912827W3 Govt","YLD_YTM_BID")</f>
        <v>#N/A N/A</v>
      </c>
      <c r="E928" t="str">
        <f>_xll.BDP("912827W3 Govt","MATURITY")</f>
        <v>12/31/1997</v>
      </c>
      <c r="F928" t="str">
        <f>_xll.BDP("912827W3 Govt","MTY_TYP")</f>
        <v>NORMAL</v>
      </c>
      <c r="G928" t="str">
        <f>_xll.BDP("912827W3 Govt","CRNCY")</f>
        <v>USD</v>
      </c>
      <c r="H928" t="str">
        <f>_xll.BDP("912827W3 Govt","COUNTRY_FULL_NAME")</f>
        <v>UNITED STATES</v>
      </c>
      <c r="I928" t="str">
        <f>_xll.BDP("912827W3 Govt","FIRST_CPN_DT")</f>
        <v>6/30/1996</v>
      </c>
      <c r="J928" t="str">
        <f>_xll.BDP("912827W3 Govt","COUPON_FREQUENCY_DESCRIPTION")</f>
        <v>S/A</v>
      </c>
      <c r="K928" t="str">
        <f>_xll.BDP("912827W3 Govt","CPN_TYP")</f>
        <v>FIXED</v>
      </c>
      <c r="L928" t="str">
        <f>_xll.BDP("912827W3 Govt","ID_ISIN")</f>
        <v>US912827W327</v>
      </c>
      <c r="M928">
        <v>19164000000</v>
      </c>
      <c r="N928">
        <v>0</v>
      </c>
      <c r="O928" t="str">
        <f>_xll.BDP("912827W3 Govt","ISSUE_DT")</f>
        <v>1/2/1996</v>
      </c>
      <c r="P928" t="str">
        <f>_xll.BDP("912827W3 Govt","SECURITY_NAME")</f>
        <v>T 5 1/4 12/31/97</v>
      </c>
      <c r="Q928" t="str">
        <f>_xll.BDP("912827W3 Govt","DAY_CNT_DES")</f>
        <v>ACT/ACT</v>
      </c>
      <c r="R928">
        <v>100</v>
      </c>
      <c r="S928" t="str">
        <f>_xll.BDP("912827W3 Govt","ID_CUSIP")</f>
        <v>912827W32</v>
      </c>
      <c r="T928" t="str">
        <f>_xll.BDP("912827W3 Govt","IDX_RATIO")</f>
        <v>#N/A Field Not Applicable</v>
      </c>
    </row>
    <row r="929" spans="1:20" x14ac:dyDescent="0.25">
      <c r="A929" t="s">
        <v>14</v>
      </c>
      <c r="B929" t="str">
        <f>_xll.BDP("912827W4 Govt","TICKER")</f>
        <v>T</v>
      </c>
      <c r="C929">
        <f>_xll.BDP("912827W4 Govt","CPN")</f>
        <v>5.5</v>
      </c>
      <c r="D929" t="str">
        <f>_xll.BDP("912827W4 Govt","YLD_YTM_BID")</f>
        <v>#N/A N/A</v>
      </c>
      <c r="E929" t="str">
        <f>_xll.BDP("912827W4 Govt","MATURITY")</f>
        <v>12/31/2000</v>
      </c>
      <c r="F929" t="str">
        <f>_xll.BDP("912827W4 Govt","MTY_TYP")</f>
        <v>NORMAL</v>
      </c>
      <c r="G929" t="str">
        <f>_xll.BDP("912827W4 Govt","CRNCY")</f>
        <v>USD</v>
      </c>
      <c r="H929" t="str">
        <f>_xll.BDP("912827W4 Govt","COUNTRY_FULL_NAME")</f>
        <v>UNITED STATES</v>
      </c>
      <c r="I929" t="str">
        <f>_xll.BDP("912827W4 Govt","FIRST_CPN_DT")</f>
        <v>6/30/1996</v>
      </c>
      <c r="J929" t="str">
        <f>_xll.BDP("912827W4 Govt","COUPON_FREQUENCY_DESCRIPTION")</f>
        <v>S/A</v>
      </c>
      <c r="K929" t="str">
        <f>_xll.BDP("912827W4 Govt","CPN_TYP")</f>
        <v>FIXED</v>
      </c>
      <c r="L929" t="str">
        <f>_xll.BDP("912827W4 Govt","ID_ISIN")</f>
        <v>US912827W400</v>
      </c>
      <c r="M929">
        <v>12821000000</v>
      </c>
      <c r="N929">
        <v>0</v>
      </c>
      <c r="O929" t="str">
        <f>_xll.BDP("912827W4 Govt","ISSUE_DT")</f>
        <v>1/2/1996</v>
      </c>
      <c r="P929" t="str">
        <f>_xll.BDP("912827W4 Govt","SECURITY_NAME")</f>
        <v>T 5 1/2 12/31/00</v>
      </c>
      <c r="Q929" t="str">
        <f>_xll.BDP("912827W4 Govt","DAY_CNT_DES")</f>
        <v>ACT/ACT</v>
      </c>
      <c r="R929">
        <v>100</v>
      </c>
      <c r="S929" t="str">
        <f>_xll.BDP("912827W4 Govt","ID_CUSIP")</f>
        <v>912827W40</v>
      </c>
      <c r="T929" t="str">
        <f>_xll.BDP("912827W4 Govt","IDX_RATIO")</f>
        <v>#N/A Field Not Applicable</v>
      </c>
    </row>
    <row r="930" spans="1:20" x14ac:dyDescent="0.25">
      <c r="A930" t="s">
        <v>14</v>
      </c>
      <c r="B930" t="str">
        <f>_xll.BDP("912827W8 Govt","TICKER")</f>
        <v>T</v>
      </c>
      <c r="C930">
        <f>_xll.BDP("912827W8 Govt","CPN")</f>
        <v>5.625</v>
      </c>
      <c r="D930" t="str">
        <f>_xll.BDP("912827W8 Govt","YLD_YTM_BID")</f>
        <v>#N/A N/A</v>
      </c>
      <c r="E930" t="str">
        <f>_xll.BDP("912827W8 Govt","MATURITY")</f>
        <v>2/15/2006</v>
      </c>
      <c r="F930" t="str">
        <f>_xll.BDP("912827W8 Govt","MTY_TYP")</f>
        <v>NORMAL</v>
      </c>
      <c r="G930" t="str">
        <f>_xll.BDP("912827W8 Govt","CRNCY")</f>
        <v>USD</v>
      </c>
      <c r="H930" t="str">
        <f>_xll.BDP("912827W8 Govt","COUNTRY_FULL_NAME")</f>
        <v>UNITED STATES</v>
      </c>
      <c r="I930" t="str">
        <f>_xll.BDP("912827W8 Govt","FIRST_CPN_DT")</f>
        <v>8/15/1996</v>
      </c>
      <c r="J930" t="str">
        <f>_xll.BDP("912827W8 Govt","COUPON_FREQUENCY_DESCRIPTION")</f>
        <v>S/A</v>
      </c>
      <c r="K930" t="str">
        <f>_xll.BDP("912827W8 Govt","CPN_TYP")</f>
        <v>FIXED</v>
      </c>
      <c r="L930" t="str">
        <f>_xll.BDP("912827W8 Govt","ID_ISIN")</f>
        <v>US912827W814</v>
      </c>
      <c r="M930">
        <v>15514000000</v>
      </c>
      <c r="N930">
        <v>0</v>
      </c>
      <c r="O930" t="str">
        <f>_xll.BDP("912827W8 Govt","ISSUE_DT")</f>
        <v>2/15/1996</v>
      </c>
      <c r="P930" t="str">
        <f>_xll.BDP("912827W8 Govt","SECURITY_NAME")</f>
        <v>T 5 5/8 02/15/06</v>
      </c>
      <c r="Q930" t="str">
        <f>_xll.BDP("912827W8 Govt","DAY_CNT_DES")</f>
        <v>ACT/ACT</v>
      </c>
      <c r="R930">
        <v>100</v>
      </c>
      <c r="S930" t="str">
        <f>_xll.BDP("912827W8 Govt","ID_CUSIP")</f>
        <v>912827W81</v>
      </c>
      <c r="T930" t="str">
        <f>_xll.BDP("912827W8 Govt","IDX_RATIO")</f>
        <v>#N/A Field Not Applicable</v>
      </c>
    </row>
    <row r="931" spans="1:20" x14ac:dyDescent="0.25">
      <c r="A931" t="s">
        <v>14</v>
      </c>
      <c r="B931" t="str">
        <f>_xll.BDP("912827WB Govt","TICKER")</f>
        <v>T</v>
      </c>
      <c r="C931">
        <f>_xll.BDP("912827WB Govt","CPN")</f>
        <v>8.375</v>
      </c>
      <c r="D931" t="str">
        <f>_xll.BDP("912827WB Govt","YLD_YTM_BID")</f>
        <v>#N/A N/A</v>
      </c>
      <c r="E931" t="str">
        <f>_xll.BDP("912827WB Govt","MATURITY")</f>
        <v>4/15/1995</v>
      </c>
      <c r="F931" t="str">
        <f>_xll.BDP("912827WB Govt","MTY_TYP")</f>
        <v>NORMAL</v>
      </c>
      <c r="G931" t="str">
        <f>_xll.BDP("912827WB Govt","CRNCY")</f>
        <v>USD</v>
      </c>
      <c r="H931" t="str">
        <f>_xll.BDP("912827WB Govt","COUNTRY_FULL_NAME")</f>
        <v>UNITED STATES</v>
      </c>
      <c r="I931" t="str">
        <f>_xll.BDP("912827WB Govt","FIRST_CPN_DT")</f>
        <v>10/15/1988</v>
      </c>
      <c r="J931" t="str">
        <f>_xll.BDP("912827WB Govt","COUPON_FREQUENCY_DESCRIPTION")</f>
        <v>S/A</v>
      </c>
      <c r="K931" t="str">
        <f>_xll.BDP("912827WB Govt","CPN_TYP")</f>
        <v>FIXED</v>
      </c>
      <c r="L931" t="str">
        <f>_xll.BDP("912827WB Govt","ID_ISIN")</f>
        <v>US912827WB40</v>
      </c>
      <c r="N931">
        <v>0</v>
      </c>
      <c r="O931" t="str">
        <f>_xll.BDP("912827WB Govt","ISSUE_DT")</f>
        <v>4/15/1988</v>
      </c>
      <c r="P931" t="str">
        <f>_xll.BDP("912827WB Govt","SECURITY_NAME")</f>
        <v>T 8 3/8 04/15/95</v>
      </c>
      <c r="Q931" t="str">
        <f>_xll.BDP("912827WB Govt","DAY_CNT_DES")</f>
        <v>ACT/ACT</v>
      </c>
      <c r="R931">
        <v>100</v>
      </c>
      <c r="S931" t="str">
        <f>_xll.BDP("912827WB Govt","ID_CUSIP")</f>
        <v>912827WB4</v>
      </c>
      <c r="T931" t="str">
        <f>_xll.BDP("912827WB Govt","IDX_RATIO")</f>
        <v>#N/A Field Not Applicable</v>
      </c>
    </row>
    <row r="932" spans="1:20" x14ac:dyDescent="0.25">
      <c r="A932" t="s">
        <v>14</v>
      </c>
      <c r="B932" t="str">
        <f>_xll.BDP("912827WK Govt","TICKER")</f>
        <v>T</v>
      </c>
      <c r="C932">
        <f>_xll.BDP("912827WK Govt","CPN")</f>
        <v>8.875</v>
      </c>
      <c r="D932" t="str">
        <f>_xll.BDP("912827WK Govt","YLD_YTM_BID")</f>
        <v>#N/A N/A</v>
      </c>
      <c r="E932" t="str">
        <f>_xll.BDP("912827WK Govt","MATURITY")</f>
        <v>7/15/1995</v>
      </c>
      <c r="F932" t="str">
        <f>_xll.BDP("912827WK Govt","MTY_TYP")</f>
        <v>NORMAL</v>
      </c>
      <c r="G932" t="str">
        <f>_xll.BDP("912827WK Govt","CRNCY")</f>
        <v>USD</v>
      </c>
      <c r="H932" t="str">
        <f>_xll.BDP("912827WK Govt","COUNTRY_FULL_NAME")</f>
        <v>UNITED STATES</v>
      </c>
      <c r="I932" t="str">
        <f>_xll.BDP("912827WK Govt","FIRST_CPN_DT")</f>
        <v>1/15/1989</v>
      </c>
      <c r="J932" t="str">
        <f>_xll.BDP("912827WK Govt","COUPON_FREQUENCY_DESCRIPTION")</f>
        <v>S/A</v>
      </c>
      <c r="K932" t="str">
        <f>_xll.BDP("912827WK Govt","CPN_TYP")</f>
        <v>FIXED</v>
      </c>
      <c r="L932" t="str">
        <f>_xll.BDP("912827WK Govt","ID_ISIN")</f>
        <v>US912827WK49</v>
      </c>
      <c r="N932">
        <v>0</v>
      </c>
      <c r="O932" t="str">
        <f>_xll.BDP("912827WK Govt","ISSUE_DT")</f>
        <v>7/15/1988</v>
      </c>
      <c r="P932" t="str">
        <f>_xll.BDP("912827WK Govt","SECURITY_NAME")</f>
        <v>T 8 7/8 07/15/95</v>
      </c>
      <c r="Q932" t="str">
        <f>_xll.BDP("912827WK Govt","DAY_CNT_DES")</f>
        <v>ACT/ACT</v>
      </c>
      <c r="R932">
        <v>100</v>
      </c>
      <c r="S932" t="str">
        <f>_xll.BDP("912827WK Govt","ID_CUSIP")</f>
        <v>912827WK4</v>
      </c>
      <c r="T932" t="str">
        <f>_xll.BDP("912827WK Govt","IDX_RATIO")</f>
        <v>#N/A Field Not Applicable</v>
      </c>
    </row>
    <row r="933" spans="1:20" x14ac:dyDescent="0.25">
      <c r="A933" t="s">
        <v>14</v>
      </c>
      <c r="B933" t="str">
        <f>_xll.BDP("912827WR Govt","TICKER")</f>
        <v>T</v>
      </c>
      <c r="C933">
        <f>_xll.BDP("912827WR Govt","CPN")</f>
        <v>8.5</v>
      </c>
      <c r="D933" t="str">
        <f>_xll.BDP("912827WR Govt","YLD_YTM_BID")</f>
        <v>#N/A N/A</v>
      </c>
      <c r="E933" t="str">
        <f>_xll.BDP("912827WR Govt","MATURITY")</f>
        <v>9/30/1990</v>
      </c>
      <c r="F933" t="str">
        <f>_xll.BDP("912827WR Govt","MTY_TYP")</f>
        <v>NORMAL</v>
      </c>
      <c r="G933" t="str">
        <f>_xll.BDP("912827WR Govt","CRNCY")</f>
        <v>USD</v>
      </c>
      <c r="H933" t="str">
        <f>_xll.BDP("912827WR Govt","COUNTRY_FULL_NAME")</f>
        <v>UNITED STATES</v>
      </c>
      <c r="I933" t="str">
        <f>_xll.BDP("912827WR Govt","FIRST_CPN_DT")</f>
        <v>3/31/1989</v>
      </c>
      <c r="J933" t="str">
        <f>_xll.BDP("912827WR Govt","COUPON_FREQUENCY_DESCRIPTION")</f>
        <v>S/A</v>
      </c>
      <c r="K933" t="str">
        <f>_xll.BDP("912827WR Govt","CPN_TYP")</f>
        <v>FIXED</v>
      </c>
      <c r="L933" t="str">
        <f>_xll.BDP("912827WR Govt","ID_ISIN")</f>
        <v>US912827WR91</v>
      </c>
      <c r="N933">
        <v>0</v>
      </c>
      <c r="O933" t="str">
        <f>_xll.BDP("912827WR Govt","ISSUE_DT")</f>
        <v>9/30/1988</v>
      </c>
      <c r="P933" t="str">
        <f>_xll.BDP("912827WR Govt","SECURITY_NAME")</f>
        <v>T 8 1/2 09/30/90</v>
      </c>
      <c r="Q933" t="str">
        <f>_xll.BDP("912827WR Govt","DAY_CNT_DES")</f>
        <v>ACT/ACT</v>
      </c>
      <c r="R933">
        <v>100</v>
      </c>
      <c r="S933" t="str">
        <f>_xll.BDP("912827WR Govt","ID_CUSIP")</f>
        <v>912827WR9</v>
      </c>
      <c r="T933" t="str">
        <f>_xll.BDP("912827WR Govt","IDX_RATIO")</f>
        <v>#N/A Field Not Applicable</v>
      </c>
    </row>
    <row r="934" spans="1:20" x14ac:dyDescent="0.25">
      <c r="A934" t="s">
        <v>14</v>
      </c>
      <c r="B934" t="str">
        <f>_xll.BDP("912827X5 Govt","TICKER")</f>
        <v>T</v>
      </c>
      <c r="C934">
        <f>_xll.BDP("912827X5 Govt","CPN")</f>
        <v>5.875</v>
      </c>
      <c r="D934" t="str">
        <f>_xll.BDP("912827X5 Govt","YLD_YTM_BID")</f>
        <v>#N/A N/A</v>
      </c>
      <c r="E934" t="str">
        <f>_xll.BDP("912827X5 Govt","MATURITY")</f>
        <v>4/30/1998</v>
      </c>
      <c r="F934" t="str">
        <f>_xll.BDP("912827X5 Govt","MTY_TYP")</f>
        <v>NORMAL</v>
      </c>
      <c r="G934" t="str">
        <f>_xll.BDP("912827X5 Govt","CRNCY")</f>
        <v>USD</v>
      </c>
      <c r="H934" t="str">
        <f>_xll.BDP("912827X5 Govt","COUNTRY_FULL_NAME")</f>
        <v>UNITED STATES</v>
      </c>
      <c r="I934" t="str">
        <f>_xll.BDP("912827X5 Govt","FIRST_CPN_DT")</f>
        <v>10/31/1996</v>
      </c>
      <c r="J934" t="str">
        <f>_xll.BDP("912827X5 Govt","COUPON_FREQUENCY_DESCRIPTION")</f>
        <v>S/A</v>
      </c>
      <c r="K934" t="str">
        <f>_xll.BDP("912827X5 Govt","CPN_TYP")</f>
        <v>FIXED</v>
      </c>
      <c r="L934" t="str">
        <f>_xll.BDP("912827X5 Govt","ID_ISIN")</f>
        <v>US912827X564</v>
      </c>
      <c r="M934">
        <v>21406000000</v>
      </c>
      <c r="N934">
        <v>0</v>
      </c>
      <c r="O934" t="str">
        <f>_xll.BDP("912827X5 Govt","ISSUE_DT")</f>
        <v>4/30/1996</v>
      </c>
      <c r="P934" t="str">
        <f>_xll.BDP("912827X5 Govt","SECURITY_NAME")</f>
        <v>T 5 7/8 04/30/98</v>
      </c>
      <c r="Q934" t="str">
        <f>_xll.BDP("912827X5 Govt","DAY_CNT_DES")</f>
        <v>ACT/ACT</v>
      </c>
      <c r="R934">
        <v>100</v>
      </c>
      <c r="S934" t="str">
        <f>_xll.BDP("912827X5 Govt","ID_CUSIP")</f>
        <v>912827X56</v>
      </c>
      <c r="T934" t="str">
        <f>_xll.BDP("912827X5 Govt","IDX_RATIO")</f>
        <v>#N/A Field Not Applicable</v>
      </c>
    </row>
    <row r="935" spans="1:20" x14ac:dyDescent="0.25">
      <c r="A935" t="s">
        <v>14</v>
      </c>
      <c r="B935" t="str">
        <f>_xll.BDP("912827XD Govt","TICKER")</f>
        <v>T</v>
      </c>
      <c r="C935">
        <f>_xll.BDP("912827XD Govt","CPN")</f>
        <v>9.125</v>
      </c>
      <c r="D935" t="str">
        <f>_xll.BDP("912827XD Govt","YLD_YTM_BID")</f>
        <v>#N/A N/A</v>
      </c>
      <c r="E935" t="str">
        <f>_xll.BDP("912827XD Govt","MATURITY")</f>
        <v>2/15/1992</v>
      </c>
      <c r="F935" t="str">
        <f>_xll.BDP("912827XD Govt","MTY_TYP")</f>
        <v>NORMAL</v>
      </c>
      <c r="G935" t="str">
        <f>_xll.BDP("912827XD Govt","CRNCY")</f>
        <v>USD</v>
      </c>
      <c r="H935" t="str">
        <f>_xll.BDP("912827XD Govt","COUNTRY_FULL_NAME")</f>
        <v>UNITED STATES</v>
      </c>
      <c r="I935" t="str">
        <f>_xll.BDP("912827XD Govt","FIRST_CPN_DT")</f>
        <v>8/15/1989</v>
      </c>
      <c r="J935" t="str">
        <f>_xll.BDP("912827XD Govt","COUPON_FREQUENCY_DESCRIPTION")</f>
        <v>S/A</v>
      </c>
      <c r="K935" t="str">
        <f>_xll.BDP("912827XD Govt","CPN_TYP")</f>
        <v>FIXED</v>
      </c>
      <c r="L935" t="str">
        <f>_xll.BDP("912827XD Govt","ID_ISIN")</f>
        <v>US912827XD96</v>
      </c>
      <c r="N935">
        <v>0</v>
      </c>
      <c r="O935" t="str">
        <f>_xll.BDP("912827XD Govt","ISSUE_DT")</f>
        <v>2/15/1989</v>
      </c>
      <c r="P935" t="str">
        <f>_xll.BDP("912827XD Govt","SECURITY_NAME")</f>
        <v>T 9 1/8 02/15/92</v>
      </c>
      <c r="Q935" t="str">
        <f>_xll.BDP("912827XD Govt","DAY_CNT_DES")</f>
        <v>ACT/ACT</v>
      </c>
      <c r="R935">
        <v>100</v>
      </c>
      <c r="S935" t="str">
        <f>_xll.BDP("912827XD Govt","ID_CUSIP")</f>
        <v>912827XD9</v>
      </c>
      <c r="T935" t="str">
        <f>_xll.BDP("912827XD Govt","IDX_RATIO")</f>
        <v>#N/A Field Not Applicable</v>
      </c>
    </row>
    <row r="936" spans="1:20" x14ac:dyDescent="0.25">
      <c r="A936" t="s">
        <v>14</v>
      </c>
      <c r="B936" t="str">
        <f>_xll.BDP("912827XJ Govt","TICKER")</f>
        <v>T</v>
      </c>
      <c r="C936">
        <f>_xll.BDP("912827XJ Govt","CPN")</f>
        <v>9.625</v>
      </c>
      <c r="D936" t="str">
        <f>_xll.BDP("912827XJ Govt","YLD_YTM_BID")</f>
        <v>#N/A N/A</v>
      </c>
      <c r="E936" t="str">
        <f>_xll.BDP("912827XJ Govt","MATURITY")</f>
        <v>3/31/1993</v>
      </c>
      <c r="F936" t="str">
        <f>_xll.BDP("912827XJ Govt","MTY_TYP")</f>
        <v>NORMAL</v>
      </c>
      <c r="G936" t="str">
        <f>_xll.BDP("912827XJ Govt","CRNCY")</f>
        <v>USD</v>
      </c>
      <c r="H936" t="str">
        <f>_xll.BDP("912827XJ Govt","COUNTRY_FULL_NAME")</f>
        <v>UNITED STATES</v>
      </c>
      <c r="I936" t="str">
        <f>_xll.BDP("912827XJ Govt","FIRST_CPN_DT")</f>
        <v>9/30/1989</v>
      </c>
      <c r="J936" t="str">
        <f>_xll.BDP("912827XJ Govt","COUPON_FREQUENCY_DESCRIPTION")</f>
        <v>S/A</v>
      </c>
      <c r="K936" t="str">
        <f>_xll.BDP("912827XJ Govt","CPN_TYP")</f>
        <v>FIXED</v>
      </c>
      <c r="L936" t="str">
        <f>_xll.BDP("912827XJ Govt","ID_ISIN")</f>
        <v>US912827XJ66</v>
      </c>
      <c r="N936">
        <v>0</v>
      </c>
      <c r="O936" t="str">
        <f>_xll.BDP("912827XJ Govt","ISSUE_DT")</f>
        <v>3/31/1989</v>
      </c>
      <c r="P936" t="str">
        <f>_xll.BDP("912827XJ Govt","SECURITY_NAME")</f>
        <v>T 9 5/8 03/31/93</v>
      </c>
      <c r="Q936" t="str">
        <f>_xll.BDP("912827XJ Govt","DAY_CNT_DES")</f>
        <v>ACT/ACT</v>
      </c>
      <c r="R936">
        <v>100</v>
      </c>
      <c r="S936" t="str">
        <f>_xll.BDP("912827XJ Govt","ID_CUSIP")</f>
        <v>912827XJ6</v>
      </c>
      <c r="T936" t="str">
        <f>_xll.BDP("912827XJ Govt","IDX_RATIO")</f>
        <v>#N/A Field Not Applicable</v>
      </c>
    </row>
    <row r="937" spans="1:20" x14ac:dyDescent="0.25">
      <c r="A937" t="s">
        <v>14</v>
      </c>
      <c r="B937" t="str">
        <f>_xll.BDP("912827XP Govt","TICKER")</f>
        <v>T</v>
      </c>
      <c r="C937">
        <f>_xll.BDP("912827XP Govt","CPN")</f>
        <v>8.75</v>
      </c>
      <c r="D937" t="str">
        <f>_xll.BDP("912827XP Govt","YLD_YTM_BID")</f>
        <v>#N/A N/A</v>
      </c>
      <c r="E937" t="str">
        <f>_xll.BDP("912827XP Govt","MATURITY")</f>
        <v>5/31/1991</v>
      </c>
      <c r="F937" t="str">
        <f>_xll.BDP("912827XP Govt","MTY_TYP")</f>
        <v>NORMAL</v>
      </c>
      <c r="G937" t="str">
        <f>_xll.BDP("912827XP Govt","CRNCY")</f>
        <v>USD</v>
      </c>
      <c r="H937" t="str">
        <f>_xll.BDP("912827XP Govt","COUNTRY_FULL_NAME")</f>
        <v>UNITED STATES</v>
      </c>
      <c r="I937" t="str">
        <f>_xll.BDP("912827XP Govt","FIRST_CPN_DT")</f>
        <v>11/30/1989</v>
      </c>
      <c r="J937" t="str">
        <f>_xll.BDP("912827XP Govt","COUPON_FREQUENCY_DESCRIPTION")</f>
        <v>S/A</v>
      </c>
      <c r="K937" t="str">
        <f>_xll.BDP("912827XP Govt","CPN_TYP")</f>
        <v>FIXED</v>
      </c>
      <c r="L937" t="str">
        <f>_xll.BDP("912827XP Govt","ID_ISIN")</f>
        <v>US912827XP27</v>
      </c>
      <c r="N937">
        <v>0</v>
      </c>
      <c r="O937" t="str">
        <f>_xll.BDP("912827XP Govt","ISSUE_DT")</f>
        <v>5/31/1989</v>
      </c>
      <c r="P937" t="str">
        <f>_xll.BDP("912827XP Govt","SECURITY_NAME")</f>
        <v>T 8 3/4 05/31/91</v>
      </c>
      <c r="Q937" t="str">
        <f>_xll.BDP("912827XP Govt","DAY_CNT_DES")</f>
        <v>ACT/ACT</v>
      </c>
      <c r="R937">
        <v>100</v>
      </c>
      <c r="S937" t="str">
        <f>_xll.BDP("912827XP Govt","ID_CUSIP")</f>
        <v>912827XP2</v>
      </c>
      <c r="T937" t="str">
        <f>_xll.BDP("912827XP Govt","IDX_RATIO")</f>
        <v>#N/A Field Not Applicable</v>
      </c>
    </row>
    <row r="938" spans="1:20" x14ac:dyDescent="0.25">
      <c r="A938" t="s">
        <v>14</v>
      </c>
      <c r="B938" t="str">
        <f>_xll.BDP("912827XS Govt","TICKER")</f>
        <v>T</v>
      </c>
      <c r="C938">
        <f>_xll.BDP("912827XS Govt","CPN")</f>
        <v>8.125</v>
      </c>
      <c r="D938" t="str">
        <f>_xll.BDP("912827XS Govt","YLD_YTM_BID")</f>
        <v>#N/A N/A</v>
      </c>
      <c r="E938" t="str">
        <f>_xll.BDP("912827XS Govt","MATURITY")</f>
        <v>6/30/1993</v>
      </c>
      <c r="F938" t="str">
        <f>_xll.BDP("912827XS Govt","MTY_TYP")</f>
        <v>NORMAL</v>
      </c>
      <c r="G938" t="str">
        <f>_xll.BDP("912827XS Govt","CRNCY")</f>
        <v>USD</v>
      </c>
      <c r="H938" t="str">
        <f>_xll.BDP("912827XS Govt","COUNTRY_FULL_NAME")</f>
        <v>UNITED STATES</v>
      </c>
      <c r="I938" t="str">
        <f>_xll.BDP("912827XS Govt","FIRST_CPN_DT")</f>
        <v>12/31/1989</v>
      </c>
      <c r="J938" t="str">
        <f>_xll.BDP("912827XS Govt","COUPON_FREQUENCY_DESCRIPTION")</f>
        <v>S/A</v>
      </c>
      <c r="K938" t="str">
        <f>_xll.BDP("912827XS Govt","CPN_TYP")</f>
        <v>FIXED</v>
      </c>
      <c r="L938" t="str">
        <f>_xll.BDP("912827XS Govt","ID_ISIN")</f>
        <v>US912827XS65</v>
      </c>
      <c r="N938">
        <v>0</v>
      </c>
      <c r="O938" t="str">
        <f>_xll.BDP("912827XS Govt","ISSUE_DT")</f>
        <v>6/30/1989</v>
      </c>
      <c r="P938" t="str">
        <f>_xll.BDP("912827XS Govt","SECURITY_NAME")</f>
        <v>T 8 1/8 06/30/93</v>
      </c>
      <c r="Q938" t="str">
        <f>_xll.BDP("912827XS Govt","DAY_CNT_DES")</f>
        <v>ACT/ACT</v>
      </c>
      <c r="R938">
        <v>100</v>
      </c>
      <c r="S938" t="str">
        <f>_xll.BDP("912827XS Govt","ID_CUSIP")</f>
        <v>912827XS6</v>
      </c>
      <c r="T938" t="str">
        <f>_xll.BDP("912827XS Govt","IDX_RATIO")</f>
        <v>#N/A Field Not Applicable</v>
      </c>
    </row>
    <row r="939" spans="1:20" x14ac:dyDescent="0.25">
      <c r="A939" t="s">
        <v>14</v>
      </c>
      <c r="B939" t="str">
        <f>_xll.BDP("912827XX Govt","TICKER")</f>
        <v>T</v>
      </c>
      <c r="C939">
        <f>_xll.BDP("912827XX Govt","CPN")</f>
        <v>8.25</v>
      </c>
      <c r="D939" t="str">
        <f>_xll.BDP("912827XX Govt","YLD_YTM_BID")</f>
        <v>#N/A N/A</v>
      </c>
      <c r="E939" t="str">
        <f>_xll.BDP("912827XX Govt","MATURITY")</f>
        <v>8/31/1991</v>
      </c>
      <c r="F939" t="str">
        <f>_xll.BDP("912827XX Govt","MTY_TYP")</f>
        <v>NORMAL</v>
      </c>
      <c r="G939" t="str">
        <f>_xll.BDP("912827XX Govt","CRNCY")</f>
        <v>USD</v>
      </c>
      <c r="H939" t="str">
        <f>_xll.BDP("912827XX Govt","COUNTRY_FULL_NAME")</f>
        <v>UNITED STATES</v>
      </c>
      <c r="I939" t="str">
        <f>_xll.BDP("912827XX Govt","FIRST_CPN_DT")</f>
        <v>2/28/1990</v>
      </c>
      <c r="J939" t="str">
        <f>_xll.BDP("912827XX Govt","COUPON_FREQUENCY_DESCRIPTION")</f>
        <v>S/A</v>
      </c>
      <c r="K939" t="str">
        <f>_xll.BDP("912827XX Govt","CPN_TYP")</f>
        <v>FIXED</v>
      </c>
      <c r="L939" t="str">
        <f>_xll.BDP("912827XX Govt","ID_ISIN")</f>
        <v>US912827XX50</v>
      </c>
      <c r="N939">
        <v>0</v>
      </c>
      <c r="O939" t="str">
        <f>_xll.BDP("912827XX Govt","ISSUE_DT")</f>
        <v>8/31/1989</v>
      </c>
      <c r="P939" t="str">
        <f>_xll.BDP("912827XX Govt","SECURITY_NAME")</f>
        <v>T 8 1/4 08/31/91</v>
      </c>
      <c r="Q939" t="str">
        <f>_xll.BDP("912827XX Govt","DAY_CNT_DES")</f>
        <v>ACT/ACT</v>
      </c>
      <c r="R939">
        <v>100</v>
      </c>
      <c r="S939" t="str">
        <f>_xll.BDP("912827XX Govt","ID_CUSIP")</f>
        <v>912827XX5</v>
      </c>
      <c r="T939" t="str">
        <f>_xll.BDP("912827XX Govt","IDX_RATIO")</f>
        <v>#N/A Field Not Applicable</v>
      </c>
    </row>
    <row r="940" spans="1:20" x14ac:dyDescent="0.25">
      <c r="A940" t="s">
        <v>14</v>
      </c>
      <c r="B940" t="str">
        <f>_xll.BDP("912827Y5 Govt","TICKER")</f>
        <v>T</v>
      </c>
      <c r="C940">
        <f>_xll.BDP("912827Y5 Govt","CPN")</f>
        <v>7</v>
      </c>
      <c r="D940" t="str">
        <f>_xll.BDP("912827Y5 Govt","YLD_YTM_BID")</f>
        <v>#N/A N/A</v>
      </c>
      <c r="E940" t="str">
        <f>_xll.BDP("912827Y5 Govt","MATURITY")</f>
        <v>7/15/2006</v>
      </c>
      <c r="F940" t="str">
        <f>_xll.BDP("912827Y5 Govt","MTY_TYP")</f>
        <v>NORMAL</v>
      </c>
      <c r="G940" t="str">
        <f>_xll.BDP("912827Y5 Govt","CRNCY")</f>
        <v>USD</v>
      </c>
      <c r="H940" t="str">
        <f>_xll.BDP("912827Y5 Govt","COUNTRY_FULL_NAME")</f>
        <v>UNITED STATES</v>
      </c>
      <c r="I940" t="str">
        <f>_xll.BDP("912827Y5 Govt","FIRST_CPN_DT")</f>
        <v>1/15/1997</v>
      </c>
      <c r="J940" t="str">
        <f>_xll.BDP("912827Y5 Govt","COUPON_FREQUENCY_DESCRIPTION")</f>
        <v>S/A</v>
      </c>
      <c r="K940" t="str">
        <f>_xll.BDP("912827Y5 Govt","CPN_TYP")</f>
        <v>FIXED</v>
      </c>
      <c r="L940" t="str">
        <f>_xll.BDP("912827Y5 Govt","ID_ISIN")</f>
        <v>US912827Y554</v>
      </c>
      <c r="M940">
        <v>22740000000</v>
      </c>
      <c r="N940">
        <v>0</v>
      </c>
      <c r="O940" t="str">
        <f>_xll.BDP("912827Y5 Govt","ISSUE_DT")</f>
        <v>7/15/1996</v>
      </c>
      <c r="P940" t="str">
        <f>_xll.BDP("912827Y5 Govt","SECURITY_NAME")</f>
        <v>T 7 07/15/06</v>
      </c>
      <c r="Q940" t="str">
        <f>_xll.BDP("912827Y5 Govt","DAY_CNT_DES")</f>
        <v>ACT/ACT</v>
      </c>
      <c r="R940">
        <v>100</v>
      </c>
      <c r="S940" t="str">
        <f>_xll.BDP("912827Y5 Govt","ID_CUSIP")</f>
        <v>912827Y55</v>
      </c>
      <c r="T940" t="str">
        <f>_xll.BDP("912827Y5 Govt","IDX_RATIO")</f>
        <v>#N/A Field Not Applicable</v>
      </c>
    </row>
    <row r="941" spans="1:20" x14ac:dyDescent="0.25">
      <c r="A941" t="s">
        <v>14</v>
      </c>
      <c r="B941" t="str">
        <f>_xll.BDP("912827Y8 Govt","TICKER")</f>
        <v>T</v>
      </c>
      <c r="C941">
        <f>_xll.BDP("912827Y8 Govt","CPN")</f>
        <v>6</v>
      </c>
      <c r="D941" t="str">
        <f>_xll.BDP("912827Y8 Govt","YLD_YTM_BID")</f>
        <v>#N/A N/A</v>
      </c>
      <c r="E941" t="str">
        <f>_xll.BDP("912827Y8 Govt","MATURITY")</f>
        <v>8/15/1999</v>
      </c>
      <c r="F941" t="str">
        <f>_xll.BDP("912827Y8 Govt","MTY_TYP")</f>
        <v>NORMAL</v>
      </c>
      <c r="G941" t="str">
        <f>_xll.BDP("912827Y8 Govt","CRNCY")</f>
        <v>USD</v>
      </c>
      <c r="H941" t="str">
        <f>_xll.BDP("912827Y8 Govt","COUNTRY_FULL_NAME")</f>
        <v>UNITED STATES</v>
      </c>
      <c r="I941" t="str">
        <f>_xll.BDP("912827Y8 Govt","FIRST_CPN_DT")</f>
        <v>2/15/1997</v>
      </c>
      <c r="J941" t="str">
        <f>_xll.BDP("912827Y8 Govt","COUPON_FREQUENCY_DESCRIPTION")</f>
        <v>S/A</v>
      </c>
      <c r="K941" t="str">
        <f>_xll.BDP("912827Y8 Govt","CPN_TYP")</f>
        <v>FIXED</v>
      </c>
      <c r="L941" t="str">
        <f>_xll.BDP("912827Y8 Govt","ID_ISIN")</f>
        <v>US912827Y893</v>
      </c>
      <c r="M941">
        <v>22708000000</v>
      </c>
      <c r="N941">
        <v>0</v>
      </c>
      <c r="O941" t="str">
        <f>_xll.BDP("912827Y8 Govt","ISSUE_DT")</f>
        <v>8/15/1996</v>
      </c>
      <c r="P941" t="str">
        <f>_xll.BDP("912827Y8 Govt","SECURITY_NAME")</f>
        <v>T 6 08/15/99</v>
      </c>
      <c r="Q941" t="str">
        <f>_xll.BDP("912827Y8 Govt","DAY_CNT_DES")</f>
        <v>ACT/ACT</v>
      </c>
      <c r="R941">
        <v>100</v>
      </c>
      <c r="S941" t="str">
        <f>_xll.BDP("912827Y8 Govt","ID_CUSIP")</f>
        <v>912827Y89</v>
      </c>
      <c r="T941" t="str">
        <f>_xll.BDP("912827Y8 Govt","IDX_RATIO")</f>
        <v>#N/A Field Not Applicable</v>
      </c>
    </row>
    <row r="942" spans="1:20" x14ac:dyDescent="0.25">
      <c r="A942" t="s">
        <v>14</v>
      </c>
      <c r="B942" t="str">
        <f>_xll.BDP("912827YA Govt","TICKER")</f>
        <v>T</v>
      </c>
      <c r="C942">
        <f>_xll.BDP("912827YA Govt","CPN")</f>
        <v>8.25</v>
      </c>
      <c r="D942" t="str">
        <f>_xll.BDP("912827YA Govt","YLD_YTM_BID")</f>
        <v>#N/A N/A</v>
      </c>
      <c r="E942" t="str">
        <f>_xll.BDP("912827YA Govt","MATURITY")</f>
        <v>9/30/1993</v>
      </c>
      <c r="F942" t="str">
        <f>_xll.BDP("912827YA Govt","MTY_TYP")</f>
        <v>NORMAL</v>
      </c>
      <c r="G942" t="str">
        <f>_xll.BDP("912827YA Govt","CRNCY")</f>
        <v>USD</v>
      </c>
      <c r="H942" t="str">
        <f>_xll.BDP("912827YA Govt","COUNTRY_FULL_NAME")</f>
        <v>UNITED STATES</v>
      </c>
      <c r="I942" t="str">
        <f>_xll.BDP("912827YA Govt","FIRST_CPN_DT")</f>
        <v>3/31/1990</v>
      </c>
      <c r="J942" t="str">
        <f>_xll.BDP("912827YA Govt","COUPON_FREQUENCY_DESCRIPTION")</f>
        <v>S/A</v>
      </c>
      <c r="K942" t="str">
        <f>_xll.BDP("912827YA Govt","CPN_TYP")</f>
        <v>FIXED</v>
      </c>
      <c r="L942" t="str">
        <f>_xll.BDP("912827YA Govt","ID_ISIN")</f>
        <v>US912827YA49</v>
      </c>
      <c r="N942">
        <v>0</v>
      </c>
      <c r="O942" t="str">
        <f>_xll.BDP("912827YA Govt","ISSUE_DT")</f>
        <v>10/2/1989</v>
      </c>
      <c r="P942" t="str">
        <f>_xll.BDP("912827YA Govt","SECURITY_NAME")</f>
        <v>T 8 1/4 09/30/93</v>
      </c>
      <c r="Q942" t="str">
        <f>_xll.BDP("912827YA Govt","DAY_CNT_DES")</f>
        <v>ACT/ACT</v>
      </c>
      <c r="R942">
        <v>100</v>
      </c>
      <c r="S942" t="str">
        <f>_xll.BDP("912827YA Govt","ID_CUSIP")</f>
        <v>912827YA4</v>
      </c>
      <c r="T942" t="str">
        <f>_xll.BDP("912827YA Govt","IDX_RATIO")</f>
        <v>#N/A Field Not Applicable</v>
      </c>
    </row>
    <row r="943" spans="1:20" x14ac:dyDescent="0.25">
      <c r="A943" t="s">
        <v>14</v>
      </c>
      <c r="B943" t="str">
        <f>_xll.BDP("912827YE Govt","TICKER")</f>
        <v>T</v>
      </c>
      <c r="C943">
        <f>_xll.BDP("912827YE Govt","CPN")</f>
        <v>7.875</v>
      </c>
      <c r="D943" t="str">
        <f>_xll.BDP("912827YE Govt","YLD_YTM_BID")</f>
        <v>#N/A N/A</v>
      </c>
      <c r="E943" t="str">
        <f>_xll.BDP("912827YE Govt","MATURITY")</f>
        <v>11/15/1999</v>
      </c>
      <c r="F943" t="str">
        <f>_xll.BDP("912827YE Govt","MTY_TYP")</f>
        <v>NORMAL</v>
      </c>
      <c r="G943" t="str">
        <f>_xll.BDP("912827YE Govt","CRNCY")</f>
        <v>USD</v>
      </c>
      <c r="H943" t="str">
        <f>_xll.BDP("912827YE Govt","COUNTRY_FULL_NAME")</f>
        <v>UNITED STATES</v>
      </c>
      <c r="I943" t="str">
        <f>_xll.BDP("912827YE Govt","FIRST_CPN_DT")</f>
        <v>5/15/1990</v>
      </c>
      <c r="J943" t="str">
        <f>_xll.BDP("912827YE Govt","COUPON_FREQUENCY_DESCRIPTION")</f>
        <v>S/A</v>
      </c>
      <c r="K943" t="str">
        <f>_xll.BDP("912827YE Govt","CPN_TYP")</f>
        <v>FIXED</v>
      </c>
      <c r="L943" t="str">
        <f>_xll.BDP("912827YE Govt","ID_ISIN")</f>
        <v>US912827YE60</v>
      </c>
      <c r="M943">
        <v>10774000000</v>
      </c>
      <c r="N943">
        <v>0</v>
      </c>
      <c r="O943" t="str">
        <f>_xll.BDP("912827YE Govt","ISSUE_DT")</f>
        <v>11/15/1989</v>
      </c>
      <c r="P943" t="str">
        <f>_xll.BDP("912827YE Govt","SECURITY_NAME")</f>
        <v>T 7 7/8 11/15/99</v>
      </c>
      <c r="Q943" t="str">
        <f>_xll.BDP("912827YE Govt","DAY_CNT_DES")</f>
        <v>ACT/ACT</v>
      </c>
      <c r="R943">
        <v>100</v>
      </c>
      <c r="S943" t="str">
        <f>_xll.BDP("912827YE Govt","ID_CUSIP")</f>
        <v>912827YE6</v>
      </c>
      <c r="T943" t="str">
        <f>_xll.BDP("912827YE Govt","IDX_RATIO")</f>
        <v>#N/A Field Not Applicable</v>
      </c>
    </row>
    <row r="944" spans="1:20" x14ac:dyDescent="0.25">
      <c r="A944" t="s">
        <v>14</v>
      </c>
      <c r="B944" t="str">
        <f>_xll.BDP("912827YG Govt","TICKER")</f>
        <v>T</v>
      </c>
      <c r="C944">
        <f>_xll.BDP("912827YG Govt","CPN")</f>
        <v>7.75</v>
      </c>
      <c r="D944" t="str">
        <f>_xll.BDP("912827YG Govt","YLD_YTM_BID")</f>
        <v>#N/A N/A</v>
      </c>
      <c r="E944" t="str">
        <f>_xll.BDP("912827YG Govt","MATURITY")</f>
        <v>2/15/1995</v>
      </c>
      <c r="F944" t="str">
        <f>_xll.BDP("912827YG Govt","MTY_TYP")</f>
        <v>NORMAL</v>
      </c>
      <c r="G944" t="str">
        <f>_xll.BDP("912827YG Govt","CRNCY")</f>
        <v>USD</v>
      </c>
      <c r="H944" t="str">
        <f>_xll.BDP("912827YG Govt","COUNTRY_FULL_NAME")</f>
        <v>UNITED STATES</v>
      </c>
      <c r="I944" t="str">
        <f>_xll.BDP("912827YG Govt","FIRST_CPN_DT")</f>
        <v>8/15/1990</v>
      </c>
      <c r="J944" t="str">
        <f>_xll.BDP("912827YG Govt","COUPON_FREQUENCY_DESCRIPTION")</f>
        <v>S/A</v>
      </c>
      <c r="K944" t="str">
        <f>_xll.BDP("912827YG Govt","CPN_TYP")</f>
        <v>FIXED</v>
      </c>
      <c r="L944" t="str">
        <f>_xll.BDP("912827YG Govt","ID_ISIN")</f>
        <v>US912827YG19</v>
      </c>
      <c r="N944">
        <v>0</v>
      </c>
      <c r="O944" t="str">
        <f>_xll.BDP("912827YG Govt","ISSUE_DT")</f>
        <v>12/1/1989</v>
      </c>
      <c r="P944" t="str">
        <f>_xll.BDP("912827YG Govt","SECURITY_NAME")</f>
        <v>T 7 3/4 02/15/95</v>
      </c>
      <c r="Q944" t="str">
        <f>_xll.BDP("912827YG Govt","DAY_CNT_DES")</f>
        <v>ACT/ACT</v>
      </c>
      <c r="R944">
        <v>100</v>
      </c>
      <c r="S944" t="str">
        <f>_xll.BDP("912827YG Govt","ID_CUSIP")</f>
        <v>912827YG1</v>
      </c>
      <c r="T944" t="str">
        <f>_xll.BDP("912827YG Govt","IDX_RATIO")</f>
        <v>#N/A Field Not Applicable</v>
      </c>
    </row>
    <row r="945" spans="1:20" x14ac:dyDescent="0.25">
      <c r="A945" t="s">
        <v>14</v>
      </c>
      <c r="B945" t="str">
        <f>_xll.BDP("912827YM Govt","TICKER")</f>
        <v>T</v>
      </c>
      <c r="C945">
        <f>_xll.BDP("912827YM Govt","CPN")</f>
        <v>8.375</v>
      </c>
      <c r="D945" t="str">
        <f>_xll.BDP("912827YM Govt","YLD_YTM_BID")</f>
        <v>#N/A N/A</v>
      </c>
      <c r="E945" t="str">
        <f>_xll.BDP("912827YM Govt","MATURITY")</f>
        <v>2/15/1993</v>
      </c>
      <c r="F945" t="str">
        <f>_xll.BDP("912827YM Govt","MTY_TYP")</f>
        <v>NORMAL</v>
      </c>
      <c r="G945" t="str">
        <f>_xll.BDP("912827YM Govt","CRNCY")</f>
        <v>USD</v>
      </c>
      <c r="H945" t="str">
        <f>_xll.BDP("912827YM Govt","COUNTRY_FULL_NAME")</f>
        <v>UNITED STATES</v>
      </c>
      <c r="I945" t="str">
        <f>_xll.BDP("912827YM Govt","FIRST_CPN_DT")</f>
        <v>8/15/1990</v>
      </c>
      <c r="J945" t="str">
        <f>_xll.BDP("912827YM Govt","COUPON_FREQUENCY_DESCRIPTION")</f>
        <v>S/A</v>
      </c>
      <c r="K945" t="str">
        <f>_xll.BDP("912827YM Govt","CPN_TYP")</f>
        <v>FIXED</v>
      </c>
      <c r="L945" t="str">
        <f>_xll.BDP("912827YM Govt","ID_ISIN")</f>
        <v>US912827YM86</v>
      </c>
      <c r="N945">
        <v>0</v>
      </c>
      <c r="O945" t="str">
        <f>_xll.BDP("912827YM Govt","ISSUE_DT")</f>
        <v>2/15/1990</v>
      </c>
      <c r="P945" t="str">
        <f>_xll.BDP("912827YM Govt","SECURITY_NAME")</f>
        <v>T 8 3/8 02/15/93</v>
      </c>
      <c r="Q945" t="str">
        <f>_xll.BDP("912827YM Govt","DAY_CNT_DES")</f>
        <v>ACT/ACT</v>
      </c>
      <c r="R945">
        <v>100</v>
      </c>
      <c r="S945" t="str">
        <f>_xll.BDP("912827YM Govt","ID_CUSIP")</f>
        <v>912827YM8</v>
      </c>
      <c r="T945" t="str">
        <f>_xll.BDP("912827YM Govt","IDX_RATIO")</f>
        <v>#N/A Field Not Applicable</v>
      </c>
    </row>
    <row r="946" spans="1:20" x14ac:dyDescent="0.25">
      <c r="A946" t="s">
        <v>14</v>
      </c>
      <c r="B946" t="str">
        <f>_xll.BDP("912827YS Govt","TICKER")</f>
        <v>T</v>
      </c>
      <c r="C946">
        <f>_xll.BDP("912827YS Govt","CPN")</f>
        <v>8.5</v>
      </c>
      <c r="D946" t="str">
        <f>_xll.BDP("912827YS Govt","YLD_YTM_BID")</f>
        <v>#N/A N/A</v>
      </c>
      <c r="E946" t="str">
        <f>_xll.BDP("912827YS Govt","MATURITY")</f>
        <v>3/31/1994</v>
      </c>
      <c r="F946" t="str">
        <f>_xll.BDP("912827YS Govt","MTY_TYP")</f>
        <v>NORMAL</v>
      </c>
      <c r="G946" t="str">
        <f>_xll.BDP("912827YS Govt","CRNCY")</f>
        <v>USD</v>
      </c>
      <c r="H946" t="str">
        <f>_xll.BDP("912827YS Govt","COUNTRY_FULL_NAME")</f>
        <v>UNITED STATES</v>
      </c>
      <c r="I946" t="str">
        <f>_xll.BDP("912827YS Govt","FIRST_CPN_DT")</f>
        <v>9/30/1990</v>
      </c>
      <c r="J946" t="str">
        <f>_xll.BDP("912827YS Govt","COUPON_FREQUENCY_DESCRIPTION")</f>
        <v>S/A</v>
      </c>
      <c r="K946" t="str">
        <f>_xll.BDP("912827YS Govt","CPN_TYP")</f>
        <v>FIXED</v>
      </c>
      <c r="L946" t="str">
        <f>_xll.BDP("912827YS Govt","ID_ISIN")</f>
        <v>US912827YS56</v>
      </c>
      <c r="N946">
        <v>0</v>
      </c>
      <c r="O946" t="str">
        <f>_xll.BDP("912827YS Govt","ISSUE_DT")</f>
        <v>4/2/1990</v>
      </c>
      <c r="P946" t="str">
        <f>_xll.BDP("912827YS Govt","SECURITY_NAME")</f>
        <v>T 8 1/2 03/31/94</v>
      </c>
      <c r="Q946" t="str">
        <f>_xll.BDP("912827YS Govt","DAY_CNT_DES")</f>
        <v>ACT/ACT</v>
      </c>
      <c r="R946">
        <v>100</v>
      </c>
      <c r="S946" t="str">
        <f>_xll.BDP("912827YS Govt","ID_CUSIP")</f>
        <v>912827YS5</v>
      </c>
      <c r="T946" t="str">
        <f>_xll.BDP("912827YS Govt","IDX_RATIO")</f>
        <v>#N/A Field Not Applicable</v>
      </c>
    </row>
    <row r="947" spans="1:20" x14ac:dyDescent="0.25">
      <c r="A947" t="s">
        <v>14</v>
      </c>
      <c r="B947" t="str">
        <f>_xll.BDP("912827YV Govt","TICKER")</f>
        <v>T</v>
      </c>
      <c r="C947">
        <f>_xll.BDP("912827YV Govt","CPN")</f>
        <v>8.625</v>
      </c>
      <c r="D947" t="str">
        <f>_xll.BDP("912827YV Govt","YLD_YTM_BID")</f>
        <v>#N/A N/A</v>
      </c>
      <c r="E947" t="str">
        <f>_xll.BDP("912827YV Govt","MATURITY")</f>
        <v>5/15/1993</v>
      </c>
      <c r="F947" t="str">
        <f>_xll.BDP("912827YV Govt","MTY_TYP")</f>
        <v>NORMAL</v>
      </c>
      <c r="G947" t="str">
        <f>_xll.BDP("912827YV Govt","CRNCY")</f>
        <v>USD</v>
      </c>
      <c r="H947" t="str">
        <f>_xll.BDP("912827YV Govt","COUNTRY_FULL_NAME")</f>
        <v>UNITED STATES</v>
      </c>
      <c r="I947" t="str">
        <f>_xll.BDP("912827YV Govt","FIRST_CPN_DT")</f>
        <v>11/15/1990</v>
      </c>
      <c r="J947" t="str">
        <f>_xll.BDP("912827YV Govt","COUPON_FREQUENCY_DESCRIPTION")</f>
        <v>S/A</v>
      </c>
      <c r="K947" t="str">
        <f>_xll.BDP("912827YV Govt","CPN_TYP")</f>
        <v>FIXED</v>
      </c>
      <c r="L947" t="str">
        <f>_xll.BDP("912827YV Govt","ID_ISIN")</f>
        <v>US912827YV85</v>
      </c>
      <c r="N947">
        <v>0</v>
      </c>
      <c r="O947" t="str">
        <f>_xll.BDP("912827YV Govt","ISSUE_DT")</f>
        <v>5/15/1990</v>
      </c>
      <c r="P947" t="str">
        <f>_xll.BDP("912827YV Govt","SECURITY_NAME")</f>
        <v>T 8 5/8 05/15/93</v>
      </c>
      <c r="Q947" t="str">
        <f>_xll.BDP("912827YV Govt","DAY_CNT_DES")</f>
        <v>ACT/ACT</v>
      </c>
      <c r="R947">
        <v>100</v>
      </c>
      <c r="S947" t="str">
        <f>_xll.BDP("912827YV Govt","ID_CUSIP")</f>
        <v>912827YV8</v>
      </c>
      <c r="T947" t="str">
        <f>_xll.BDP("912827YV Govt","IDX_RATIO")</f>
        <v>#N/A Field Not Applicable</v>
      </c>
    </row>
    <row r="948" spans="1:20" x14ac:dyDescent="0.25">
      <c r="A948" t="s">
        <v>14</v>
      </c>
      <c r="B948" t="str">
        <f>_xll.BDP("912827YX Govt","TICKER")</f>
        <v>T</v>
      </c>
      <c r="C948">
        <f>_xll.BDP("912827YX Govt","CPN")</f>
        <v>8.5</v>
      </c>
      <c r="D948" t="str">
        <f>_xll.BDP("912827YX Govt","YLD_YTM_BID")</f>
        <v>#N/A N/A</v>
      </c>
      <c r="E948" t="str">
        <f>_xll.BDP("912827YX Govt","MATURITY")</f>
        <v>5/31/1992</v>
      </c>
      <c r="F948" t="str">
        <f>_xll.BDP("912827YX Govt","MTY_TYP")</f>
        <v>NORMAL</v>
      </c>
      <c r="G948" t="str">
        <f>_xll.BDP("912827YX Govt","CRNCY")</f>
        <v>USD</v>
      </c>
      <c r="H948" t="str">
        <f>_xll.BDP("912827YX Govt","COUNTRY_FULL_NAME")</f>
        <v>UNITED STATES</v>
      </c>
      <c r="I948" t="str">
        <f>_xll.BDP("912827YX Govt","FIRST_CPN_DT")</f>
        <v>11/30/1990</v>
      </c>
      <c r="J948" t="str">
        <f>_xll.BDP("912827YX Govt","COUPON_FREQUENCY_DESCRIPTION")</f>
        <v>S/A</v>
      </c>
      <c r="K948" t="str">
        <f>_xll.BDP("912827YX Govt","CPN_TYP")</f>
        <v>FIXED</v>
      </c>
      <c r="L948" t="str">
        <f>_xll.BDP("912827YX Govt","ID_ISIN")</f>
        <v>US912827YX42</v>
      </c>
      <c r="N948">
        <v>0</v>
      </c>
      <c r="O948" t="str">
        <f>_xll.BDP("912827YX Govt","ISSUE_DT")</f>
        <v>5/31/1990</v>
      </c>
      <c r="P948" t="str">
        <f>_xll.BDP("912827YX Govt","SECURITY_NAME")</f>
        <v>T 8 1/2 05/31/92</v>
      </c>
      <c r="Q948" t="str">
        <f>_xll.BDP("912827YX Govt","DAY_CNT_DES")</f>
        <v>ACT/ACT</v>
      </c>
      <c r="R948">
        <v>100</v>
      </c>
      <c r="S948" t="str">
        <f>_xll.BDP("912827YX Govt","ID_CUSIP")</f>
        <v>912827YX4</v>
      </c>
      <c r="T948" t="str">
        <f>_xll.BDP("912827YX Govt","IDX_RATIO")</f>
        <v>#N/A Field Not Applicable</v>
      </c>
    </row>
    <row r="949" spans="1:20" x14ac:dyDescent="0.25">
      <c r="A949" t="s">
        <v>14</v>
      </c>
      <c r="B949" t="str">
        <f>_xll.BDP("912827YY Govt","TICKER")</f>
        <v>T</v>
      </c>
      <c r="C949">
        <f>_xll.BDP("912827YY Govt","CPN")</f>
        <v>8.5</v>
      </c>
      <c r="D949" t="str">
        <f>_xll.BDP("912827YY Govt","YLD_YTM_BID")</f>
        <v>#N/A N/A</v>
      </c>
      <c r="E949" t="str">
        <f>_xll.BDP("912827YY Govt","MATURITY")</f>
        <v>8/15/1995</v>
      </c>
      <c r="F949" t="str">
        <f>_xll.BDP("912827YY Govt","MTY_TYP")</f>
        <v>NORMAL</v>
      </c>
      <c r="G949" t="str">
        <f>_xll.BDP("912827YY Govt","CRNCY")</f>
        <v>USD</v>
      </c>
      <c r="H949" t="str">
        <f>_xll.BDP("912827YY Govt","COUNTRY_FULL_NAME")</f>
        <v>UNITED STATES</v>
      </c>
      <c r="I949" t="str">
        <f>_xll.BDP("912827YY Govt","FIRST_CPN_DT")</f>
        <v>2/15/1991</v>
      </c>
      <c r="J949" t="str">
        <f>_xll.BDP("912827YY Govt","COUPON_FREQUENCY_DESCRIPTION")</f>
        <v>S/A</v>
      </c>
      <c r="K949" t="str">
        <f>_xll.BDP("912827YY Govt","CPN_TYP")</f>
        <v>FIXED</v>
      </c>
      <c r="L949" t="str">
        <f>_xll.BDP("912827YY Govt","ID_ISIN")</f>
        <v>US912827YY25</v>
      </c>
      <c r="N949">
        <v>0</v>
      </c>
      <c r="O949" t="str">
        <f>_xll.BDP("912827YY Govt","ISSUE_DT")</f>
        <v>6/1/1990</v>
      </c>
      <c r="P949" t="str">
        <f>_xll.BDP("912827YY Govt","SECURITY_NAME")</f>
        <v>T 8 1/2 08/15/95</v>
      </c>
      <c r="Q949" t="str">
        <f>_xll.BDP("912827YY Govt","DAY_CNT_DES")</f>
        <v>ACT/ACT</v>
      </c>
      <c r="R949">
        <v>100</v>
      </c>
      <c r="S949" t="str">
        <f>_xll.BDP("912827YY Govt","ID_CUSIP")</f>
        <v>912827YY2</v>
      </c>
      <c r="T949" t="str">
        <f>_xll.BDP("912827YY Govt","IDX_RATIO")</f>
        <v>#N/A Field Not Applicable</v>
      </c>
    </row>
    <row r="950" spans="1:20" x14ac:dyDescent="0.25">
      <c r="A950" t="s">
        <v>14</v>
      </c>
      <c r="B950" t="str">
        <f>_xll.BDP("912827YZ Govt","TICKER")</f>
        <v>T</v>
      </c>
      <c r="C950">
        <f>_xll.BDP("912827YZ Govt","CPN")</f>
        <v>8.375</v>
      </c>
      <c r="D950" t="str">
        <f>_xll.BDP("912827YZ Govt","YLD_YTM_BID")</f>
        <v>#N/A N/A</v>
      </c>
      <c r="E950" t="str">
        <f>_xll.BDP("912827YZ Govt","MATURITY")</f>
        <v>6/30/1992</v>
      </c>
      <c r="F950" t="str">
        <f>_xll.BDP("912827YZ Govt","MTY_TYP")</f>
        <v>NORMAL</v>
      </c>
      <c r="G950" t="str">
        <f>_xll.BDP("912827YZ Govt","CRNCY")</f>
        <v>USD</v>
      </c>
      <c r="H950" t="str">
        <f>_xll.BDP("912827YZ Govt","COUNTRY_FULL_NAME")</f>
        <v>UNITED STATES</v>
      </c>
      <c r="I950" t="str">
        <f>_xll.BDP("912827YZ Govt","FIRST_CPN_DT")</f>
        <v>12/31/1990</v>
      </c>
      <c r="J950" t="str">
        <f>_xll.BDP("912827YZ Govt","COUPON_FREQUENCY_DESCRIPTION")</f>
        <v>S/A</v>
      </c>
      <c r="K950" t="str">
        <f>_xll.BDP("912827YZ Govt","CPN_TYP")</f>
        <v>FIXED</v>
      </c>
      <c r="L950" t="str">
        <f>_xll.BDP("912827YZ Govt","ID_ISIN")</f>
        <v>US912827YZ99</v>
      </c>
      <c r="N950">
        <v>0</v>
      </c>
      <c r="O950" t="str">
        <f>_xll.BDP("912827YZ Govt","ISSUE_DT")</f>
        <v>7/2/1990</v>
      </c>
      <c r="P950" t="str">
        <f>_xll.BDP("912827YZ Govt","SECURITY_NAME")</f>
        <v>T 8 3/8 06/30/92</v>
      </c>
      <c r="Q950" t="str">
        <f>_xll.BDP("912827YZ Govt","DAY_CNT_DES")</f>
        <v>ACT/ACT</v>
      </c>
      <c r="R950">
        <v>100</v>
      </c>
      <c r="S950" t="str">
        <f>_xll.BDP("912827YZ Govt","ID_CUSIP")</f>
        <v>912827YZ9</v>
      </c>
      <c r="T950" t="str">
        <f>_xll.BDP("912827YZ Govt","IDX_RATIO")</f>
        <v>#N/A Field Not Applicable</v>
      </c>
    </row>
    <row r="951" spans="1:20" x14ac:dyDescent="0.25">
      <c r="A951" t="s">
        <v>14</v>
      </c>
      <c r="B951" t="str">
        <f>_xll.BDP("912827Z2 Govt","TICKER")</f>
        <v>T</v>
      </c>
      <c r="C951">
        <f>_xll.BDP("912827Z2 Govt","CPN")</f>
        <v>6.125</v>
      </c>
      <c r="D951" t="str">
        <f>_xll.BDP("912827Z2 Govt","YLD_YTM_BID")</f>
        <v>#N/A N/A</v>
      </c>
      <c r="E951" t="str">
        <f>_xll.BDP("912827Z2 Govt","MATURITY")</f>
        <v>8/31/1998</v>
      </c>
      <c r="F951" t="str">
        <f>_xll.BDP("912827Z2 Govt","MTY_TYP")</f>
        <v>NORMAL</v>
      </c>
      <c r="G951" t="str">
        <f>_xll.BDP("912827Z2 Govt","CRNCY")</f>
        <v>USD</v>
      </c>
      <c r="H951" t="str">
        <f>_xll.BDP("912827Z2 Govt","COUNTRY_FULL_NAME")</f>
        <v>UNITED STATES</v>
      </c>
      <c r="I951" t="str">
        <f>_xll.BDP("912827Z2 Govt","FIRST_CPN_DT")</f>
        <v>2/28/1997</v>
      </c>
      <c r="J951" t="str">
        <f>_xll.BDP("912827Z2 Govt","COUPON_FREQUENCY_DESCRIPTION")</f>
        <v>S/A</v>
      </c>
      <c r="K951" t="str">
        <f>_xll.BDP("912827Z2 Govt","CPN_TYP")</f>
        <v>FIXED</v>
      </c>
      <c r="L951" t="str">
        <f>_xll.BDP("912827Z2 Govt","ID_ISIN")</f>
        <v>US912827Z213</v>
      </c>
      <c r="M951">
        <v>21949000000</v>
      </c>
      <c r="N951">
        <v>0</v>
      </c>
      <c r="O951" t="str">
        <f>_xll.BDP("912827Z2 Govt","ISSUE_DT")</f>
        <v>9/3/1996</v>
      </c>
      <c r="P951" t="str">
        <f>_xll.BDP("912827Z2 Govt","SECURITY_NAME")</f>
        <v>T 6 1/8 08/31/98</v>
      </c>
      <c r="Q951" t="str">
        <f>_xll.BDP("912827Z2 Govt","DAY_CNT_DES")</f>
        <v>ACT/ACT</v>
      </c>
      <c r="R951">
        <v>100</v>
      </c>
      <c r="S951" t="str">
        <f>_xll.BDP("912827Z2 Govt","ID_CUSIP")</f>
        <v>912827Z21</v>
      </c>
      <c r="T951" t="str">
        <f>_xll.BDP("912827Z2 Govt","IDX_RATIO")</f>
        <v>#N/A Field Not Applicable</v>
      </c>
    </row>
    <row r="952" spans="1:20" x14ac:dyDescent="0.25">
      <c r="A952" t="s">
        <v>14</v>
      </c>
      <c r="B952" t="str">
        <f>_xll.BDP("912827ZK Govt","TICKER")</f>
        <v>T</v>
      </c>
      <c r="C952">
        <f>_xll.BDP("912827ZK Govt","CPN")</f>
        <v>8.75</v>
      </c>
      <c r="D952" t="str">
        <f>_xll.BDP("912827ZK Govt","YLD_YTM_BID")</f>
        <v>#N/A N/A</v>
      </c>
      <c r="E952" t="str">
        <f>_xll.BDP("912827ZK Govt","MATURITY")</f>
        <v>10/15/1997</v>
      </c>
      <c r="F952" t="str">
        <f>_xll.BDP("912827ZK Govt","MTY_TYP")</f>
        <v>NORMAL</v>
      </c>
      <c r="G952" t="str">
        <f>_xll.BDP("912827ZK Govt","CRNCY")</f>
        <v>USD</v>
      </c>
      <c r="H952" t="str">
        <f>_xll.BDP("912827ZK Govt","COUNTRY_FULL_NAME")</f>
        <v>UNITED STATES</v>
      </c>
      <c r="I952" t="str">
        <f>_xll.BDP("912827ZK Govt","FIRST_CPN_DT")</f>
        <v>4/15/1991</v>
      </c>
      <c r="J952" t="str">
        <f>_xll.BDP("912827ZK Govt","COUPON_FREQUENCY_DESCRIPTION")</f>
        <v>S/A</v>
      </c>
      <c r="K952" t="str">
        <f>_xll.BDP("912827ZK Govt","CPN_TYP")</f>
        <v>FIXED</v>
      </c>
      <c r="L952" t="str">
        <f>_xll.BDP("912827ZK Govt","ID_ISIN")</f>
        <v>US912827ZK12</v>
      </c>
      <c r="M952">
        <v>8860000000</v>
      </c>
      <c r="N952">
        <v>0</v>
      </c>
      <c r="O952" t="str">
        <f>_xll.BDP("912827ZK Govt","ISSUE_DT")</f>
        <v>10/15/1990</v>
      </c>
      <c r="P952" t="str">
        <f>_xll.BDP("912827ZK Govt","SECURITY_NAME")</f>
        <v>T 8 3/4 10/15/97</v>
      </c>
      <c r="Q952" t="str">
        <f>_xll.BDP("912827ZK Govt","DAY_CNT_DES")</f>
        <v>ACT/ACT</v>
      </c>
      <c r="R952">
        <v>100</v>
      </c>
      <c r="S952" t="str">
        <f>_xll.BDP("912827ZK Govt","ID_CUSIP")</f>
        <v>912827ZK1</v>
      </c>
      <c r="T952" t="str">
        <f>_xll.BDP("912827ZK Govt","IDX_RATIO")</f>
        <v>#N/A Field Not Applicable</v>
      </c>
    </row>
    <row r="953" spans="1:20" x14ac:dyDescent="0.25">
      <c r="A953" t="s">
        <v>14</v>
      </c>
      <c r="B953" t="str">
        <f>_xll.BDP("912827ZP Govt","TICKER")</f>
        <v>T</v>
      </c>
      <c r="C953">
        <f>_xll.BDP("912827ZP Govt","CPN")</f>
        <v>7.375</v>
      </c>
      <c r="D953" t="str">
        <f>_xll.BDP("912827ZP Govt","YLD_YTM_BID")</f>
        <v>#N/A N/A</v>
      </c>
      <c r="E953" t="str">
        <f>_xll.BDP("912827ZP Govt","MATURITY")</f>
        <v>11/30/1992</v>
      </c>
      <c r="F953" t="str">
        <f>_xll.BDP("912827ZP Govt","MTY_TYP")</f>
        <v>NORMAL</v>
      </c>
      <c r="G953" t="str">
        <f>_xll.BDP("912827ZP Govt","CRNCY")</f>
        <v>USD</v>
      </c>
      <c r="H953" t="str">
        <f>_xll.BDP("912827ZP Govt","COUNTRY_FULL_NAME")</f>
        <v>UNITED STATES</v>
      </c>
      <c r="I953" t="str">
        <f>_xll.BDP("912827ZP Govt","FIRST_CPN_DT")</f>
        <v>5/31/1991</v>
      </c>
      <c r="J953" t="str">
        <f>_xll.BDP("912827ZP Govt","COUPON_FREQUENCY_DESCRIPTION")</f>
        <v>S/A</v>
      </c>
      <c r="K953" t="str">
        <f>_xll.BDP("912827ZP Govt","CPN_TYP")</f>
        <v>FIXED</v>
      </c>
      <c r="L953" t="str">
        <f>_xll.BDP("912827ZP Govt","ID_ISIN")</f>
        <v>US912827ZP09</v>
      </c>
      <c r="N953">
        <v>0</v>
      </c>
      <c r="O953" t="str">
        <f>_xll.BDP("912827ZP Govt","ISSUE_DT")</f>
        <v>11/30/1990</v>
      </c>
      <c r="P953" t="str">
        <f>_xll.BDP("912827ZP Govt","SECURITY_NAME")</f>
        <v>T 7 3/8 11/30/92</v>
      </c>
      <c r="Q953" t="str">
        <f>_xll.BDP("912827ZP Govt","DAY_CNT_DES")</f>
        <v>ACT/ACT</v>
      </c>
      <c r="R953">
        <v>100</v>
      </c>
      <c r="S953" t="str">
        <f>_xll.BDP("912827ZP Govt","ID_CUSIP")</f>
        <v>912827ZP0</v>
      </c>
      <c r="T953" t="str">
        <f>_xll.BDP("912827ZP Govt","IDX_RATIO")</f>
        <v>#N/A Field Not Applicable</v>
      </c>
    </row>
    <row r="954" spans="1:20" x14ac:dyDescent="0.25">
      <c r="A954" t="s">
        <v>14</v>
      </c>
      <c r="B954" t="str">
        <f>_xll.BDP("912827ZS Govt","TICKER")</f>
        <v>T</v>
      </c>
      <c r="C954">
        <f>_xll.BDP("912827ZS Govt","CPN")</f>
        <v>7.625</v>
      </c>
      <c r="D954" t="str">
        <f>_xll.BDP("912827ZS Govt","YLD_YTM_BID")</f>
        <v>#N/A N/A</v>
      </c>
      <c r="E954" t="str">
        <f>_xll.BDP("912827ZS Govt","MATURITY")</f>
        <v>12/31/1994</v>
      </c>
      <c r="F954" t="str">
        <f>_xll.BDP("912827ZS Govt","MTY_TYP")</f>
        <v>NORMAL</v>
      </c>
      <c r="G954" t="str">
        <f>_xll.BDP("912827ZS Govt","CRNCY")</f>
        <v>USD</v>
      </c>
      <c r="H954" t="str">
        <f>_xll.BDP("912827ZS Govt","COUNTRY_FULL_NAME")</f>
        <v>UNITED STATES</v>
      </c>
      <c r="I954" t="str">
        <f>_xll.BDP("912827ZS Govt","FIRST_CPN_DT")</f>
        <v>6/30/1991</v>
      </c>
      <c r="J954" t="str">
        <f>_xll.BDP("912827ZS Govt","COUPON_FREQUENCY_DESCRIPTION")</f>
        <v>S/A</v>
      </c>
      <c r="K954" t="str">
        <f>_xll.BDP("912827ZS Govt","CPN_TYP")</f>
        <v>FIXED</v>
      </c>
      <c r="L954" t="str">
        <f>_xll.BDP("912827ZS Govt","ID_ISIN")</f>
        <v>US912827ZS48</v>
      </c>
      <c r="N954">
        <v>0</v>
      </c>
      <c r="O954" t="str">
        <f>_xll.BDP("912827ZS Govt","ISSUE_DT")</f>
        <v>12/31/1990</v>
      </c>
      <c r="P954" t="str">
        <f>_xll.BDP("912827ZS Govt","SECURITY_NAME")</f>
        <v>T 7 5/8 12/31/94</v>
      </c>
      <c r="Q954" t="str">
        <f>_xll.BDP("912827ZS Govt","DAY_CNT_DES")</f>
        <v>ACT/ACT</v>
      </c>
      <c r="R954">
        <v>100</v>
      </c>
      <c r="S954" t="str">
        <f>_xll.BDP("912827ZS Govt","ID_CUSIP")</f>
        <v>912827ZS4</v>
      </c>
      <c r="T954" t="str">
        <f>_xll.BDP("912827ZS Govt","IDX_RATIO")</f>
        <v>#N/A Field Not Applicable</v>
      </c>
    </row>
    <row r="955" spans="1:20" x14ac:dyDescent="0.25">
      <c r="A955" t="s">
        <v>14</v>
      </c>
      <c r="B955" t="str">
        <f>_xll.BDP("912827ZU Govt","TICKER")</f>
        <v>T</v>
      </c>
      <c r="C955">
        <f>_xll.BDP("912827ZU Govt","CPN")</f>
        <v>7</v>
      </c>
      <c r="D955" t="str">
        <f>_xll.BDP("912827ZU Govt","YLD_YTM_BID")</f>
        <v>#N/A N/A</v>
      </c>
      <c r="E955" t="str">
        <f>_xll.BDP("912827ZU Govt","MATURITY")</f>
        <v>1/31/1993</v>
      </c>
      <c r="F955" t="str">
        <f>_xll.BDP("912827ZU Govt","MTY_TYP")</f>
        <v>NORMAL</v>
      </c>
      <c r="G955" t="str">
        <f>_xll.BDP("912827ZU Govt","CRNCY")</f>
        <v>USD</v>
      </c>
      <c r="H955" t="str">
        <f>_xll.BDP("912827ZU Govt","COUNTRY_FULL_NAME")</f>
        <v>UNITED STATES</v>
      </c>
      <c r="I955" t="str">
        <f>_xll.BDP("912827ZU Govt","FIRST_CPN_DT")</f>
        <v>7/31/1991</v>
      </c>
      <c r="J955" t="str">
        <f>_xll.BDP("912827ZU Govt","COUPON_FREQUENCY_DESCRIPTION")</f>
        <v>S/A</v>
      </c>
      <c r="K955" t="str">
        <f>_xll.BDP("912827ZU Govt","CPN_TYP")</f>
        <v>FIXED</v>
      </c>
      <c r="L955" t="str">
        <f>_xll.BDP("912827ZU Govt","ID_ISIN")</f>
        <v>US912827ZU93</v>
      </c>
      <c r="N955">
        <v>0</v>
      </c>
      <c r="O955" t="str">
        <f>_xll.BDP("912827ZU Govt","ISSUE_DT")</f>
        <v>1/31/1991</v>
      </c>
      <c r="P955" t="str">
        <f>_xll.BDP("912827ZU Govt","SECURITY_NAME")</f>
        <v>T 7 01/31/93</v>
      </c>
      <c r="Q955" t="str">
        <f>_xll.BDP("912827ZU Govt","DAY_CNT_DES")</f>
        <v>ACT/ACT</v>
      </c>
      <c r="R955">
        <v>100</v>
      </c>
      <c r="S955" t="str">
        <f>_xll.BDP("912827ZU Govt","ID_CUSIP")</f>
        <v>912827ZU9</v>
      </c>
      <c r="T955" t="str">
        <f>_xll.BDP("912827ZU Govt","IDX_RATIO")</f>
        <v>#N/A Field Not Applicable</v>
      </c>
    </row>
    <row r="956" spans="1:20" x14ac:dyDescent="0.25">
      <c r="A956" t="s">
        <v>14</v>
      </c>
      <c r="B956" t="str">
        <f>_xll.BDP("912827ZX Govt","TICKER")</f>
        <v>T</v>
      </c>
      <c r="C956">
        <f>_xll.BDP("912827ZX Govt","CPN")</f>
        <v>7.75</v>
      </c>
      <c r="D956" t="str">
        <f>_xll.BDP("912827ZX Govt","YLD_YTM_BID")</f>
        <v>#N/A N/A</v>
      </c>
      <c r="E956" t="str">
        <f>_xll.BDP("912827ZX Govt","MATURITY")</f>
        <v>2/15/2001</v>
      </c>
      <c r="F956" t="str">
        <f>_xll.BDP("912827ZX Govt","MTY_TYP")</f>
        <v>NORMAL</v>
      </c>
      <c r="G956" t="str">
        <f>_xll.BDP("912827ZX Govt","CRNCY")</f>
        <v>USD</v>
      </c>
      <c r="H956" t="str">
        <f>_xll.BDP("912827ZX Govt","COUNTRY_FULL_NAME")</f>
        <v>UNITED STATES</v>
      </c>
      <c r="I956" t="str">
        <f>_xll.BDP("912827ZX Govt","FIRST_CPN_DT")</f>
        <v>8/15/1991</v>
      </c>
      <c r="J956" t="str">
        <f>_xll.BDP("912827ZX Govt","COUPON_FREQUENCY_DESCRIPTION")</f>
        <v>S/A</v>
      </c>
      <c r="K956" t="str">
        <f>_xll.BDP("912827ZX Govt","CPN_TYP")</f>
        <v>FIXED</v>
      </c>
      <c r="L956" t="str">
        <f>_xll.BDP("912827ZX Govt","ID_ISIN")</f>
        <v>US912827ZX33</v>
      </c>
      <c r="M956">
        <v>11313000000</v>
      </c>
      <c r="N956">
        <v>0</v>
      </c>
      <c r="O956" t="str">
        <f>_xll.BDP("912827ZX Govt","ISSUE_DT")</f>
        <v>2/15/1991</v>
      </c>
      <c r="P956" t="str">
        <f>_xll.BDP("912827ZX Govt","SECURITY_NAME")</f>
        <v>T 7 3/4 02/15/01</v>
      </c>
      <c r="Q956" t="str">
        <f>_xll.BDP("912827ZX Govt","DAY_CNT_DES")</f>
        <v>ACT/ACT</v>
      </c>
      <c r="R956">
        <v>100</v>
      </c>
      <c r="S956" t="str">
        <f>_xll.BDP("912827ZX Govt","ID_CUSIP")</f>
        <v>912827ZX3</v>
      </c>
      <c r="T956" t="str">
        <f>_xll.BDP("912827ZX Govt","IDX_RATIO")</f>
        <v>#N/A Field Not Applicable</v>
      </c>
    </row>
    <row r="957" spans="1:20" x14ac:dyDescent="0.25">
      <c r="A957" t="s">
        <v>14</v>
      </c>
      <c r="B957" t="str">
        <f>_xll.BDP("9128282K Govt","TICKER")</f>
        <v>T</v>
      </c>
      <c r="C957">
        <f>_xll.BDP("9128282K Govt","CPN")</f>
        <v>1.375</v>
      </c>
      <c r="D957" t="str">
        <f>_xll.BDP("9128282K Govt","YLD_YTM_BID")</f>
        <v>#N/A N/A</v>
      </c>
      <c r="E957" t="str">
        <f>_xll.BDP("9128282K Govt","MATURITY")</f>
        <v>7/31/2019</v>
      </c>
      <c r="F957" t="str">
        <f>_xll.BDP("9128282K Govt","MTY_TYP")</f>
        <v>NORMAL</v>
      </c>
      <c r="G957" t="str">
        <f>_xll.BDP("9128282K Govt","CRNCY")</f>
        <v>USD</v>
      </c>
      <c r="H957" t="str">
        <f>_xll.BDP("9128282K Govt","COUNTRY_FULL_NAME")</f>
        <v>UNITED STATES</v>
      </c>
      <c r="I957" t="str">
        <f>_xll.BDP("9128282K Govt","FIRST_CPN_DT")</f>
        <v>1/31/2018</v>
      </c>
      <c r="J957" t="str">
        <f>_xll.BDP("9128282K Govt","COUPON_FREQUENCY_DESCRIPTION")</f>
        <v>S/A</v>
      </c>
      <c r="K957" t="str">
        <f>_xll.BDP("9128282K Govt","CPN_TYP")</f>
        <v>FIXED</v>
      </c>
      <c r="L957" t="str">
        <f>_xll.BDP("9128282K Govt","ID_ISIN")</f>
        <v>US9128282K52</v>
      </c>
      <c r="M957">
        <v>28637000000</v>
      </c>
      <c r="N957">
        <v>0</v>
      </c>
      <c r="O957" t="str">
        <f>_xll.BDP("9128282K Govt","ISSUE_DT")</f>
        <v>7/31/2017</v>
      </c>
      <c r="P957" t="str">
        <f>_xll.BDP("9128282K Govt","SECURITY_NAME")</f>
        <v>T 1 3/8 07/31/19</v>
      </c>
      <c r="Q957" t="str">
        <f>_xll.BDP("9128282K Govt","DAY_CNT_DES")</f>
        <v>ACT/ACT</v>
      </c>
      <c r="R957">
        <v>100</v>
      </c>
      <c r="S957" t="str">
        <f>_xll.BDP("9128282K Govt","ID_CUSIP")</f>
        <v>9128282K5</v>
      </c>
      <c r="T957" t="str">
        <f>_xll.BDP("9128282K Govt","IDX_RATIO")</f>
        <v>#N/A Field Not Applicable</v>
      </c>
    </row>
    <row r="958" spans="1:20" x14ac:dyDescent="0.25">
      <c r="A958" t="s">
        <v>14</v>
      </c>
      <c r="B958" t="str">
        <f>_xll.BDP("912828AB Govt","TICKER")</f>
        <v>T</v>
      </c>
      <c r="C958">
        <f>_xll.BDP("912828AB Govt","CPN")</f>
        <v>3.375</v>
      </c>
      <c r="D958" t="str">
        <f>_xll.BDP("912828AB Govt","YLD_YTM_BID")</f>
        <v>#N/A N/A</v>
      </c>
      <c r="E958" t="str">
        <f>_xll.BDP("912828AB Govt","MATURITY")</f>
        <v>4/30/2004</v>
      </c>
      <c r="F958" t="str">
        <f>_xll.BDP("912828AB Govt","MTY_TYP")</f>
        <v>NORMAL</v>
      </c>
      <c r="G958" t="str">
        <f>_xll.BDP("912828AB Govt","CRNCY")</f>
        <v>USD</v>
      </c>
      <c r="H958" t="str">
        <f>_xll.BDP("912828AB Govt","COUNTRY_FULL_NAME")</f>
        <v>UNITED STATES</v>
      </c>
      <c r="I958" t="str">
        <f>_xll.BDP("912828AB Govt","FIRST_CPN_DT")</f>
        <v>10/31/2002</v>
      </c>
      <c r="J958" t="str">
        <f>_xll.BDP("912828AB Govt","COUPON_FREQUENCY_DESCRIPTION")</f>
        <v>S/A</v>
      </c>
      <c r="K958" t="str">
        <f>_xll.BDP("912828AB Govt","CPN_TYP")</f>
        <v>FIXED</v>
      </c>
      <c r="L958" t="str">
        <f>_xll.BDP("912828AB Govt","ID_ISIN")</f>
        <v>US912828AB60</v>
      </c>
      <c r="M958">
        <v>32655000000</v>
      </c>
      <c r="N958">
        <v>0</v>
      </c>
      <c r="O958" t="str">
        <f>_xll.BDP("912828AB Govt","ISSUE_DT")</f>
        <v>4/30/2002</v>
      </c>
      <c r="P958" t="str">
        <f>_xll.BDP("912828AB Govt","SECURITY_NAME")</f>
        <v>T 3 3/8 04/30/04</v>
      </c>
      <c r="Q958" t="str">
        <f>_xll.BDP("912828AB Govt","DAY_CNT_DES")</f>
        <v>ACT/ACT</v>
      </c>
      <c r="R958">
        <v>100</v>
      </c>
      <c r="S958" t="str">
        <f>_xll.BDP("912828AB Govt","ID_CUSIP")</f>
        <v>912828AB6</v>
      </c>
      <c r="T958" t="str">
        <f>_xll.BDP("912828AB Govt","IDX_RATIO")</f>
        <v>#N/A Field Not Applicable</v>
      </c>
    </row>
    <row r="959" spans="1:20" x14ac:dyDescent="0.25">
      <c r="A959" t="s">
        <v>14</v>
      </c>
      <c r="B959" t="str">
        <f>_xll.BDP("912828AK Govt","TICKER")</f>
        <v>T</v>
      </c>
      <c r="C959">
        <f>_xll.BDP("912828AK Govt","CPN")</f>
        <v>2.125</v>
      </c>
      <c r="D959" t="str">
        <f>_xll.BDP("912828AK Govt","YLD_YTM_BID")</f>
        <v>#N/A N/A</v>
      </c>
      <c r="E959" t="str">
        <f>_xll.BDP("912828AK Govt","MATURITY")</f>
        <v>8/31/2004</v>
      </c>
      <c r="F959" t="str">
        <f>_xll.BDP("912828AK Govt","MTY_TYP")</f>
        <v>NORMAL</v>
      </c>
      <c r="G959" t="str">
        <f>_xll.BDP("912828AK Govt","CRNCY")</f>
        <v>USD</v>
      </c>
      <c r="H959" t="str">
        <f>_xll.BDP("912828AK Govt","COUNTRY_FULL_NAME")</f>
        <v>UNITED STATES</v>
      </c>
      <c r="I959" t="str">
        <f>_xll.BDP("912828AK Govt","FIRST_CPN_DT")</f>
        <v>2/28/2003</v>
      </c>
      <c r="J959" t="str">
        <f>_xll.BDP("912828AK Govt","COUPON_FREQUENCY_DESCRIPTION")</f>
        <v>S/A</v>
      </c>
      <c r="K959" t="str">
        <f>_xll.BDP("912828AK Govt","CPN_TYP")</f>
        <v>FIXED</v>
      </c>
      <c r="L959" t="str">
        <f>_xll.BDP("912828AK Govt","ID_ISIN")</f>
        <v>US912828AK69</v>
      </c>
      <c r="M959">
        <v>34541000000</v>
      </c>
      <c r="N959">
        <v>0</v>
      </c>
      <c r="O959" t="str">
        <f>_xll.BDP("912828AK Govt","ISSUE_DT")</f>
        <v>9/3/2002</v>
      </c>
      <c r="P959" t="str">
        <f>_xll.BDP("912828AK Govt","SECURITY_NAME")</f>
        <v>T 2 1/8 08/31/04</v>
      </c>
      <c r="Q959" t="str">
        <f>_xll.BDP("912828AK Govt","DAY_CNT_DES")</f>
        <v>ACT/ACT</v>
      </c>
      <c r="R959">
        <v>100</v>
      </c>
      <c r="S959" t="str">
        <f>_xll.BDP("912828AK Govt","ID_CUSIP")</f>
        <v>912828AK6</v>
      </c>
      <c r="T959" t="str">
        <f>_xll.BDP("912828AK Govt","IDX_RATIO")</f>
        <v>#N/A Field Not Applicable</v>
      </c>
    </row>
    <row r="960" spans="1:20" x14ac:dyDescent="0.25">
      <c r="A960" t="s">
        <v>14</v>
      </c>
      <c r="B960" t="str">
        <f>_xll.BDP("912828BN Govt","TICKER")</f>
        <v>T</v>
      </c>
      <c r="C960">
        <f>_xll.BDP("912828BN Govt","CPN")</f>
        <v>1.625</v>
      </c>
      <c r="D960" t="str">
        <f>_xll.BDP("912828BN Govt","YLD_YTM_BID")</f>
        <v>#N/A N/A</v>
      </c>
      <c r="E960" t="str">
        <f>_xll.BDP("912828BN Govt","MATURITY")</f>
        <v>10/31/2005</v>
      </c>
      <c r="F960" t="str">
        <f>_xll.BDP("912828BN Govt","MTY_TYP")</f>
        <v>NORMAL</v>
      </c>
      <c r="G960" t="str">
        <f>_xll.BDP("912828BN Govt","CRNCY")</f>
        <v>USD</v>
      </c>
      <c r="H960" t="str">
        <f>_xll.BDP("912828BN Govt","COUNTRY_FULL_NAME")</f>
        <v>UNITED STATES</v>
      </c>
      <c r="I960" t="str">
        <f>_xll.BDP("912828BN Govt","FIRST_CPN_DT")</f>
        <v>4/30/2004</v>
      </c>
      <c r="J960" t="str">
        <f>_xll.BDP("912828BN Govt","COUPON_FREQUENCY_DESCRIPTION")</f>
        <v>S/A</v>
      </c>
      <c r="K960" t="str">
        <f>_xll.BDP("912828BN Govt","CPN_TYP")</f>
        <v>FIXED</v>
      </c>
      <c r="L960" t="str">
        <f>_xll.BDP("912828BN Govt","ID_ISIN")</f>
        <v>US912828BN99</v>
      </c>
      <c r="M960">
        <v>32368000000</v>
      </c>
      <c r="N960">
        <v>0</v>
      </c>
      <c r="O960" t="str">
        <f>_xll.BDP("912828BN Govt","ISSUE_DT")</f>
        <v>10/31/2003</v>
      </c>
      <c r="P960" t="str">
        <f>_xll.BDP("912828BN Govt","SECURITY_NAME")</f>
        <v>T 1 5/8 10/31/05</v>
      </c>
      <c r="Q960" t="str">
        <f>_xll.BDP("912828BN Govt","DAY_CNT_DES")</f>
        <v>ACT/ACT</v>
      </c>
      <c r="R960">
        <v>100</v>
      </c>
      <c r="S960" t="str">
        <f>_xll.BDP("912828BN Govt","ID_CUSIP")</f>
        <v>912828BN9</v>
      </c>
      <c r="T960" t="str">
        <f>_xll.BDP("912828BN Govt","IDX_RATIO")</f>
        <v>#N/A Field Not Applicable</v>
      </c>
    </row>
    <row r="961" spans="1:20" x14ac:dyDescent="0.25">
      <c r="A961" t="s">
        <v>14</v>
      </c>
      <c r="B961" t="str">
        <f>_xll.BDP("912828D4 Govt","TICKER")</f>
        <v>T</v>
      </c>
      <c r="C961">
        <f>_xll.BDP("912828D4 Govt","CPN")</f>
        <v>0.875</v>
      </c>
      <c r="D961" t="str">
        <f>_xll.BDP("912828D4 Govt","YLD_YTM_BID")</f>
        <v>#N/A N/A</v>
      </c>
      <c r="E961" t="str">
        <f>_xll.BDP("912828D4 Govt","MATURITY")</f>
        <v>8/15/2017</v>
      </c>
      <c r="F961" t="str">
        <f>_xll.BDP("912828D4 Govt","MTY_TYP")</f>
        <v>NORMAL</v>
      </c>
      <c r="G961" t="str">
        <f>_xll.BDP("912828D4 Govt","CRNCY")</f>
        <v>USD</v>
      </c>
      <c r="H961" t="str">
        <f>_xll.BDP("912828D4 Govt","COUNTRY_FULL_NAME")</f>
        <v>UNITED STATES</v>
      </c>
      <c r="I961" t="str">
        <f>_xll.BDP("912828D4 Govt","FIRST_CPN_DT")</f>
        <v>2/15/2015</v>
      </c>
      <c r="J961" t="str">
        <f>_xll.BDP("912828D4 Govt","COUPON_FREQUENCY_DESCRIPTION")</f>
        <v>S/A</v>
      </c>
      <c r="K961" t="str">
        <f>_xll.BDP("912828D4 Govt","CPN_TYP")</f>
        <v>FIXED</v>
      </c>
      <c r="L961" t="str">
        <f>_xll.BDP("912828D4 Govt","ID_ISIN")</f>
        <v>US912828D499</v>
      </c>
      <c r="M961">
        <v>27000000000</v>
      </c>
      <c r="N961">
        <v>0</v>
      </c>
      <c r="O961" t="str">
        <f>_xll.BDP("912828D4 Govt","ISSUE_DT")</f>
        <v>8/15/2014</v>
      </c>
      <c r="P961" t="str">
        <f>_xll.BDP("912828D4 Govt","SECURITY_NAME")</f>
        <v>T 0 7/8 08/15/17</v>
      </c>
      <c r="Q961" t="str">
        <f>_xll.BDP("912828D4 Govt","DAY_CNT_DES")</f>
        <v>ACT/ACT</v>
      </c>
      <c r="R961">
        <v>100</v>
      </c>
      <c r="S961" t="str">
        <f>_xll.BDP("912828D4 Govt","ID_CUSIP")</f>
        <v>912828D49</v>
      </c>
      <c r="T961" t="str">
        <f>_xll.BDP("912828D4 Govt","IDX_RATIO")</f>
        <v>#N/A Field Not Applicable</v>
      </c>
    </row>
    <row r="962" spans="1:20" x14ac:dyDescent="0.25">
      <c r="A962" t="s">
        <v>14</v>
      </c>
      <c r="B962" t="str">
        <f>_xll.BDP("912828DL Govt","TICKER")</f>
        <v>T</v>
      </c>
      <c r="C962">
        <f>_xll.BDP("912828DL Govt","CPN")</f>
        <v>3.5</v>
      </c>
      <c r="D962" t="str">
        <f>_xll.BDP("912828DL Govt","YLD_YTM_BID")</f>
        <v>#N/A N/A</v>
      </c>
      <c r="E962" t="str">
        <f>_xll.BDP("912828DL Govt","MATURITY")</f>
        <v>2/15/2010</v>
      </c>
      <c r="F962" t="str">
        <f>_xll.BDP("912828DL Govt","MTY_TYP")</f>
        <v>NORMAL</v>
      </c>
      <c r="G962" t="str">
        <f>_xll.BDP("912828DL Govt","CRNCY")</f>
        <v>USD</v>
      </c>
      <c r="H962" t="str">
        <f>_xll.BDP("912828DL Govt","COUNTRY_FULL_NAME")</f>
        <v>UNITED STATES</v>
      </c>
      <c r="I962" t="str">
        <f>_xll.BDP("912828DL Govt","FIRST_CPN_DT")</f>
        <v>8/15/2005</v>
      </c>
      <c r="J962" t="str">
        <f>_xll.BDP("912828DL Govt","COUPON_FREQUENCY_DESCRIPTION")</f>
        <v>S/A</v>
      </c>
      <c r="K962" t="str">
        <f>_xll.BDP("912828DL Govt","CPN_TYP")</f>
        <v>FIXED</v>
      </c>
      <c r="L962" t="str">
        <f>_xll.BDP("912828DL Govt","ID_ISIN")</f>
        <v>US912828DL16</v>
      </c>
      <c r="M962">
        <v>16617000000</v>
      </c>
      <c r="N962">
        <v>0</v>
      </c>
      <c r="O962" t="str">
        <f>_xll.BDP("912828DL Govt","ISSUE_DT")</f>
        <v>2/15/2005</v>
      </c>
      <c r="P962" t="str">
        <f>_xll.BDP("912828DL Govt","SECURITY_NAME")</f>
        <v>T 3 1/2 02/15/10</v>
      </c>
      <c r="Q962" t="str">
        <f>_xll.BDP("912828DL Govt","DAY_CNT_DES")</f>
        <v>ACT/ACT</v>
      </c>
      <c r="R962">
        <v>100</v>
      </c>
      <c r="S962" t="str">
        <f>_xll.BDP("912828DL Govt","ID_CUSIP")</f>
        <v>912828DL1</v>
      </c>
      <c r="T962" t="str">
        <f>_xll.BDP("912828DL Govt","IDX_RATIO")</f>
        <v>#N/A Field Not Applicable</v>
      </c>
    </row>
    <row r="963" spans="1:20" x14ac:dyDescent="0.25">
      <c r="A963" t="s">
        <v>14</v>
      </c>
      <c r="B963" t="str">
        <f>_xll.BDP("912828DN Govt","TICKER")</f>
        <v>T</v>
      </c>
      <c r="C963">
        <f>_xll.BDP("912828DN Govt","CPN")</f>
        <v>3.375</v>
      </c>
      <c r="D963" t="str">
        <f>_xll.BDP("912828DN Govt","YLD_YTM_BID")</f>
        <v>#N/A N/A</v>
      </c>
      <c r="E963" t="str">
        <f>_xll.BDP("912828DN Govt","MATURITY")</f>
        <v>2/28/2007</v>
      </c>
      <c r="F963" t="str">
        <f>_xll.BDP("912828DN Govt","MTY_TYP")</f>
        <v>NORMAL</v>
      </c>
      <c r="G963" t="str">
        <f>_xll.BDP("912828DN Govt","CRNCY")</f>
        <v>USD</v>
      </c>
      <c r="H963" t="str">
        <f>_xll.BDP("912828DN Govt","COUNTRY_FULL_NAME")</f>
        <v>UNITED STATES</v>
      </c>
      <c r="I963" t="str">
        <f>_xll.BDP("912828DN Govt","FIRST_CPN_DT")</f>
        <v>8/31/2005</v>
      </c>
      <c r="J963" t="str">
        <f>_xll.BDP("912828DN Govt","COUPON_FREQUENCY_DESCRIPTION")</f>
        <v>S/A</v>
      </c>
      <c r="K963" t="str">
        <f>_xll.BDP("912828DN Govt","CPN_TYP")</f>
        <v>FIXED</v>
      </c>
      <c r="L963" t="str">
        <f>_xll.BDP("912828DN Govt","ID_ISIN")</f>
        <v>US912828DN71</v>
      </c>
      <c r="M963">
        <v>32007000000</v>
      </c>
      <c r="N963">
        <v>0</v>
      </c>
      <c r="O963" t="str">
        <f>_xll.BDP("912828DN Govt","ISSUE_DT")</f>
        <v>2/28/2005</v>
      </c>
      <c r="P963" t="str">
        <f>_xll.BDP("912828DN Govt","SECURITY_NAME")</f>
        <v>T 3 3/8 02/28/07</v>
      </c>
      <c r="Q963" t="str">
        <f>_xll.BDP("912828DN Govt","DAY_CNT_DES")</f>
        <v>ACT/ACT</v>
      </c>
      <c r="R963">
        <v>100</v>
      </c>
      <c r="S963" t="str">
        <f>_xll.BDP("912828DN Govt","ID_CUSIP")</f>
        <v>912828DN7</v>
      </c>
      <c r="T963" t="str">
        <f>_xll.BDP("912828DN Govt","IDX_RATIO")</f>
        <v>#N/A Field Not Applicable</v>
      </c>
    </row>
    <row r="964" spans="1:20" x14ac:dyDescent="0.25">
      <c r="A964" t="s">
        <v>14</v>
      </c>
      <c r="B964" t="str">
        <f>_xll.BDP("912828ED Govt","TICKER")</f>
        <v>T</v>
      </c>
      <c r="C964">
        <f>_xll.BDP("912828ED Govt","CPN")</f>
        <v>4.125</v>
      </c>
      <c r="D964" t="str">
        <f>_xll.BDP("912828ED Govt","YLD_YTM_BID")</f>
        <v>#N/A N/A</v>
      </c>
      <c r="E964" t="str">
        <f>_xll.BDP("912828ED Govt","MATURITY")</f>
        <v>8/15/2010</v>
      </c>
      <c r="F964" t="str">
        <f>_xll.BDP("912828ED Govt","MTY_TYP")</f>
        <v>NORMAL</v>
      </c>
      <c r="G964" t="str">
        <f>_xll.BDP("912828ED Govt","CRNCY")</f>
        <v>USD</v>
      </c>
      <c r="H964" t="str">
        <f>_xll.BDP("912828ED Govt","COUNTRY_FULL_NAME")</f>
        <v>UNITED STATES</v>
      </c>
      <c r="I964" t="str">
        <f>_xll.BDP("912828ED Govt","FIRST_CPN_DT")</f>
        <v>2/15/2006</v>
      </c>
      <c r="J964" t="str">
        <f>_xll.BDP("912828ED Govt","COUPON_FREQUENCY_DESCRIPTION")</f>
        <v>S/A</v>
      </c>
      <c r="K964" t="str">
        <f>_xll.BDP("912828ED Govt","CPN_TYP")</f>
        <v>FIXED</v>
      </c>
      <c r="L964" t="str">
        <f>_xll.BDP("912828ED Govt","ID_ISIN")</f>
        <v>US912828ED80</v>
      </c>
      <c r="M964">
        <v>14963000000</v>
      </c>
      <c r="N964">
        <v>0</v>
      </c>
      <c r="O964" t="str">
        <f>_xll.BDP("912828ED Govt","ISSUE_DT")</f>
        <v>8/15/2005</v>
      </c>
      <c r="P964" t="str">
        <f>_xll.BDP("912828ED Govt","SECURITY_NAME")</f>
        <v>T 4 1/8 08/15/10</v>
      </c>
      <c r="Q964" t="str">
        <f>_xll.BDP("912828ED Govt","DAY_CNT_DES")</f>
        <v>ACT/ACT</v>
      </c>
      <c r="R964">
        <v>100</v>
      </c>
      <c r="S964" t="str">
        <f>_xll.BDP("912828ED Govt","ID_CUSIP")</f>
        <v>912828ED8</v>
      </c>
      <c r="T964" t="str">
        <f>_xll.BDP("912828ED Govt","IDX_RATIO")</f>
        <v>#N/A Field Not Applicable</v>
      </c>
    </row>
    <row r="965" spans="1:20" x14ac:dyDescent="0.25">
      <c r="A965" t="s">
        <v>14</v>
      </c>
      <c r="B965" t="str">
        <f>_xll.BDP("912828EP Govt","TICKER")</f>
        <v>T</v>
      </c>
      <c r="C965">
        <f>_xll.BDP("912828EP Govt","CPN")</f>
        <v>4.25</v>
      </c>
      <c r="D965" t="str">
        <f>_xll.BDP("912828EP Govt","YLD_YTM_BID")</f>
        <v>#N/A N/A</v>
      </c>
      <c r="E965" t="str">
        <f>_xll.BDP("912828EP Govt","MATURITY")</f>
        <v>11/30/2007</v>
      </c>
      <c r="F965" t="str">
        <f>_xll.BDP("912828EP Govt","MTY_TYP")</f>
        <v>NORMAL</v>
      </c>
      <c r="G965" t="str">
        <f>_xll.BDP("912828EP Govt","CRNCY")</f>
        <v>USD</v>
      </c>
      <c r="H965" t="str">
        <f>_xll.BDP("912828EP Govt","COUNTRY_FULL_NAME")</f>
        <v>UNITED STATES</v>
      </c>
      <c r="I965" t="str">
        <f>_xll.BDP("912828EP Govt","FIRST_CPN_DT")</f>
        <v>5/31/2006</v>
      </c>
      <c r="J965" t="str">
        <f>_xll.BDP("912828EP Govt","COUPON_FREQUENCY_DESCRIPTION")</f>
        <v>S/A</v>
      </c>
      <c r="K965" t="str">
        <f>_xll.BDP("912828EP Govt","CPN_TYP")</f>
        <v>FIXED</v>
      </c>
      <c r="L965" t="str">
        <f>_xll.BDP("912828EP Govt","ID_ISIN")</f>
        <v>US912828EP11</v>
      </c>
      <c r="M965">
        <v>26667000000</v>
      </c>
      <c r="N965">
        <v>0</v>
      </c>
      <c r="O965" t="str">
        <f>_xll.BDP("912828EP Govt","ISSUE_DT")</f>
        <v>11/30/2005</v>
      </c>
      <c r="P965" t="str">
        <f>_xll.BDP("912828EP Govt","SECURITY_NAME")</f>
        <v>T 4 1/4 11/30/07</v>
      </c>
      <c r="Q965" t="str">
        <f>_xll.BDP("912828EP Govt","DAY_CNT_DES")</f>
        <v>ACT/ACT</v>
      </c>
      <c r="R965">
        <v>100</v>
      </c>
      <c r="S965" t="str">
        <f>_xll.BDP("912828EP Govt","ID_CUSIP")</f>
        <v>912828EP1</v>
      </c>
      <c r="T965" t="str">
        <f>_xll.BDP("912828EP Govt","IDX_RATIO")</f>
        <v>#N/A Field Not Applicable</v>
      </c>
    </row>
    <row r="966" spans="1:20" x14ac:dyDescent="0.25">
      <c r="A966" t="s">
        <v>14</v>
      </c>
      <c r="B966" t="str">
        <f>_xll.BDP("912828G6 Govt","TICKER")</f>
        <v>T</v>
      </c>
      <c r="C966">
        <f>_xll.BDP("912828G6 Govt","CPN")</f>
        <v>1.5</v>
      </c>
      <c r="D966" t="str">
        <f>_xll.BDP("912828G6 Govt","YLD_YTM_BID")</f>
        <v>#N/A N/A</v>
      </c>
      <c r="E966" t="str">
        <f>_xll.BDP("912828G6 Govt","MATURITY")</f>
        <v>11/30/2019</v>
      </c>
      <c r="F966" t="str">
        <f>_xll.BDP("912828G6 Govt","MTY_TYP")</f>
        <v>NORMAL</v>
      </c>
      <c r="G966" t="str">
        <f>_xll.BDP("912828G6 Govt","CRNCY")</f>
        <v>USD</v>
      </c>
      <c r="H966" t="str">
        <f>_xll.BDP("912828G6 Govt","COUNTRY_FULL_NAME")</f>
        <v>UNITED STATES</v>
      </c>
      <c r="I966" t="str">
        <f>_xll.BDP("912828G6 Govt","FIRST_CPN_DT")</f>
        <v>5/31/2015</v>
      </c>
      <c r="J966" t="str">
        <f>_xll.BDP("912828G6 Govt","COUPON_FREQUENCY_DESCRIPTION")</f>
        <v>S/A</v>
      </c>
      <c r="K966" t="str">
        <f>_xll.BDP("912828G6 Govt","CPN_TYP")</f>
        <v>FIXED</v>
      </c>
      <c r="L966" t="str">
        <f>_xll.BDP("912828G6 Govt","ID_ISIN")</f>
        <v>US912828G617</v>
      </c>
      <c r="M966">
        <v>35000000000</v>
      </c>
      <c r="N966">
        <v>0</v>
      </c>
      <c r="O966" t="str">
        <f>_xll.BDP("912828G6 Govt","ISSUE_DT")</f>
        <v>12/1/2014</v>
      </c>
      <c r="P966" t="str">
        <f>_xll.BDP("912828G6 Govt","SECURITY_NAME")</f>
        <v>T 1 1/2 11/30/19</v>
      </c>
      <c r="Q966" t="str">
        <f>_xll.BDP("912828G6 Govt","DAY_CNT_DES")</f>
        <v>ACT/ACT</v>
      </c>
      <c r="R966">
        <v>100</v>
      </c>
      <c r="S966" t="str">
        <f>_xll.BDP("912828G6 Govt","ID_CUSIP")</f>
        <v>912828G61</v>
      </c>
      <c r="T966" t="str">
        <f>_xll.BDP("912828G6 Govt","IDX_RATIO")</f>
        <v>#N/A Field Not Applicable</v>
      </c>
    </row>
    <row r="967" spans="1:20" x14ac:dyDescent="0.25">
      <c r="A967" t="s">
        <v>14</v>
      </c>
      <c r="B967" t="str">
        <f>_xll.BDP("912828GG Govt","TICKER")</f>
        <v>T</v>
      </c>
      <c r="C967">
        <f>_xll.BDP("912828GG Govt","CPN")</f>
        <v>4.75</v>
      </c>
      <c r="D967" t="str">
        <f>_xll.BDP("912828GG Govt","YLD_YTM_BID")</f>
        <v>#N/A N/A</v>
      </c>
      <c r="E967" t="str">
        <f>_xll.BDP("912828GG Govt","MATURITY")</f>
        <v>2/15/2010</v>
      </c>
      <c r="F967" t="str">
        <f>_xll.BDP("912828GG Govt","MTY_TYP")</f>
        <v>NORMAL</v>
      </c>
      <c r="G967" t="str">
        <f>_xll.BDP("912828GG Govt","CRNCY")</f>
        <v>USD</v>
      </c>
      <c r="H967" t="str">
        <f>_xll.BDP("912828GG Govt","COUNTRY_FULL_NAME")</f>
        <v>UNITED STATES</v>
      </c>
      <c r="I967" t="str">
        <f>_xll.BDP("912828GG Govt","FIRST_CPN_DT")</f>
        <v>8/15/2007</v>
      </c>
      <c r="J967" t="str">
        <f>_xll.BDP("912828GG Govt","COUPON_FREQUENCY_DESCRIPTION")</f>
        <v>S/A</v>
      </c>
      <c r="K967" t="str">
        <f>_xll.BDP("912828GG Govt","CPN_TYP")</f>
        <v>FIXED</v>
      </c>
      <c r="L967" t="str">
        <f>_xll.BDP("912828GG Govt","ID_ISIN")</f>
        <v>US912828GG93</v>
      </c>
      <c r="M967">
        <v>17467000000</v>
      </c>
      <c r="N967">
        <v>0</v>
      </c>
      <c r="O967" t="str">
        <f>_xll.BDP("912828GG Govt","ISSUE_DT")</f>
        <v>2/15/2007</v>
      </c>
      <c r="P967" t="str">
        <f>_xll.BDP("912828GG Govt","SECURITY_NAME")</f>
        <v>T 4 3/4 02/15/10</v>
      </c>
      <c r="Q967" t="str">
        <f>_xll.BDP("912828GG Govt","DAY_CNT_DES")</f>
        <v>ACT/ACT</v>
      </c>
      <c r="R967">
        <v>100</v>
      </c>
      <c r="S967" t="str">
        <f>_xll.BDP("912828GG Govt","ID_CUSIP")</f>
        <v>912828GG9</v>
      </c>
      <c r="T967" t="str">
        <f>_xll.BDP("912828GG Govt","IDX_RATIO")</f>
        <v>#N/A Field Not Applicable</v>
      </c>
    </row>
    <row r="968" spans="1:20" x14ac:dyDescent="0.25">
      <c r="A968" t="s">
        <v>14</v>
      </c>
      <c r="B968" t="str">
        <f>_xll.BDP("912828H3 Govt","TICKER")</f>
        <v>T</v>
      </c>
      <c r="C968">
        <f>_xll.BDP("912828H3 Govt","CPN")</f>
        <v>0.875</v>
      </c>
      <c r="D968" t="str">
        <f>_xll.BDP("912828H3 Govt","YLD_YTM_BID")</f>
        <v>#N/A N/A</v>
      </c>
      <c r="E968" t="str">
        <f>_xll.BDP("912828H3 Govt","MATURITY")</f>
        <v>1/15/2018</v>
      </c>
      <c r="F968" t="str">
        <f>_xll.BDP("912828H3 Govt","MTY_TYP")</f>
        <v>NORMAL</v>
      </c>
      <c r="G968" t="str">
        <f>_xll.BDP("912828H3 Govt","CRNCY")</f>
        <v>USD</v>
      </c>
      <c r="H968" t="str">
        <f>_xll.BDP("912828H3 Govt","COUNTRY_FULL_NAME")</f>
        <v>UNITED STATES</v>
      </c>
      <c r="I968" t="str">
        <f>_xll.BDP("912828H3 Govt","FIRST_CPN_DT")</f>
        <v>7/15/2015</v>
      </c>
      <c r="J968" t="str">
        <f>_xll.BDP("912828H3 Govt","COUPON_FREQUENCY_DESCRIPTION")</f>
        <v>S/A</v>
      </c>
      <c r="K968" t="str">
        <f>_xll.BDP("912828H3 Govt","CPN_TYP")</f>
        <v>FIXED</v>
      </c>
      <c r="L968" t="str">
        <f>_xll.BDP("912828H3 Govt","ID_ISIN")</f>
        <v>US912828H375</v>
      </c>
      <c r="M968">
        <v>24000000000</v>
      </c>
      <c r="N968">
        <v>0</v>
      </c>
      <c r="O968" t="str">
        <f>_xll.BDP("912828H3 Govt","ISSUE_DT")</f>
        <v>1/15/2015</v>
      </c>
      <c r="P968" t="str">
        <f>_xll.BDP("912828H3 Govt","SECURITY_NAME")</f>
        <v>T 0 7/8 01/15/18</v>
      </c>
      <c r="Q968" t="str">
        <f>_xll.BDP("912828H3 Govt","DAY_CNT_DES")</f>
        <v>ACT/ACT</v>
      </c>
      <c r="R968">
        <v>100</v>
      </c>
      <c r="S968" t="str">
        <f>_xll.BDP("912828H3 Govt","ID_CUSIP")</f>
        <v>912828H37</v>
      </c>
      <c r="T968" t="str">
        <f>_xll.BDP("912828H3 Govt","IDX_RATIO")</f>
        <v>#N/A Field Not Applicable</v>
      </c>
    </row>
    <row r="969" spans="1:20" x14ac:dyDescent="0.25">
      <c r="A969" t="s">
        <v>14</v>
      </c>
      <c r="B969" t="str">
        <f>_xll.BDP("912828HD Govt","TICKER")</f>
        <v>T</v>
      </c>
      <c r="C969">
        <f>_xll.BDP("912828HD Govt","CPN")</f>
        <v>4</v>
      </c>
      <c r="D969" t="str">
        <f>_xll.BDP("912828HD Govt","YLD_YTM_BID")</f>
        <v>#N/A N/A</v>
      </c>
      <c r="E969" t="str">
        <f>_xll.BDP("912828HD Govt","MATURITY")</f>
        <v>9/30/2009</v>
      </c>
      <c r="F969" t="str">
        <f>_xll.BDP("912828HD Govt","MTY_TYP")</f>
        <v>NORMAL</v>
      </c>
      <c r="G969" t="str">
        <f>_xll.BDP("912828HD Govt","CRNCY")</f>
        <v>USD</v>
      </c>
      <c r="H969" t="str">
        <f>_xll.BDP("912828HD Govt","COUNTRY_FULL_NAME")</f>
        <v>UNITED STATES</v>
      </c>
      <c r="I969" t="str">
        <f>_xll.BDP("912828HD Govt","FIRST_CPN_DT")</f>
        <v>3/31/2008</v>
      </c>
      <c r="J969" t="str">
        <f>_xll.BDP("912828HD Govt","COUPON_FREQUENCY_DESCRIPTION")</f>
        <v>S/A</v>
      </c>
      <c r="K969" t="str">
        <f>_xll.BDP("912828HD Govt","CPN_TYP")</f>
        <v>FIXED</v>
      </c>
      <c r="L969" t="str">
        <f>_xll.BDP("912828HD Govt","ID_ISIN")</f>
        <v>US912828HD53</v>
      </c>
      <c r="M969">
        <v>21969000000</v>
      </c>
      <c r="N969">
        <v>0</v>
      </c>
      <c r="O969" t="str">
        <f>_xll.BDP("912828HD Govt","ISSUE_DT")</f>
        <v>10/1/2007</v>
      </c>
      <c r="P969" t="str">
        <f>_xll.BDP("912828HD Govt","SECURITY_NAME")</f>
        <v>T 4 09/30/09</v>
      </c>
      <c r="Q969" t="str">
        <f>_xll.BDP("912828HD Govt","DAY_CNT_DES")</f>
        <v>ACT/ACT</v>
      </c>
      <c r="R969">
        <v>100</v>
      </c>
      <c r="S969" t="str">
        <f>_xll.BDP("912828HD Govt","ID_CUSIP")</f>
        <v>912828HD5</v>
      </c>
      <c r="T969" t="str">
        <f>_xll.BDP("912828HD Govt","IDX_RATIO")</f>
        <v>#N/A Field Not Applicable</v>
      </c>
    </row>
    <row r="970" spans="1:20" x14ac:dyDescent="0.25">
      <c r="A970" t="s">
        <v>14</v>
      </c>
      <c r="B970" t="str">
        <f>_xll.BDP("912828HF Govt","TICKER")</f>
        <v>T</v>
      </c>
      <c r="C970">
        <f>_xll.BDP("912828HF Govt","CPN")</f>
        <v>3.625</v>
      </c>
      <c r="D970" t="str">
        <f>_xll.BDP("912828HF Govt","YLD_YTM_BID")</f>
        <v>#N/A N/A</v>
      </c>
      <c r="E970" t="str">
        <f>_xll.BDP("912828HF Govt","MATURITY")</f>
        <v>10/31/2009</v>
      </c>
      <c r="F970" t="str">
        <f>_xll.BDP("912828HF Govt","MTY_TYP")</f>
        <v>NORMAL</v>
      </c>
      <c r="G970" t="str">
        <f>_xll.BDP("912828HF Govt","CRNCY")</f>
        <v>USD</v>
      </c>
      <c r="H970" t="str">
        <f>_xll.BDP("912828HF Govt","COUNTRY_FULL_NAME")</f>
        <v>UNITED STATES</v>
      </c>
      <c r="I970" t="str">
        <f>_xll.BDP("912828HF Govt","FIRST_CPN_DT")</f>
        <v>4/30/2008</v>
      </c>
      <c r="J970" t="str">
        <f>_xll.BDP("912828HF Govt","COUPON_FREQUENCY_DESCRIPTION")</f>
        <v>S/A</v>
      </c>
      <c r="K970" t="str">
        <f>_xll.BDP("912828HF Govt","CPN_TYP")</f>
        <v>FIXED</v>
      </c>
      <c r="L970" t="str">
        <f>_xll.BDP("912828HF Govt","ID_ISIN")</f>
        <v>US912828HF02</v>
      </c>
      <c r="M970">
        <v>23866000000</v>
      </c>
      <c r="N970">
        <v>0</v>
      </c>
      <c r="O970" t="str">
        <f>_xll.BDP("912828HF Govt","ISSUE_DT")</f>
        <v>10/31/2007</v>
      </c>
      <c r="P970" t="str">
        <f>_xll.BDP("912828HF Govt","SECURITY_NAME")</f>
        <v>T 3 5/8 10/31/09</v>
      </c>
      <c r="Q970" t="str">
        <f>_xll.BDP("912828HF Govt","DAY_CNT_DES")</f>
        <v>ACT/ACT</v>
      </c>
      <c r="R970">
        <v>100</v>
      </c>
      <c r="S970" t="str">
        <f>_xll.BDP("912828HF Govt","ID_CUSIP")</f>
        <v>912828HF0</v>
      </c>
      <c r="T970" t="str">
        <f>_xll.BDP("912828HF Govt","IDX_RATIO")</f>
        <v>#N/A Field Not Applicable</v>
      </c>
    </row>
    <row r="971" spans="1:20" x14ac:dyDescent="0.25">
      <c r="A971" t="s">
        <v>14</v>
      </c>
      <c r="B971" t="str">
        <f>_xll.BDP("912828JD Govt","TICKER")</f>
        <v>T</v>
      </c>
      <c r="C971">
        <f>_xll.BDP("912828JD Govt","CPN")</f>
        <v>3.375</v>
      </c>
      <c r="D971" t="str">
        <f>_xll.BDP("912828JD Govt","YLD_YTM_BID")</f>
        <v>#N/A N/A</v>
      </c>
      <c r="E971" t="str">
        <f>_xll.BDP("912828JD Govt","MATURITY")</f>
        <v>6/30/2013</v>
      </c>
      <c r="F971" t="str">
        <f>_xll.BDP("912828JD Govt","MTY_TYP")</f>
        <v>NORMAL</v>
      </c>
      <c r="G971" t="str">
        <f>_xll.BDP("912828JD Govt","CRNCY")</f>
        <v>USD</v>
      </c>
      <c r="H971" t="str">
        <f>_xll.BDP("912828JD Govt","COUNTRY_FULL_NAME")</f>
        <v>UNITED STATES</v>
      </c>
      <c r="I971" t="str">
        <f>_xll.BDP("912828JD Govt","FIRST_CPN_DT")</f>
        <v>12/31/2008</v>
      </c>
      <c r="J971" t="str">
        <f>_xll.BDP("912828JD Govt","COUPON_FREQUENCY_DESCRIPTION")</f>
        <v>S/A</v>
      </c>
      <c r="K971" t="str">
        <f>_xll.BDP("912828JD Govt","CPN_TYP")</f>
        <v>FIXED</v>
      </c>
      <c r="L971" t="str">
        <f>_xll.BDP("912828JD Govt","ID_ISIN")</f>
        <v>US912828JD36</v>
      </c>
      <c r="M971">
        <v>22145000000</v>
      </c>
      <c r="N971">
        <v>0</v>
      </c>
      <c r="O971" t="str">
        <f>_xll.BDP("912828JD Govt","ISSUE_DT")</f>
        <v>6/30/2008</v>
      </c>
      <c r="P971" t="str">
        <f>_xll.BDP("912828JD Govt","SECURITY_NAME")</f>
        <v>T 3 3/8 06/30/13</v>
      </c>
      <c r="Q971" t="str">
        <f>_xll.BDP("912828JD Govt","DAY_CNT_DES")</f>
        <v>ACT/ACT</v>
      </c>
      <c r="R971">
        <v>100</v>
      </c>
      <c r="S971" t="str">
        <f>_xll.BDP("912828JD Govt","ID_CUSIP")</f>
        <v>912828JD3</v>
      </c>
      <c r="T971" t="str">
        <f>_xll.BDP("912828JD Govt","IDX_RATIO")</f>
        <v>#N/A Field Not Applicable</v>
      </c>
    </row>
    <row r="972" spans="1:20" x14ac:dyDescent="0.25">
      <c r="A972" t="s">
        <v>14</v>
      </c>
      <c r="B972" t="str">
        <f>_xll.BDP("912828JV Govt","TICKER")</f>
        <v>T</v>
      </c>
      <c r="C972">
        <f>_xll.BDP("912828JV Govt","CPN")</f>
        <v>0.875</v>
      </c>
      <c r="D972" t="str">
        <f>_xll.BDP("912828JV Govt","YLD_YTM_BID")</f>
        <v>#N/A N/A</v>
      </c>
      <c r="E972" t="str">
        <f>_xll.BDP("912828JV Govt","MATURITY")</f>
        <v>12/31/2010</v>
      </c>
      <c r="F972" t="str">
        <f>_xll.BDP("912828JV Govt","MTY_TYP")</f>
        <v>NORMAL</v>
      </c>
      <c r="G972" t="str">
        <f>_xll.BDP("912828JV Govt","CRNCY")</f>
        <v>USD</v>
      </c>
      <c r="H972" t="str">
        <f>_xll.BDP("912828JV Govt","COUNTRY_FULL_NAME")</f>
        <v>UNITED STATES</v>
      </c>
      <c r="I972" t="str">
        <f>_xll.BDP("912828JV Govt","FIRST_CPN_DT")</f>
        <v>6/30/2009</v>
      </c>
      <c r="J972" t="str">
        <f>_xll.BDP("912828JV Govt","COUPON_FREQUENCY_DESCRIPTION")</f>
        <v>S/A</v>
      </c>
      <c r="K972" t="str">
        <f>_xll.BDP("912828JV Govt","CPN_TYP")</f>
        <v>FIXED</v>
      </c>
      <c r="L972" t="str">
        <f>_xll.BDP("912828JV Govt","ID_ISIN")</f>
        <v>US912828JV34</v>
      </c>
      <c r="M972">
        <v>40777000000</v>
      </c>
      <c r="N972">
        <v>0</v>
      </c>
      <c r="O972" t="str">
        <f>_xll.BDP("912828JV Govt","ISSUE_DT")</f>
        <v>12/31/2008</v>
      </c>
      <c r="P972" t="str">
        <f>_xll.BDP("912828JV Govt","SECURITY_NAME")</f>
        <v>T 0 7/8 12/31/10</v>
      </c>
      <c r="Q972" t="str">
        <f>_xll.BDP("912828JV Govt","DAY_CNT_DES")</f>
        <v>ACT/ACT</v>
      </c>
      <c r="R972">
        <v>100</v>
      </c>
      <c r="S972" t="str">
        <f>_xll.BDP("912828JV Govt","ID_CUSIP")</f>
        <v>912828JV3</v>
      </c>
      <c r="T972" t="str">
        <f>_xll.BDP("912828JV Govt","IDX_RATIO")</f>
        <v>#N/A Field Not Applicable</v>
      </c>
    </row>
    <row r="973" spans="1:20" x14ac:dyDescent="0.25">
      <c r="A973" t="s">
        <v>14</v>
      </c>
      <c r="B973" t="str">
        <f>_xll.BDP("912828KT Govt","TICKER")</f>
        <v>T</v>
      </c>
      <c r="C973">
        <f>_xll.BDP("912828KT Govt","CPN")</f>
        <v>2.375</v>
      </c>
      <c r="D973" t="str">
        <f>_xll.BDP("912828KT Govt","YLD_YTM_BID")</f>
        <v>#N/A N/A</v>
      </c>
      <c r="E973" t="str">
        <f>_xll.BDP("912828KT Govt","MATURITY")</f>
        <v>3/31/2016</v>
      </c>
      <c r="F973" t="str">
        <f>_xll.BDP("912828KT Govt","MTY_TYP")</f>
        <v>NORMAL</v>
      </c>
      <c r="G973" t="str">
        <f>_xll.BDP("912828KT Govt","CRNCY")</f>
        <v>USD</v>
      </c>
      <c r="H973" t="str">
        <f>_xll.BDP("912828KT Govt","COUNTRY_FULL_NAME")</f>
        <v>UNITED STATES</v>
      </c>
      <c r="I973" t="str">
        <f>_xll.BDP("912828KT Govt","FIRST_CPN_DT")</f>
        <v>9/30/2009</v>
      </c>
      <c r="J973" t="str">
        <f>_xll.BDP("912828KT Govt","COUPON_FREQUENCY_DESCRIPTION")</f>
        <v>S/A</v>
      </c>
      <c r="K973" t="str">
        <f>_xll.BDP("912828KT Govt","CPN_TYP")</f>
        <v>FIXED</v>
      </c>
      <c r="L973" t="str">
        <f>_xll.BDP("912828KT Govt","ID_ISIN")</f>
        <v>US912828KT68</v>
      </c>
      <c r="M973">
        <v>25138000000</v>
      </c>
      <c r="N973">
        <v>0</v>
      </c>
      <c r="O973" t="str">
        <f>_xll.BDP("912828KT Govt","ISSUE_DT")</f>
        <v>3/31/2009</v>
      </c>
      <c r="P973" t="str">
        <f>_xll.BDP("912828KT Govt","SECURITY_NAME")</f>
        <v>T 2 3/8 03/31/16</v>
      </c>
      <c r="Q973" t="str">
        <f>_xll.BDP("912828KT Govt","DAY_CNT_DES")</f>
        <v>ACT/ACT</v>
      </c>
      <c r="R973">
        <v>100</v>
      </c>
      <c r="S973" t="str">
        <f>_xll.BDP("912828KT Govt","ID_CUSIP")</f>
        <v>912828KT6</v>
      </c>
      <c r="T973" t="str">
        <f>_xll.BDP("912828KT Govt","IDX_RATIO")</f>
        <v>#N/A Field Not Applicable</v>
      </c>
    </row>
    <row r="974" spans="1:20" x14ac:dyDescent="0.25">
      <c r="A974" t="s">
        <v>14</v>
      </c>
      <c r="B974" t="str">
        <f>_xll.BDP("912828KZ Govt","TICKER")</f>
        <v>T</v>
      </c>
      <c r="C974">
        <f>_xll.BDP("912828KZ Govt","CPN")</f>
        <v>3.25</v>
      </c>
      <c r="D974" t="str">
        <f>_xll.BDP("912828KZ Govt","YLD_YTM_BID")</f>
        <v>#N/A N/A</v>
      </c>
      <c r="E974" t="str">
        <f>_xll.BDP("912828KZ Govt","MATURITY")</f>
        <v>6/30/2016</v>
      </c>
      <c r="F974" t="str">
        <f>_xll.BDP("912828KZ Govt","MTY_TYP")</f>
        <v>NORMAL</v>
      </c>
      <c r="G974" t="str">
        <f>_xll.BDP("912828KZ Govt","CRNCY")</f>
        <v>USD</v>
      </c>
      <c r="H974" t="str">
        <f>_xll.BDP("912828KZ Govt","COUNTRY_FULL_NAME")</f>
        <v>UNITED STATES</v>
      </c>
      <c r="I974" t="str">
        <f>_xll.BDP("912828KZ Govt","FIRST_CPN_DT")</f>
        <v>12/31/2009</v>
      </c>
      <c r="J974" t="str">
        <f>_xll.BDP("912828KZ Govt","COUPON_FREQUENCY_DESCRIPTION")</f>
        <v>S/A</v>
      </c>
      <c r="K974" t="str">
        <f>_xll.BDP("912828KZ Govt","CPN_TYP")</f>
        <v>FIXED</v>
      </c>
      <c r="L974" t="str">
        <f>_xll.BDP("912828KZ Govt","ID_ISIN")</f>
        <v>US912828KZ29</v>
      </c>
      <c r="M974">
        <v>27784000000</v>
      </c>
      <c r="N974">
        <v>0</v>
      </c>
      <c r="O974" t="str">
        <f>_xll.BDP("912828KZ Govt","ISSUE_DT")</f>
        <v>6/30/2009</v>
      </c>
      <c r="P974" t="str">
        <f>_xll.BDP("912828KZ Govt","SECURITY_NAME")</f>
        <v>T 3 1/4 06/30/16</v>
      </c>
      <c r="Q974" t="str">
        <f>_xll.BDP("912828KZ Govt","DAY_CNT_DES")</f>
        <v>ACT/ACT</v>
      </c>
      <c r="R974">
        <v>100</v>
      </c>
      <c r="S974" t="str">
        <f>_xll.BDP("912828KZ Govt","ID_CUSIP")</f>
        <v>912828KZ2</v>
      </c>
      <c r="T974" t="str">
        <f>_xll.BDP("912828KZ Govt","IDX_RATIO")</f>
        <v>#N/A Field Not Applicable</v>
      </c>
    </row>
    <row r="975" spans="1:20" x14ac:dyDescent="0.25">
      <c r="A975" t="s">
        <v>14</v>
      </c>
      <c r="B975" t="str">
        <f>_xll.BDP("912828LT Govt","TICKER")</f>
        <v>T</v>
      </c>
      <c r="C975">
        <f>_xll.BDP("912828LT Govt","CPN")</f>
        <v>1</v>
      </c>
      <c r="D975" t="str">
        <f>_xll.BDP("912828LT Govt","YLD_YTM_BID")</f>
        <v>#N/A N/A</v>
      </c>
      <c r="E975" t="str">
        <f>_xll.BDP("912828LT Govt","MATURITY")</f>
        <v>10/31/2011</v>
      </c>
      <c r="F975" t="str">
        <f>_xll.BDP("912828LT Govt","MTY_TYP")</f>
        <v>NORMAL</v>
      </c>
      <c r="G975" t="str">
        <f>_xll.BDP("912828LT Govt","CRNCY")</f>
        <v>USD</v>
      </c>
      <c r="H975" t="str">
        <f>_xll.BDP("912828LT Govt","COUNTRY_FULL_NAME")</f>
        <v>UNITED STATES</v>
      </c>
      <c r="I975" t="str">
        <f>_xll.BDP("912828LT Govt","FIRST_CPN_DT")</f>
        <v>4/30/2010</v>
      </c>
      <c r="J975" t="str">
        <f>_xll.BDP("912828LT Govt","COUPON_FREQUENCY_DESCRIPTION")</f>
        <v>S/A</v>
      </c>
      <c r="K975" t="str">
        <f>_xll.BDP("912828LT Govt","CPN_TYP")</f>
        <v>FIXED</v>
      </c>
      <c r="L975" t="str">
        <f>_xll.BDP("912828LT Govt","ID_ISIN")</f>
        <v>US912828LT59</v>
      </c>
      <c r="M975">
        <v>45084000000</v>
      </c>
      <c r="N975">
        <v>0</v>
      </c>
      <c r="O975" t="str">
        <f>_xll.BDP("912828LT Govt","ISSUE_DT")</f>
        <v>11/2/2009</v>
      </c>
      <c r="P975" t="str">
        <f>_xll.BDP("912828LT Govt","SECURITY_NAME")</f>
        <v>T 1 10/31/11</v>
      </c>
      <c r="Q975" t="str">
        <f>_xll.BDP("912828LT Govt","DAY_CNT_DES")</f>
        <v>ACT/ACT</v>
      </c>
      <c r="R975">
        <v>100</v>
      </c>
      <c r="S975" t="str">
        <f>_xll.BDP("912828LT Govt","ID_CUSIP")</f>
        <v>912828LT5</v>
      </c>
      <c r="T975" t="str">
        <f>_xll.BDP("912828LT Govt","IDX_RATIO")</f>
        <v>#N/A Field Not Applicable</v>
      </c>
    </row>
    <row r="976" spans="1:20" x14ac:dyDescent="0.25">
      <c r="A976" t="s">
        <v>14</v>
      </c>
      <c r="B976" t="str">
        <f>_xll.BDP("912828MH Govt","TICKER")</f>
        <v>T</v>
      </c>
      <c r="C976">
        <f>_xll.BDP("912828MH Govt","CPN")</f>
        <v>2.25</v>
      </c>
      <c r="D976" t="str">
        <f>_xll.BDP("912828MH Govt","YLD_YTM_BID")</f>
        <v>#N/A N/A</v>
      </c>
      <c r="E976" t="str">
        <f>_xll.BDP("912828MH Govt","MATURITY")</f>
        <v>1/31/2015</v>
      </c>
      <c r="F976" t="str">
        <f>_xll.BDP("912828MH Govt","MTY_TYP")</f>
        <v>NORMAL</v>
      </c>
      <c r="G976" t="str">
        <f>_xll.BDP("912828MH Govt","CRNCY")</f>
        <v>USD</v>
      </c>
      <c r="H976" t="str">
        <f>_xll.BDP("912828MH Govt","COUNTRY_FULL_NAME")</f>
        <v>UNITED STATES</v>
      </c>
      <c r="I976" t="str">
        <f>_xll.BDP("912828MH Govt","FIRST_CPN_DT")</f>
        <v>7/31/2010</v>
      </c>
      <c r="J976" t="str">
        <f>_xll.BDP("912828MH Govt","COUPON_FREQUENCY_DESCRIPTION")</f>
        <v>S/A</v>
      </c>
      <c r="K976" t="str">
        <f>_xll.BDP("912828MH Govt","CPN_TYP")</f>
        <v>FIXED</v>
      </c>
      <c r="L976" t="str">
        <f>_xll.BDP("912828MH Govt","ID_ISIN")</f>
        <v>US912828MH03</v>
      </c>
      <c r="M976">
        <v>42685000000</v>
      </c>
      <c r="N976">
        <v>0</v>
      </c>
      <c r="O976" t="str">
        <f>_xll.BDP("912828MH Govt","ISSUE_DT")</f>
        <v>2/1/2010</v>
      </c>
      <c r="P976" t="str">
        <f>_xll.BDP("912828MH Govt","SECURITY_NAME")</f>
        <v>T 2 1/4 01/31/15</v>
      </c>
      <c r="Q976" t="str">
        <f>_xll.BDP("912828MH Govt","DAY_CNT_DES")</f>
        <v>ACT/ACT</v>
      </c>
      <c r="R976">
        <v>100</v>
      </c>
      <c r="S976" t="str">
        <f>_xll.BDP("912828MH Govt","ID_CUSIP")</f>
        <v>912828MH0</v>
      </c>
      <c r="T976" t="str">
        <f>_xll.BDP("912828MH Govt","IDX_RATIO")</f>
        <v>#N/A Field Not Applicable</v>
      </c>
    </row>
    <row r="977" spans="1:20" x14ac:dyDescent="0.25">
      <c r="A977" t="s">
        <v>14</v>
      </c>
      <c r="B977" t="str">
        <f>_xll.BDP("912828NE Govt","TICKER")</f>
        <v>T</v>
      </c>
      <c r="C977">
        <f>_xll.BDP("912828NE Govt","CPN")</f>
        <v>0.75</v>
      </c>
      <c r="D977" t="str">
        <f>_xll.BDP("912828NE Govt","YLD_YTM_BID")</f>
        <v>#N/A N/A</v>
      </c>
      <c r="E977" t="str">
        <f>_xll.BDP("912828NE Govt","MATURITY")</f>
        <v>5/31/2012</v>
      </c>
      <c r="F977" t="str">
        <f>_xll.BDP("912828NE Govt","MTY_TYP")</f>
        <v>NORMAL</v>
      </c>
      <c r="G977" t="str">
        <f>_xll.BDP("912828NE Govt","CRNCY")</f>
        <v>USD</v>
      </c>
      <c r="H977" t="str">
        <f>_xll.BDP("912828NE Govt","COUNTRY_FULL_NAME")</f>
        <v>UNITED STATES</v>
      </c>
      <c r="I977" t="str">
        <f>_xll.BDP("912828NE Govt","FIRST_CPN_DT")</f>
        <v>11/30/2010</v>
      </c>
      <c r="J977" t="str">
        <f>_xll.BDP("912828NE Govt","COUPON_FREQUENCY_DESCRIPTION")</f>
        <v>S/A</v>
      </c>
      <c r="K977" t="str">
        <f>_xll.BDP("912828NE Govt","CPN_TYP")</f>
        <v>FIXED</v>
      </c>
      <c r="L977" t="str">
        <f>_xll.BDP("912828NE Govt","ID_ISIN")</f>
        <v>US912828NE62</v>
      </c>
      <c r="M977">
        <v>42915000000</v>
      </c>
      <c r="N977">
        <v>0</v>
      </c>
      <c r="O977" t="str">
        <f>_xll.BDP("912828NE Govt","ISSUE_DT")</f>
        <v>6/1/2010</v>
      </c>
      <c r="P977" t="str">
        <f>_xll.BDP("912828NE Govt","SECURITY_NAME")</f>
        <v>T 0 3/4 05/31/12</v>
      </c>
      <c r="Q977" t="str">
        <f>_xll.BDP("912828NE Govt","DAY_CNT_DES")</f>
        <v>ACT/ACT</v>
      </c>
      <c r="R977">
        <v>100</v>
      </c>
      <c r="S977" t="str">
        <f>_xll.BDP("912828NE Govt","ID_CUSIP")</f>
        <v>912828NE6</v>
      </c>
      <c r="T977" t="str">
        <f>_xll.BDP("912828NE Govt","IDX_RATIO")</f>
        <v>#N/A Field Not Applicable</v>
      </c>
    </row>
    <row r="978" spans="1:20" x14ac:dyDescent="0.25">
      <c r="A978" t="s">
        <v>14</v>
      </c>
      <c r="B978" t="str">
        <f>_xll.BDP("912828NK Govt","TICKER")</f>
        <v>T</v>
      </c>
      <c r="C978">
        <f>_xll.BDP("912828NK Govt","CPN")</f>
        <v>2.5</v>
      </c>
      <c r="D978" t="str">
        <f>_xll.BDP("912828NK Govt","YLD_YTM_BID")</f>
        <v>#N/A N/A</v>
      </c>
      <c r="E978" t="str">
        <f>_xll.BDP("912828NK Govt","MATURITY")</f>
        <v>6/30/2017</v>
      </c>
      <c r="F978" t="str">
        <f>_xll.BDP("912828NK Govt","MTY_TYP")</f>
        <v>NORMAL</v>
      </c>
      <c r="G978" t="str">
        <f>_xll.BDP("912828NK Govt","CRNCY")</f>
        <v>USD</v>
      </c>
      <c r="H978" t="str">
        <f>_xll.BDP("912828NK Govt","COUNTRY_FULL_NAME")</f>
        <v>UNITED STATES</v>
      </c>
      <c r="I978" t="str">
        <f>_xll.BDP("912828NK Govt","FIRST_CPN_DT")</f>
        <v>12/31/2010</v>
      </c>
      <c r="J978" t="str">
        <f>_xll.BDP("912828NK Govt","COUPON_FREQUENCY_DESCRIPTION")</f>
        <v>S/A</v>
      </c>
      <c r="K978" t="str">
        <f>_xll.BDP("912828NK Govt","CPN_TYP")</f>
        <v>FIXED</v>
      </c>
      <c r="L978" t="str">
        <f>_xll.BDP("912828NK Govt","ID_ISIN")</f>
        <v>US912828NK23</v>
      </c>
      <c r="M978">
        <v>30893000000</v>
      </c>
      <c r="N978">
        <v>0</v>
      </c>
      <c r="O978" t="str">
        <f>_xll.BDP("912828NK Govt","ISSUE_DT")</f>
        <v>6/30/2010</v>
      </c>
      <c r="P978" t="str">
        <f>_xll.BDP("912828NK Govt","SECURITY_NAME")</f>
        <v>T 2 1/2 06/30/17</v>
      </c>
      <c r="Q978" t="str">
        <f>_xll.BDP("912828NK Govt","DAY_CNT_DES")</f>
        <v>ACT/ACT</v>
      </c>
      <c r="R978">
        <v>100</v>
      </c>
      <c r="S978" t="str">
        <f>_xll.BDP("912828NK Govt","ID_CUSIP")</f>
        <v>912828NK2</v>
      </c>
      <c r="T978" t="str">
        <f>_xll.BDP("912828NK Govt","IDX_RATIO")</f>
        <v>#N/A Field Not Applicable</v>
      </c>
    </row>
    <row r="979" spans="1:20" x14ac:dyDescent="0.25">
      <c r="A979" t="s">
        <v>14</v>
      </c>
      <c r="B979" t="str">
        <f>_xll.BDP("912828NS Govt","TICKER")</f>
        <v>T</v>
      </c>
      <c r="C979">
        <f>_xll.BDP("912828NS Govt","CPN")</f>
        <v>0.625</v>
      </c>
      <c r="D979" t="str">
        <f>_xll.BDP("912828NS Govt","YLD_YTM_BID")</f>
        <v>#N/A N/A</v>
      </c>
      <c r="E979" t="str">
        <f>_xll.BDP("912828NS Govt","MATURITY")</f>
        <v>6/30/2012</v>
      </c>
      <c r="F979" t="str">
        <f>_xll.BDP("912828NS Govt","MTY_TYP")</f>
        <v>NORMAL</v>
      </c>
      <c r="G979" t="str">
        <f>_xll.BDP("912828NS Govt","CRNCY")</f>
        <v>USD</v>
      </c>
      <c r="H979" t="str">
        <f>_xll.BDP("912828NS Govt","COUNTRY_FULL_NAME")</f>
        <v>UNITED STATES</v>
      </c>
      <c r="I979" t="str">
        <f>_xll.BDP("912828NS Govt","FIRST_CPN_DT")</f>
        <v>12/31/2010</v>
      </c>
      <c r="J979" t="str">
        <f>_xll.BDP("912828NS Govt","COUPON_FREQUENCY_DESCRIPTION")</f>
        <v>S/A</v>
      </c>
      <c r="K979" t="str">
        <f>_xll.BDP("912828NS Govt","CPN_TYP")</f>
        <v>FIXED</v>
      </c>
      <c r="L979" t="str">
        <f>_xll.BDP("912828NS Govt","ID_ISIN")</f>
        <v>US912828NS58</v>
      </c>
      <c r="M979">
        <v>41191000000</v>
      </c>
      <c r="N979">
        <v>0</v>
      </c>
      <c r="O979" t="str">
        <f>_xll.BDP("912828NS Govt","ISSUE_DT")</f>
        <v>6/30/2010</v>
      </c>
      <c r="P979" t="str">
        <f>_xll.BDP("912828NS Govt","SECURITY_NAME")</f>
        <v>T 0 5/8 06/30/12</v>
      </c>
      <c r="Q979" t="str">
        <f>_xll.BDP("912828NS Govt","DAY_CNT_DES")</f>
        <v>ACT/ACT</v>
      </c>
      <c r="R979">
        <v>100</v>
      </c>
      <c r="S979" t="str">
        <f>_xll.BDP("912828NS Govt","ID_CUSIP")</f>
        <v>912828NS5</v>
      </c>
      <c r="T979" t="str">
        <f>_xll.BDP("912828NS Govt","IDX_RATIO")</f>
        <v>#N/A Field Not Applicable</v>
      </c>
    </row>
    <row r="980" spans="1:20" x14ac:dyDescent="0.25">
      <c r="A980" t="s">
        <v>14</v>
      </c>
      <c r="B980" t="str">
        <f>_xll.BDP("912828NX Govt","TICKER")</f>
        <v>T</v>
      </c>
      <c r="C980">
        <f>_xll.BDP("912828NX Govt","CPN")</f>
        <v>0.375</v>
      </c>
      <c r="D980" t="str">
        <f>_xll.BDP("912828NX Govt","YLD_YTM_BID")</f>
        <v>#N/A N/A</v>
      </c>
      <c r="E980" t="str">
        <f>_xll.BDP("912828NX Govt","MATURITY")</f>
        <v>9/30/2012</v>
      </c>
      <c r="F980" t="str">
        <f>_xll.BDP("912828NX Govt","MTY_TYP")</f>
        <v>NORMAL</v>
      </c>
      <c r="G980" t="str">
        <f>_xll.BDP("912828NX Govt","CRNCY")</f>
        <v>USD</v>
      </c>
      <c r="H980" t="str">
        <f>_xll.BDP("912828NX Govt","COUNTRY_FULL_NAME")</f>
        <v>UNITED STATES</v>
      </c>
      <c r="I980" t="str">
        <f>_xll.BDP("912828NX Govt","FIRST_CPN_DT")</f>
        <v>3/31/2011</v>
      </c>
      <c r="J980" t="str">
        <f>_xll.BDP("912828NX Govt","COUPON_FREQUENCY_DESCRIPTION")</f>
        <v>S/A</v>
      </c>
      <c r="K980" t="str">
        <f>_xll.BDP("912828NX Govt","CPN_TYP")</f>
        <v>FIXED</v>
      </c>
      <c r="L980" t="str">
        <f>_xll.BDP("912828NX Govt","ID_ISIN")</f>
        <v>US912828NX44</v>
      </c>
      <c r="M980">
        <v>37129000000</v>
      </c>
      <c r="N980">
        <v>0</v>
      </c>
      <c r="O980" t="str">
        <f>_xll.BDP("912828NX Govt","ISSUE_DT")</f>
        <v>9/30/2010</v>
      </c>
      <c r="P980" t="str">
        <f>_xll.BDP("912828NX Govt","SECURITY_NAME")</f>
        <v>T 0 3/8 09/30/12</v>
      </c>
      <c r="Q980" t="str">
        <f>_xll.BDP("912828NX Govt","DAY_CNT_DES")</f>
        <v>ACT/ACT</v>
      </c>
      <c r="R980">
        <v>100</v>
      </c>
      <c r="S980" t="str">
        <f>_xll.BDP("912828NX Govt","ID_CUSIP")</f>
        <v>912828NX4</v>
      </c>
      <c r="T980" t="str">
        <f>_xll.BDP("912828NX Govt","IDX_RATIO")</f>
        <v>#N/A Field Not Applicable</v>
      </c>
    </row>
    <row r="981" spans="1:20" x14ac:dyDescent="0.25">
      <c r="A981" t="s">
        <v>14</v>
      </c>
      <c r="B981" t="str">
        <f>_xll.BDP("912828P2 Govt","TICKER")</f>
        <v>T</v>
      </c>
      <c r="C981">
        <f>_xll.BDP("912828P2 Govt","CPN")</f>
        <v>0.75</v>
      </c>
      <c r="D981" t="str">
        <f>_xll.BDP("912828P2 Govt","YLD_YTM_BID")</f>
        <v>#N/A N/A</v>
      </c>
      <c r="E981" t="str">
        <f>_xll.BDP("912828P2 Govt","MATURITY")</f>
        <v>1/31/2018</v>
      </c>
      <c r="F981" t="str">
        <f>_xll.BDP("912828P2 Govt","MTY_TYP")</f>
        <v>NORMAL</v>
      </c>
      <c r="G981" t="str">
        <f>_xll.BDP("912828P2 Govt","CRNCY")</f>
        <v>USD</v>
      </c>
      <c r="H981" t="str">
        <f>_xll.BDP("912828P2 Govt","COUNTRY_FULL_NAME")</f>
        <v>UNITED STATES</v>
      </c>
      <c r="I981" t="str">
        <f>_xll.BDP("912828P2 Govt","FIRST_CPN_DT")</f>
        <v>7/31/2016</v>
      </c>
      <c r="J981" t="str">
        <f>_xll.BDP("912828P2 Govt","COUPON_FREQUENCY_DESCRIPTION")</f>
        <v>S/A</v>
      </c>
      <c r="K981" t="str">
        <f>_xll.BDP("912828P2 Govt","CPN_TYP")</f>
        <v>FIXED</v>
      </c>
      <c r="L981" t="str">
        <f>_xll.BDP("912828P2 Govt","ID_ISIN")</f>
        <v>US912828P204</v>
      </c>
      <c r="M981">
        <v>26470000000</v>
      </c>
      <c r="N981">
        <v>0</v>
      </c>
      <c r="O981" t="str">
        <f>_xll.BDP("912828P2 Govt","ISSUE_DT")</f>
        <v>2/1/2016</v>
      </c>
      <c r="P981" t="str">
        <f>_xll.BDP("912828P2 Govt","SECURITY_NAME")</f>
        <v>T 0 3/4 01/31/18</v>
      </c>
      <c r="Q981" t="str">
        <f>_xll.BDP("912828P2 Govt","DAY_CNT_DES")</f>
        <v>ACT/ACT</v>
      </c>
      <c r="R981">
        <v>100</v>
      </c>
      <c r="S981" t="str">
        <f>_xll.BDP("912828P2 Govt","ID_CUSIP")</f>
        <v>912828P20</v>
      </c>
      <c r="T981" t="str">
        <f>_xll.BDP("912828P2 Govt","IDX_RATIO")</f>
        <v>#N/A Field Not Applicable</v>
      </c>
    </row>
    <row r="982" spans="1:20" x14ac:dyDescent="0.25">
      <c r="A982" t="s">
        <v>14</v>
      </c>
      <c r="B982" t="str">
        <f>_xll.BDP("912828PK Govt","TICKER")</f>
        <v>T</v>
      </c>
      <c r="C982">
        <f>_xll.BDP("912828PK Govt","CPN")</f>
        <v>2.25</v>
      </c>
      <c r="D982" t="str">
        <f>_xll.BDP("912828PK Govt","YLD_YTM_BID")</f>
        <v>#N/A N/A</v>
      </c>
      <c r="E982" t="str">
        <f>_xll.BDP("912828PK Govt","MATURITY")</f>
        <v>11/30/2017</v>
      </c>
      <c r="F982" t="str">
        <f>_xll.BDP("912828PK Govt","MTY_TYP")</f>
        <v>NORMAL</v>
      </c>
      <c r="G982" t="str">
        <f>_xll.BDP("912828PK Govt","CRNCY")</f>
        <v>USD</v>
      </c>
      <c r="H982" t="str">
        <f>_xll.BDP("912828PK Govt","COUNTRY_FULL_NAME")</f>
        <v>UNITED STATES</v>
      </c>
      <c r="I982" t="str">
        <f>_xll.BDP("912828PK Govt","FIRST_CPN_DT")</f>
        <v>5/31/2011</v>
      </c>
      <c r="J982" t="str">
        <f>_xll.BDP("912828PK Govt","COUPON_FREQUENCY_DESCRIPTION")</f>
        <v>S/A</v>
      </c>
      <c r="K982" t="str">
        <f>_xll.BDP("912828PK Govt","CPN_TYP")</f>
        <v>FIXED</v>
      </c>
      <c r="L982" t="str">
        <f>_xll.BDP("912828PK Govt","ID_ISIN")</f>
        <v>US912828PK05</v>
      </c>
      <c r="M982">
        <v>30144000000</v>
      </c>
      <c r="N982">
        <v>0</v>
      </c>
      <c r="O982" t="str">
        <f>_xll.BDP("912828PK Govt","ISSUE_DT")</f>
        <v>11/30/2010</v>
      </c>
      <c r="P982" t="str">
        <f>_xll.BDP("912828PK Govt","SECURITY_NAME")</f>
        <v>T 2 1/4 11/30/17</v>
      </c>
      <c r="Q982" t="str">
        <f>_xll.BDP("912828PK Govt","DAY_CNT_DES")</f>
        <v>ACT/ACT</v>
      </c>
      <c r="R982">
        <v>100</v>
      </c>
      <c r="S982" t="str">
        <f>_xll.BDP("912828PK Govt","ID_CUSIP")</f>
        <v>912828PK0</v>
      </c>
      <c r="T982" t="str">
        <f>_xll.BDP("912828PK Govt","IDX_RATIO")</f>
        <v>#N/A Field Not Applicable</v>
      </c>
    </row>
    <row r="983" spans="1:20" x14ac:dyDescent="0.25">
      <c r="A983" t="s">
        <v>14</v>
      </c>
      <c r="B983" t="str">
        <f>_xll.BDP("912828PL Govt","TICKER")</f>
        <v>T</v>
      </c>
      <c r="C983">
        <f>_xll.BDP("912828PL Govt","CPN")</f>
        <v>0.75</v>
      </c>
      <c r="D983" t="str">
        <f>_xll.BDP("912828PL Govt","YLD_YTM_BID")</f>
        <v>#N/A N/A</v>
      </c>
      <c r="E983" t="str">
        <f>_xll.BDP("912828PL Govt","MATURITY")</f>
        <v>12/15/2013</v>
      </c>
      <c r="F983" t="str">
        <f>_xll.BDP("912828PL Govt","MTY_TYP")</f>
        <v>NORMAL</v>
      </c>
      <c r="G983" t="str">
        <f>_xll.BDP("912828PL Govt","CRNCY")</f>
        <v>USD</v>
      </c>
      <c r="H983" t="str">
        <f>_xll.BDP("912828PL Govt","COUNTRY_FULL_NAME")</f>
        <v>UNITED STATES</v>
      </c>
      <c r="I983" t="str">
        <f>_xll.BDP("912828PL Govt","FIRST_CPN_DT")</f>
        <v>6/15/2011</v>
      </c>
      <c r="J983" t="str">
        <f>_xll.BDP("912828PL Govt","COUPON_FREQUENCY_DESCRIPTION")</f>
        <v>S/A</v>
      </c>
      <c r="K983" t="str">
        <f>_xll.BDP("912828PL Govt","CPN_TYP")</f>
        <v>FIXED</v>
      </c>
      <c r="L983" t="str">
        <f>_xll.BDP("912828PL Govt","ID_ISIN")</f>
        <v>US912828PL87</v>
      </c>
      <c r="M983">
        <v>32468000000</v>
      </c>
      <c r="N983">
        <v>0</v>
      </c>
      <c r="O983" t="str">
        <f>_xll.BDP("912828PL Govt","ISSUE_DT")</f>
        <v>12/15/2010</v>
      </c>
      <c r="P983" t="str">
        <f>_xll.BDP("912828PL Govt","SECURITY_NAME")</f>
        <v>T 0 3/4 12/15/13</v>
      </c>
      <c r="Q983" t="str">
        <f>_xll.BDP("912828PL Govt","DAY_CNT_DES")</f>
        <v>ACT/ACT</v>
      </c>
      <c r="R983">
        <v>100</v>
      </c>
      <c r="S983" t="str">
        <f>_xll.BDP("912828PL Govt","ID_CUSIP")</f>
        <v>912828PL8</v>
      </c>
      <c r="T983" t="str">
        <f>_xll.BDP("912828PL Govt","IDX_RATIO")</f>
        <v>#N/A Field Not Applicable</v>
      </c>
    </row>
    <row r="984" spans="1:20" x14ac:dyDescent="0.25">
      <c r="A984" t="s">
        <v>14</v>
      </c>
      <c r="B984" t="str">
        <f>_xll.BDP("912828PN Govt","TICKER")</f>
        <v>T</v>
      </c>
      <c r="C984">
        <f>_xll.BDP("912828PN Govt","CPN")</f>
        <v>2.75</v>
      </c>
      <c r="D984" t="str">
        <f>_xll.BDP("912828PN Govt","YLD_YTM_BID")</f>
        <v>#N/A N/A</v>
      </c>
      <c r="E984" t="str">
        <f>_xll.BDP("912828PN Govt","MATURITY")</f>
        <v>12/31/2017</v>
      </c>
      <c r="F984" t="str">
        <f>_xll.BDP("912828PN Govt","MTY_TYP")</f>
        <v>NORMAL</v>
      </c>
      <c r="G984" t="str">
        <f>_xll.BDP("912828PN Govt","CRNCY")</f>
        <v>USD</v>
      </c>
      <c r="H984" t="str">
        <f>_xll.BDP("912828PN Govt","COUNTRY_FULL_NAME")</f>
        <v>UNITED STATES</v>
      </c>
      <c r="I984" t="str">
        <f>_xll.BDP("912828PN Govt","FIRST_CPN_DT")</f>
        <v>6/30/2011</v>
      </c>
      <c r="J984" t="str">
        <f>_xll.BDP("912828PN Govt","COUPON_FREQUENCY_DESCRIPTION")</f>
        <v>S/A</v>
      </c>
      <c r="K984" t="str">
        <f>_xll.BDP("912828PN Govt","CPN_TYP")</f>
        <v>FIXED</v>
      </c>
      <c r="L984" t="str">
        <f>_xll.BDP("912828PN Govt","ID_ISIN")</f>
        <v>US912828PN44</v>
      </c>
      <c r="M984">
        <v>30454000000</v>
      </c>
      <c r="N984">
        <v>0</v>
      </c>
      <c r="O984" t="str">
        <f>_xll.BDP("912828PN Govt","ISSUE_DT")</f>
        <v>12/31/2010</v>
      </c>
      <c r="P984" t="str">
        <f>_xll.BDP("912828PN Govt","SECURITY_NAME")</f>
        <v>T 2 3/4 12/31/17</v>
      </c>
      <c r="Q984" t="str">
        <f>_xll.BDP("912828PN Govt","DAY_CNT_DES")</f>
        <v>ACT/ACT</v>
      </c>
      <c r="R984">
        <v>100</v>
      </c>
      <c r="S984" t="str">
        <f>_xll.BDP("912828PN Govt","ID_CUSIP")</f>
        <v>912828PN4</v>
      </c>
      <c r="T984" t="str">
        <f>_xll.BDP("912828PN Govt","IDX_RATIO")</f>
        <v>#N/A Field Not Applicable</v>
      </c>
    </row>
    <row r="985" spans="1:20" x14ac:dyDescent="0.25">
      <c r="A985" t="s">
        <v>14</v>
      </c>
      <c r="B985" t="str">
        <f>_xll.BDP("912828PQ Govt","TICKER")</f>
        <v>T</v>
      </c>
      <c r="C985">
        <f>_xll.BDP("912828PQ Govt","CPN")</f>
        <v>1</v>
      </c>
      <c r="D985" t="str">
        <f>_xll.BDP("912828PQ Govt","YLD_YTM_BID")</f>
        <v>#N/A N/A</v>
      </c>
      <c r="E985" t="str">
        <f>_xll.BDP("912828PQ Govt","MATURITY")</f>
        <v>1/15/2014</v>
      </c>
      <c r="F985" t="str">
        <f>_xll.BDP("912828PQ Govt","MTY_TYP")</f>
        <v>NORMAL</v>
      </c>
      <c r="G985" t="str">
        <f>_xll.BDP("912828PQ Govt","CRNCY")</f>
        <v>USD</v>
      </c>
      <c r="H985" t="str">
        <f>_xll.BDP("912828PQ Govt","COUNTRY_FULL_NAME")</f>
        <v>UNITED STATES</v>
      </c>
      <c r="I985" t="str">
        <f>_xll.BDP("912828PQ Govt","FIRST_CPN_DT")</f>
        <v>7/15/2011</v>
      </c>
      <c r="J985" t="str">
        <f>_xll.BDP("912828PQ Govt","COUPON_FREQUENCY_DESCRIPTION")</f>
        <v>S/A</v>
      </c>
      <c r="K985" t="str">
        <f>_xll.BDP("912828PQ Govt","CPN_TYP")</f>
        <v>FIXED</v>
      </c>
      <c r="L985" t="str">
        <f>_xll.BDP("912828PQ Govt","ID_ISIN")</f>
        <v>US912828PQ74</v>
      </c>
      <c r="M985">
        <v>32701000000</v>
      </c>
      <c r="N985">
        <v>0</v>
      </c>
      <c r="O985" t="str">
        <f>_xll.BDP("912828PQ Govt","ISSUE_DT")</f>
        <v>1/18/2011</v>
      </c>
      <c r="P985" t="str">
        <f>_xll.BDP("912828PQ Govt","SECURITY_NAME")</f>
        <v>T 1 01/15/14</v>
      </c>
      <c r="Q985" t="str">
        <f>_xll.BDP("912828PQ Govt","DAY_CNT_DES")</f>
        <v>ACT/ACT</v>
      </c>
      <c r="R985">
        <v>100</v>
      </c>
      <c r="S985" t="str">
        <f>_xll.BDP("912828PQ Govt","ID_CUSIP")</f>
        <v>912828PQ7</v>
      </c>
      <c r="T985" t="str">
        <f>_xll.BDP("912828PQ Govt","IDX_RATIO")</f>
        <v>#N/A Field Not Applicable</v>
      </c>
    </row>
    <row r="986" spans="1:20" x14ac:dyDescent="0.25">
      <c r="A986" t="s">
        <v>14</v>
      </c>
      <c r="B986" t="str">
        <f>_xll.BDP("912828PS Govt","TICKER")</f>
        <v>T</v>
      </c>
      <c r="C986">
        <f>_xll.BDP("912828PS Govt","CPN")</f>
        <v>2</v>
      </c>
      <c r="D986" t="str">
        <f>_xll.BDP("912828PS Govt","YLD_YTM_BID")</f>
        <v>#N/A N/A</v>
      </c>
      <c r="E986" t="str">
        <f>_xll.BDP("912828PS Govt","MATURITY")</f>
        <v>1/31/2016</v>
      </c>
      <c r="F986" t="str">
        <f>_xll.BDP("912828PS Govt","MTY_TYP")</f>
        <v>NORMAL</v>
      </c>
      <c r="G986" t="str">
        <f>_xll.BDP("912828PS Govt","CRNCY")</f>
        <v>USD</v>
      </c>
      <c r="H986" t="str">
        <f>_xll.BDP("912828PS Govt","COUNTRY_FULL_NAME")</f>
        <v>UNITED STATES</v>
      </c>
      <c r="I986" t="str">
        <f>_xll.BDP("912828PS Govt","FIRST_CPN_DT")</f>
        <v>7/31/2011</v>
      </c>
      <c r="J986" t="str">
        <f>_xll.BDP("912828PS Govt","COUPON_FREQUENCY_DESCRIPTION")</f>
        <v>S/A</v>
      </c>
      <c r="K986" t="str">
        <f>_xll.BDP("912828PS Govt","CPN_TYP")</f>
        <v>FIXED</v>
      </c>
      <c r="L986" t="str">
        <f>_xll.BDP("912828PS Govt","ID_ISIN")</f>
        <v>US912828PS31</v>
      </c>
      <c r="M986">
        <v>35698000000</v>
      </c>
      <c r="N986">
        <v>0</v>
      </c>
      <c r="O986" t="str">
        <f>_xll.BDP("912828PS Govt","ISSUE_DT")</f>
        <v>1/31/2011</v>
      </c>
      <c r="P986" t="str">
        <f>_xll.BDP("912828PS Govt","SECURITY_NAME")</f>
        <v>T 2 01/31/16</v>
      </c>
      <c r="Q986" t="str">
        <f>_xll.BDP("912828PS Govt","DAY_CNT_DES")</f>
        <v>ACT/ACT</v>
      </c>
      <c r="R986">
        <v>100</v>
      </c>
      <c r="S986" t="str">
        <f>_xll.BDP("912828PS Govt","ID_CUSIP")</f>
        <v>912828PS3</v>
      </c>
      <c r="T986" t="str">
        <f>_xll.BDP("912828PS Govt","IDX_RATIO")</f>
        <v>#N/A Field Not Applicable</v>
      </c>
    </row>
    <row r="987" spans="1:20" x14ac:dyDescent="0.25">
      <c r="A987" t="s">
        <v>14</v>
      </c>
      <c r="B987" t="str">
        <f>_xll.BDP("912828PW Govt","TICKER")</f>
        <v>T</v>
      </c>
      <c r="C987">
        <f>_xll.BDP("912828PW Govt","CPN")</f>
        <v>0.625</v>
      </c>
      <c r="D987" t="str">
        <f>_xll.BDP("912828PW Govt","YLD_YTM_BID")</f>
        <v>#N/A N/A</v>
      </c>
      <c r="E987" t="str">
        <f>_xll.BDP("912828PW Govt","MATURITY")</f>
        <v>12/31/2012</v>
      </c>
      <c r="F987" t="str">
        <f>_xll.BDP("912828PW Govt","MTY_TYP")</f>
        <v>NORMAL</v>
      </c>
      <c r="G987" t="str">
        <f>_xll.BDP("912828PW Govt","CRNCY")</f>
        <v>USD</v>
      </c>
      <c r="H987" t="str">
        <f>_xll.BDP("912828PW Govt","COUNTRY_FULL_NAME")</f>
        <v>UNITED STATES</v>
      </c>
      <c r="I987" t="str">
        <f>_xll.BDP("912828PW Govt","FIRST_CPN_DT")</f>
        <v>6/30/2011</v>
      </c>
      <c r="J987" t="str">
        <f>_xll.BDP("912828PW Govt","COUPON_FREQUENCY_DESCRIPTION")</f>
        <v>S/A</v>
      </c>
      <c r="K987" t="str">
        <f>_xll.BDP("912828PW Govt","CPN_TYP")</f>
        <v>FIXED</v>
      </c>
      <c r="L987" t="str">
        <f>_xll.BDP("912828PW Govt","ID_ISIN")</f>
        <v>US912828PW43</v>
      </c>
      <c r="M987">
        <v>36755000000</v>
      </c>
      <c r="N987">
        <v>0</v>
      </c>
      <c r="O987" t="str">
        <f>_xll.BDP("912828PW Govt","ISSUE_DT")</f>
        <v>12/31/2010</v>
      </c>
      <c r="P987" t="str">
        <f>_xll.BDP("912828PW Govt","SECURITY_NAME")</f>
        <v>T 0 5/8 12/31/12</v>
      </c>
      <c r="Q987" t="str">
        <f>_xll.BDP("912828PW Govt","DAY_CNT_DES")</f>
        <v>ACT/ACT</v>
      </c>
      <c r="R987">
        <v>100</v>
      </c>
      <c r="S987" t="str">
        <f>_xll.BDP("912828PW Govt","ID_CUSIP")</f>
        <v>912828PW4</v>
      </c>
      <c r="T987" t="str">
        <f>_xll.BDP("912828PW Govt","IDX_RATIO")</f>
        <v>#N/A Field Not Applicable</v>
      </c>
    </row>
    <row r="988" spans="1:20" x14ac:dyDescent="0.25">
      <c r="A988" t="s">
        <v>14</v>
      </c>
      <c r="B988" t="str">
        <f>_xll.BDP("912828QB Govt","TICKER")</f>
        <v>T</v>
      </c>
      <c r="C988">
        <f>_xll.BDP("912828QB Govt","CPN")</f>
        <v>2.875</v>
      </c>
      <c r="D988" t="str">
        <f>_xll.BDP("912828QB Govt","YLD_YTM_BID")</f>
        <v>#N/A N/A</v>
      </c>
      <c r="E988" t="str">
        <f>_xll.BDP("912828QB Govt","MATURITY")</f>
        <v>3/31/2018</v>
      </c>
      <c r="F988" t="str">
        <f>_xll.BDP("912828QB Govt","MTY_TYP")</f>
        <v>NORMAL</v>
      </c>
      <c r="G988" t="str">
        <f>_xll.BDP("912828QB Govt","CRNCY")</f>
        <v>USD</v>
      </c>
      <c r="H988" t="str">
        <f>_xll.BDP("912828QB Govt","COUNTRY_FULL_NAME")</f>
        <v>UNITED STATES</v>
      </c>
      <c r="I988" t="str">
        <f>_xll.BDP("912828QB Govt","FIRST_CPN_DT")</f>
        <v>9/30/2011</v>
      </c>
      <c r="J988" t="str">
        <f>_xll.BDP("912828QB Govt","COUPON_FREQUENCY_DESCRIPTION")</f>
        <v>S/A</v>
      </c>
      <c r="K988" t="str">
        <f>_xll.BDP("912828QB Govt","CPN_TYP")</f>
        <v>FIXED</v>
      </c>
      <c r="L988" t="str">
        <f>_xll.BDP("912828QB Govt","ID_ISIN")</f>
        <v>US912828QB96</v>
      </c>
      <c r="M988">
        <v>30300000000</v>
      </c>
      <c r="N988">
        <v>0</v>
      </c>
      <c r="O988" t="str">
        <f>_xll.BDP("912828QB Govt","ISSUE_DT")</f>
        <v>3/31/2011</v>
      </c>
      <c r="P988" t="str">
        <f>_xll.BDP("912828QB Govt","SECURITY_NAME")</f>
        <v>T 2 7/8 03/31/18</v>
      </c>
      <c r="Q988" t="str">
        <f>_xll.BDP("912828QB Govt","DAY_CNT_DES")</f>
        <v>ACT/ACT</v>
      </c>
      <c r="R988">
        <v>100</v>
      </c>
      <c r="S988" t="str">
        <f>_xll.BDP("912828QB Govt","ID_CUSIP")</f>
        <v>912828QB9</v>
      </c>
      <c r="T988" t="str">
        <f>_xll.BDP("912828QB Govt","IDX_RATIO")</f>
        <v>#N/A Field Not Applicable</v>
      </c>
    </row>
    <row r="989" spans="1:20" x14ac:dyDescent="0.25">
      <c r="A989" t="s">
        <v>14</v>
      </c>
      <c r="B989" t="str">
        <f>_xll.BDP("912828QE Govt","TICKER")</f>
        <v>T</v>
      </c>
      <c r="C989">
        <f>_xll.BDP("912828QE Govt","CPN")</f>
        <v>0.625</v>
      </c>
      <c r="D989" t="str">
        <f>_xll.BDP("912828QE Govt","YLD_YTM_BID")</f>
        <v>#N/A N/A</v>
      </c>
      <c r="E989" t="str">
        <f>_xll.BDP("912828QE Govt","MATURITY")</f>
        <v>4/30/2013</v>
      </c>
      <c r="F989" t="str">
        <f>_xll.BDP("912828QE Govt","MTY_TYP")</f>
        <v>NORMAL</v>
      </c>
      <c r="G989" t="str">
        <f>_xll.BDP("912828QE Govt","CRNCY")</f>
        <v>USD</v>
      </c>
      <c r="H989" t="str">
        <f>_xll.BDP("912828QE Govt","COUNTRY_FULL_NAME")</f>
        <v>UNITED STATES</v>
      </c>
      <c r="I989" t="str">
        <f>_xll.BDP("912828QE Govt","FIRST_CPN_DT")</f>
        <v>10/31/2011</v>
      </c>
      <c r="J989" t="str">
        <f>_xll.BDP("912828QE Govt","COUPON_FREQUENCY_DESCRIPTION")</f>
        <v>S/A</v>
      </c>
      <c r="K989" t="str">
        <f>_xll.BDP("912828QE Govt","CPN_TYP")</f>
        <v>FIXED</v>
      </c>
      <c r="L989" t="str">
        <f>_xll.BDP("912828QE Govt","ID_ISIN")</f>
        <v>US912828QE36</v>
      </c>
      <c r="M989">
        <v>37209000000</v>
      </c>
      <c r="N989">
        <v>0</v>
      </c>
      <c r="O989" t="str">
        <f>_xll.BDP("912828QE Govt","ISSUE_DT")</f>
        <v>5/2/2011</v>
      </c>
      <c r="P989" t="str">
        <f>_xll.BDP("912828QE Govt","SECURITY_NAME")</f>
        <v>T 0 5/8 04/30/13</v>
      </c>
      <c r="Q989" t="str">
        <f>_xll.BDP("912828QE Govt","DAY_CNT_DES")</f>
        <v>ACT/ACT</v>
      </c>
      <c r="R989">
        <v>100</v>
      </c>
      <c r="S989" t="str">
        <f>_xll.BDP("912828QE Govt","ID_CUSIP")</f>
        <v>912828QE3</v>
      </c>
      <c r="T989" t="str">
        <f>_xll.BDP("912828QE Govt","IDX_RATIO")</f>
        <v>#N/A Field Not Applicable</v>
      </c>
    </row>
    <row r="990" spans="1:20" x14ac:dyDescent="0.25">
      <c r="A990" t="s">
        <v>14</v>
      </c>
      <c r="B990" t="str">
        <f>_xll.BDP("912828QG Govt","TICKER")</f>
        <v>T</v>
      </c>
      <c r="C990">
        <f>_xll.BDP("912828QG Govt","CPN")</f>
        <v>2.625</v>
      </c>
      <c r="D990" t="str">
        <f>_xll.BDP("912828QG Govt","YLD_YTM_BID")</f>
        <v>#N/A N/A</v>
      </c>
      <c r="E990" t="str">
        <f>_xll.BDP("912828QG Govt","MATURITY")</f>
        <v>4/30/2018</v>
      </c>
      <c r="F990" t="str">
        <f>_xll.BDP("912828QG Govt","MTY_TYP")</f>
        <v>NORMAL</v>
      </c>
      <c r="G990" t="str">
        <f>_xll.BDP("912828QG Govt","CRNCY")</f>
        <v>USD</v>
      </c>
      <c r="H990" t="str">
        <f>_xll.BDP("912828QG Govt","COUNTRY_FULL_NAME")</f>
        <v>UNITED STATES</v>
      </c>
      <c r="I990" t="str">
        <f>_xll.BDP("912828QG Govt","FIRST_CPN_DT")</f>
        <v>10/31/2011</v>
      </c>
      <c r="J990" t="str">
        <f>_xll.BDP("912828QG Govt","COUPON_FREQUENCY_DESCRIPTION")</f>
        <v>S/A</v>
      </c>
      <c r="K990" t="str">
        <f>_xll.BDP("912828QG Govt","CPN_TYP")</f>
        <v>FIXED</v>
      </c>
      <c r="L990" t="str">
        <f>_xll.BDP("912828QG Govt","ID_ISIN")</f>
        <v>US912828QG83</v>
      </c>
      <c r="M990">
        <v>30830000000</v>
      </c>
      <c r="N990">
        <v>0</v>
      </c>
      <c r="O990" t="str">
        <f>_xll.BDP("912828QG Govt","ISSUE_DT")</f>
        <v>5/2/2011</v>
      </c>
      <c r="P990" t="str">
        <f>_xll.BDP("912828QG Govt","SECURITY_NAME")</f>
        <v>T 2 5/8 04/30/18</v>
      </c>
      <c r="Q990" t="str">
        <f>_xll.BDP("912828QG Govt","DAY_CNT_DES")</f>
        <v>ACT/ACT</v>
      </c>
      <c r="R990">
        <v>100</v>
      </c>
      <c r="S990" t="str">
        <f>_xll.BDP("912828QG Govt","ID_CUSIP")</f>
        <v>912828QG8</v>
      </c>
      <c r="T990" t="str">
        <f>_xll.BDP("912828QG Govt","IDX_RATIO")</f>
        <v>#N/A Field Not Applicable</v>
      </c>
    </row>
    <row r="991" spans="1:20" x14ac:dyDescent="0.25">
      <c r="A991" t="s">
        <v>14</v>
      </c>
      <c r="B991" t="str">
        <f>_xll.BDP("912828QQ Govt","TICKER")</f>
        <v>T</v>
      </c>
      <c r="C991">
        <f>_xll.BDP("912828QQ Govt","CPN")</f>
        <v>2.375</v>
      </c>
      <c r="D991" t="str">
        <f>_xll.BDP("912828QQ Govt","YLD_YTM_BID")</f>
        <v>#N/A N/A</v>
      </c>
      <c r="E991" t="str">
        <f>_xll.BDP("912828QQ Govt","MATURITY")</f>
        <v>5/31/2018</v>
      </c>
      <c r="F991" t="str">
        <f>_xll.BDP("912828QQ Govt","MTY_TYP")</f>
        <v>NORMAL</v>
      </c>
      <c r="G991" t="str">
        <f>_xll.BDP("912828QQ Govt","CRNCY")</f>
        <v>USD</v>
      </c>
      <c r="H991" t="str">
        <f>_xll.BDP("912828QQ Govt","COUNTRY_FULL_NAME")</f>
        <v>UNITED STATES</v>
      </c>
      <c r="I991" t="str">
        <f>_xll.BDP("912828QQ Govt","FIRST_CPN_DT")</f>
        <v>11/30/2011</v>
      </c>
      <c r="J991" t="str">
        <f>_xll.BDP("912828QQ Govt","COUPON_FREQUENCY_DESCRIPTION")</f>
        <v>S/A</v>
      </c>
      <c r="K991" t="str">
        <f>_xll.BDP("912828QQ Govt","CPN_TYP")</f>
        <v>FIXED</v>
      </c>
      <c r="L991" t="str">
        <f>_xll.BDP("912828QQ Govt","ID_ISIN")</f>
        <v>US912828QQ65</v>
      </c>
      <c r="M991">
        <v>31441000000</v>
      </c>
      <c r="N991">
        <v>0</v>
      </c>
      <c r="O991" t="str">
        <f>_xll.BDP("912828QQ Govt","ISSUE_DT")</f>
        <v>5/31/2011</v>
      </c>
      <c r="P991" t="str">
        <f>_xll.BDP("912828QQ Govt","SECURITY_NAME")</f>
        <v>T 2 3/8 05/31/18</v>
      </c>
      <c r="Q991" t="str">
        <f>_xll.BDP("912828QQ Govt","DAY_CNT_DES")</f>
        <v>ACT/ACT</v>
      </c>
      <c r="R991">
        <v>100</v>
      </c>
      <c r="S991" t="str">
        <f>_xll.BDP("912828QQ Govt","ID_CUSIP")</f>
        <v>912828QQ6</v>
      </c>
      <c r="T991" t="str">
        <f>_xll.BDP("912828QQ Govt","IDX_RATIO")</f>
        <v>#N/A Field Not Applicable</v>
      </c>
    </row>
    <row r="992" spans="1:20" x14ac:dyDescent="0.25">
      <c r="A992" t="s">
        <v>14</v>
      </c>
      <c r="B992" t="str">
        <f>_xll.BDP("912828QS Govt","TICKER")</f>
        <v>T</v>
      </c>
      <c r="C992">
        <f>_xll.BDP("912828QS Govt","CPN")</f>
        <v>0.75</v>
      </c>
      <c r="D992" t="str">
        <f>_xll.BDP("912828QS Govt","YLD_YTM_BID")</f>
        <v>#N/A N/A</v>
      </c>
      <c r="E992" t="str">
        <f>_xll.BDP("912828QS Govt","MATURITY")</f>
        <v>6/15/2014</v>
      </c>
      <c r="F992" t="str">
        <f>_xll.BDP("912828QS Govt","MTY_TYP")</f>
        <v>NORMAL</v>
      </c>
      <c r="G992" t="str">
        <f>_xll.BDP("912828QS Govt","CRNCY")</f>
        <v>USD</v>
      </c>
      <c r="H992" t="str">
        <f>_xll.BDP("912828QS Govt","COUNTRY_FULL_NAME")</f>
        <v>UNITED STATES</v>
      </c>
      <c r="I992" t="str">
        <f>_xll.BDP("912828QS Govt","FIRST_CPN_DT")</f>
        <v>12/15/2011</v>
      </c>
      <c r="J992" t="str">
        <f>_xll.BDP("912828QS Govt","COUPON_FREQUENCY_DESCRIPTION")</f>
        <v>S/A</v>
      </c>
      <c r="K992" t="str">
        <f>_xll.BDP("912828QS Govt","CPN_TYP")</f>
        <v>FIXED</v>
      </c>
      <c r="L992" t="str">
        <f>_xll.BDP("912828QS Govt","ID_ISIN")</f>
        <v>US912828QS22</v>
      </c>
      <c r="M992">
        <v>32000000000</v>
      </c>
      <c r="N992">
        <v>0</v>
      </c>
      <c r="O992" t="str">
        <f>_xll.BDP("912828QS Govt","ISSUE_DT")</f>
        <v>6/15/2011</v>
      </c>
      <c r="P992" t="str">
        <f>_xll.BDP("912828QS Govt","SECURITY_NAME")</f>
        <v>T 0 3/4 06/15/14</v>
      </c>
      <c r="Q992" t="str">
        <f>_xll.BDP("912828QS Govt","DAY_CNT_DES")</f>
        <v>ACT/ACT</v>
      </c>
      <c r="R992">
        <v>100</v>
      </c>
      <c r="S992" t="str">
        <f>_xll.BDP("912828QS Govt","ID_CUSIP")</f>
        <v>912828QS2</v>
      </c>
      <c r="T992" t="str">
        <f>_xll.BDP("912828QS Govt","IDX_RATIO")</f>
        <v>#N/A Field Not Applicable</v>
      </c>
    </row>
    <row r="993" spans="1:20" x14ac:dyDescent="0.25">
      <c r="A993" t="s">
        <v>14</v>
      </c>
      <c r="B993" t="str">
        <f>_xll.BDP("912828RJ Govt","TICKER")</f>
        <v>T</v>
      </c>
      <c r="C993">
        <f>_xll.BDP("912828RJ Govt","CPN")</f>
        <v>1</v>
      </c>
      <c r="D993" t="str">
        <f>_xll.BDP("912828RJ Govt","YLD_YTM_BID")</f>
        <v>#N/A N/A</v>
      </c>
      <c r="E993" t="str">
        <f>_xll.BDP("912828RJ Govt","MATURITY")</f>
        <v>9/30/2016</v>
      </c>
      <c r="F993" t="str">
        <f>_xll.BDP("912828RJ Govt","MTY_TYP")</f>
        <v>NORMAL</v>
      </c>
      <c r="G993" t="str">
        <f>_xll.BDP("912828RJ Govt","CRNCY")</f>
        <v>USD</v>
      </c>
      <c r="H993" t="str">
        <f>_xll.BDP("912828RJ Govt","COUNTRY_FULL_NAME")</f>
        <v>UNITED STATES</v>
      </c>
      <c r="I993" t="str">
        <f>_xll.BDP("912828RJ Govt","FIRST_CPN_DT")</f>
        <v>3/31/2012</v>
      </c>
      <c r="J993" t="str">
        <f>_xll.BDP("912828RJ Govt","COUPON_FREQUENCY_DESCRIPTION")</f>
        <v>S/A</v>
      </c>
      <c r="K993" t="str">
        <f>_xll.BDP("912828RJ Govt","CPN_TYP")</f>
        <v>FIXED</v>
      </c>
      <c r="L993" t="str">
        <f>_xll.BDP("912828RJ Govt","ID_ISIN")</f>
        <v>US912828RJ14</v>
      </c>
      <c r="M993">
        <v>36089000000</v>
      </c>
      <c r="N993">
        <v>0</v>
      </c>
      <c r="O993" t="str">
        <f>_xll.BDP("912828RJ Govt","ISSUE_DT")</f>
        <v>9/30/2011</v>
      </c>
      <c r="P993" t="str">
        <f>_xll.BDP("912828RJ Govt","SECURITY_NAME")</f>
        <v>T 1 09/30/16</v>
      </c>
      <c r="Q993" t="str">
        <f>_xll.BDP("912828RJ Govt","DAY_CNT_DES")</f>
        <v>ACT/ACT</v>
      </c>
      <c r="R993">
        <v>100</v>
      </c>
      <c r="S993" t="str">
        <f>_xll.BDP("912828RJ Govt","ID_CUSIP")</f>
        <v>912828RJ1</v>
      </c>
      <c r="T993" t="str">
        <f>_xll.BDP("912828RJ Govt","IDX_RATIO")</f>
        <v>#N/A Field Not Applicable</v>
      </c>
    </row>
    <row r="994" spans="1:20" x14ac:dyDescent="0.25">
      <c r="A994" t="s">
        <v>14</v>
      </c>
      <c r="B994" t="str">
        <f>_xll.BDP("912828RQ Govt","TICKER")</f>
        <v>T</v>
      </c>
      <c r="C994">
        <f>_xll.BDP("912828RQ Govt","CPN")</f>
        <v>0.375</v>
      </c>
      <c r="D994" t="str">
        <f>_xll.BDP("912828RQ Govt","YLD_YTM_BID")</f>
        <v>#N/A N/A</v>
      </c>
      <c r="E994" t="str">
        <f>_xll.BDP("912828RQ Govt","MATURITY")</f>
        <v>11/15/2014</v>
      </c>
      <c r="F994" t="str">
        <f>_xll.BDP("912828RQ Govt","MTY_TYP")</f>
        <v>NORMAL</v>
      </c>
      <c r="G994" t="str">
        <f>_xll.BDP("912828RQ Govt","CRNCY")</f>
        <v>USD</v>
      </c>
      <c r="H994" t="str">
        <f>_xll.BDP("912828RQ Govt","COUNTRY_FULL_NAME")</f>
        <v>UNITED STATES</v>
      </c>
      <c r="I994" t="str">
        <f>_xll.BDP("912828RQ Govt","FIRST_CPN_DT")</f>
        <v>5/15/2012</v>
      </c>
      <c r="J994" t="str">
        <f>_xll.BDP("912828RQ Govt","COUPON_FREQUENCY_DESCRIPTION")</f>
        <v>S/A</v>
      </c>
      <c r="K994" t="str">
        <f>_xll.BDP("912828RQ Govt","CPN_TYP")</f>
        <v>FIXED</v>
      </c>
      <c r="L994" t="str">
        <f>_xll.BDP("912828RQ Govt","ID_ISIN")</f>
        <v>US912828RQ56</v>
      </c>
      <c r="M994">
        <v>34448000000</v>
      </c>
      <c r="N994">
        <v>0</v>
      </c>
      <c r="O994" t="str">
        <f>_xll.BDP("912828RQ Govt","ISSUE_DT")</f>
        <v>11/15/2011</v>
      </c>
      <c r="P994" t="str">
        <f>_xll.BDP("912828RQ Govt","SECURITY_NAME")</f>
        <v>T 0 3/8 11/15/14</v>
      </c>
      <c r="Q994" t="str">
        <f>_xll.BDP("912828RQ Govt","DAY_CNT_DES")</f>
        <v>ACT/ACT</v>
      </c>
      <c r="R994">
        <v>100</v>
      </c>
      <c r="S994" t="str">
        <f>_xll.BDP("912828RQ Govt","ID_CUSIP")</f>
        <v>912828RQ5</v>
      </c>
      <c r="T994" t="str">
        <f>_xll.BDP("912828RQ Govt","IDX_RATIO")</f>
        <v>#N/A Field Not Applicable</v>
      </c>
    </row>
    <row r="995" spans="1:20" x14ac:dyDescent="0.25">
      <c r="A995" t="s">
        <v>14</v>
      </c>
      <c r="B995" t="str">
        <f>_xll.BDP("912828SP Govt","TICKER")</f>
        <v>T</v>
      </c>
      <c r="C995">
        <f>_xll.BDP("912828SP Govt","CPN")</f>
        <v>0.375</v>
      </c>
      <c r="D995" t="str">
        <f>_xll.BDP("912828SP Govt","YLD_YTM_BID")</f>
        <v>#N/A N/A</v>
      </c>
      <c r="E995" t="str">
        <f>_xll.BDP("912828SP Govt","MATURITY")</f>
        <v>4/15/2015</v>
      </c>
      <c r="F995" t="str">
        <f>_xll.BDP("912828SP Govt","MTY_TYP")</f>
        <v>NORMAL</v>
      </c>
      <c r="G995" t="str">
        <f>_xll.BDP("912828SP Govt","CRNCY")</f>
        <v>USD</v>
      </c>
      <c r="H995" t="str">
        <f>_xll.BDP("912828SP Govt","COUNTRY_FULL_NAME")</f>
        <v>UNITED STATES</v>
      </c>
      <c r="I995" t="str">
        <f>_xll.BDP("912828SP Govt","FIRST_CPN_DT")</f>
        <v>10/15/2012</v>
      </c>
      <c r="J995" t="str">
        <f>_xll.BDP("912828SP Govt","COUPON_FREQUENCY_DESCRIPTION")</f>
        <v>S/A</v>
      </c>
      <c r="K995" t="str">
        <f>_xll.BDP("912828SP Govt","CPN_TYP")</f>
        <v>FIXED</v>
      </c>
      <c r="L995" t="str">
        <f>_xll.BDP("912828SP Govt","ID_ISIN")</f>
        <v>US912828SP64</v>
      </c>
      <c r="M995">
        <v>37823000000</v>
      </c>
      <c r="N995">
        <v>0</v>
      </c>
      <c r="O995" t="str">
        <f>_xll.BDP("912828SP Govt","ISSUE_DT")</f>
        <v>4/16/2012</v>
      </c>
      <c r="P995" t="str">
        <f>_xll.BDP("912828SP Govt","SECURITY_NAME")</f>
        <v>T 0 3/8 04/15/15</v>
      </c>
      <c r="Q995" t="str">
        <f>_xll.BDP("912828SP Govt","DAY_CNT_DES")</f>
        <v>ACT/ACT</v>
      </c>
      <c r="R995">
        <v>100</v>
      </c>
      <c r="S995" t="str">
        <f>_xll.BDP("912828SP Govt","ID_CUSIP")</f>
        <v>912828SP6</v>
      </c>
      <c r="T995" t="str">
        <f>_xll.BDP("912828SP Govt","IDX_RATIO")</f>
        <v>#N/A Field Not Applicable</v>
      </c>
    </row>
    <row r="996" spans="1:20" x14ac:dyDescent="0.25">
      <c r="A996" t="s">
        <v>14</v>
      </c>
      <c r="B996" t="str">
        <f>_xll.BDP("912828SS Govt","TICKER")</f>
        <v>T</v>
      </c>
      <c r="C996">
        <f>_xll.BDP("912828SS Govt","CPN")</f>
        <v>0.875</v>
      </c>
      <c r="D996" t="str">
        <f>_xll.BDP("912828SS Govt","YLD_YTM_BID")</f>
        <v>#N/A N/A</v>
      </c>
      <c r="E996" t="str">
        <f>_xll.BDP("912828SS Govt","MATURITY")</f>
        <v>4/30/2017</v>
      </c>
      <c r="F996" t="str">
        <f>_xll.BDP("912828SS Govt","MTY_TYP")</f>
        <v>NORMAL</v>
      </c>
      <c r="G996" t="str">
        <f>_xll.BDP("912828SS Govt","CRNCY")</f>
        <v>USD</v>
      </c>
      <c r="H996" t="str">
        <f>_xll.BDP("912828SS Govt","COUNTRY_FULL_NAME")</f>
        <v>UNITED STATES</v>
      </c>
      <c r="I996" t="str">
        <f>_xll.BDP("912828SS Govt","FIRST_CPN_DT")</f>
        <v>10/31/2012</v>
      </c>
      <c r="J996" t="str">
        <f>_xll.BDP("912828SS Govt","COUPON_FREQUENCY_DESCRIPTION")</f>
        <v>S/A</v>
      </c>
      <c r="K996" t="str">
        <f>_xll.BDP("912828SS Govt","CPN_TYP")</f>
        <v>FIXED</v>
      </c>
      <c r="L996" t="str">
        <f>_xll.BDP("912828SS Govt","ID_ISIN")</f>
        <v>US912828SS04</v>
      </c>
      <c r="M996">
        <v>35940000000</v>
      </c>
      <c r="N996">
        <v>0</v>
      </c>
      <c r="O996" t="str">
        <f>_xll.BDP("912828SS Govt","ISSUE_DT")</f>
        <v>4/30/2012</v>
      </c>
      <c r="P996" t="str">
        <f>_xll.BDP("912828SS Govt","SECURITY_NAME")</f>
        <v>T 0 7/8 04/30/17</v>
      </c>
      <c r="Q996" t="str">
        <f>_xll.BDP("912828SS Govt","DAY_CNT_DES")</f>
        <v>ACT/ACT</v>
      </c>
      <c r="R996">
        <v>100</v>
      </c>
      <c r="S996" t="str">
        <f>_xll.BDP("912828SS Govt","ID_CUSIP")</f>
        <v>912828SS0</v>
      </c>
      <c r="T996" t="str">
        <f>_xll.BDP("912828SS Govt","IDX_RATIO")</f>
        <v>#N/A Field Not Applicable</v>
      </c>
    </row>
    <row r="997" spans="1:20" x14ac:dyDescent="0.25">
      <c r="A997" t="s">
        <v>14</v>
      </c>
      <c r="B997" t="str">
        <f>_xll.BDP("912828TF Govt","TICKER")</f>
        <v>T</v>
      </c>
      <c r="C997">
        <f>_xll.BDP("912828TF Govt","CPN")</f>
        <v>0.125</v>
      </c>
      <c r="D997" t="str">
        <f>_xll.BDP("912828TF Govt","YLD_YTM_BID")</f>
        <v>#N/A N/A</v>
      </c>
      <c r="E997" t="str">
        <f>_xll.BDP("912828TF Govt","MATURITY")</f>
        <v>7/31/2014</v>
      </c>
      <c r="F997" t="str">
        <f>_xll.BDP("912828TF Govt","MTY_TYP")</f>
        <v>NORMAL</v>
      </c>
      <c r="G997" t="str">
        <f>_xll.BDP("912828TF Govt","CRNCY")</f>
        <v>USD</v>
      </c>
      <c r="H997" t="str">
        <f>_xll.BDP("912828TF Govt","COUNTRY_FULL_NAME")</f>
        <v>UNITED STATES</v>
      </c>
      <c r="I997" t="str">
        <f>_xll.BDP("912828TF Govt","FIRST_CPN_DT")</f>
        <v>1/31/2013</v>
      </c>
      <c r="J997" t="str">
        <f>_xll.BDP("912828TF Govt","COUPON_FREQUENCY_DESCRIPTION")</f>
        <v>S/A</v>
      </c>
      <c r="K997" t="str">
        <f>_xll.BDP("912828TF Govt","CPN_TYP")</f>
        <v>FIXED</v>
      </c>
      <c r="L997" t="str">
        <f>_xll.BDP("912828TF Govt","ID_ISIN")</f>
        <v>US912828TF73</v>
      </c>
      <c r="M997">
        <v>35000000000</v>
      </c>
      <c r="N997">
        <v>0</v>
      </c>
      <c r="O997" t="str">
        <f>_xll.BDP("912828TF Govt","ISSUE_DT")</f>
        <v>7/31/2012</v>
      </c>
      <c r="P997" t="str">
        <f>_xll.BDP("912828TF Govt","SECURITY_NAME")</f>
        <v>T 0 1/8 07/31/14</v>
      </c>
      <c r="Q997" t="str">
        <f>_xll.BDP("912828TF Govt","DAY_CNT_DES")</f>
        <v>ACT/ACT</v>
      </c>
      <c r="R997">
        <v>100</v>
      </c>
      <c r="S997" t="str">
        <f>_xll.BDP("912828TF Govt","ID_CUSIP")</f>
        <v>912828TF7</v>
      </c>
      <c r="T997" t="str">
        <f>_xll.BDP("912828TF Govt","IDX_RATIO")</f>
        <v>#N/A Field Not Applicable</v>
      </c>
    </row>
    <row r="998" spans="1:20" x14ac:dyDescent="0.25">
      <c r="A998" t="s">
        <v>14</v>
      </c>
      <c r="B998" t="str">
        <f>_xll.BDP("912828TP Govt","TICKER")</f>
        <v>T</v>
      </c>
      <c r="C998">
        <f>_xll.BDP("912828TP Govt","CPN")</f>
        <v>0.25</v>
      </c>
      <c r="D998" t="str">
        <f>_xll.BDP("912828TP Govt","YLD_YTM_BID")</f>
        <v>#N/A N/A</v>
      </c>
      <c r="E998" t="str">
        <f>_xll.BDP("912828TP Govt","MATURITY")</f>
        <v>9/15/2015</v>
      </c>
      <c r="F998" t="str">
        <f>_xll.BDP("912828TP Govt","MTY_TYP")</f>
        <v>NORMAL</v>
      </c>
      <c r="G998" t="str">
        <f>_xll.BDP("912828TP Govt","CRNCY")</f>
        <v>USD</v>
      </c>
      <c r="H998" t="str">
        <f>_xll.BDP("912828TP Govt","COUNTRY_FULL_NAME")</f>
        <v>UNITED STATES</v>
      </c>
      <c r="I998" t="str">
        <f>_xll.BDP("912828TP Govt","FIRST_CPN_DT")</f>
        <v>3/15/2013</v>
      </c>
      <c r="J998" t="str">
        <f>_xll.BDP("912828TP Govt","COUPON_FREQUENCY_DESCRIPTION")</f>
        <v>S/A</v>
      </c>
      <c r="K998" t="str">
        <f>_xll.BDP("912828TP Govt","CPN_TYP")</f>
        <v>FIXED</v>
      </c>
      <c r="L998" t="str">
        <f>_xll.BDP("912828TP Govt","ID_ISIN")</f>
        <v>US912828TP55</v>
      </c>
      <c r="M998">
        <v>32000000000</v>
      </c>
      <c r="N998">
        <v>0</v>
      </c>
      <c r="O998" t="str">
        <f>_xll.BDP("912828TP Govt","ISSUE_DT")</f>
        <v>9/17/2012</v>
      </c>
      <c r="P998" t="str">
        <f>_xll.BDP("912828TP Govt","SECURITY_NAME")</f>
        <v>T 0 1/4 09/15/15</v>
      </c>
      <c r="Q998" t="str">
        <f>_xll.BDP("912828TP Govt","DAY_CNT_DES")</f>
        <v>ACT/ACT</v>
      </c>
      <c r="R998">
        <v>100</v>
      </c>
      <c r="S998" t="str">
        <f>_xll.BDP("912828TP Govt","ID_CUSIP")</f>
        <v>912828TP5</v>
      </c>
      <c r="T998" t="str">
        <f>_xll.BDP("912828TP Govt","IDX_RATIO")</f>
        <v>#N/A Field Not Applicable</v>
      </c>
    </row>
    <row r="999" spans="1:20" x14ac:dyDescent="0.25">
      <c r="A999" t="s">
        <v>14</v>
      </c>
      <c r="B999" t="str">
        <f>_xll.BDP("912828UJ Govt","TICKER")</f>
        <v>T</v>
      </c>
      <c r="C999">
        <f>_xll.BDP("912828UJ Govt","CPN")</f>
        <v>0.875</v>
      </c>
      <c r="D999" t="str">
        <f>_xll.BDP("912828UJ Govt","YLD_YTM_BID")</f>
        <v>#N/A N/A</v>
      </c>
      <c r="E999" t="str">
        <f>_xll.BDP("912828UJ Govt","MATURITY")</f>
        <v>1/31/2018</v>
      </c>
      <c r="F999" t="str">
        <f>_xll.BDP("912828UJ Govt","MTY_TYP")</f>
        <v>NORMAL</v>
      </c>
      <c r="G999" t="str">
        <f>_xll.BDP("912828UJ Govt","CRNCY")</f>
        <v>USD</v>
      </c>
      <c r="H999" t="str">
        <f>_xll.BDP("912828UJ Govt","COUNTRY_FULL_NAME")</f>
        <v>UNITED STATES</v>
      </c>
      <c r="I999" t="str">
        <f>_xll.BDP("912828UJ Govt","FIRST_CPN_DT")</f>
        <v>7/31/2013</v>
      </c>
      <c r="J999" t="str">
        <f>_xll.BDP("912828UJ Govt","COUPON_FREQUENCY_DESCRIPTION")</f>
        <v>S/A</v>
      </c>
      <c r="K999" t="str">
        <f>_xll.BDP("912828UJ Govt","CPN_TYP")</f>
        <v>FIXED</v>
      </c>
      <c r="L999" t="str">
        <f>_xll.BDP("912828UJ Govt","ID_ISIN")</f>
        <v>US912828UJ76</v>
      </c>
      <c r="M999">
        <v>35000000000</v>
      </c>
      <c r="N999">
        <v>0</v>
      </c>
      <c r="O999" t="str">
        <f>_xll.BDP("912828UJ Govt","ISSUE_DT")</f>
        <v>1/31/2013</v>
      </c>
      <c r="P999" t="str">
        <f>_xll.BDP("912828UJ Govt","SECURITY_NAME")</f>
        <v>T 0 7/8 01/31/18</v>
      </c>
      <c r="Q999" t="str">
        <f>_xll.BDP("912828UJ Govt","DAY_CNT_DES")</f>
        <v>ACT/ACT</v>
      </c>
      <c r="R999">
        <v>100</v>
      </c>
      <c r="S999" t="str">
        <f>_xll.BDP("912828UJ Govt","ID_CUSIP")</f>
        <v>912828UJ7</v>
      </c>
      <c r="T999" t="str">
        <f>_xll.BDP("912828UJ Govt","IDX_RATIO")</f>
        <v>#N/A Field Not Applicable</v>
      </c>
    </row>
    <row r="1000" spans="1:20" x14ac:dyDescent="0.25">
      <c r="A1000" t="s">
        <v>14</v>
      </c>
      <c r="B1000" t="str">
        <f>_xll.BDP("912828UL Govt","TICKER")</f>
        <v>T</v>
      </c>
      <c r="C1000">
        <f>_xll.BDP("912828UL Govt","CPN")</f>
        <v>1.375</v>
      </c>
      <c r="D1000" t="str">
        <f>_xll.BDP("912828UL Govt","YLD_YTM_BID")</f>
        <v>#N/A N/A</v>
      </c>
      <c r="E1000" t="str">
        <f>_xll.BDP("912828UL Govt","MATURITY")</f>
        <v>1/31/2020</v>
      </c>
      <c r="F1000" t="str">
        <f>_xll.BDP("912828UL Govt","MTY_TYP")</f>
        <v>NORMAL</v>
      </c>
      <c r="G1000" t="str">
        <f>_xll.BDP("912828UL Govt","CRNCY")</f>
        <v>USD</v>
      </c>
      <c r="H1000" t="str">
        <f>_xll.BDP("912828UL Govt","COUNTRY_FULL_NAME")</f>
        <v>UNITED STATES</v>
      </c>
      <c r="I1000" t="str">
        <f>_xll.BDP("912828UL Govt","FIRST_CPN_DT")</f>
        <v>7/31/2013</v>
      </c>
      <c r="J1000" t="str">
        <f>_xll.BDP("912828UL Govt","COUPON_FREQUENCY_DESCRIPTION")</f>
        <v>S/A</v>
      </c>
      <c r="K1000" t="str">
        <f>_xll.BDP("912828UL Govt","CPN_TYP")</f>
        <v>FIXED</v>
      </c>
      <c r="L1000" t="str">
        <f>_xll.BDP("912828UL Govt","ID_ISIN")</f>
        <v>US912828UL23</v>
      </c>
      <c r="M1000">
        <v>29000000000</v>
      </c>
      <c r="N1000">
        <v>0</v>
      </c>
      <c r="O1000" t="str">
        <f>_xll.BDP("912828UL Govt","ISSUE_DT")</f>
        <v>1/31/2013</v>
      </c>
      <c r="P1000" t="str">
        <f>_xll.BDP("912828UL Govt","SECURITY_NAME")</f>
        <v>T 1 3/8 01/31/20</v>
      </c>
      <c r="Q1000" t="str">
        <f>_xll.BDP("912828UL Govt","DAY_CNT_DES")</f>
        <v>ACT/ACT</v>
      </c>
      <c r="R1000">
        <v>100</v>
      </c>
      <c r="S1000" t="str">
        <f>_xll.BDP("912828UL Govt","ID_CUSIP")</f>
        <v>912828UL2</v>
      </c>
      <c r="T1000" t="str">
        <f>_xll.BDP("912828UL Govt","IDX_RATIO")</f>
        <v>#N/A Field Not Applicable</v>
      </c>
    </row>
    <row r="1001" spans="1:20" x14ac:dyDescent="0.25">
      <c r="A1001" t="s">
        <v>14</v>
      </c>
      <c r="B1001" t="str">
        <f>_xll.BDP("912828UU Govt","TICKER")</f>
        <v>T</v>
      </c>
      <c r="C1001">
        <f>_xll.BDP("912828UU Govt","CPN")</f>
        <v>0.75</v>
      </c>
      <c r="D1001" t="str">
        <f>_xll.BDP("912828UU Govt","YLD_YTM_BID")</f>
        <v>#N/A N/A</v>
      </c>
      <c r="E1001" t="str">
        <f>_xll.BDP("912828UU Govt","MATURITY")</f>
        <v>3/31/2018</v>
      </c>
      <c r="F1001" t="str">
        <f>_xll.BDP("912828UU Govt","MTY_TYP")</f>
        <v>NORMAL</v>
      </c>
      <c r="G1001" t="str">
        <f>_xll.BDP("912828UU Govt","CRNCY")</f>
        <v>USD</v>
      </c>
      <c r="H1001" t="str">
        <f>_xll.BDP("912828UU Govt","COUNTRY_FULL_NAME")</f>
        <v>UNITED STATES</v>
      </c>
      <c r="I1001" t="str">
        <f>_xll.BDP("912828UU Govt","FIRST_CPN_DT")</f>
        <v>9/30/2013</v>
      </c>
      <c r="J1001" t="str">
        <f>_xll.BDP("912828UU Govt","COUPON_FREQUENCY_DESCRIPTION")</f>
        <v>S/A</v>
      </c>
      <c r="K1001" t="str">
        <f>_xll.BDP("912828UU Govt","CPN_TYP")</f>
        <v>FIXED</v>
      </c>
      <c r="L1001" t="str">
        <f>_xll.BDP("912828UU Govt","ID_ISIN")</f>
        <v>US912828UU22</v>
      </c>
      <c r="M1001">
        <v>35000000000</v>
      </c>
      <c r="N1001">
        <v>0</v>
      </c>
      <c r="O1001" t="str">
        <f>_xll.BDP("912828UU Govt","ISSUE_DT")</f>
        <v>4/1/2013</v>
      </c>
      <c r="P1001" t="str">
        <f>_xll.BDP("912828UU Govt","SECURITY_NAME")</f>
        <v>T 0 3/4 03/31/18</v>
      </c>
      <c r="Q1001" t="str">
        <f>_xll.BDP("912828UU Govt","DAY_CNT_DES")</f>
        <v>ACT/ACT</v>
      </c>
      <c r="R1001">
        <v>100</v>
      </c>
      <c r="S1001" t="str">
        <f>_xll.BDP("912828UU Govt","ID_CUSIP")</f>
        <v>912828UU2</v>
      </c>
      <c r="T1001" t="str">
        <f>_xll.BDP("912828UU Govt","IDX_RATIO")</f>
        <v>#N/A Field Not Applicable</v>
      </c>
    </row>
    <row r="1002" spans="1:20" x14ac:dyDescent="0.25">
      <c r="A1002" t="s">
        <v>14</v>
      </c>
      <c r="B1002" t="str">
        <f>_xll.BDP("912828UW Govt","TICKER")</f>
        <v>T</v>
      </c>
      <c r="C1002">
        <f>_xll.BDP("912828UW Govt","CPN")</f>
        <v>0.25</v>
      </c>
      <c r="D1002" t="str">
        <f>_xll.BDP("912828UW Govt","YLD_YTM_BID")</f>
        <v>#N/A N/A</v>
      </c>
      <c r="E1002" t="str">
        <f>_xll.BDP("912828UW Govt","MATURITY")</f>
        <v>4/15/2016</v>
      </c>
      <c r="F1002" t="str">
        <f>_xll.BDP("912828UW Govt","MTY_TYP")</f>
        <v>NORMAL</v>
      </c>
      <c r="G1002" t="str">
        <f>_xll.BDP("912828UW Govt","CRNCY")</f>
        <v>USD</v>
      </c>
      <c r="H1002" t="str">
        <f>_xll.BDP("912828UW Govt","COUNTRY_FULL_NAME")</f>
        <v>UNITED STATES</v>
      </c>
      <c r="I1002" t="str">
        <f>_xll.BDP("912828UW Govt","FIRST_CPN_DT")</f>
        <v>10/15/2013</v>
      </c>
      <c r="J1002" t="str">
        <f>_xll.BDP("912828UW Govt","COUPON_FREQUENCY_DESCRIPTION")</f>
        <v>S/A</v>
      </c>
      <c r="K1002" t="str">
        <f>_xll.BDP("912828UW Govt","CPN_TYP")</f>
        <v>FIXED</v>
      </c>
      <c r="L1002" t="str">
        <f>_xll.BDP("912828UW Govt","ID_ISIN")</f>
        <v>US912828UW87</v>
      </c>
      <c r="M1002">
        <v>32000000000</v>
      </c>
      <c r="N1002">
        <v>0</v>
      </c>
      <c r="O1002" t="str">
        <f>_xll.BDP("912828UW Govt","ISSUE_DT")</f>
        <v>4/15/2013</v>
      </c>
      <c r="P1002" t="str">
        <f>_xll.BDP("912828UW Govt","SECURITY_NAME")</f>
        <v>T 0 1/4 04/15/16</v>
      </c>
      <c r="Q1002" t="str">
        <f>_xll.BDP("912828UW Govt","DAY_CNT_DES")</f>
        <v>ACT/ACT</v>
      </c>
      <c r="R1002">
        <v>100</v>
      </c>
      <c r="S1002" t="str">
        <f>_xll.BDP("912828UW Govt","ID_CUSIP")</f>
        <v>912828UW8</v>
      </c>
      <c r="T1002" t="str">
        <f>_xll.BDP("912828UW Govt","IDX_RATIO")</f>
        <v>#N/A Field Not Applicable</v>
      </c>
    </row>
    <row r="1003" spans="1:20" x14ac:dyDescent="0.25">
      <c r="A1003" t="s">
        <v>14</v>
      </c>
      <c r="B1003" t="str">
        <f>_xll.BDP("912828VU Govt","TICKER")</f>
        <v>T</v>
      </c>
      <c r="C1003">
        <f>_xll.BDP("912828VU Govt","CPN")</f>
        <v>0.375</v>
      </c>
      <c r="D1003" t="str">
        <f>_xll.BDP("912828VU Govt","YLD_YTM_BID")</f>
        <v>#N/A N/A</v>
      </c>
      <c r="E1003" t="str">
        <f>_xll.BDP("912828VU Govt","MATURITY")</f>
        <v>8/31/2015</v>
      </c>
      <c r="F1003" t="str">
        <f>_xll.BDP("912828VU Govt","MTY_TYP")</f>
        <v>NORMAL</v>
      </c>
      <c r="G1003" t="str">
        <f>_xll.BDP("912828VU Govt","CRNCY")</f>
        <v>USD</v>
      </c>
      <c r="H1003" t="str">
        <f>_xll.BDP("912828VU Govt","COUNTRY_FULL_NAME")</f>
        <v>UNITED STATES</v>
      </c>
      <c r="I1003" t="str">
        <f>_xll.BDP("912828VU Govt","FIRST_CPN_DT")</f>
        <v>2/28/2014</v>
      </c>
      <c r="J1003" t="str">
        <f>_xll.BDP("912828VU Govt","COUPON_FREQUENCY_DESCRIPTION")</f>
        <v>S/A</v>
      </c>
      <c r="K1003" t="str">
        <f>_xll.BDP("912828VU Govt","CPN_TYP")</f>
        <v>FIXED</v>
      </c>
      <c r="L1003" t="str">
        <f>_xll.BDP("912828VU Govt","ID_ISIN")</f>
        <v>US912828VU13</v>
      </c>
      <c r="M1003">
        <v>34000000000</v>
      </c>
      <c r="N1003">
        <v>0</v>
      </c>
      <c r="O1003" t="str">
        <f>_xll.BDP("912828VU Govt","ISSUE_DT")</f>
        <v>9/3/2013</v>
      </c>
      <c r="P1003" t="str">
        <f>_xll.BDP("912828VU Govt","SECURITY_NAME")</f>
        <v>T 0 3/8 08/31/15</v>
      </c>
      <c r="Q1003" t="str">
        <f>_xll.BDP("912828VU Govt","DAY_CNT_DES")</f>
        <v>ACT/ACT</v>
      </c>
      <c r="R1003">
        <v>100</v>
      </c>
      <c r="S1003" t="str">
        <f>_xll.BDP("912828VU Govt","ID_CUSIP")</f>
        <v>912828VU1</v>
      </c>
      <c r="T1003" t="str">
        <f>_xll.BDP("912828VU Govt","IDX_RATIO")</f>
        <v>#N/A Field Not Applicable</v>
      </c>
    </row>
    <row r="1004" spans="1:20" x14ac:dyDescent="0.25">
      <c r="A1004" t="s">
        <v>14</v>
      </c>
      <c r="B1004" t="str">
        <f>_xll.BDP("912828VY Govt","TICKER")</f>
        <v>T</v>
      </c>
      <c r="C1004">
        <f>_xll.BDP("912828VY Govt","CPN")</f>
        <v>0.25</v>
      </c>
      <c r="D1004" t="str">
        <f>_xll.BDP("912828VY Govt","YLD_YTM_BID")</f>
        <v>#N/A N/A</v>
      </c>
      <c r="E1004" t="str">
        <f>_xll.BDP("912828VY Govt","MATURITY")</f>
        <v>9/30/2015</v>
      </c>
      <c r="F1004" t="str">
        <f>_xll.BDP("912828VY Govt","MTY_TYP")</f>
        <v>NORMAL</v>
      </c>
      <c r="G1004" t="str">
        <f>_xll.BDP("912828VY Govt","CRNCY")</f>
        <v>USD</v>
      </c>
      <c r="H1004" t="str">
        <f>_xll.BDP("912828VY Govt","COUNTRY_FULL_NAME")</f>
        <v>UNITED STATES</v>
      </c>
      <c r="I1004" t="str">
        <f>_xll.BDP("912828VY Govt","FIRST_CPN_DT")</f>
        <v>3/31/2014</v>
      </c>
      <c r="J1004" t="str">
        <f>_xll.BDP("912828VY Govt","COUPON_FREQUENCY_DESCRIPTION")</f>
        <v>S/A</v>
      </c>
      <c r="K1004" t="str">
        <f>_xll.BDP("912828VY Govt","CPN_TYP")</f>
        <v>FIXED</v>
      </c>
      <c r="L1004" t="str">
        <f>_xll.BDP("912828VY Govt","ID_ISIN")</f>
        <v>US912828VY35</v>
      </c>
      <c r="M1004">
        <v>33000000000</v>
      </c>
      <c r="N1004">
        <v>0</v>
      </c>
      <c r="O1004" t="str">
        <f>_xll.BDP("912828VY Govt","ISSUE_DT")</f>
        <v>9/30/2013</v>
      </c>
      <c r="P1004" t="str">
        <f>_xll.BDP("912828VY Govt","SECURITY_NAME")</f>
        <v>T 0 1/4 09/30/15</v>
      </c>
      <c r="Q1004" t="str">
        <f>_xll.BDP("912828VY Govt","DAY_CNT_DES")</f>
        <v>ACT/ACT</v>
      </c>
      <c r="R1004">
        <v>100</v>
      </c>
      <c r="S1004" t="str">
        <f>_xll.BDP("912828VY Govt","ID_CUSIP")</f>
        <v>912828VY3</v>
      </c>
      <c r="T1004" t="str">
        <f>_xll.BDP("912828VY Govt","IDX_RATIO")</f>
        <v>#N/A Field Not Applicable</v>
      </c>
    </row>
    <row r="1005" spans="1:20" x14ac:dyDescent="0.25">
      <c r="A1005" t="s">
        <v>14</v>
      </c>
      <c r="B1005" t="str">
        <f>_xll.BDP("912828WA Govt","TICKER")</f>
        <v>T</v>
      </c>
      <c r="C1005">
        <f>_xll.BDP("912828WA Govt","CPN")</f>
        <v>0.625</v>
      </c>
      <c r="D1005" t="str">
        <f>_xll.BDP("912828WA Govt","YLD_YTM_BID")</f>
        <v>#N/A N/A</v>
      </c>
      <c r="E1005" t="str">
        <f>_xll.BDP("912828WA Govt","MATURITY")</f>
        <v>10/15/2016</v>
      </c>
      <c r="F1005" t="str">
        <f>_xll.BDP("912828WA Govt","MTY_TYP")</f>
        <v>NORMAL</v>
      </c>
      <c r="G1005" t="str">
        <f>_xll.BDP("912828WA Govt","CRNCY")</f>
        <v>USD</v>
      </c>
      <c r="H1005" t="str">
        <f>_xll.BDP("912828WA Govt","COUNTRY_FULL_NAME")</f>
        <v>UNITED STATES</v>
      </c>
      <c r="I1005" t="str">
        <f>_xll.BDP("912828WA Govt","FIRST_CPN_DT")</f>
        <v>4/15/2014</v>
      </c>
      <c r="J1005" t="str">
        <f>_xll.BDP("912828WA Govt","COUPON_FREQUENCY_DESCRIPTION")</f>
        <v>S/A</v>
      </c>
      <c r="K1005" t="str">
        <f>_xll.BDP("912828WA Govt","CPN_TYP")</f>
        <v>FIXED</v>
      </c>
      <c r="L1005" t="str">
        <f>_xll.BDP("912828WA Govt","ID_ISIN")</f>
        <v>US912828WA40</v>
      </c>
      <c r="M1005">
        <v>30000000000</v>
      </c>
      <c r="N1005">
        <v>0</v>
      </c>
      <c r="O1005" t="str">
        <f>_xll.BDP("912828WA Govt","ISSUE_DT")</f>
        <v>10/15/2013</v>
      </c>
      <c r="P1005" t="str">
        <f>_xll.BDP("912828WA Govt","SECURITY_NAME")</f>
        <v>T 0 5/8 10/15/16</v>
      </c>
      <c r="Q1005" t="str">
        <f>_xll.BDP("912828WA Govt","DAY_CNT_DES")</f>
        <v>ACT/ACT</v>
      </c>
      <c r="R1005">
        <v>100</v>
      </c>
      <c r="S1005" t="str">
        <f>_xll.BDP("912828WA Govt","ID_CUSIP")</f>
        <v>912828WA4</v>
      </c>
      <c r="T1005" t="str">
        <f>_xll.BDP("912828WA Govt","IDX_RATIO")</f>
        <v>#N/A Field Not Applicable</v>
      </c>
    </row>
    <row r="1006" spans="1:20" x14ac:dyDescent="0.25">
      <c r="A1006" t="s">
        <v>14</v>
      </c>
      <c r="B1006" t="str">
        <f>_xll.BDP("912828WQ Govt","TICKER")</f>
        <v>T</v>
      </c>
      <c r="C1006">
        <f>_xll.BDP("912828WQ Govt","CPN")</f>
        <v>0.5</v>
      </c>
      <c r="D1006" t="str">
        <f>_xll.BDP("912828WQ Govt","YLD_YTM_BID")</f>
        <v>#N/A N/A</v>
      </c>
      <c r="E1006" t="str">
        <f>_xll.BDP("912828WQ Govt","MATURITY")</f>
        <v>6/30/2016</v>
      </c>
      <c r="F1006" t="str">
        <f>_xll.BDP("912828WQ Govt","MTY_TYP")</f>
        <v>NORMAL</v>
      </c>
      <c r="G1006" t="str">
        <f>_xll.BDP("912828WQ Govt","CRNCY")</f>
        <v>USD</v>
      </c>
      <c r="H1006" t="str">
        <f>_xll.BDP("912828WQ Govt","COUNTRY_FULL_NAME")</f>
        <v>UNITED STATES</v>
      </c>
      <c r="I1006" t="str">
        <f>_xll.BDP("912828WQ Govt","FIRST_CPN_DT")</f>
        <v>12/31/2014</v>
      </c>
      <c r="J1006" t="str">
        <f>_xll.BDP("912828WQ Govt","COUPON_FREQUENCY_DESCRIPTION")</f>
        <v>S/A</v>
      </c>
      <c r="K1006" t="str">
        <f>_xll.BDP("912828WQ Govt","CPN_TYP")</f>
        <v>FIXED</v>
      </c>
      <c r="L1006" t="str">
        <f>_xll.BDP("912828WQ Govt","ID_ISIN")</f>
        <v>US912828WQ91</v>
      </c>
      <c r="M1006">
        <v>29994000000</v>
      </c>
      <c r="N1006">
        <v>0</v>
      </c>
      <c r="O1006" t="str">
        <f>_xll.BDP("912828WQ Govt","ISSUE_DT")</f>
        <v>6/30/2014</v>
      </c>
      <c r="P1006" t="str">
        <f>_xll.BDP("912828WQ Govt","SECURITY_NAME")</f>
        <v>T 0 1/2 06/30/16</v>
      </c>
      <c r="Q1006" t="str">
        <f>_xll.BDP("912828WQ Govt","DAY_CNT_DES")</f>
        <v>ACT/ACT</v>
      </c>
      <c r="R1006">
        <v>100</v>
      </c>
      <c r="S1006" t="str">
        <f>_xll.BDP("912828WQ Govt","ID_CUSIP")</f>
        <v>912828WQ9</v>
      </c>
      <c r="T1006" t="str">
        <f>_xll.BDP("912828WQ Govt","IDX_RATIO")</f>
        <v>#N/A Field Not Applicable</v>
      </c>
    </row>
    <row r="1007" spans="1:20" x14ac:dyDescent="0.25">
      <c r="A1007" t="s">
        <v>14</v>
      </c>
      <c r="B1007" t="str">
        <f>_xll.BDP("912828WT Govt","TICKER")</f>
        <v>T</v>
      </c>
      <c r="C1007">
        <f>_xll.BDP("912828WT Govt","CPN")</f>
        <v>0.875</v>
      </c>
      <c r="D1007" t="str">
        <f>_xll.BDP("912828WT Govt","YLD_YTM_BID")</f>
        <v>#N/A N/A</v>
      </c>
      <c r="E1007" t="str">
        <f>_xll.BDP("912828WT Govt","MATURITY")</f>
        <v>7/15/2017</v>
      </c>
      <c r="F1007" t="str">
        <f>_xll.BDP("912828WT Govt","MTY_TYP")</f>
        <v>NORMAL</v>
      </c>
      <c r="G1007" t="str">
        <f>_xll.BDP("912828WT Govt","CRNCY")</f>
        <v>USD</v>
      </c>
      <c r="H1007" t="str">
        <f>_xll.BDP("912828WT Govt","COUNTRY_FULL_NAME")</f>
        <v>UNITED STATES</v>
      </c>
      <c r="I1007" t="str">
        <f>_xll.BDP("912828WT Govt","FIRST_CPN_DT")</f>
        <v>1/15/2015</v>
      </c>
      <c r="J1007" t="str">
        <f>_xll.BDP("912828WT Govt","COUPON_FREQUENCY_DESCRIPTION")</f>
        <v>S/A</v>
      </c>
      <c r="K1007" t="str">
        <f>_xll.BDP("912828WT Govt","CPN_TYP")</f>
        <v>FIXED</v>
      </c>
      <c r="L1007" t="str">
        <f>_xll.BDP("912828WT Govt","ID_ISIN")</f>
        <v>US912828WT31</v>
      </c>
      <c r="M1007">
        <v>27000000000</v>
      </c>
      <c r="N1007">
        <v>0</v>
      </c>
      <c r="O1007" t="str">
        <f>_xll.BDP("912828WT Govt","ISSUE_DT")</f>
        <v>7/15/2014</v>
      </c>
      <c r="P1007" t="str">
        <f>_xll.BDP("912828WT Govt","SECURITY_NAME")</f>
        <v>T 0 7/8 07/15/17</v>
      </c>
      <c r="Q1007" t="str">
        <f>_xll.BDP("912828WT Govt","DAY_CNT_DES")</f>
        <v>ACT/ACT</v>
      </c>
      <c r="R1007">
        <v>100</v>
      </c>
      <c r="S1007" t="str">
        <f>_xll.BDP("912828WT Govt","ID_CUSIP")</f>
        <v>912828WT3</v>
      </c>
      <c r="T1007" t="str">
        <f>_xll.BDP("912828WT Govt","IDX_RATIO")</f>
        <v>#N/A Field Not Applicable</v>
      </c>
    </row>
    <row r="1008" spans="1:20" x14ac:dyDescent="0.25">
      <c r="A1008" t="s">
        <v>14</v>
      </c>
      <c r="B1008" t="str">
        <f>_xll.BDP("9128272B Govt","TICKER")</f>
        <v>T</v>
      </c>
      <c r="C1008">
        <f>_xll.BDP("9128272B Govt","CPN")</f>
        <v>5.625</v>
      </c>
      <c r="D1008" t="str">
        <f>_xll.BDP("9128272B Govt","YLD_YTM_BID")</f>
        <v>#N/A N/A</v>
      </c>
      <c r="E1008" t="str">
        <f>_xll.BDP("9128272B Govt","MATURITY")</f>
        <v>11/30/1998</v>
      </c>
      <c r="F1008" t="str">
        <f>_xll.BDP("9128272B Govt","MTY_TYP")</f>
        <v>NORMAL</v>
      </c>
      <c r="G1008" t="str">
        <f>_xll.BDP("9128272B Govt","CRNCY")</f>
        <v>USD</v>
      </c>
      <c r="H1008" t="str">
        <f>_xll.BDP("9128272B Govt","COUNTRY_FULL_NAME")</f>
        <v>UNITED STATES</v>
      </c>
      <c r="I1008" t="str">
        <f>_xll.BDP("9128272B Govt","FIRST_CPN_DT")</f>
        <v>5/31/1997</v>
      </c>
      <c r="J1008" t="str">
        <f>_xll.BDP("9128272B Govt","COUPON_FREQUENCY_DESCRIPTION")</f>
        <v>S/A</v>
      </c>
      <c r="K1008" t="str">
        <f>_xll.BDP("9128272B Govt","CPN_TYP")</f>
        <v>FIXED</v>
      </c>
      <c r="L1008" t="str">
        <f>_xll.BDP("9128272B Govt","ID_ISIN")</f>
        <v>US9128272B71</v>
      </c>
      <c r="M1008">
        <v>20532000000</v>
      </c>
      <c r="N1008">
        <v>0</v>
      </c>
      <c r="O1008" t="str">
        <f>_xll.BDP("9128272B Govt","ISSUE_DT")</f>
        <v>12/2/1996</v>
      </c>
      <c r="P1008" t="str">
        <f>_xll.BDP("9128272B Govt","SECURITY_NAME")</f>
        <v>T 5 5/8 11/30/98</v>
      </c>
      <c r="Q1008" t="str">
        <f>_xll.BDP("9128272B Govt","DAY_CNT_DES")</f>
        <v>ACT/ACT</v>
      </c>
      <c r="R1008">
        <v>100</v>
      </c>
      <c r="S1008" t="str">
        <f>_xll.BDP("9128272B Govt","ID_CUSIP")</f>
        <v>9128272B7</v>
      </c>
      <c r="T1008" t="str">
        <f>_xll.BDP("9128272B Govt","IDX_RATIO")</f>
        <v>#N/A Field Not Applicable</v>
      </c>
    </row>
    <row r="1009" spans="1:20" x14ac:dyDescent="0.25">
      <c r="A1009" t="s">
        <v>14</v>
      </c>
      <c r="B1009" t="str">
        <f>_xll.BDP("9128272E Govt","TICKER")</f>
        <v>T</v>
      </c>
      <c r="C1009">
        <f>_xll.BDP("9128272E Govt","CPN")</f>
        <v>6.125</v>
      </c>
      <c r="D1009" t="str">
        <f>_xll.BDP("9128272E Govt","YLD_YTM_BID")</f>
        <v>#N/A N/A</v>
      </c>
      <c r="E1009" t="str">
        <f>_xll.BDP("9128272E Govt","MATURITY")</f>
        <v>12/31/2001</v>
      </c>
      <c r="F1009" t="str">
        <f>_xll.BDP("9128272E Govt","MTY_TYP")</f>
        <v>NORMAL</v>
      </c>
      <c r="G1009" t="str">
        <f>_xll.BDP("9128272E Govt","CRNCY")</f>
        <v>USD</v>
      </c>
      <c r="H1009" t="str">
        <f>_xll.BDP("9128272E Govt","COUNTRY_FULL_NAME")</f>
        <v>UNITED STATES</v>
      </c>
      <c r="I1009" t="str">
        <f>_xll.BDP("9128272E Govt","FIRST_CPN_DT")</f>
        <v>6/30/1997</v>
      </c>
      <c r="J1009" t="str">
        <f>_xll.BDP("9128272E Govt","COUPON_FREQUENCY_DESCRIPTION")</f>
        <v>S/A</v>
      </c>
      <c r="K1009" t="str">
        <f>_xll.BDP("9128272E Govt","CPN_TYP")</f>
        <v>FIXED</v>
      </c>
      <c r="L1009" t="str">
        <f>_xll.BDP("9128272E Govt","ID_ISIN")</f>
        <v>US9128272E11</v>
      </c>
      <c r="M1009">
        <v>31166000000</v>
      </c>
      <c r="N1009">
        <v>0</v>
      </c>
      <c r="O1009" t="str">
        <f>_xll.BDP("9128272E Govt","ISSUE_DT")</f>
        <v>12/31/1996</v>
      </c>
      <c r="P1009" t="str">
        <f>_xll.BDP("9128272E Govt","SECURITY_NAME")</f>
        <v>T 6 1/8 12/31/01</v>
      </c>
      <c r="Q1009" t="str">
        <f>_xll.BDP("9128272E Govt","DAY_CNT_DES")</f>
        <v>ACT/ACT</v>
      </c>
      <c r="R1009">
        <v>100</v>
      </c>
      <c r="S1009" t="str">
        <f>_xll.BDP("9128272E Govt","ID_CUSIP")</f>
        <v>9128272E1</v>
      </c>
      <c r="T1009" t="str">
        <f>_xll.BDP("9128272E Govt","IDX_RATIO")</f>
        <v>#N/A Field Not Applicable</v>
      </c>
    </row>
    <row r="1010" spans="1:20" x14ac:dyDescent="0.25">
      <c r="A1010" t="s">
        <v>14</v>
      </c>
      <c r="B1010" t="str">
        <f>_xll.BDP("9128273C Govt","TICKER")</f>
        <v>T</v>
      </c>
      <c r="C1010">
        <f>_xll.BDP("9128273C Govt","CPN")</f>
        <v>6</v>
      </c>
      <c r="D1010" t="str">
        <f>_xll.BDP("9128273C Govt","YLD_YTM_BID")</f>
        <v>#N/A N/A</v>
      </c>
      <c r="E1010" t="str">
        <f>_xll.BDP("9128273C Govt","MATURITY")</f>
        <v>7/31/2002</v>
      </c>
      <c r="F1010" t="str">
        <f>_xll.BDP("9128273C Govt","MTY_TYP")</f>
        <v>NORMAL</v>
      </c>
      <c r="G1010" t="str">
        <f>_xll.BDP("9128273C Govt","CRNCY")</f>
        <v>USD</v>
      </c>
      <c r="H1010" t="str">
        <f>_xll.BDP("9128273C Govt","COUNTRY_FULL_NAME")</f>
        <v>UNITED STATES</v>
      </c>
      <c r="I1010" t="str">
        <f>_xll.BDP("9128273C Govt","FIRST_CPN_DT")</f>
        <v>1/31/1998</v>
      </c>
      <c r="J1010" t="str">
        <f>_xll.BDP("9128273C Govt","COUPON_FREQUENCY_DESCRIPTION")</f>
        <v>S/A</v>
      </c>
      <c r="K1010" t="str">
        <f>_xll.BDP("9128273C Govt","CPN_TYP")</f>
        <v>FIXED</v>
      </c>
      <c r="L1010" t="str">
        <f>_xll.BDP("9128273C Govt","ID_ISIN")</f>
        <v>US9128273C46</v>
      </c>
      <c r="M1010">
        <v>12231000000</v>
      </c>
      <c r="N1010">
        <v>0</v>
      </c>
      <c r="O1010" t="str">
        <f>_xll.BDP("9128273C Govt","ISSUE_DT")</f>
        <v>7/31/1997</v>
      </c>
      <c r="P1010" t="str">
        <f>_xll.BDP("9128273C Govt","SECURITY_NAME")</f>
        <v>T 6 07/31/02</v>
      </c>
      <c r="Q1010" t="str">
        <f>_xll.BDP("9128273C Govt","DAY_CNT_DES")</f>
        <v>ACT/ACT</v>
      </c>
      <c r="R1010">
        <v>100</v>
      </c>
      <c r="S1010" t="str">
        <f>_xll.BDP("9128273C Govt","ID_CUSIP")</f>
        <v>9128273C4</v>
      </c>
      <c r="T1010" t="str">
        <f>_xll.BDP("9128273C Govt","IDX_RATIO")</f>
        <v>#N/A Field Not Applicable</v>
      </c>
    </row>
    <row r="1011" spans="1:20" x14ac:dyDescent="0.25">
      <c r="A1011" t="s">
        <v>14</v>
      </c>
      <c r="B1011" t="str">
        <f>_xll.BDP("9128273G Govt","TICKER")</f>
        <v>T</v>
      </c>
      <c r="C1011">
        <f>_xll.BDP("9128273G Govt","CPN")</f>
        <v>6.25</v>
      </c>
      <c r="D1011" t="str">
        <f>_xll.BDP("9128273G Govt","YLD_YTM_BID")</f>
        <v>#N/A N/A</v>
      </c>
      <c r="E1011" t="str">
        <f>_xll.BDP("9128273G Govt","MATURITY")</f>
        <v>8/31/2002</v>
      </c>
      <c r="F1011" t="str">
        <f>_xll.BDP("9128273G Govt","MTY_TYP")</f>
        <v>NORMAL</v>
      </c>
      <c r="G1011" t="str">
        <f>_xll.BDP("9128273G Govt","CRNCY")</f>
        <v>USD</v>
      </c>
      <c r="H1011" t="str">
        <f>_xll.BDP("9128273G Govt","COUNTRY_FULL_NAME")</f>
        <v>UNITED STATES</v>
      </c>
      <c r="I1011" t="str">
        <f>_xll.BDP("9128273G Govt","FIRST_CPN_DT")</f>
        <v>2/28/1998</v>
      </c>
      <c r="J1011" t="str">
        <f>_xll.BDP("9128273G Govt","COUPON_FREQUENCY_DESCRIPTION")</f>
        <v>S/A</v>
      </c>
      <c r="K1011" t="str">
        <f>_xll.BDP("9128273G Govt","CPN_TYP")</f>
        <v>FIXED</v>
      </c>
      <c r="L1011" t="str">
        <f>_xll.BDP("9128273G Govt","ID_ISIN")</f>
        <v>US9128273G59</v>
      </c>
      <c r="M1011">
        <v>12732000000</v>
      </c>
      <c r="N1011">
        <v>0</v>
      </c>
      <c r="O1011" t="str">
        <f>_xll.BDP("9128273G Govt","ISSUE_DT")</f>
        <v>9/2/1997</v>
      </c>
      <c r="P1011" t="str">
        <f>_xll.BDP("9128273G Govt","SECURITY_NAME")</f>
        <v>T 6 1/4 08/31/02</v>
      </c>
      <c r="Q1011" t="str">
        <f>_xll.BDP("9128273G Govt","DAY_CNT_DES")</f>
        <v>ACT/ACT</v>
      </c>
      <c r="R1011">
        <v>100</v>
      </c>
      <c r="S1011" t="str">
        <f>_xll.BDP("9128273G Govt","ID_CUSIP")</f>
        <v>9128273G5</v>
      </c>
      <c r="T1011" t="str">
        <f>_xll.BDP("9128273G Govt","IDX_RATIO")</f>
        <v>#N/A Field Not Applicable</v>
      </c>
    </row>
    <row r="1012" spans="1:20" x14ac:dyDescent="0.25">
      <c r="A1012" t="s">
        <v>14</v>
      </c>
      <c r="B1012" t="str">
        <f>_xll.BDP("9128274U Govt","TICKER")</f>
        <v>T</v>
      </c>
      <c r="C1012">
        <f>_xll.BDP("9128274U Govt","CPN")</f>
        <v>4.25</v>
      </c>
      <c r="D1012" t="str">
        <f>_xll.BDP("9128274U Govt","YLD_YTM_BID")</f>
        <v>#N/A N/A</v>
      </c>
      <c r="E1012" t="str">
        <f>_xll.BDP("9128274U Govt","MATURITY")</f>
        <v>11/15/2003</v>
      </c>
      <c r="F1012" t="str">
        <f>_xll.BDP("9128274U Govt","MTY_TYP")</f>
        <v>NORMAL</v>
      </c>
      <c r="G1012" t="str">
        <f>_xll.BDP("9128274U Govt","CRNCY")</f>
        <v>USD</v>
      </c>
      <c r="H1012" t="str">
        <f>_xll.BDP("9128274U Govt","COUNTRY_FULL_NAME")</f>
        <v>UNITED STATES</v>
      </c>
      <c r="I1012" t="str">
        <f>_xll.BDP("9128274U Govt","FIRST_CPN_DT")</f>
        <v>5/15/1999</v>
      </c>
      <c r="J1012" t="str">
        <f>_xll.BDP("9128274U Govt","COUPON_FREQUENCY_DESCRIPTION")</f>
        <v>S/A</v>
      </c>
      <c r="K1012" t="str">
        <f>_xll.BDP("9128274U Govt","CPN_TYP")</f>
        <v>FIXED</v>
      </c>
      <c r="L1012" t="str">
        <f>_xll.BDP("9128274U Govt","ID_ISIN")</f>
        <v>US9128274U35</v>
      </c>
      <c r="M1012">
        <v>18626000000</v>
      </c>
      <c r="N1012">
        <v>0</v>
      </c>
      <c r="O1012" t="str">
        <f>_xll.BDP("9128274U Govt","ISSUE_DT")</f>
        <v>11/16/1998</v>
      </c>
      <c r="P1012" t="str">
        <f>_xll.BDP("9128274U Govt","SECURITY_NAME")</f>
        <v>T 4 1/4 11/15/03</v>
      </c>
      <c r="Q1012" t="str">
        <f>_xll.BDP("9128274U Govt","DAY_CNT_DES")</f>
        <v>ACT/ACT</v>
      </c>
      <c r="R1012">
        <v>100</v>
      </c>
      <c r="S1012" t="str">
        <f>_xll.BDP("9128274U Govt","ID_CUSIP")</f>
        <v>9128274U3</v>
      </c>
      <c r="T1012" t="str">
        <f>_xll.BDP("9128274U Govt","IDX_RATIO")</f>
        <v>#N/A Field Not Applicable</v>
      </c>
    </row>
    <row r="1013" spans="1:20" x14ac:dyDescent="0.25">
      <c r="A1013" t="s">
        <v>14</v>
      </c>
      <c r="B1013" t="str">
        <f>_xll.BDP("9128275D Govt","TICKER")</f>
        <v>T</v>
      </c>
      <c r="C1013">
        <f>_xll.BDP("9128275D Govt","CPN")</f>
        <v>4.875</v>
      </c>
      <c r="D1013" t="str">
        <f>_xll.BDP("9128275D Govt","YLD_YTM_BID")</f>
        <v>#N/A N/A</v>
      </c>
      <c r="E1013" t="str">
        <f>_xll.BDP("9128275D Govt","MATURITY")</f>
        <v>3/31/2001</v>
      </c>
      <c r="F1013" t="str">
        <f>_xll.BDP("9128275D Govt","MTY_TYP")</f>
        <v>NORMAL</v>
      </c>
      <c r="G1013" t="str">
        <f>_xll.BDP("9128275D Govt","CRNCY")</f>
        <v>USD</v>
      </c>
      <c r="H1013" t="str">
        <f>_xll.BDP("9128275D Govt","COUNTRY_FULL_NAME")</f>
        <v>UNITED STATES</v>
      </c>
      <c r="I1013" t="str">
        <f>_xll.BDP("9128275D Govt","FIRST_CPN_DT")</f>
        <v>9/30/1999</v>
      </c>
      <c r="J1013" t="str">
        <f>_xll.BDP("9128275D Govt","COUPON_FREQUENCY_DESCRIPTION")</f>
        <v>S/A</v>
      </c>
      <c r="K1013" t="str">
        <f>_xll.BDP("9128275D Govt","CPN_TYP")</f>
        <v>FIXED</v>
      </c>
      <c r="L1013" t="str">
        <f>_xll.BDP("9128275D Govt","ID_ISIN")</f>
        <v>US9128275D01</v>
      </c>
      <c r="M1013">
        <v>21605000000</v>
      </c>
      <c r="N1013">
        <v>0</v>
      </c>
      <c r="O1013" t="str">
        <f>_xll.BDP("9128275D Govt","ISSUE_DT")</f>
        <v>3/31/1999</v>
      </c>
      <c r="P1013" t="str">
        <f>_xll.BDP("9128275D Govt","SECURITY_NAME")</f>
        <v>T 4 7/8 03/31/01</v>
      </c>
      <c r="Q1013" t="str">
        <f>_xll.BDP("9128275D Govt","DAY_CNT_DES")</f>
        <v>ACT/ACT</v>
      </c>
      <c r="R1013">
        <v>100</v>
      </c>
      <c r="S1013" t="str">
        <f>_xll.BDP("9128275D Govt","ID_CUSIP")</f>
        <v>9128275D0</v>
      </c>
      <c r="T1013" t="str">
        <f>_xll.BDP("9128275D Govt","IDX_RATIO")</f>
        <v>#N/A Field Not Applicable</v>
      </c>
    </row>
    <row r="1014" spans="1:20" x14ac:dyDescent="0.25">
      <c r="A1014" t="s">
        <v>14</v>
      </c>
      <c r="B1014" t="str">
        <f>_xll.BDP("9128275J Govt","TICKER")</f>
        <v>T</v>
      </c>
      <c r="C1014">
        <f>_xll.BDP("9128275J Govt","CPN")</f>
        <v>5.75</v>
      </c>
      <c r="D1014" t="str">
        <f>_xll.BDP("9128275J Govt","YLD_YTM_BID")</f>
        <v>#N/A N/A</v>
      </c>
      <c r="E1014" t="str">
        <f>_xll.BDP("9128275J Govt","MATURITY")</f>
        <v>6/30/2001</v>
      </c>
      <c r="F1014" t="str">
        <f>_xll.BDP("9128275J Govt","MTY_TYP")</f>
        <v>NORMAL</v>
      </c>
      <c r="G1014" t="str">
        <f>_xll.BDP("9128275J Govt","CRNCY")</f>
        <v>USD</v>
      </c>
      <c r="H1014" t="str">
        <f>_xll.BDP("9128275J Govt","COUNTRY_FULL_NAME")</f>
        <v>UNITED STATES</v>
      </c>
      <c r="I1014" t="str">
        <f>_xll.BDP("9128275J Govt","FIRST_CPN_DT")</f>
        <v>12/31/1999</v>
      </c>
      <c r="J1014" t="str">
        <f>_xll.BDP("9128275J Govt","COUPON_FREQUENCY_DESCRIPTION")</f>
        <v>S/A</v>
      </c>
      <c r="K1014" t="str">
        <f>_xll.BDP("9128275J Govt","CPN_TYP")</f>
        <v>FIXED</v>
      </c>
      <c r="L1014" t="str">
        <f>_xll.BDP("9128275J Govt","ID_ISIN")</f>
        <v>US9128275J70</v>
      </c>
      <c r="M1014">
        <v>19001000000</v>
      </c>
      <c r="N1014">
        <v>0</v>
      </c>
      <c r="O1014" t="str">
        <f>_xll.BDP("9128275J Govt","ISSUE_DT")</f>
        <v>6/30/1999</v>
      </c>
      <c r="P1014" t="str">
        <f>_xll.BDP("9128275J Govt","SECURITY_NAME")</f>
        <v>T 5 3/4 06/30/01</v>
      </c>
      <c r="Q1014" t="str">
        <f>_xll.BDP("9128275J Govt","DAY_CNT_DES")</f>
        <v>ACT/ACT</v>
      </c>
      <c r="R1014">
        <v>100</v>
      </c>
      <c r="S1014" t="str">
        <f>_xll.BDP("9128275J Govt","ID_CUSIP")</f>
        <v>9128275J7</v>
      </c>
      <c r="T1014" t="str">
        <f>_xll.BDP("9128275J Govt","IDX_RATIO")</f>
        <v>#N/A Field Not Applicable</v>
      </c>
    </row>
    <row r="1015" spans="1:20" x14ac:dyDescent="0.25">
      <c r="A1015" t="s">
        <v>14</v>
      </c>
      <c r="B1015" t="str">
        <f>_xll.BDP("9128275M Govt","TICKER")</f>
        <v>T</v>
      </c>
      <c r="C1015">
        <f>_xll.BDP("9128275M Govt","CPN")</f>
        <v>6</v>
      </c>
      <c r="D1015" t="str">
        <f>_xll.BDP("9128275M Govt","YLD_YTM_BID")</f>
        <v>#N/A N/A</v>
      </c>
      <c r="E1015" t="str">
        <f>_xll.BDP("9128275M Govt","MATURITY")</f>
        <v>8/15/2004</v>
      </c>
      <c r="F1015" t="str">
        <f>_xll.BDP("9128275M Govt","MTY_TYP")</f>
        <v>NORMAL</v>
      </c>
      <c r="G1015" t="str">
        <f>_xll.BDP("9128275M Govt","CRNCY")</f>
        <v>USD</v>
      </c>
      <c r="H1015" t="str">
        <f>_xll.BDP("9128275M Govt","COUNTRY_FULL_NAME")</f>
        <v>UNITED STATES</v>
      </c>
      <c r="I1015" t="str">
        <f>_xll.BDP("9128275M Govt","FIRST_CPN_DT")</f>
        <v>2/15/2000</v>
      </c>
      <c r="J1015" t="str">
        <f>_xll.BDP("9128275M Govt","COUPON_FREQUENCY_DESCRIPTION")</f>
        <v>S/A</v>
      </c>
      <c r="K1015" t="str">
        <f>_xll.BDP("9128275M Govt","CPN_TYP")</f>
        <v>FIXED</v>
      </c>
      <c r="L1015" t="str">
        <f>_xll.BDP("9128275M Govt","ID_ISIN")</f>
        <v>US9128275M00</v>
      </c>
      <c r="M1015">
        <v>18090000000</v>
      </c>
      <c r="N1015">
        <v>0</v>
      </c>
      <c r="O1015" t="str">
        <f>_xll.BDP("9128275M Govt","ISSUE_DT")</f>
        <v>8/16/1999</v>
      </c>
      <c r="P1015" t="str">
        <f>_xll.BDP("9128275M Govt","SECURITY_NAME")</f>
        <v>T 6 08/15/04</v>
      </c>
      <c r="Q1015" t="str">
        <f>_xll.BDP("9128275M Govt","DAY_CNT_DES")</f>
        <v>ACT/ACT</v>
      </c>
      <c r="R1015">
        <v>100</v>
      </c>
      <c r="S1015" t="str">
        <f>_xll.BDP("9128275M Govt","ID_CUSIP")</f>
        <v>9128275M0</v>
      </c>
      <c r="T1015" t="str">
        <f>_xll.BDP("9128275M Govt","IDX_RATIO")</f>
        <v>#N/A Field Not Applicable</v>
      </c>
    </row>
    <row r="1016" spans="1:20" x14ac:dyDescent="0.25">
      <c r="A1016" t="s">
        <v>14</v>
      </c>
      <c r="B1016" t="str">
        <f>_xll.BDP("9128275P Govt","TICKER")</f>
        <v>T</v>
      </c>
      <c r="C1016">
        <f>_xll.BDP("9128275P Govt","CPN")</f>
        <v>5.5</v>
      </c>
      <c r="D1016" t="str">
        <f>_xll.BDP("9128275P Govt","YLD_YTM_BID")</f>
        <v>#N/A N/A</v>
      </c>
      <c r="E1016" t="str">
        <f>_xll.BDP("9128275P Govt","MATURITY")</f>
        <v>8/31/2001</v>
      </c>
      <c r="F1016" t="str">
        <f>_xll.BDP("9128275P Govt","MTY_TYP")</f>
        <v>NORMAL</v>
      </c>
      <c r="G1016" t="str">
        <f>_xll.BDP("9128275P Govt","CRNCY")</f>
        <v>USD</v>
      </c>
      <c r="H1016" t="str">
        <f>_xll.BDP("9128275P Govt","COUNTRY_FULL_NAME")</f>
        <v>UNITED STATES</v>
      </c>
      <c r="I1016" t="str">
        <f>_xll.BDP("9128275P Govt","FIRST_CPN_DT")</f>
        <v>2/29/2000</v>
      </c>
      <c r="J1016" t="str">
        <f>_xll.BDP("9128275P Govt","COUPON_FREQUENCY_DESCRIPTION")</f>
        <v>S/A</v>
      </c>
      <c r="K1016" t="str">
        <f>_xll.BDP("9128275P Govt","CPN_TYP")</f>
        <v>FIXED</v>
      </c>
      <c r="L1016" t="str">
        <f>_xll.BDP("9128275P Govt","ID_ISIN")</f>
        <v>US9128275P31</v>
      </c>
      <c r="M1016">
        <v>20119000000</v>
      </c>
      <c r="N1016">
        <v>0</v>
      </c>
      <c r="O1016" t="str">
        <f>_xll.BDP("9128275P Govt","ISSUE_DT")</f>
        <v>8/31/1999</v>
      </c>
      <c r="P1016" t="str">
        <f>_xll.BDP("9128275P Govt","SECURITY_NAME")</f>
        <v>T 5 1/2 08/31/01</v>
      </c>
      <c r="Q1016" t="str">
        <f>_xll.BDP("9128275P Govt","DAY_CNT_DES")</f>
        <v>ACT/ACT</v>
      </c>
      <c r="R1016">
        <v>100</v>
      </c>
      <c r="S1016" t="str">
        <f>_xll.BDP("9128275P Govt","ID_CUSIP")</f>
        <v>9128275P3</v>
      </c>
      <c r="T1016" t="str">
        <f>_xll.BDP("9128275P Govt","IDX_RATIO")</f>
        <v>#N/A Field Not Applicable</v>
      </c>
    </row>
    <row r="1017" spans="1:20" x14ac:dyDescent="0.25">
      <c r="A1017" t="s">
        <v>14</v>
      </c>
      <c r="B1017" t="str">
        <f>_xll.BDP("9128275Q Govt","TICKER")</f>
        <v>T</v>
      </c>
      <c r="C1017">
        <f>_xll.BDP("9128275Q Govt","CPN")</f>
        <v>5.625</v>
      </c>
      <c r="D1017" t="str">
        <f>_xll.BDP("9128275Q Govt","YLD_YTM_BID")</f>
        <v>#N/A N/A</v>
      </c>
      <c r="E1017" t="str">
        <f>_xll.BDP("9128275Q Govt","MATURITY")</f>
        <v>9/30/2001</v>
      </c>
      <c r="F1017" t="str">
        <f>_xll.BDP("9128275Q Govt","MTY_TYP")</f>
        <v>NORMAL</v>
      </c>
      <c r="G1017" t="str">
        <f>_xll.BDP("9128275Q Govt","CRNCY")</f>
        <v>USD</v>
      </c>
      <c r="H1017" t="str">
        <f>_xll.BDP("9128275Q Govt","COUNTRY_FULL_NAME")</f>
        <v>UNITED STATES</v>
      </c>
      <c r="I1017" t="str">
        <f>_xll.BDP("9128275Q Govt","FIRST_CPN_DT")</f>
        <v>3/31/2000</v>
      </c>
      <c r="J1017" t="str">
        <f>_xll.BDP("9128275Q Govt","COUPON_FREQUENCY_DESCRIPTION")</f>
        <v>S/A</v>
      </c>
      <c r="K1017" t="str">
        <f>_xll.BDP("9128275Q Govt","CPN_TYP")</f>
        <v>FIXED</v>
      </c>
      <c r="L1017" t="str">
        <f>_xll.BDP("9128275Q Govt","ID_ISIN")</f>
        <v>US9128275Q14</v>
      </c>
      <c r="M1017">
        <v>18798000000</v>
      </c>
      <c r="N1017">
        <v>0</v>
      </c>
      <c r="O1017" t="str">
        <f>_xll.BDP("9128275Q Govt","ISSUE_DT")</f>
        <v>9/30/1999</v>
      </c>
      <c r="P1017" t="str">
        <f>_xll.BDP("9128275Q Govt","SECURITY_NAME")</f>
        <v>T 5 5/8 09/30/01</v>
      </c>
      <c r="Q1017" t="str">
        <f>_xll.BDP("9128275Q Govt","DAY_CNT_DES")</f>
        <v>ACT/ACT</v>
      </c>
      <c r="R1017">
        <v>100</v>
      </c>
      <c r="S1017" t="str">
        <f>_xll.BDP("9128275Q Govt","ID_CUSIP")</f>
        <v>9128275Q1</v>
      </c>
      <c r="T1017" t="str">
        <f>_xll.BDP("9128275Q Govt","IDX_RATIO")</f>
        <v>#N/A Field Not Applicable</v>
      </c>
    </row>
    <row r="1018" spans="1:20" x14ac:dyDescent="0.25">
      <c r="A1018" t="s">
        <v>14</v>
      </c>
      <c r="B1018" t="str">
        <f>_xll.BDP("9128275R Govt","TICKER")</f>
        <v>T</v>
      </c>
      <c r="C1018">
        <f>_xll.BDP("9128275R Govt","CPN")</f>
        <v>5.875</v>
      </c>
      <c r="D1018" t="str">
        <f>_xll.BDP("9128275R Govt","YLD_YTM_BID")</f>
        <v>#N/A N/A</v>
      </c>
      <c r="E1018" t="str">
        <f>_xll.BDP("9128275R Govt","MATURITY")</f>
        <v>10/31/2001</v>
      </c>
      <c r="F1018" t="str">
        <f>_xll.BDP("9128275R Govt","MTY_TYP")</f>
        <v>NORMAL</v>
      </c>
      <c r="G1018" t="str">
        <f>_xll.BDP("9128275R Govt","CRNCY")</f>
        <v>USD</v>
      </c>
      <c r="H1018" t="str">
        <f>_xll.BDP("9128275R Govt","COUNTRY_FULL_NAME")</f>
        <v>UNITED STATES</v>
      </c>
      <c r="I1018" t="str">
        <f>_xll.BDP("9128275R Govt","FIRST_CPN_DT")</f>
        <v>4/30/2000</v>
      </c>
      <c r="J1018" t="str">
        <f>_xll.BDP("9128275R Govt","COUPON_FREQUENCY_DESCRIPTION")</f>
        <v>S/A</v>
      </c>
      <c r="K1018" t="str">
        <f>_xll.BDP("9128275R Govt","CPN_TYP")</f>
        <v>FIXED</v>
      </c>
      <c r="L1018" t="str">
        <f>_xll.BDP("9128275R Govt","ID_ISIN")</f>
        <v>US9128275R96</v>
      </c>
      <c r="M1018">
        <v>19196000000</v>
      </c>
      <c r="N1018">
        <v>0</v>
      </c>
      <c r="O1018" t="str">
        <f>_xll.BDP("9128275R Govt","ISSUE_DT")</f>
        <v>11/1/1999</v>
      </c>
      <c r="P1018" t="str">
        <f>_xll.BDP("9128275R Govt","SECURITY_NAME")</f>
        <v>T 5 7/8 10/31/01</v>
      </c>
      <c r="Q1018" t="str">
        <f>_xll.BDP("9128275R Govt","DAY_CNT_DES")</f>
        <v>ACT/ACT</v>
      </c>
      <c r="R1018">
        <v>100</v>
      </c>
      <c r="S1018" t="str">
        <f>_xll.BDP("9128275R Govt","ID_CUSIP")</f>
        <v>9128275R9</v>
      </c>
      <c r="T1018" t="str">
        <f>_xll.BDP("9128275R Govt","IDX_RATIO")</f>
        <v>#N/A Field Not Applicable</v>
      </c>
    </row>
    <row r="1019" spans="1:20" x14ac:dyDescent="0.25">
      <c r="A1019" t="s">
        <v>14</v>
      </c>
      <c r="B1019" t="str">
        <f>_xll.BDP("9128275S Govt","TICKER")</f>
        <v>T</v>
      </c>
      <c r="C1019">
        <f>_xll.BDP("9128275S Govt","CPN")</f>
        <v>5.875</v>
      </c>
      <c r="D1019" t="str">
        <f>_xll.BDP("9128275S Govt","YLD_YTM_BID")</f>
        <v>#N/A N/A</v>
      </c>
      <c r="E1019" t="str">
        <f>_xll.BDP("9128275S Govt","MATURITY")</f>
        <v>11/15/2004</v>
      </c>
      <c r="F1019" t="str">
        <f>_xll.BDP("9128275S Govt","MTY_TYP")</f>
        <v>NORMAL</v>
      </c>
      <c r="G1019" t="str">
        <f>_xll.BDP("9128275S Govt","CRNCY")</f>
        <v>USD</v>
      </c>
      <c r="H1019" t="str">
        <f>_xll.BDP("9128275S Govt","COUNTRY_FULL_NAME")</f>
        <v>UNITED STATES</v>
      </c>
      <c r="I1019" t="str">
        <f>_xll.BDP("9128275S Govt","FIRST_CPN_DT")</f>
        <v>5/15/2000</v>
      </c>
      <c r="J1019" t="str">
        <f>_xll.BDP("9128275S Govt","COUPON_FREQUENCY_DESCRIPTION")</f>
        <v>S/A</v>
      </c>
      <c r="K1019" t="str">
        <f>_xll.BDP("9128275S Govt","CPN_TYP")</f>
        <v>FIXED</v>
      </c>
      <c r="L1019" t="str">
        <f>_xll.BDP("9128275S Govt","ID_ISIN")</f>
        <v>US9128275S79</v>
      </c>
      <c r="M1019">
        <v>32658000000</v>
      </c>
      <c r="N1019">
        <v>0</v>
      </c>
      <c r="O1019" t="str">
        <f>_xll.BDP("9128275S Govt","ISSUE_DT")</f>
        <v>11/15/1999</v>
      </c>
      <c r="P1019" t="str">
        <f>_xll.BDP("9128275S Govt","SECURITY_NAME")</f>
        <v>T 5 7/8 11/15/04</v>
      </c>
      <c r="Q1019" t="str">
        <f>_xll.BDP("9128275S Govt","DAY_CNT_DES")</f>
        <v>ACT/ACT</v>
      </c>
      <c r="R1019">
        <v>100</v>
      </c>
      <c r="S1019" t="str">
        <f>_xll.BDP("9128275S Govt","ID_CUSIP")</f>
        <v>9128275S7</v>
      </c>
      <c r="T1019" t="str">
        <f>_xll.BDP("9128275S Govt","IDX_RATIO")</f>
        <v>#N/A Field Not Applicable</v>
      </c>
    </row>
    <row r="1020" spans="1:20" x14ac:dyDescent="0.25">
      <c r="A1020" t="s">
        <v>14</v>
      </c>
      <c r="B1020" t="str">
        <f>_xll.BDP("9128276A Govt","TICKER")</f>
        <v>T</v>
      </c>
      <c r="C1020">
        <f>_xll.BDP("9128276A Govt","CPN")</f>
        <v>6.5</v>
      </c>
      <c r="D1020" t="str">
        <f>_xll.BDP("9128276A Govt","YLD_YTM_BID")</f>
        <v>#N/A N/A</v>
      </c>
      <c r="E1020" t="str">
        <f>_xll.BDP("9128276A Govt","MATURITY")</f>
        <v>2/28/2002</v>
      </c>
      <c r="F1020" t="str">
        <f>_xll.BDP("9128276A Govt","MTY_TYP")</f>
        <v>NORMAL</v>
      </c>
      <c r="G1020" t="str">
        <f>_xll.BDP("9128276A Govt","CRNCY")</f>
        <v>USD</v>
      </c>
      <c r="H1020" t="str">
        <f>_xll.BDP("9128276A Govt","COUNTRY_FULL_NAME")</f>
        <v>UNITED STATES</v>
      </c>
      <c r="I1020" t="str">
        <f>_xll.BDP("9128276A Govt","FIRST_CPN_DT")</f>
        <v>8/31/2000</v>
      </c>
      <c r="J1020" t="str">
        <f>_xll.BDP("9128276A Govt","COUPON_FREQUENCY_DESCRIPTION")</f>
        <v>S/A</v>
      </c>
      <c r="K1020" t="str">
        <f>_xll.BDP("9128276A Govt","CPN_TYP")</f>
        <v>FIXED</v>
      </c>
      <c r="L1020" t="str">
        <f>_xll.BDP("9128276A Govt","ID_ISIN")</f>
        <v>US9128276A52</v>
      </c>
      <c r="M1020">
        <v>16563000000</v>
      </c>
      <c r="N1020">
        <v>0</v>
      </c>
      <c r="O1020" t="str">
        <f>_xll.BDP("9128276A Govt","ISSUE_DT")</f>
        <v>2/29/2000</v>
      </c>
      <c r="P1020" t="str">
        <f>_xll.BDP("9128276A Govt","SECURITY_NAME")</f>
        <v>T 6 1/2 02/28/02</v>
      </c>
      <c r="Q1020" t="str">
        <f>_xll.BDP("9128276A Govt","DAY_CNT_DES")</f>
        <v>ACT/ACT</v>
      </c>
      <c r="R1020">
        <v>100</v>
      </c>
      <c r="S1020" t="str">
        <f>_xll.BDP("9128276A Govt","ID_CUSIP")</f>
        <v>9128276A5</v>
      </c>
      <c r="T1020" t="str">
        <f>_xll.BDP("9128276A Govt","IDX_RATIO")</f>
        <v>#N/A Field Not Applicable</v>
      </c>
    </row>
    <row r="1021" spans="1:20" x14ac:dyDescent="0.25">
      <c r="A1021" t="s">
        <v>14</v>
      </c>
      <c r="B1021" t="str">
        <f>_xll.BDP("9128276B Govt","TICKER")</f>
        <v>T</v>
      </c>
      <c r="C1021">
        <f>_xll.BDP("9128276B Govt","CPN")</f>
        <v>6.5</v>
      </c>
      <c r="D1021" t="str">
        <f>_xll.BDP("9128276B Govt","YLD_YTM_BID")</f>
        <v>#N/A N/A</v>
      </c>
      <c r="E1021" t="str">
        <f>_xll.BDP("9128276B Govt","MATURITY")</f>
        <v>3/31/2002</v>
      </c>
      <c r="F1021" t="str">
        <f>_xll.BDP("9128276B Govt","MTY_TYP")</f>
        <v>NORMAL</v>
      </c>
      <c r="G1021" t="str">
        <f>_xll.BDP("9128276B Govt","CRNCY")</f>
        <v>USD</v>
      </c>
      <c r="H1021" t="str">
        <f>_xll.BDP("9128276B Govt","COUNTRY_FULL_NAME")</f>
        <v>UNITED STATES</v>
      </c>
      <c r="I1021" t="str">
        <f>_xll.BDP("9128276B Govt","FIRST_CPN_DT")</f>
        <v>9/30/2000</v>
      </c>
      <c r="J1021" t="str">
        <f>_xll.BDP("9128276B Govt","COUPON_FREQUENCY_DESCRIPTION")</f>
        <v>S/A</v>
      </c>
      <c r="K1021" t="str">
        <f>_xll.BDP("9128276B Govt","CPN_TYP")</f>
        <v>FIXED</v>
      </c>
      <c r="L1021" t="str">
        <f>_xll.BDP("9128276B Govt","ID_ISIN")</f>
        <v>US9128276B36</v>
      </c>
      <c r="M1021">
        <v>17238000000</v>
      </c>
      <c r="N1021">
        <v>0</v>
      </c>
      <c r="O1021" t="str">
        <f>_xll.BDP("9128276B Govt","ISSUE_DT")</f>
        <v>3/31/2000</v>
      </c>
      <c r="P1021" t="str">
        <f>_xll.BDP("9128276B Govt","SECURITY_NAME")</f>
        <v>T 6 1/2 03/31/02</v>
      </c>
      <c r="Q1021" t="str">
        <f>_xll.BDP("9128276B Govt","DAY_CNT_DES")</f>
        <v>ACT/ACT</v>
      </c>
      <c r="R1021">
        <v>100</v>
      </c>
      <c r="S1021" t="str">
        <f>_xll.BDP("9128276B Govt","ID_CUSIP")</f>
        <v>9128276B3</v>
      </c>
      <c r="T1021" t="str">
        <f>_xll.BDP("9128276B Govt","IDX_RATIO")</f>
        <v>#N/A Field Not Applicable</v>
      </c>
    </row>
    <row r="1022" spans="1:20" x14ac:dyDescent="0.25">
      <c r="A1022" t="s">
        <v>14</v>
      </c>
      <c r="B1022" t="str">
        <f>_xll.BDP("9128276C Govt","TICKER")</f>
        <v>T</v>
      </c>
      <c r="C1022">
        <f>_xll.BDP("9128276C Govt","CPN")</f>
        <v>6.375</v>
      </c>
      <c r="D1022" t="str">
        <f>_xll.BDP("9128276C Govt","YLD_YTM_BID")</f>
        <v>#N/A N/A</v>
      </c>
      <c r="E1022" t="str">
        <f>_xll.BDP("9128276C Govt","MATURITY")</f>
        <v>4/30/2002</v>
      </c>
      <c r="F1022" t="str">
        <f>_xll.BDP("9128276C Govt","MTY_TYP")</f>
        <v>NORMAL</v>
      </c>
      <c r="G1022" t="str">
        <f>_xll.BDP("9128276C Govt","CRNCY")</f>
        <v>USD</v>
      </c>
      <c r="H1022" t="str">
        <f>_xll.BDP("9128276C Govt","COUNTRY_FULL_NAME")</f>
        <v>UNITED STATES</v>
      </c>
      <c r="I1022" t="str">
        <f>_xll.BDP("9128276C Govt","FIRST_CPN_DT")</f>
        <v>10/31/2000</v>
      </c>
      <c r="J1022" t="str">
        <f>_xll.BDP("9128276C Govt","COUPON_FREQUENCY_DESCRIPTION")</f>
        <v>S/A</v>
      </c>
      <c r="K1022" t="str">
        <f>_xll.BDP("9128276C Govt","CPN_TYP")</f>
        <v>FIXED</v>
      </c>
      <c r="L1022" t="str">
        <f>_xll.BDP("9128276C Govt","ID_ISIN")</f>
        <v>US9128276C19</v>
      </c>
      <c r="M1022">
        <v>17391000000</v>
      </c>
      <c r="N1022">
        <v>0</v>
      </c>
      <c r="O1022" t="str">
        <f>_xll.BDP("9128276C Govt","ISSUE_DT")</f>
        <v>5/1/2000</v>
      </c>
      <c r="P1022" t="str">
        <f>_xll.BDP("9128276C Govt","SECURITY_NAME")</f>
        <v>T 6 3/8 04/30/02</v>
      </c>
      <c r="Q1022" t="str">
        <f>_xll.BDP("9128276C Govt","DAY_CNT_DES")</f>
        <v>ACT/ACT</v>
      </c>
      <c r="R1022">
        <v>100</v>
      </c>
      <c r="S1022" t="str">
        <f>_xll.BDP("9128276C Govt","ID_CUSIP")</f>
        <v>9128276C1</v>
      </c>
      <c r="T1022" t="str">
        <f>_xll.BDP("9128276C Govt","IDX_RATIO")</f>
        <v>#N/A Field Not Applicable</v>
      </c>
    </row>
    <row r="1023" spans="1:20" x14ac:dyDescent="0.25">
      <c r="A1023" t="s">
        <v>14</v>
      </c>
      <c r="B1023" t="str">
        <f>_xll.BDP("9128276K Govt","TICKER")</f>
        <v>T</v>
      </c>
      <c r="C1023">
        <f>_xll.BDP("9128276K Govt","CPN")</f>
        <v>6.125</v>
      </c>
      <c r="D1023" t="str">
        <f>_xll.BDP("9128276K Govt","YLD_YTM_BID")</f>
        <v>#N/A N/A</v>
      </c>
      <c r="E1023" t="str">
        <f>_xll.BDP("9128276K Govt","MATURITY")</f>
        <v>8/31/2002</v>
      </c>
      <c r="F1023" t="str">
        <f>_xll.BDP("9128276K Govt","MTY_TYP")</f>
        <v>NORMAL</v>
      </c>
      <c r="G1023" t="str">
        <f>_xll.BDP("9128276K Govt","CRNCY")</f>
        <v>USD</v>
      </c>
      <c r="H1023" t="str">
        <f>_xll.BDP("9128276K Govt","COUNTRY_FULL_NAME")</f>
        <v>UNITED STATES</v>
      </c>
      <c r="I1023" t="str">
        <f>_xll.BDP("9128276K Govt","FIRST_CPN_DT")</f>
        <v>2/28/2001</v>
      </c>
      <c r="J1023" t="str">
        <f>_xll.BDP("9128276K Govt","COUPON_FREQUENCY_DESCRIPTION")</f>
        <v>S/A</v>
      </c>
      <c r="K1023" t="str">
        <f>_xll.BDP("9128276K Govt","CPN_TYP")</f>
        <v>FIXED</v>
      </c>
      <c r="L1023" t="str">
        <f>_xll.BDP("9128276K Govt","ID_ISIN")</f>
        <v>US9128276K35</v>
      </c>
      <c r="M1023">
        <v>15072000000</v>
      </c>
      <c r="N1023">
        <v>0</v>
      </c>
      <c r="O1023" t="str">
        <f>_xll.BDP("9128276K Govt","ISSUE_DT")</f>
        <v>8/31/2000</v>
      </c>
      <c r="P1023" t="str">
        <f>_xll.BDP("9128276K Govt","SECURITY_NAME")</f>
        <v>T 6 1/8 08/31/02</v>
      </c>
      <c r="Q1023" t="str">
        <f>_xll.BDP("9128276K Govt","DAY_CNT_DES")</f>
        <v>ACT/ACT</v>
      </c>
      <c r="R1023">
        <v>100</v>
      </c>
      <c r="S1023" t="str">
        <f>_xll.BDP("9128276K Govt","ID_CUSIP")</f>
        <v>9128276K3</v>
      </c>
      <c r="T1023" t="str">
        <f>_xll.BDP("9128276K Govt","IDX_RATIO")</f>
        <v>#N/A Field Not Applicable</v>
      </c>
    </row>
    <row r="1024" spans="1:20" x14ac:dyDescent="0.25">
      <c r="A1024" t="s">
        <v>14</v>
      </c>
      <c r="B1024" t="str">
        <f>_xll.BDP("9128276N Govt","TICKER")</f>
        <v>T</v>
      </c>
      <c r="C1024">
        <f>_xll.BDP("9128276N Govt","CPN")</f>
        <v>5.75</v>
      </c>
      <c r="D1024" t="str">
        <f>_xll.BDP("9128276N Govt","YLD_YTM_BID")</f>
        <v>#N/A N/A</v>
      </c>
      <c r="E1024" t="str">
        <f>_xll.BDP("9128276N Govt","MATURITY")</f>
        <v>11/15/2005</v>
      </c>
      <c r="F1024" t="str">
        <f>_xll.BDP("9128276N Govt","MTY_TYP")</f>
        <v>NORMAL</v>
      </c>
      <c r="G1024" t="str">
        <f>_xll.BDP("9128276N Govt","CRNCY")</f>
        <v>USD</v>
      </c>
      <c r="H1024" t="str">
        <f>_xll.BDP("9128276N Govt","COUNTRY_FULL_NAME")</f>
        <v>UNITED STATES</v>
      </c>
      <c r="I1024" t="str">
        <f>_xll.BDP("9128276N Govt","FIRST_CPN_DT")</f>
        <v>5/15/2001</v>
      </c>
      <c r="J1024" t="str">
        <f>_xll.BDP("9128276N Govt","COUPON_FREQUENCY_DESCRIPTION")</f>
        <v>S/A</v>
      </c>
      <c r="K1024" t="str">
        <f>_xll.BDP("9128276N Govt","CPN_TYP")</f>
        <v>FIXED</v>
      </c>
      <c r="L1024" t="str">
        <f>_xll.BDP("9128276N Govt","ID_ISIN")</f>
        <v>US9128276N73</v>
      </c>
      <c r="M1024">
        <v>28063000000</v>
      </c>
      <c r="N1024">
        <v>0</v>
      </c>
      <c r="O1024" t="str">
        <f>_xll.BDP("9128276N Govt","ISSUE_DT")</f>
        <v>11/15/2000</v>
      </c>
      <c r="P1024" t="str">
        <f>_xll.BDP("9128276N Govt","SECURITY_NAME")</f>
        <v>T 5 3/4 11/15/05</v>
      </c>
      <c r="Q1024" t="str">
        <f>_xll.BDP("9128276N Govt","DAY_CNT_DES")</f>
        <v>ACT/ACT</v>
      </c>
      <c r="R1024">
        <v>100</v>
      </c>
      <c r="S1024" t="str">
        <f>_xll.BDP("9128276N Govt","ID_CUSIP")</f>
        <v>9128276N7</v>
      </c>
      <c r="T1024" t="str">
        <f>_xll.BDP("9128276N Govt","IDX_RATIO")</f>
        <v>#N/A Field Not Applicable</v>
      </c>
    </row>
    <row r="1025" spans="1:20" x14ac:dyDescent="0.25">
      <c r="A1025" t="s">
        <v>14</v>
      </c>
      <c r="B1025" t="str">
        <f>_xll.BDP("9128276T Govt","TICKER")</f>
        <v>T</v>
      </c>
      <c r="C1025">
        <f>_xll.BDP("9128276T Govt","CPN")</f>
        <v>5</v>
      </c>
      <c r="D1025" t="str">
        <f>_xll.BDP("9128276T Govt","YLD_YTM_BID")</f>
        <v>#N/A N/A</v>
      </c>
      <c r="E1025" t="str">
        <f>_xll.BDP("9128276T Govt","MATURITY")</f>
        <v>2/15/2011</v>
      </c>
      <c r="F1025" t="str">
        <f>_xll.BDP("9128276T Govt","MTY_TYP")</f>
        <v>NORMAL</v>
      </c>
      <c r="G1025" t="str">
        <f>_xll.BDP("9128276T Govt","CRNCY")</f>
        <v>USD</v>
      </c>
      <c r="H1025" t="str">
        <f>_xll.BDP("9128276T Govt","COUNTRY_FULL_NAME")</f>
        <v>UNITED STATES</v>
      </c>
      <c r="I1025" t="str">
        <f>_xll.BDP("9128276T Govt","FIRST_CPN_DT")</f>
        <v>8/15/2001</v>
      </c>
      <c r="J1025" t="str">
        <f>_xll.BDP("9128276T Govt","COUPON_FREQUENCY_DESCRIPTION")</f>
        <v>S/A</v>
      </c>
      <c r="K1025" t="str">
        <f>_xll.BDP("9128276T Govt","CPN_TYP")</f>
        <v>FIXED</v>
      </c>
      <c r="L1025" t="str">
        <f>_xll.BDP("9128276T Govt","ID_ISIN")</f>
        <v>US9128276T44</v>
      </c>
      <c r="M1025">
        <v>23436000000</v>
      </c>
      <c r="N1025">
        <v>0</v>
      </c>
      <c r="O1025" t="str">
        <f>_xll.BDP("9128276T Govt","ISSUE_DT")</f>
        <v>2/15/2001</v>
      </c>
      <c r="P1025" t="str">
        <f>_xll.BDP("9128276T Govt","SECURITY_NAME")</f>
        <v>T 5 02/15/11</v>
      </c>
      <c r="Q1025" t="str">
        <f>_xll.BDP("9128276T Govt","DAY_CNT_DES")</f>
        <v>ACT/ACT</v>
      </c>
      <c r="R1025">
        <v>100</v>
      </c>
      <c r="S1025" t="str">
        <f>_xll.BDP("9128276T Govt","ID_CUSIP")</f>
        <v>9128276T4</v>
      </c>
      <c r="T1025" t="str">
        <f>_xll.BDP("9128276T Govt","IDX_RATIO")</f>
        <v>#N/A Field Not Applicable</v>
      </c>
    </row>
    <row r="1026" spans="1:20" x14ac:dyDescent="0.25">
      <c r="A1026" t="s">
        <v>14</v>
      </c>
      <c r="B1026" t="str">
        <f>_xll.BDP("9128276Z Govt","TICKER")</f>
        <v>T</v>
      </c>
      <c r="C1026">
        <f>_xll.BDP("9128276Z Govt","CPN")</f>
        <v>3.875</v>
      </c>
      <c r="D1026" t="str">
        <f>_xll.BDP("9128276Z Govt","YLD_YTM_BID")</f>
        <v>#N/A N/A</v>
      </c>
      <c r="E1026" t="str">
        <f>_xll.BDP("9128276Z Govt","MATURITY")</f>
        <v>6/30/2003</v>
      </c>
      <c r="F1026" t="str">
        <f>_xll.BDP("9128276Z Govt","MTY_TYP")</f>
        <v>NORMAL</v>
      </c>
      <c r="G1026" t="str">
        <f>_xll.BDP("9128276Z Govt","CRNCY")</f>
        <v>USD</v>
      </c>
      <c r="H1026" t="str">
        <f>_xll.BDP("9128276Z Govt","COUNTRY_FULL_NAME")</f>
        <v>UNITED STATES</v>
      </c>
      <c r="I1026" t="str">
        <f>_xll.BDP("9128276Z Govt","FIRST_CPN_DT")</f>
        <v>12/31/2001</v>
      </c>
      <c r="J1026" t="str">
        <f>_xll.BDP("9128276Z Govt","COUPON_FREQUENCY_DESCRIPTION")</f>
        <v>S/A</v>
      </c>
      <c r="K1026" t="str">
        <f>_xll.BDP("9128276Z Govt","CPN_TYP")</f>
        <v>FIXED</v>
      </c>
      <c r="L1026" t="str">
        <f>_xll.BDP("9128276Z Govt","ID_ISIN")</f>
        <v>US9128276Z04</v>
      </c>
      <c r="M1026">
        <v>14671000000</v>
      </c>
      <c r="N1026">
        <v>0</v>
      </c>
      <c r="O1026" t="str">
        <f>_xll.BDP("9128276Z Govt","ISSUE_DT")</f>
        <v>7/2/2001</v>
      </c>
      <c r="P1026" t="str">
        <f>_xll.BDP("9128276Z Govt","SECURITY_NAME")</f>
        <v>T 3 7/8 06/30/03</v>
      </c>
      <c r="Q1026" t="str">
        <f>_xll.BDP("9128276Z Govt","DAY_CNT_DES")</f>
        <v>ACT/ACT</v>
      </c>
      <c r="R1026">
        <v>100</v>
      </c>
      <c r="S1026" t="str">
        <f>_xll.BDP("9128276Z Govt","ID_CUSIP")</f>
        <v>9128276Z0</v>
      </c>
      <c r="T1026" t="str">
        <f>_xll.BDP("9128276Z Govt","IDX_RATIO")</f>
        <v>#N/A Field Not Applicable</v>
      </c>
    </row>
    <row r="1027" spans="1:20" x14ac:dyDescent="0.25">
      <c r="A1027" t="s">
        <v>14</v>
      </c>
      <c r="B1027" t="str">
        <f>_xll.BDP("9128277F Govt","TICKER")</f>
        <v>T</v>
      </c>
      <c r="C1027">
        <f>_xll.BDP("9128277F Govt","CPN")</f>
        <v>3.5</v>
      </c>
      <c r="D1027" t="str">
        <f>_xll.BDP("9128277F Govt","YLD_YTM_BID")</f>
        <v>#N/A N/A</v>
      </c>
      <c r="E1027" t="str">
        <f>_xll.BDP("9128277F Govt","MATURITY")</f>
        <v>11/15/2006</v>
      </c>
      <c r="F1027" t="str">
        <f>_xll.BDP("9128277F Govt","MTY_TYP")</f>
        <v>NORMAL</v>
      </c>
      <c r="G1027" t="str">
        <f>_xll.BDP("9128277F Govt","CRNCY")</f>
        <v>USD</v>
      </c>
      <c r="H1027" t="str">
        <f>_xll.BDP("9128277F Govt","COUNTRY_FULL_NAME")</f>
        <v>UNITED STATES</v>
      </c>
      <c r="I1027" t="str">
        <f>_xll.BDP("9128277F Govt","FIRST_CPN_DT")</f>
        <v>5/15/2002</v>
      </c>
      <c r="J1027" t="str">
        <f>_xll.BDP("9128277F Govt","COUPON_FREQUENCY_DESCRIPTION")</f>
        <v>S/A</v>
      </c>
      <c r="K1027" t="str">
        <f>_xll.BDP("9128277F Govt","CPN_TYP")</f>
        <v>FIXED</v>
      </c>
      <c r="L1027" t="str">
        <f>_xll.BDP("9128277F Govt","ID_ISIN")</f>
        <v>US9128277F31</v>
      </c>
      <c r="M1027">
        <v>35380000000</v>
      </c>
      <c r="N1027">
        <v>0</v>
      </c>
      <c r="O1027" t="str">
        <f>_xll.BDP("9128277F Govt","ISSUE_DT")</f>
        <v>11/15/2001</v>
      </c>
      <c r="P1027" t="str">
        <f>_xll.BDP("9128277F Govt","SECURITY_NAME")</f>
        <v>T 3 1/2 11/15/06</v>
      </c>
      <c r="Q1027" t="str">
        <f>_xll.BDP("9128277F Govt","DAY_CNT_DES")</f>
        <v>ACT/ACT</v>
      </c>
      <c r="R1027">
        <v>100</v>
      </c>
      <c r="S1027" t="str">
        <f>_xll.BDP("9128277F Govt","ID_CUSIP")</f>
        <v>9128277F3</v>
      </c>
      <c r="T1027" t="str">
        <f>_xll.BDP("9128277F Govt","IDX_RATIO")</f>
        <v>#N/A Field Not Applicable</v>
      </c>
    </row>
    <row r="1028" spans="1:20" x14ac:dyDescent="0.25">
      <c r="A1028" t="s">
        <v>14</v>
      </c>
      <c r="B1028" t="str">
        <f>_xll.BDP("9128277H Govt","TICKER")</f>
        <v>T</v>
      </c>
      <c r="C1028">
        <f>_xll.BDP("9128277H Govt","CPN")</f>
        <v>3.25</v>
      </c>
      <c r="D1028" t="str">
        <f>_xll.BDP("9128277H Govt","YLD_YTM_BID")</f>
        <v>#N/A N/A</v>
      </c>
      <c r="E1028" t="str">
        <f>_xll.BDP("9128277H Govt","MATURITY")</f>
        <v>12/31/2003</v>
      </c>
      <c r="F1028" t="str">
        <f>_xll.BDP("9128277H Govt","MTY_TYP")</f>
        <v>NORMAL</v>
      </c>
      <c r="G1028" t="str">
        <f>_xll.BDP("9128277H Govt","CRNCY")</f>
        <v>USD</v>
      </c>
      <c r="H1028" t="str">
        <f>_xll.BDP("9128277H Govt","COUNTRY_FULL_NAME")</f>
        <v>UNITED STATES</v>
      </c>
      <c r="I1028" t="str">
        <f>_xll.BDP("9128277H Govt","FIRST_CPN_DT")</f>
        <v>6/30/2002</v>
      </c>
      <c r="J1028" t="str">
        <f>_xll.BDP("9128277H Govt","COUPON_FREQUENCY_DESCRIPTION")</f>
        <v>S/A</v>
      </c>
      <c r="K1028" t="str">
        <f>_xll.BDP("9128277H Govt","CPN_TYP")</f>
        <v>FIXED</v>
      </c>
      <c r="L1028" t="str">
        <f>_xll.BDP("9128277H Govt","ID_ISIN")</f>
        <v>US9128277H96</v>
      </c>
      <c r="M1028">
        <v>29667000000</v>
      </c>
      <c r="N1028">
        <v>0</v>
      </c>
      <c r="O1028" t="str">
        <f>_xll.BDP("9128277H Govt","ISSUE_DT")</f>
        <v>12/31/2001</v>
      </c>
      <c r="P1028" t="str">
        <f>_xll.BDP("9128277H Govt","SECURITY_NAME")</f>
        <v>T 3 1/4 12/31/03</v>
      </c>
      <c r="Q1028" t="str">
        <f>_xll.BDP("9128277H Govt","DAY_CNT_DES")</f>
        <v>ACT/ACT</v>
      </c>
      <c r="R1028">
        <v>100</v>
      </c>
      <c r="S1028" t="str">
        <f>_xll.BDP("9128277H Govt","ID_CUSIP")</f>
        <v>9128277H9</v>
      </c>
      <c r="T1028" t="str">
        <f>_xll.BDP("9128277H Govt","IDX_RATIO")</f>
        <v>#N/A Field Not Applicable</v>
      </c>
    </row>
    <row r="1029" spans="1:20" x14ac:dyDescent="0.25">
      <c r="A1029" t="s">
        <v>14</v>
      </c>
      <c r="B1029" t="str">
        <f>_xll.BDP("912827A2 Govt","TICKER")</f>
        <v>T</v>
      </c>
      <c r="C1029">
        <f>_xll.BDP("912827A2 Govt","CPN")</f>
        <v>7.125</v>
      </c>
      <c r="D1029" t="str">
        <f>_xll.BDP("912827A2 Govt","YLD_YTM_BID")</f>
        <v>#N/A N/A</v>
      </c>
      <c r="E1029" t="str">
        <f>_xll.BDP("912827A2 Govt","MATURITY")</f>
        <v>3/31/1993</v>
      </c>
      <c r="F1029" t="str">
        <f>_xll.BDP("912827A2 Govt","MTY_TYP")</f>
        <v>NORMAL</v>
      </c>
      <c r="G1029" t="str">
        <f>_xll.BDP("912827A2 Govt","CRNCY")</f>
        <v>USD</v>
      </c>
      <c r="H1029" t="str">
        <f>_xll.BDP("912827A2 Govt","COUNTRY_FULL_NAME")</f>
        <v>UNITED STATES</v>
      </c>
      <c r="I1029" t="str">
        <f>_xll.BDP("912827A2 Govt","FIRST_CPN_DT")</f>
        <v>9/30/1991</v>
      </c>
      <c r="J1029" t="str">
        <f>_xll.BDP("912827A2 Govt","COUPON_FREQUENCY_DESCRIPTION")</f>
        <v>S/A</v>
      </c>
      <c r="K1029" t="str">
        <f>_xll.BDP("912827A2 Govt","CPN_TYP")</f>
        <v>FIXED</v>
      </c>
      <c r="L1029" t="str">
        <f>_xll.BDP("912827A2 Govt","ID_ISIN")</f>
        <v>US912827A281</v>
      </c>
      <c r="N1029">
        <v>0</v>
      </c>
      <c r="O1029" t="str">
        <f>_xll.BDP("912827A2 Govt","ISSUE_DT")</f>
        <v>4/1/1991</v>
      </c>
      <c r="P1029" t="str">
        <f>_xll.BDP("912827A2 Govt","SECURITY_NAME")</f>
        <v>T 7 1/8 03/31/93</v>
      </c>
      <c r="Q1029" t="str">
        <f>_xll.BDP("912827A2 Govt","DAY_CNT_DES")</f>
        <v>ACT/ACT</v>
      </c>
      <c r="R1029">
        <v>100</v>
      </c>
      <c r="S1029" t="str">
        <f>_xll.BDP("912827A2 Govt","ID_CUSIP")</f>
        <v>912827A28</v>
      </c>
      <c r="T1029" t="str">
        <f>_xll.BDP("912827A2 Govt","IDX_RATIO")</f>
        <v>#N/A Field Not Applicable</v>
      </c>
    </row>
    <row r="1030" spans="1:20" x14ac:dyDescent="0.25">
      <c r="A1030" t="s">
        <v>14</v>
      </c>
      <c r="B1030" t="str">
        <f>_xll.BDP("912827A3 Govt","TICKER")</f>
        <v>T</v>
      </c>
      <c r="C1030">
        <f>_xll.BDP("912827A3 Govt","CPN")</f>
        <v>7.75</v>
      </c>
      <c r="D1030" t="str">
        <f>_xll.BDP("912827A3 Govt","YLD_YTM_BID")</f>
        <v>#N/A N/A</v>
      </c>
      <c r="E1030" t="str">
        <f>_xll.BDP("912827A3 Govt","MATURITY")</f>
        <v>3/31/1996</v>
      </c>
      <c r="F1030" t="str">
        <f>_xll.BDP("912827A3 Govt","MTY_TYP")</f>
        <v>NORMAL</v>
      </c>
      <c r="G1030" t="str">
        <f>_xll.BDP("912827A3 Govt","CRNCY")</f>
        <v>USD</v>
      </c>
      <c r="H1030" t="str">
        <f>_xll.BDP("912827A3 Govt","COUNTRY_FULL_NAME")</f>
        <v>UNITED STATES</v>
      </c>
      <c r="I1030" t="str">
        <f>_xll.BDP("912827A3 Govt","FIRST_CPN_DT")</f>
        <v>9/30/1991</v>
      </c>
      <c r="J1030" t="str">
        <f>_xll.BDP("912827A3 Govt","COUPON_FREQUENCY_DESCRIPTION")</f>
        <v>S/A</v>
      </c>
      <c r="K1030" t="str">
        <f>_xll.BDP("912827A3 Govt","CPN_TYP")</f>
        <v>FIXED</v>
      </c>
      <c r="L1030" t="str">
        <f>_xll.BDP("912827A3 Govt","ID_ISIN")</f>
        <v>US912827A364</v>
      </c>
      <c r="N1030">
        <v>0</v>
      </c>
      <c r="O1030" t="str">
        <f>_xll.BDP("912827A3 Govt","ISSUE_DT")</f>
        <v>4/1/1991</v>
      </c>
      <c r="P1030" t="str">
        <f>_xll.BDP("912827A3 Govt","SECURITY_NAME")</f>
        <v>T 7 3/4 03/31/96</v>
      </c>
      <c r="Q1030" t="str">
        <f>_xll.BDP("912827A3 Govt","DAY_CNT_DES")</f>
        <v>ACT/ACT</v>
      </c>
      <c r="R1030">
        <v>100</v>
      </c>
      <c r="S1030" t="str">
        <f>_xll.BDP("912827A3 Govt","ID_CUSIP")</f>
        <v>912827A36</v>
      </c>
      <c r="T1030" t="str">
        <f>_xll.BDP("912827A3 Govt","IDX_RATIO")</f>
        <v>#N/A Field Not Applicable</v>
      </c>
    </row>
    <row r="1031" spans="1:20" x14ac:dyDescent="0.25">
      <c r="A1031" t="s">
        <v>14</v>
      </c>
      <c r="B1031" t="str">
        <f>_xll.BDP("912827A7 Govt","TICKER")</f>
        <v>T</v>
      </c>
      <c r="C1031">
        <f>_xll.BDP("912827A7 Govt","CPN")</f>
        <v>7</v>
      </c>
      <c r="D1031" t="str">
        <f>_xll.BDP("912827A7 Govt","YLD_YTM_BID")</f>
        <v>#N/A N/A</v>
      </c>
      <c r="E1031" t="str">
        <f>_xll.BDP("912827A7 Govt","MATURITY")</f>
        <v>5/15/1994</v>
      </c>
      <c r="F1031" t="str">
        <f>_xll.BDP("912827A7 Govt","MTY_TYP")</f>
        <v>NORMAL</v>
      </c>
      <c r="G1031" t="str">
        <f>_xll.BDP("912827A7 Govt","CRNCY")</f>
        <v>USD</v>
      </c>
      <c r="H1031" t="str">
        <f>_xll.BDP("912827A7 Govt","COUNTRY_FULL_NAME")</f>
        <v>UNITED STATES</v>
      </c>
      <c r="I1031" t="str">
        <f>_xll.BDP("912827A7 Govt","FIRST_CPN_DT")</f>
        <v>11/15/1991</v>
      </c>
      <c r="J1031" t="str">
        <f>_xll.BDP("912827A7 Govt","COUPON_FREQUENCY_DESCRIPTION")</f>
        <v>S/A</v>
      </c>
      <c r="K1031" t="str">
        <f>_xll.BDP("912827A7 Govt","CPN_TYP")</f>
        <v>FIXED</v>
      </c>
      <c r="L1031" t="str">
        <f>_xll.BDP("912827A7 Govt","ID_ISIN")</f>
        <v>US912827A778</v>
      </c>
      <c r="N1031">
        <v>0</v>
      </c>
      <c r="O1031" t="str">
        <f>_xll.BDP("912827A7 Govt","ISSUE_DT")</f>
        <v>5/15/1991</v>
      </c>
      <c r="P1031" t="str">
        <f>_xll.BDP("912827A7 Govt","SECURITY_NAME")</f>
        <v>T 7 05/15/94</v>
      </c>
      <c r="Q1031" t="str">
        <f>_xll.BDP("912827A7 Govt","DAY_CNT_DES")</f>
        <v>ACT/ACT</v>
      </c>
      <c r="R1031">
        <v>100</v>
      </c>
      <c r="S1031" t="str">
        <f>_xll.BDP("912827A7 Govt","ID_CUSIP")</f>
        <v>912827A77</v>
      </c>
      <c r="T1031" t="str">
        <f>_xll.BDP("912827A7 Govt","IDX_RATIO")</f>
        <v>#N/A Field Not Applicable</v>
      </c>
    </row>
    <row r="1032" spans="1:20" x14ac:dyDescent="0.25">
      <c r="A1032" t="s">
        <v>14</v>
      </c>
      <c r="B1032" t="str">
        <f>_xll.BDP("912827A8 Govt","TICKER")</f>
        <v>T</v>
      </c>
      <c r="C1032">
        <f>_xll.BDP("912827A8 Govt","CPN")</f>
        <v>8</v>
      </c>
      <c r="D1032" t="str">
        <f>_xll.BDP("912827A8 Govt","YLD_YTM_BID")</f>
        <v>#N/A N/A</v>
      </c>
      <c r="E1032" t="str">
        <f>_xll.BDP("912827A8 Govt","MATURITY")</f>
        <v>5/15/2001</v>
      </c>
      <c r="F1032" t="str">
        <f>_xll.BDP("912827A8 Govt","MTY_TYP")</f>
        <v>NORMAL</v>
      </c>
      <c r="G1032" t="str">
        <f>_xll.BDP("912827A8 Govt","CRNCY")</f>
        <v>USD</v>
      </c>
      <c r="H1032" t="str">
        <f>_xll.BDP("912827A8 Govt","COUNTRY_FULL_NAME")</f>
        <v>UNITED STATES</v>
      </c>
      <c r="I1032" t="str">
        <f>_xll.BDP("912827A8 Govt","FIRST_CPN_DT")</f>
        <v>11/15/1991</v>
      </c>
      <c r="J1032" t="str">
        <f>_xll.BDP("912827A8 Govt","COUPON_FREQUENCY_DESCRIPTION")</f>
        <v>S/A</v>
      </c>
      <c r="K1032" t="str">
        <f>_xll.BDP("912827A8 Govt","CPN_TYP")</f>
        <v>FIXED</v>
      </c>
      <c r="L1032" t="str">
        <f>_xll.BDP("912827A8 Govt","ID_ISIN")</f>
        <v>US912827A851</v>
      </c>
      <c r="M1032">
        <v>12398000000</v>
      </c>
      <c r="N1032">
        <v>0</v>
      </c>
      <c r="O1032" t="str">
        <f>_xll.BDP("912827A8 Govt","ISSUE_DT")</f>
        <v>5/15/1991</v>
      </c>
      <c r="P1032" t="str">
        <f>_xll.BDP("912827A8 Govt","SECURITY_NAME")</f>
        <v>T 8 05/15/01</v>
      </c>
      <c r="Q1032" t="str">
        <f>_xll.BDP("912827A8 Govt","DAY_CNT_DES")</f>
        <v>ACT/ACT</v>
      </c>
      <c r="R1032">
        <v>100</v>
      </c>
      <c r="S1032" t="str">
        <f>_xll.BDP("912827A8 Govt","ID_CUSIP")</f>
        <v>912827A85</v>
      </c>
      <c r="T1032" t="str">
        <f>_xll.BDP("912827A8 Govt","IDX_RATIO")</f>
        <v>#N/A Field Not Applicable</v>
      </c>
    </row>
    <row r="1033" spans="1:20" x14ac:dyDescent="0.25">
      <c r="A1033" t="s">
        <v>14</v>
      </c>
      <c r="B1033" t="str">
        <f>_xll.BDP("912827D2 Govt","TICKER")</f>
        <v>T</v>
      </c>
      <c r="C1033">
        <f>_xll.BDP("912827D2 Govt","CPN")</f>
        <v>7.5</v>
      </c>
      <c r="D1033" t="str">
        <f>_xll.BDP("912827D2 Govt","YLD_YTM_BID")</f>
        <v>#N/A N/A</v>
      </c>
      <c r="E1033" t="str">
        <f>_xll.BDP("912827D2 Govt","MATURITY")</f>
        <v>11/15/2001</v>
      </c>
      <c r="F1033" t="str">
        <f>_xll.BDP("912827D2 Govt","MTY_TYP")</f>
        <v>NORMAL</v>
      </c>
      <c r="G1033" t="str">
        <f>_xll.BDP("912827D2 Govt","CRNCY")</f>
        <v>USD</v>
      </c>
      <c r="H1033" t="str">
        <f>_xll.BDP("912827D2 Govt","COUNTRY_FULL_NAME")</f>
        <v>UNITED STATES</v>
      </c>
      <c r="I1033" t="str">
        <f>_xll.BDP("912827D2 Govt","FIRST_CPN_DT")</f>
        <v>5/15/1992</v>
      </c>
      <c r="J1033" t="str">
        <f>_xll.BDP("912827D2 Govt","COUPON_FREQUENCY_DESCRIPTION")</f>
        <v>S/A</v>
      </c>
      <c r="K1033" t="str">
        <f>_xll.BDP("912827D2 Govt","CPN_TYP")</f>
        <v>FIXED</v>
      </c>
      <c r="L1033" t="str">
        <f>_xll.BDP("912827D2 Govt","ID_ISIN")</f>
        <v>US912827D251</v>
      </c>
      <c r="M1033">
        <v>24226000000</v>
      </c>
      <c r="N1033">
        <v>0</v>
      </c>
      <c r="O1033" t="str">
        <f>_xll.BDP("912827D2 Govt","ISSUE_DT")</f>
        <v>11/15/1991</v>
      </c>
      <c r="P1033" t="str">
        <f>_xll.BDP("912827D2 Govt","SECURITY_NAME")</f>
        <v>T 7 1/2 11/15/01</v>
      </c>
      <c r="Q1033" t="str">
        <f>_xll.BDP("912827D2 Govt","DAY_CNT_DES")</f>
        <v>ACT/ACT</v>
      </c>
      <c r="R1033">
        <v>100</v>
      </c>
      <c r="S1033" t="str">
        <f>_xll.BDP("912827D2 Govt","ID_CUSIP")</f>
        <v>912827D25</v>
      </c>
      <c r="T1033" t="str">
        <f>_xll.BDP("912827D2 Govt","IDX_RATIO")</f>
        <v>#N/A Field Not Applicable</v>
      </c>
    </row>
    <row r="1034" spans="1:20" x14ac:dyDescent="0.25">
      <c r="A1034" t="s">
        <v>14</v>
      </c>
      <c r="B1034" t="str">
        <f>_xll.BDP("912827G2 Govt","TICKER")</f>
        <v>T</v>
      </c>
      <c r="C1034">
        <f>_xll.BDP("912827G2 Govt","CPN")</f>
        <v>4.25</v>
      </c>
      <c r="D1034" t="str">
        <f>_xll.BDP("912827G2 Govt","YLD_YTM_BID")</f>
        <v>#N/A N/A</v>
      </c>
      <c r="E1034" t="str">
        <f>_xll.BDP("912827G2 Govt","MATURITY")</f>
        <v>7/31/1994</v>
      </c>
      <c r="F1034" t="str">
        <f>_xll.BDP("912827G2 Govt","MTY_TYP")</f>
        <v>NORMAL</v>
      </c>
      <c r="G1034" t="str">
        <f>_xll.BDP("912827G2 Govt","CRNCY")</f>
        <v>USD</v>
      </c>
      <c r="H1034" t="str">
        <f>_xll.BDP("912827G2 Govt","COUNTRY_FULL_NAME")</f>
        <v>UNITED STATES</v>
      </c>
      <c r="I1034" t="str">
        <f>_xll.BDP("912827G2 Govt","FIRST_CPN_DT")</f>
        <v>1/31/1993</v>
      </c>
      <c r="J1034" t="str">
        <f>_xll.BDP("912827G2 Govt","COUPON_FREQUENCY_DESCRIPTION")</f>
        <v>S/A</v>
      </c>
      <c r="K1034" t="str">
        <f>_xll.BDP("912827G2 Govt","CPN_TYP")</f>
        <v>FIXED</v>
      </c>
      <c r="L1034" t="str">
        <f>_xll.BDP("912827G2 Govt","ID_ISIN")</f>
        <v>US912827G221</v>
      </c>
      <c r="N1034">
        <v>0</v>
      </c>
      <c r="O1034" t="str">
        <f>_xll.BDP("912827G2 Govt","ISSUE_DT")</f>
        <v>7/31/1992</v>
      </c>
      <c r="P1034" t="str">
        <f>_xll.BDP("912827G2 Govt","SECURITY_NAME")</f>
        <v>T 4 1/4 07/31/94</v>
      </c>
      <c r="Q1034" t="str">
        <f>_xll.BDP("912827G2 Govt","DAY_CNT_DES")</f>
        <v>ACT/ACT</v>
      </c>
      <c r="R1034">
        <v>100</v>
      </c>
      <c r="S1034" t="str">
        <f>_xll.BDP("912827G2 Govt","ID_CUSIP")</f>
        <v>912827G22</v>
      </c>
      <c r="T1034" t="str">
        <f>_xll.BDP("912827G2 Govt","IDX_RATIO")</f>
        <v>#N/A Field Not Applicable</v>
      </c>
    </row>
    <row r="1035" spans="1:20" x14ac:dyDescent="0.25">
      <c r="A1035" t="s">
        <v>14</v>
      </c>
      <c r="B1035" t="str">
        <f>_xll.BDP("912827G4 Govt","TICKER")</f>
        <v>T</v>
      </c>
      <c r="C1035">
        <f>_xll.BDP("912827G4 Govt","CPN")</f>
        <v>4.625</v>
      </c>
      <c r="D1035" t="str">
        <f>_xll.BDP("912827G4 Govt","YLD_YTM_BID")</f>
        <v>#N/A N/A</v>
      </c>
      <c r="E1035" t="str">
        <f>_xll.BDP("912827G4 Govt","MATURITY")</f>
        <v>8/15/1995</v>
      </c>
      <c r="F1035" t="str">
        <f>_xll.BDP("912827G4 Govt","MTY_TYP")</f>
        <v>NORMAL</v>
      </c>
      <c r="G1035" t="str">
        <f>_xll.BDP("912827G4 Govt","CRNCY")</f>
        <v>USD</v>
      </c>
      <c r="H1035" t="str">
        <f>_xll.BDP("912827G4 Govt","COUNTRY_FULL_NAME")</f>
        <v>UNITED STATES</v>
      </c>
      <c r="I1035" t="str">
        <f>_xll.BDP("912827G4 Govt","FIRST_CPN_DT")</f>
        <v>2/15/1993</v>
      </c>
      <c r="J1035" t="str">
        <f>_xll.BDP("912827G4 Govt","COUPON_FREQUENCY_DESCRIPTION")</f>
        <v>S/A</v>
      </c>
      <c r="K1035" t="str">
        <f>_xll.BDP("912827G4 Govt","CPN_TYP")</f>
        <v>FIXED</v>
      </c>
      <c r="L1035" t="str">
        <f>_xll.BDP("912827G4 Govt","ID_ISIN")</f>
        <v>US912827G486</v>
      </c>
      <c r="N1035">
        <v>0</v>
      </c>
      <c r="O1035" t="str">
        <f>_xll.BDP("912827G4 Govt","ISSUE_DT")</f>
        <v>8/17/1992</v>
      </c>
      <c r="P1035" t="str">
        <f>_xll.BDP("912827G4 Govt","SECURITY_NAME")</f>
        <v>T 4 5/8 08/15/95</v>
      </c>
      <c r="Q1035" t="str">
        <f>_xll.BDP("912827G4 Govt","DAY_CNT_DES")</f>
        <v>ACT/ACT</v>
      </c>
      <c r="R1035">
        <v>100</v>
      </c>
      <c r="S1035" t="str">
        <f>_xll.BDP("912827G4 Govt","ID_CUSIP")</f>
        <v>912827G48</v>
      </c>
      <c r="T1035" t="str">
        <f>_xll.BDP("912827G4 Govt","IDX_RATIO")</f>
        <v>#N/A Field Not Applicable</v>
      </c>
    </row>
    <row r="1036" spans="1:20" x14ac:dyDescent="0.25">
      <c r="A1036" t="s">
        <v>14</v>
      </c>
      <c r="B1036" t="str">
        <f>_xll.BDP("912827G6 Govt","TICKER")</f>
        <v>T</v>
      </c>
      <c r="C1036">
        <f>_xll.BDP("912827G6 Govt","CPN")</f>
        <v>4.25</v>
      </c>
      <c r="D1036" t="str">
        <f>_xll.BDP("912827G6 Govt","YLD_YTM_BID")</f>
        <v>#N/A N/A</v>
      </c>
      <c r="E1036" t="str">
        <f>_xll.BDP("912827G6 Govt","MATURITY")</f>
        <v>8/31/1994</v>
      </c>
      <c r="F1036" t="str">
        <f>_xll.BDP("912827G6 Govt","MTY_TYP")</f>
        <v>NORMAL</v>
      </c>
      <c r="G1036" t="str">
        <f>_xll.BDP("912827G6 Govt","CRNCY")</f>
        <v>USD</v>
      </c>
      <c r="H1036" t="str">
        <f>_xll.BDP("912827G6 Govt","COUNTRY_FULL_NAME")</f>
        <v>UNITED STATES</v>
      </c>
      <c r="I1036" t="str">
        <f>_xll.BDP("912827G6 Govt","FIRST_CPN_DT")</f>
        <v>2/28/1993</v>
      </c>
      <c r="J1036" t="str">
        <f>_xll.BDP("912827G6 Govt","COUPON_FREQUENCY_DESCRIPTION")</f>
        <v>S/A</v>
      </c>
      <c r="K1036" t="str">
        <f>_xll.BDP("912827G6 Govt","CPN_TYP")</f>
        <v>FIXED</v>
      </c>
      <c r="L1036" t="str">
        <f>_xll.BDP("912827G6 Govt","ID_ISIN")</f>
        <v>US912827G635</v>
      </c>
      <c r="N1036">
        <v>0</v>
      </c>
      <c r="O1036" t="str">
        <f>_xll.BDP("912827G6 Govt","ISSUE_DT")</f>
        <v>8/31/1992</v>
      </c>
      <c r="P1036" t="str">
        <f>_xll.BDP("912827G6 Govt","SECURITY_NAME")</f>
        <v>T 4 1/4 08/31/94</v>
      </c>
      <c r="Q1036" t="str">
        <f>_xll.BDP("912827G6 Govt","DAY_CNT_DES")</f>
        <v>ACT/ACT</v>
      </c>
      <c r="R1036">
        <v>100</v>
      </c>
      <c r="S1036" t="str">
        <f>_xll.BDP("912827G6 Govt","ID_CUSIP")</f>
        <v>912827G63</v>
      </c>
      <c r="T1036" t="str">
        <f>_xll.BDP("912827G6 Govt","IDX_RATIO")</f>
        <v>#N/A Field Not Applicable</v>
      </c>
    </row>
    <row r="1037" spans="1:20" x14ac:dyDescent="0.25">
      <c r="A1037" t="s">
        <v>14</v>
      </c>
      <c r="B1037" t="str">
        <f>_xll.BDP("912827G7 Govt","TICKER")</f>
        <v>T</v>
      </c>
      <c r="C1037">
        <f>_xll.BDP("912827G7 Govt","CPN")</f>
        <v>5.625</v>
      </c>
      <c r="D1037" t="str">
        <f>_xll.BDP("912827G7 Govt","YLD_YTM_BID")</f>
        <v>#N/A N/A</v>
      </c>
      <c r="E1037" t="str">
        <f>_xll.BDP("912827G7 Govt","MATURITY")</f>
        <v>8/31/1997</v>
      </c>
      <c r="F1037" t="str">
        <f>_xll.BDP("912827G7 Govt","MTY_TYP")</f>
        <v>NORMAL</v>
      </c>
      <c r="G1037" t="str">
        <f>_xll.BDP("912827G7 Govt","CRNCY")</f>
        <v>USD</v>
      </c>
      <c r="H1037" t="str">
        <f>_xll.BDP("912827G7 Govt","COUNTRY_FULL_NAME")</f>
        <v>UNITED STATES</v>
      </c>
      <c r="I1037" t="str">
        <f>_xll.BDP("912827G7 Govt","FIRST_CPN_DT")</f>
        <v>2/28/1993</v>
      </c>
      <c r="J1037" t="str">
        <f>_xll.BDP("912827G7 Govt","COUPON_FREQUENCY_DESCRIPTION")</f>
        <v>S/A</v>
      </c>
      <c r="K1037" t="str">
        <f>_xll.BDP("912827G7 Govt","CPN_TYP")</f>
        <v>FIXED</v>
      </c>
      <c r="L1037" t="str">
        <f>_xll.BDP("912827G7 Govt","ID_ISIN")</f>
        <v>US912827G718</v>
      </c>
      <c r="M1037">
        <v>11109000000</v>
      </c>
      <c r="N1037">
        <v>0</v>
      </c>
      <c r="O1037" t="str">
        <f>_xll.BDP("912827G7 Govt","ISSUE_DT")</f>
        <v>8/31/1992</v>
      </c>
      <c r="P1037" t="str">
        <f>_xll.BDP("912827G7 Govt","SECURITY_NAME")</f>
        <v>T 5 5/8 08/31/97</v>
      </c>
      <c r="Q1037" t="str">
        <f>_xll.BDP("912827G7 Govt","DAY_CNT_DES")</f>
        <v>ACT/ACT</v>
      </c>
      <c r="R1037">
        <v>100</v>
      </c>
      <c r="S1037" t="str">
        <f>_xll.BDP("912827G7 Govt","ID_CUSIP")</f>
        <v>912827G71</v>
      </c>
      <c r="T1037" t="str">
        <f>_xll.BDP("912827G7 Govt","IDX_RATIO")</f>
        <v>#N/A Field Not Applicable</v>
      </c>
    </row>
    <row r="1038" spans="1:20" x14ac:dyDescent="0.25">
      <c r="A1038" t="s">
        <v>14</v>
      </c>
      <c r="B1038" t="str">
        <f>_xll.BDP("912827J8 Govt","TICKER")</f>
        <v>T</v>
      </c>
      <c r="C1038">
        <f>_xll.BDP("912827J8 Govt","CPN")</f>
        <v>3.875</v>
      </c>
      <c r="D1038" t="str">
        <f>_xll.BDP("912827J8 Govt","YLD_YTM_BID")</f>
        <v>#N/A N/A</v>
      </c>
      <c r="E1038" t="str">
        <f>_xll.BDP("912827J8 Govt","MATURITY")</f>
        <v>2/28/1995</v>
      </c>
      <c r="F1038" t="str">
        <f>_xll.BDP("912827J8 Govt","MTY_TYP")</f>
        <v>NORMAL</v>
      </c>
      <c r="G1038" t="str">
        <f>_xll.BDP("912827J8 Govt","CRNCY")</f>
        <v>USD</v>
      </c>
      <c r="H1038" t="str">
        <f>_xll.BDP("912827J8 Govt","COUNTRY_FULL_NAME")</f>
        <v>UNITED STATES</v>
      </c>
      <c r="I1038" t="str">
        <f>_xll.BDP("912827J8 Govt","FIRST_CPN_DT")</f>
        <v>8/31/1993</v>
      </c>
      <c r="J1038" t="str">
        <f>_xll.BDP("912827J8 Govt","COUPON_FREQUENCY_DESCRIPTION")</f>
        <v>S/A</v>
      </c>
      <c r="K1038" t="str">
        <f>_xll.BDP("912827J8 Govt","CPN_TYP")</f>
        <v>FIXED</v>
      </c>
      <c r="L1038" t="str">
        <f>_xll.BDP("912827J8 Govt","ID_ISIN")</f>
        <v>US912827J860</v>
      </c>
      <c r="N1038">
        <v>0</v>
      </c>
      <c r="O1038" t="str">
        <f>_xll.BDP("912827J8 Govt","ISSUE_DT")</f>
        <v>3/1/1993</v>
      </c>
      <c r="P1038" t="str">
        <f>_xll.BDP("912827J8 Govt","SECURITY_NAME")</f>
        <v>T 3 7/8 02/28/95</v>
      </c>
      <c r="Q1038" t="str">
        <f>_xll.BDP("912827J8 Govt","DAY_CNT_DES")</f>
        <v>ACT/ACT</v>
      </c>
      <c r="R1038">
        <v>100</v>
      </c>
      <c r="S1038" t="str">
        <f>_xll.BDP("912827J8 Govt","ID_CUSIP")</f>
        <v>912827J86</v>
      </c>
      <c r="T1038" t="str">
        <f>_xll.BDP("912827J8 Govt","IDX_RATIO")</f>
        <v>#N/A Field Not Applicable</v>
      </c>
    </row>
    <row r="1039" spans="1:20" x14ac:dyDescent="0.25">
      <c r="A1039" t="s">
        <v>14</v>
      </c>
      <c r="B1039" t="str">
        <f>_xll.BDP("912827K3 Govt","TICKER")</f>
        <v>T</v>
      </c>
      <c r="C1039">
        <f>_xll.BDP("912827K3 Govt","CPN")</f>
        <v>5.125</v>
      </c>
      <c r="D1039" t="str">
        <f>_xll.BDP("912827K3 Govt","YLD_YTM_BID")</f>
        <v>#N/A N/A</v>
      </c>
      <c r="E1039" t="str">
        <f>_xll.BDP("912827K3 Govt","MATURITY")</f>
        <v>3/31/1998</v>
      </c>
      <c r="F1039" t="str">
        <f>_xll.BDP("912827K3 Govt","MTY_TYP")</f>
        <v>NORMAL</v>
      </c>
      <c r="G1039" t="str">
        <f>_xll.BDP("912827K3 Govt","CRNCY")</f>
        <v>USD</v>
      </c>
      <c r="H1039" t="str">
        <f>_xll.BDP("912827K3 Govt","COUNTRY_FULL_NAME")</f>
        <v>UNITED STATES</v>
      </c>
      <c r="I1039" t="str">
        <f>_xll.BDP("912827K3 Govt","FIRST_CPN_DT")</f>
        <v>9/30/1993</v>
      </c>
      <c r="J1039" t="str">
        <f>_xll.BDP("912827K3 Govt","COUPON_FREQUENCY_DESCRIPTION")</f>
        <v>S/A</v>
      </c>
      <c r="K1039" t="str">
        <f>_xll.BDP("912827K3 Govt","CPN_TYP")</f>
        <v>FIXED</v>
      </c>
      <c r="L1039" t="str">
        <f>_xll.BDP("912827K3 Govt","ID_ISIN")</f>
        <v>US912827K355</v>
      </c>
      <c r="M1039">
        <v>13149000000</v>
      </c>
      <c r="N1039">
        <v>0</v>
      </c>
      <c r="O1039" t="str">
        <f>_xll.BDP("912827K3 Govt","ISSUE_DT")</f>
        <v>3/31/1993</v>
      </c>
      <c r="P1039" t="str">
        <f>_xll.BDP("912827K3 Govt","SECURITY_NAME")</f>
        <v>T 5 1/8 03/31/98</v>
      </c>
      <c r="Q1039" t="str">
        <f>_xll.BDP("912827K3 Govt","DAY_CNT_DES")</f>
        <v>ACT/ACT</v>
      </c>
      <c r="R1039">
        <v>100</v>
      </c>
      <c r="S1039" t="str">
        <f>_xll.BDP("912827K3 Govt","ID_CUSIP")</f>
        <v>912827K35</v>
      </c>
      <c r="T1039" t="str">
        <f>_xll.BDP("912827K3 Govt","IDX_RATIO")</f>
        <v>#N/A Field Not Applicable</v>
      </c>
    </row>
    <row r="1040" spans="1:20" x14ac:dyDescent="0.25">
      <c r="A1040" t="s">
        <v>14</v>
      </c>
      <c r="B1040" t="str">
        <f>_xll.BDP("912827L4 Govt","TICKER")</f>
        <v>T</v>
      </c>
      <c r="C1040">
        <f>_xll.BDP("912827L4 Govt","CPN")</f>
        <v>5.125</v>
      </c>
      <c r="D1040" t="str">
        <f>_xll.BDP("912827L4 Govt","YLD_YTM_BID")</f>
        <v>#N/A N/A</v>
      </c>
      <c r="E1040" t="str">
        <f>_xll.BDP("912827L4 Govt","MATURITY")</f>
        <v>6/30/1998</v>
      </c>
      <c r="F1040" t="str">
        <f>_xll.BDP("912827L4 Govt","MTY_TYP")</f>
        <v>NORMAL</v>
      </c>
      <c r="G1040" t="str">
        <f>_xll.BDP("912827L4 Govt","CRNCY")</f>
        <v>USD</v>
      </c>
      <c r="H1040" t="str">
        <f>_xll.BDP("912827L4 Govt","COUNTRY_FULL_NAME")</f>
        <v>UNITED STATES</v>
      </c>
      <c r="I1040" t="str">
        <f>_xll.BDP("912827L4 Govt","FIRST_CPN_DT")</f>
        <v>12/31/1993</v>
      </c>
      <c r="J1040" t="str">
        <f>_xll.BDP("912827L4 Govt","COUPON_FREQUENCY_DESCRIPTION")</f>
        <v>S/A</v>
      </c>
      <c r="K1040" t="str">
        <f>_xll.BDP("912827L4 Govt","CPN_TYP")</f>
        <v>FIXED</v>
      </c>
      <c r="L1040" t="str">
        <f>_xll.BDP("912827L4 Govt","ID_ISIN")</f>
        <v>US912827L429</v>
      </c>
      <c r="M1040">
        <v>12596000000</v>
      </c>
      <c r="N1040">
        <v>0</v>
      </c>
      <c r="O1040" t="str">
        <f>_xll.BDP("912827L4 Govt","ISSUE_DT")</f>
        <v>6/30/1993</v>
      </c>
      <c r="P1040" t="str">
        <f>_xll.BDP("912827L4 Govt","SECURITY_NAME")</f>
        <v>T 5 1/8 06/30/98</v>
      </c>
      <c r="Q1040" t="str">
        <f>_xll.BDP("912827L4 Govt","DAY_CNT_DES")</f>
        <v>ACT/ACT</v>
      </c>
      <c r="R1040">
        <v>100</v>
      </c>
      <c r="S1040" t="str">
        <f>_xll.BDP("912827L4 Govt","ID_CUSIP")</f>
        <v>912827L42</v>
      </c>
      <c r="T1040" t="str">
        <f>_xll.BDP("912827L4 Govt","IDX_RATIO")</f>
        <v>#N/A Field Not Applicable</v>
      </c>
    </row>
    <row r="1041" spans="1:20" x14ac:dyDescent="0.25">
      <c r="A1041" t="s">
        <v>14</v>
      </c>
      <c r="B1041" t="str">
        <f>_xll.BDP("912827L6 Govt","TICKER")</f>
        <v>T</v>
      </c>
      <c r="C1041">
        <f>_xll.BDP("912827L6 Govt","CPN")</f>
        <v>5.25</v>
      </c>
      <c r="D1041" t="str">
        <f>_xll.BDP("912827L6 Govt","YLD_YTM_BID")</f>
        <v>#N/A N/A</v>
      </c>
      <c r="E1041" t="str">
        <f>_xll.BDP("912827L6 Govt","MATURITY")</f>
        <v>7/31/1998</v>
      </c>
      <c r="F1041" t="str">
        <f>_xll.BDP("912827L6 Govt","MTY_TYP")</f>
        <v>NORMAL</v>
      </c>
      <c r="G1041" t="str">
        <f>_xll.BDP("912827L6 Govt","CRNCY")</f>
        <v>USD</v>
      </c>
      <c r="H1041" t="str">
        <f>_xll.BDP("912827L6 Govt","COUNTRY_FULL_NAME")</f>
        <v>UNITED STATES</v>
      </c>
      <c r="I1041" t="str">
        <f>_xll.BDP("912827L6 Govt","FIRST_CPN_DT")</f>
        <v>1/31/1994</v>
      </c>
      <c r="J1041" t="str">
        <f>_xll.BDP("912827L6 Govt","COUPON_FREQUENCY_DESCRIPTION")</f>
        <v>S/A</v>
      </c>
      <c r="K1041" t="str">
        <f>_xll.BDP("912827L6 Govt","CPN_TYP")</f>
        <v>FIXED</v>
      </c>
      <c r="L1041" t="str">
        <f>_xll.BDP("912827L6 Govt","ID_ISIN")</f>
        <v>US912827L676</v>
      </c>
      <c r="M1041">
        <v>11689000000</v>
      </c>
      <c r="N1041">
        <v>0</v>
      </c>
      <c r="O1041" t="str">
        <f>_xll.BDP("912827L6 Govt","ISSUE_DT")</f>
        <v>8/2/1993</v>
      </c>
      <c r="P1041" t="str">
        <f>_xll.BDP("912827L6 Govt","SECURITY_NAME")</f>
        <v>T 5 1/4 07/31/98</v>
      </c>
      <c r="Q1041" t="str">
        <f>_xll.BDP("912827L6 Govt","DAY_CNT_DES")</f>
        <v>ACT/ACT</v>
      </c>
      <c r="R1041">
        <v>100</v>
      </c>
      <c r="S1041" t="str">
        <f>_xll.BDP("912827L6 Govt","ID_CUSIP")</f>
        <v>912827L67</v>
      </c>
      <c r="T1041" t="str">
        <f>_xll.BDP("912827L6 Govt","IDX_RATIO")</f>
        <v>#N/A Field Not Applicable</v>
      </c>
    </row>
    <row r="1042" spans="1:20" x14ac:dyDescent="0.25">
      <c r="A1042" t="s">
        <v>14</v>
      </c>
      <c r="B1042" t="str">
        <f>_xll.BDP("912827LK Govt","TICKER")</f>
        <v>T</v>
      </c>
      <c r="C1042">
        <f>_xll.BDP("912827LK Govt","CPN")</f>
        <v>14</v>
      </c>
      <c r="D1042" t="str">
        <f>_xll.BDP("912827LK Govt","YLD_YTM_BID")</f>
        <v>#N/A N/A</v>
      </c>
      <c r="E1042" t="str">
        <f>_xll.BDP("912827LK Govt","MATURITY")</f>
        <v>12/31/1984</v>
      </c>
      <c r="F1042" t="str">
        <f>_xll.BDP("912827LK Govt","MTY_TYP")</f>
        <v>NORMAL</v>
      </c>
      <c r="G1042" t="str">
        <f>_xll.BDP("912827LK Govt","CRNCY")</f>
        <v>USD</v>
      </c>
      <c r="H1042" t="str">
        <f>_xll.BDP("912827LK Govt","COUNTRY_FULL_NAME")</f>
        <v>UNITED STATES</v>
      </c>
      <c r="I1042" t="str">
        <f>_xll.BDP("912827LK Govt","FIRST_CPN_DT")</f>
        <v>6/30/1981</v>
      </c>
      <c r="J1042" t="str">
        <f>_xll.BDP("912827LK Govt","COUPON_FREQUENCY_DESCRIPTION")</f>
        <v>S/A</v>
      </c>
      <c r="K1042" t="str">
        <f>_xll.BDP("912827LK Govt","CPN_TYP")</f>
        <v>FIXED</v>
      </c>
      <c r="L1042" t="str">
        <f>_xll.BDP("912827LK Govt","ID_ISIN")</f>
        <v>US912827LK67</v>
      </c>
      <c r="N1042">
        <v>0</v>
      </c>
      <c r="O1042" t="str">
        <f>_xll.BDP("912827LK Govt","ISSUE_DT")</f>
        <v>12/31/1980</v>
      </c>
      <c r="P1042" t="str">
        <f>_xll.BDP("912827LK Govt","SECURITY_NAME")</f>
        <v>T 14 12/31/84</v>
      </c>
      <c r="Q1042" t="str">
        <f>_xll.BDP("912827LK Govt","DAY_CNT_DES")</f>
        <v>ACT/ACT</v>
      </c>
      <c r="R1042">
        <v>100</v>
      </c>
      <c r="S1042" t="str">
        <f>_xll.BDP("912827LK Govt","ID_CUSIP")</f>
        <v>912827LK6</v>
      </c>
      <c r="T1042" t="str">
        <f>_xll.BDP("912827LK Govt","IDX_RATIO")</f>
        <v>#N/A Field Not Applicable</v>
      </c>
    </row>
    <row r="1043" spans="1:20" x14ac:dyDescent="0.25">
      <c r="A1043" t="s">
        <v>14</v>
      </c>
      <c r="B1043" t="str">
        <f>_xll.BDP("912827LS Govt","TICKER")</f>
        <v>T</v>
      </c>
      <c r="C1043">
        <f>_xll.BDP("912827LS Govt","CPN")</f>
        <v>13.375</v>
      </c>
      <c r="D1043" t="str">
        <f>_xll.BDP("912827LS Govt","YLD_YTM_BID")</f>
        <v>#N/A N/A</v>
      </c>
      <c r="E1043" t="str">
        <f>_xll.BDP("912827LS Govt","MATURITY")</f>
        <v>3/31/1985</v>
      </c>
      <c r="F1043" t="str">
        <f>_xll.BDP("912827LS Govt","MTY_TYP")</f>
        <v>NORMAL</v>
      </c>
      <c r="G1043" t="str">
        <f>_xll.BDP("912827LS Govt","CRNCY")</f>
        <v>USD</v>
      </c>
      <c r="H1043" t="str">
        <f>_xll.BDP("912827LS Govt","COUNTRY_FULL_NAME")</f>
        <v>UNITED STATES</v>
      </c>
      <c r="I1043" t="str">
        <f>_xll.BDP("912827LS Govt","FIRST_CPN_DT")</f>
        <v>9/30/1981</v>
      </c>
      <c r="J1043" t="str">
        <f>_xll.BDP("912827LS Govt","COUPON_FREQUENCY_DESCRIPTION")</f>
        <v>S/A</v>
      </c>
      <c r="K1043" t="str">
        <f>_xll.BDP("912827LS Govt","CPN_TYP")</f>
        <v>FIXED</v>
      </c>
      <c r="L1043" t="str">
        <f>_xll.BDP("912827LS Govt","ID_ISIN")</f>
        <v>US912827LS93</v>
      </c>
      <c r="N1043">
        <v>0</v>
      </c>
      <c r="O1043" t="str">
        <f>_xll.BDP("912827LS Govt","ISSUE_DT")</f>
        <v>3/31/1981</v>
      </c>
      <c r="P1043" t="str">
        <f>_xll.BDP("912827LS Govt","SECURITY_NAME")</f>
        <v>T 13 3/8 03/31/85</v>
      </c>
      <c r="Q1043" t="str">
        <f>_xll.BDP("912827LS Govt","DAY_CNT_DES")</f>
        <v>ACT/ACT</v>
      </c>
      <c r="R1043">
        <v>100</v>
      </c>
      <c r="S1043" t="str">
        <f>_xll.BDP("912827LS Govt","ID_CUSIP")</f>
        <v>912827LS9</v>
      </c>
      <c r="T1043" t="str">
        <f>_xll.BDP("912827LS Govt","IDX_RATIO")</f>
        <v>#N/A Field Not Applicable</v>
      </c>
    </row>
    <row r="1044" spans="1:20" x14ac:dyDescent="0.25">
      <c r="A1044" t="s">
        <v>14</v>
      </c>
      <c r="B1044" t="str">
        <f>_xll.BDP("912827M7 Govt","TICKER")</f>
        <v>T</v>
      </c>
      <c r="C1044">
        <f>_xll.BDP("912827M7 Govt","CPN")</f>
        <v>4.375</v>
      </c>
      <c r="D1044" t="str">
        <f>_xll.BDP("912827M7 Govt","YLD_YTM_BID")</f>
        <v>#N/A N/A</v>
      </c>
      <c r="E1044" t="str">
        <f>_xll.BDP("912827M7 Govt","MATURITY")</f>
        <v>11/15/1996</v>
      </c>
      <c r="F1044" t="str">
        <f>_xll.BDP("912827M7 Govt","MTY_TYP")</f>
        <v>NORMAL</v>
      </c>
      <c r="G1044" t="str">
        <f>_xll.BDP("912827M7 Govt","CRNCY")</f>
        <v>USD</v>
      </c>
      <c r="H1044" t="str">
        <f>_xll.BDP("912827M7 Govt","COUNTRY_FULL_NAME")</f>
        <v>UNITED STATES</v>
      </c>
      <c r="I1044" t="str">
        <f>_xll.BDP("912827M7 Govt","FIRST_CPN_DT")</f>
        <v>5/15/1994</v>
      </c>
      <c r="J1044" t="str">
        <f>_xll.BDP("912827M7 Govt","COUPON_FREQUENCY_DESCRIPTION")</f>
        <v>S/A</v>
      </c>
      <c r="K1044" t="str">
        <f>_xll.BDP("912827M7 Govt","CPN_TYP")</f>
        <v>FIXED</v>
      </c>
      <c r="L1044" t="str">
        <f>_xll.BDP("912827M7 Govt","ID_ISIN")</f>
        <v>US912827M740</v>
      </c>
      <c r="N1044">
        <v>0</v>
      </c>
      <c r="O1044" t="str">
        <f>_xll.BDP("912827M7 Govt","ISSUE_DT")</f>
        <v>11/15/1993</v>
      </c>
      <c r="P1044" t="str">
        <f>_xll.BDP("912827M7 Govt","SECURITY_NAME")</f>
        <v>T 4 3/8 11/15/96</v>
      </c>
      <c r="Q1044" t="str">
        <f>_xll.BDP("912827M7 Govt","DAY_CNT_DES")</f>
        <v>ACT/ACT</v>
      </c>
      <c r="R1044">
        <v>100</v>
      </c>
      <c r="S1044" t="str">
        <f>_xll.BDP("912827M7 Govt","ID_CUSIP")</f>
        <v>912827M74</v>
      </c>
      <c r="T1044" t="str">
        <f>_xll.BDP("912827M7 Govt","IDX_RATIO")</f>
        <v>#N/A Field Not Applicable</v>
      </c>
    </row>
    <row r="1045" spans="1:20" x14ac:dyDescent="0.25">
      <c r="A1045" t="s">
        <v>14</v>
      </c>
      <c r="B1045" t="str">
        <f>_xll.BDP("912827MM Govt","TICKER")</f>
        <v>T</v>
      </c>
      <c r="C1045">
        <f>_xll.BDP("912827MM Govt","CPN")</f>
        <v>14.375</v>
      </c>
      <c r="D1045" t="str">
        <f>_xll.BDP("912827MM Govt","YLD_YTM_BID")</f>
        <v>#N/A N/A</v>
      </c>
      <c r="E1045" t="str">
        <f>_xll.BDP("912827MM Govt","MATURITY")</f>
        <v>11/15/1984</v>
      </c>
      <c r="F1045" t="str">
        <f>_xll.BDP("912827MM Govt","MTY_TYP")</f>
        <v>NORMAL</v>
      </c>
      <c r="G1045" t="str">
        <f>_xll.BDP("912827MM Govt","CRNCY")</f>
        <v>USD</v>
      </c>
      <c r="H1045" t="str">
        <f>_xll.BDP("912827MM Govt","COUNTRY_FULL_NAME")</f>
        <v>UNITED STATES</v>
      </c>
      <c r="I1045" t="str">
        <f>_xll.BDP("912827MM Govt","FIRST_CPN_DT")</f>
        <v>5/15/1982</v>
      </c>
      <c r="J1045" t="str">
        <f>_xll.BDP("912827MM Govt","COUPON_FREQUENCY_DESCRIPTION")</f>
        <v>S/A</v>
      </c>
      <c r="K1045" t="str">
        <f>_xll.BDP("912827MM Govt","CPN_TYP")</f>
        <v>FIXED</v>
      </c>
      <c r="L1045" t="str">
        <f>_xll.BDP("912827MM Govt","ID_ISIN")</f>
        <v>US912827MM15</v>
      </c>
      <c r="N1045">
        <v>0</v>
      </c>
      <c r="O1045" t="str">
        <f>_xll.BDP("912827MM Govt","ISSUE_DT")</f>
        <v>11/16/1981</v>
      </c>
      <c r="P1045" t="str">
        <f>_xll.BDP("912827MM Govt","SECURITY_NAME")</f>
        <v>T 14 3/8 11/15/84</v>
      </c>
      <c r="Q1045" t="str">
        <f>_xll.BDP("912827MM Govt","DAY_CNT_DES")</f>
        <v>ACT/ACT</v>
      </c>
      <c r="R1045">
        <v>100</v>
      </c>
      <c r="S1045" t="str">
        <f>_xll.BDP("912827MM Govt","ID_CUSIP")</f>
        <v>912827MM1</v>
      </c>
      <c r="T1045" t="str">
        <f>_xll.BDP("912827MM Govt","IDX_RATIO")</f>
        <v>#N/A Field Not Applicable</v>
      </c>
    </row>
    <row r="1046" spans="1:20" x14ac:dyDescent="0.25">
      <c r="A1046" t="s">
        <v>14</v>
      </c>
      <c r="B1046" t="str">
        <f>_xll.BDP("912827MS Govt","TICKER")</f>
        <v>T</v>
      </c>
      <c r="C1046">
        <f>_xll.BDP("912827MS Govt","CPN")</f>
        <v>14.125</v>
      </c>
      <c r="D1046" t="str">
        <f>_xll.BDP("912827MS Govt","YLD_YTM_BID")</f>
        <v>#N/A N/A</v>
      </c>
      <c r="E1046" t="str">
        <f>_xll.BDP("912827MS Govt","MATURITY")</f>
        <v>12/31/1985</v>
      </c>
      <c r="F1046" t="str">
        <f>_xll.BDP("912827MS Govt","MTY_TYP")</f>
        <v>NORMAL</v>
      </c>
      <c r="G1046" t="str">
        <f>_xll.BDP("912827MS Govt","CRNCY")</f>
        <v>USD</v>
      </c>
      <c r="H1046" t="str">
        <f>_xll.BDP("912827MS Govt","COUNTRY_FULL_NAME")</f>
        <v>UNITED STATES</v>
      </c>
      <c r="I1046" t="str">
        <f>_xll.BDP("912827MS Govt","FIRST_CPN_DT")</f>
        <v>6/30/1982</v>
      </c>
      <c r="J1046" t="str">
        <f>_xll.BDP("912827MS Govt","COUPON_FREQUENCY_DESCRIPTION")</f>
        <v>S/A</v>
      </c>
      <c r="K1046" t="str">
        <f>_xll.BDP("912827MS Govt","CPN_TYP")</f>
        <v>FIXED</v>
      </c>
      <c r="L1046" t="str">
        <f>_xll.BDP("912827MS Govt","ID_ISIN")</f>
        <v>US912827MS84</v>
      </c>
      <c r="N1046">
        <v>0</v>
      </c>
      <c r="O1046" t="str">
        <f>_xll.BDP("912827MS Govt","ISSUE_DT")</f>
        <v>12/31/1981</v>
      </c>
      <c r="P1046" t="str">
        <f>_xll.BDP("912827MS Govt","SECURITY_NAME")</f>
        <v>T 14 1/8 12/31/85</v>
      </c>
      <c r="Q1046" t="str">
        <f>_xll.BDP("912827MS Govt","DAY_CNT_DES")</f>
        <v>ACT/ACT</v>
      </c>
      <c r="R1046">
        <v>100</v>
      </c>
      <c r="S1046" t="str">
        <f>_xll.BDP("912827MS Govt","ID_CUSIP")</f>
        <v>912827MS8</v>
      </c>
      <c r="T1046" t="str">
        <f>_xll.BDP("912827MS Govt","IDX_RATIO")</f>
        <v>#N/A Field Not Applicable</v>
      </c>
    </row>
    <row r="1047" spans="1:20" x14ac:dyDescent="0.25">
      <c r="A1047" t="s">
        <v>14</v>
      </c>
      <c r="B1047" t="str">
        <f>_xll.BDP("912827MW Govt","TICKER")</f>
        <v>T</v>
      </c>
      <c r="C1047">
        <f>_xll.BDP("912827MW Govt","CPN")</f>
        <v>14.625</v>
      </c>
      <c r="D1047" t="str">
        <f>_xll.BDP("912827MW Govt","YLD_YTM_BID")</f>
        <v>#N/A N/A</v>
      </c>
      <c r="E1047" t="str">
        <f>_xll.BDP("912827MW Govt","MATURITY")</f>
        <v>2/15/1992</v>
      </c>
      <c r="F1047" t="str">
        <f>_xll.BDP("912827MW Govt","MTY_TYP")</f>
        <v>NORMAL</v>
      </c>
      <c r="G1047" t="str">
        <f>_xll.BDP("912827MW Govt","CRNCY")</f>
        <v>USD</v>
      </c>
      <c r="H1047" t="str">
        <f>_xll.BDP("912827MW Govt","COUNTRY_FULL_NAME")</f>
        <v>UNITED STATES</v>
      </c>
      <c r="I1047" t="str">
        <f>_xll.BDP("912827MW Govt","FIRST_CPN_DT")</f>
        <v>8/15/1982</v>
      </c>
      <c r="J1047" t="str">
        <f>_xll.BDP("912827MW Govt","COUPON_FREQUENCY_DESCRIPTION")</f>
        <v>S/A</v>
      </c>
      <c r="K1047" t="str">
        <f>_xll.BDP("912827MW Govt","CPN_TYP")</f>
        <v>FIXED</v>
      </c>
      <c r="L1047" t="str">
        <f>_xll.BDP("912827MW Govt","ID_ISIN")</f>
        <v>US912827MW96</v>
      </c>
      <c r="N1047">
        <v>0</v>
      </c>
      <c r="O1047" t="str">
        <f>_xll.BDP("912827MW Govt","ISSUE_DT")</f>
        <v>2/16/1982</v>
      </c>
      <c r="P1047" t="str">
        <f>_xll.BDP("912827MW Govt","SECURITY_NAME")</f>
        <v>T 14 5/8 02/15/92</v>
      </c>
      <c r="Q1047" t="str">
        <f>_xll.BDP("912827MW Govt","DAY_CNT_DES")</f>
        <v>ACT/ACT</v>
      </c>
      <c r="R1047">
        <v>100</v>
      </c>
      <c r="S1047" t="str">
        <f>_xll.BDP("912827MW Govt","ID_CUSIP")</f>
        <v>912827MW9</v>
      </c>
      <c r="T1047" t="str">
        <f>_xll.BDP("912827MW Govt","IDX_RATIO")</f>
        <v>#N/A Field Not Applicable</v>
      </c>
    </row>
    <row r="1048" spans="1:20" x14ac:dyDescent="0.25">
      <c r="A1048" t="s">
        <v>14</v>
      </c>
      <c r="B1048" t="str">
        <f>_xll.BDP("912827N4 Govt","TICKER")</f>
        <v>T</v>
      </c>
      <c r="C1048">
        <f>_xll.BDP("912827N4 Govt","CPN")</f>
        <v>5.125</v>
      </c>
      <c r="D1048" t="str">
        <f>_xll.BDP("912827N4 Govt","YLD_YTM_BID")</f>
        <v>#N/A N/A</v>
      </c>
      <c r="E1048" t="str">
        <f>_xll.BDP("912827N4 Govt","MATURITY")</f>
        <v>12/31/1998</v>
      </c>
      <c r="F1048" t="str">
        <f>_xll.BDP("912827N4 Govt","MTY_TYP")</f>
        <v>NORMAL</v>
      </c>
      <c r="G1048" t="str">
        <f>_xll.BDP("912827N4 Govt","CRNCY")</f>
        <v>USD</v>
      </c>
      <c r="H1048" t="str">
        <f>_xll.BDP("912827N4 Govt","COUNTRY_FULL_NAME")</f>
        <v>UNITED STATES</v>
      </c>
      <c r="I1048" t="str">
        <f>_xll.BDP("912827N4 Govt","FIRST_CPN_DT")</f>
        <v>6/30/1994</v>
      </c>
      <c r="J1048" t="str">
        <f>_xll.BDP("912827N4 Govt","COUPON_FREQUENCY_DESCRIPTION")</f>
        <v>S/A</v>
      </c>
      <c r="K1048" t="str">
        <f>_xll.BDP("912827N4 Govt","CPN_TYP")</f>
        <v>FIXED</v>
      </c>
      <c r="L1048" t="str">
        <f>_xll.BDP("912827N4 Govt","ID_ISIN")</f>
        <v>US912827N409</v>
      </c>
      <c r="M1048">
        <v>12444000000</v>
      </c>
      <c r="N1048">
        <v>0</v>
      </c>
      <c r="O1048" t="str">
        <f>_xll.BDP("912827N4 Govt","ISSUE_DT")</f>
        <v>12/31/1993</v>
      </c>
      <c r="P1048" t="str">
        <f>_xll.BDP("912827N4 Govt","SECURITY_NAME")</f>
        <v>T 5 1/8 12/31/98</v>
      </c>
      <c r="Q1048" t="str">
        <f>_xll.BDP("912827N4 Govt","DAY_CNT_DES")</f>
        <v>ACT/ACT</v>
      </c>
      <c r="R1048">
        <v>100</v>
      </c>
      <c r="S1048" t="str">
        <f>_xll.BDP("912827N4 Govt","ID_CUSIP")</f>
        <v>912827N40</v>
      </c>
      <c r="T1048" t="str">
        <f>_xll.BDP("912827N4 Govt","IDX_RATIO")</f>
        <v>#N/A Field Not Applicable</v>
      </c>
    </row>
    <row r="1049" spans="1:20" x14ac:dyDescent="0.25">
      <c r="A1049" t="s">
        <v>14</v>
      </c>
      <c r="B1049" t="str">
        <f>_xll.BDP("912827NF Govt","TICKER")</f>
        <v>T</v>
      </c>
      <c r="C1049">
        <f>_xll.BDP("912827NF Govt","CPN")</f>
        <v>13.75</v>
      </c>
      <c r="D1049" t="str">
        <f>_xll.BDP("912827NF Govt","YLD_YTM_BID")</f>
        <v>#N/A N/A</v>
      </c>
      <c r="E1049" t="str">
        <f>_xll.BDP("912827NF Govt","MATURITY")</f>
        <v>5/31/1984</v>
      </c>
      <c r="F1049" t="str">
        <f>_xll.BDP("912827NF Govt","MTY_TYP")</f>
        <v>NORMAL</v>
      </c>
      <c r="G1049" t="str">
        <f>_xll.BDP("912827NF Govt","CRNCY")</f>
        <v>USD</v>
      </c>
      <c r="H1049" t="str">
        <f>_xll.BDP("912827NF Govt","COUNTRY_FULL_NAME")</f>
        <v>UNITED STATES</v>
      </c>
      <c r="I1049" t="str">
        <f>_xll.BDP("912827NF Govt","FIRST_CPN_DT")</f>
        <v>11/30/1982</v>
      </c>
      <c r="J1049" t="str">
        <f>_xll.BDP("912827NF Govt","COUPON_FREQUENCY_DESCRIPTION")</f>
        <v>S/A</v>
      </c>
      <c r="K1049" t="str">
        <f>_xll.BDP("912827NF Govt","CPN_TYP")</f>
        <v>FIXED</v>
      </c>
      <c r="L1049" t="str">
        <f>_xll.BDP("912827NF Govt","ID_ISIN")</f>
        <v>US912827NF54</v>
      </c>
      <c r="N1049">
        <v>0</v>
      </c>
      <c r="O1049" t="str">
        <f>_xll.BDP("912827NF Govt","ISSUE_DT")</f>
        <v>6/1/1982</v>
      </c>
      <c r="P1049" t="str">
        <f>_xll.BDP("912827NF Govt","SECURITY_NAME")</f>
        <v>T 13 3/4 05/31/84</v>
      </c>
      <c r="Q1049" t="str">
        <f>_xll.BDP("912827NF Govt","DAY_CNT_DES")</f>
        <v>ACT/ACT</v>
      </c>
      <c r="R1049">
        <v>100</v>
      </c>
      <c r="S1049" t="str">
        <f>_xll.BDP("912827NF Govt","ID_CUSIP")</f>
        <v>912827NF5</v>
      </c>
      <c r="T1049" t="str">
        <f>_xll.BDP("912827NF Govt","IDX_RATIO")</f>
        <v>#N/A Field Not Applicable</v>
      </c>
    </row>
    <row r="1050" spans="1:20" x14ac:dyDescent="0.25">
      <c r="A1050" t="s">
        <v>14</v>
      </c>
      <c r="B1050" t="str">
        <f>_xll.BDP("912827NJ Govt","TICKER")</f>
        <v>T</v>
      </c>
      <c r="C1050">
        <f>_xll.BDP("912827NJ Govt","CPN")</f>
        <v>14.875</v>
      </c>
      <c r="D1050" t="str">
        <f>_xll.BDP("912827NJ Govt","YLD_YTM_BID")</f>
        <v>#N/A N/A</v>
      </c>
      <c r="E1050" t="str">
        <f>_xll.BDP("912827NJ Govt","MATURITY")</f>
        <v>6/30/1986</v>
      </c>
      <c r="F1050" t="str">
        <f>_xll.BDP("912827NJ Govt","MTY_TYP")</f>
        <v>NORMAL</v>
      </c>
      <c r="G1050" t="str">
        <f>_xll.BDP("912827NJ Govt","CRNCY")</f>
        <v>USD</v>
      </c>
      <c r="H1050" t="str">
        <f>_xll.BDP("912827NJ Govt","COUNTRY_FULL_NAME")</f>
        <v>UNITED STATES</v>
      </c>
      <c r="I1050" t="str">
        <f>_xll.BDP("912827NJ Govt","FIRST_CPN_DT")</f>
        <v>12/31/1982</v>
      </c>
      <c r="J1050" t="str">
        <f>_xll.BDP("912827NJ Govt","COUPON_FREQUENCY_DESCRIPTION")</f>
        <v>S/A</v>
      </c>
      <c r="K1050" t="str">
        <f>_xll.BDP("912827NJ Govt","CPN_TYP")</f>
        <v>FIXED</v>
      </c>
      <c r="L1050" t="str">
        <f>_xll.BDP("912827NJ Govt","ID_ISIN")</f>
        <v>US912827NJ76</v>
      </c>
      <c r="N1050">
        <v>0</v>
      </c>
      <c r="O1050" t="str">
        <f>_xll.BDP("912827NJ Govt","ISSUE_DT")</f>
        <v>7/6/1982</v>
      </c>
      <c r="P1050" t="str">
        <f>_xll.BDP("912827NJ Govt","SECURITY_NAME")</f>
        <v>T 14 7/8 06/30/86</v>
      </c>
      <c r="Q1050" t="str">
        <f>_xll.BDP("912827NJ Govt","DAY_CNT_DES")</f>
        <v>ACT/ACT</v>
      </c>
      <c r="R1050">
        <v>100</v>
      </c>
      <c r="S1050" t="str">
        <f>_xll.BDP("912827NJ Govt","ID_CUSIP")</f>
        <v>912827NJ7</v>
      </c>
      <c r="T1050" t="str">
        <f>_xll.BDP("912827NJ Govt","IDX_RATIO")</f>
        <v>#N/A Field Not Applicable</v>
      </c>
    </row>
    <row r="1051" spans="1:20" x14ac:dyDescent="0.25">
      <c r="A1051" t="s">
        <v>14</v>
      </c>
      <c r="B1051" t="str">
        <f>_xll.BDP("912827NN Govt","TICKER")</f>
        <v>T</v>
      </c>
      <c r="C1051">
        <f>_xll.BDP("912827NN Govt","CPN")</f>
        <v>11.625</v>
      </c>
      <c r="D1051" t="str">
        <f>_xll.BDP("912827NN Govt","YLD_YTM_BID")</f>
        <v>#N/A N/A</v>
      </c>
      <c r="E1051" t="str">
        <f>_xll.BDP("912827NN Govt","MATURITY")</f>
        <v>8/31/1984</v>
      </c>
      <c r="F1051" t="str">
        <f>_xll.BDP("912827NN Govt","MTY_TYP")</f>
        <v>NORMAL</v>
      </c>
      <c r="G1051" t="str">
        <f>_xll.BDP("912827NN Govt","CRNCY")</f>
        <v>USD</v>
      </c>
      <c r="H1051" t="str">
        <f>_xll.BDP("912827NN Govt","COUNTRY_FULL_NAME")</f>
        <v>UNITED STATES</v>
      </c>
      <c r="I1051" t="str">
        <f>_xll.BDP("912827NN Govt","FIRST_CPN_DT")</f>
        <v>2/28/1983</v>
      </c>
      <c r="J1051" t="str">
        <f>_xll.BDP("912827NN Govt","COUPON_FREQUENCY_DESCRIPTION")</f>
        <v>S/A</v>
      </c>
      <c r="K1051" t="str">
        <f>_xll.BDP("912827NN Govt","CPN_TYP")</f>
        <v>FIXED</v>
      </c>
      <c r="L1051" t="str">
        <f>_xll.BDP("912827NN Govt","ID_ISIN")</f>
        <v>US912827NN88</v>
      </c>
      <c r="N1051">
        <v>0</v>
      </c>
      <c r="O1051" t="str">
        <f>_xll.BDP("912827NN Govt","ISSUE_DT")</f>
        <v>8/31/1982</v>
      </c>
      <c r="P1051" t="str">
        <f>_xll.BDP("912827NN Govt","SECURITY_NAME")</f>
        <v>T 11 5/8 08/31/84</v>
      </c>
      <c r="Q1051" t="str">
        <f>_xll.BDP("912827NN Govt","DAY_CNT_DES")</f>
        <v>ACT/ACT</v>
      </c>
      <c r="R1051">
        <v>100</v>
      </c>
      <c r="S1051" t="str">
        <f>_xll.BDP("912827NN Govt","ID_CUSIP")</f>
        <v>912827NN8</v>
      </c>
      <c r="T1051" t="str">
        <f>_xll.BDP("912827NN Govt","IDX_RATIO")</f>
        <v>#N/A Field Not Applicable</v>
      </c>
    </row>
    <row r="1052" spans="1:20" x14ac:dyDescent="0.25">
      <c r="A1052" t="s">
        <v>14</v>
      </c>
      <c r="B1052" t="str">
        <f>_xll.BDP("912827NR Govt","TICKER")</f>
        <v>T</v>
      </c>
      <c r="C1052">
        <f>_xll.BDP("912827NR Govt","CPN")</f>
        <v>12.25</v>
      </c>
      <c r="D1052" t="str">
        <f>_xll.BDP("912827NR Govt","YLD_YTM_BID")</f>
        <v>#N/A N/A</v>
      </c>
      <c r="E1052" t="str">
        <f>_xll.BDP("912827NR Govt","MATURITY")</f>
        <v>9/30/1986</v>
      </c>
      <c r="F1052" t="str">
        <f>_xll.BDP("912827NR Govt","MTY_TYP")</f>
        <v>NORMAL</v>
      </c>
      <c r="G1052" t="str">
        <f>_xll.BDP("912827NR Govt","CRNCY")</f>
        <v>USD</v>
      </c>
      <c r="H1052" t="str">
        <f>_xll.BDP("912827NR Govt","COUNTRY_FULL_NAME")</f>
        <v>UNITED STATES</v>
      </c>
      <c r="I1052" t="str">
        <f>_xll.BDP("912827NR Govt","FIRST_CPN_DT")</f>
        <v>3/31/1983</v>
      </c>
      <c r="J1052" t="str">
        <f>_xll.BDP("912827NR Govt","COUPON_FREQUENCY_DESCRIPTION")</f>
        <v>S/A</v>
      </c>
      <c r="K1052" t="str">
        <f>_xll.BDP("912827NR Govt","CPN_TYP")</f>
        <v>FIXED</v>
      </c>
      <c r="L1052" t="str">
        <f>_xll.BDP("912827NR Govt","ID_ISIN")</f>
        <v>US912827NR92</v>
      </c>
      <c r="N1052">
        <v>0</v>
      </c>
      <c r="O1052" t="str">
        <f>_xll.BDP("912827NR Govt","ISSUE_DT")</f>
        <v>9/30/1982</v>
      </c>
      <c r="P1052" t="str">
        <f>_xll.BDP("912827NR Govt","SECURITY_NAME")</f>
        <v>T 12 1/4 09/30/86</v>
      </c>
      <c r="Q1052" t="str">
        <f>_xll.BDP("912827NR Govt","DAY_CNT_DES")</f>
        <v>ACT/ACT</v>
      </c>
      <c r="R1052">
        <v>100</v>
      </c>
      <c r="S1052" t="str">
        <f>_xll.BDP("912827NR Govt","ID_CUSIP")</f>
        <v>912827NR9</v>
      </c>
      <c r="T1052" t="str">
        <f>_xll.BDP("912827NR Govt","IDX_RATIO")</f>
        <v>#N/A Field Not Applicable</v>
      </c>
    </row>
    <row r="1053" spans="1:20" x14ac:dyDescent="0.25">
      <c r="A1053" t="s">
        <v>14</v>
      </c>
      <c r="B1053" t="str">
        <f>_xll.BDP("912827NW Govt","TICKER")</f>
        <v>T</v>
      </c>
      <c r="C1053">
        <f>_xll.BDP("912827NW Govt","CPN")</f>
        <v>9.875</v>
      </c>
      <c r="D1053" t="str">
        <f>_xll.BDP("912827NW Govt","YLD_YTM_BID")</f>
        <v>#N/A N/A</v>
      </c>
      <c r="E1053" t="str">
        <f>_xll.BDP("912827NW Govt","MATURITY")</f>
        <v>11/30/1984</v>
      </c>
      <c r="F1053" t="str">
        <f>_xll.BDP("912827NW Govt","MTY_TYP")</f>
        <v>NORMAL</v>
      </c>
      <c r="G1053" t="str">
        <f>_xll.BDP("912827NW Govt","CRNCY")</f>
        <v>USD</v>
      </c>
      <c r="H1053" t="str">
        <f>_xll.BDP("912827NW Govt","COUNTRY_FULL_NAME")</f>
        <v>UNITED STATES</v>
      </c>
      <c r="I1053" t="str">
        <f>_xll.BDP("912827NW Govt","FIRST_CPN_DT")</f>
        <v>5/31/1983</v>
      </c>
      <c r="J1053" t="str">
        <f>_xll.BDP("912827NW Govt","COUPON_FREQUENCY_DESCRIPTION")</f>
        <v>S/A</v>
      </c>
      <c r="K1053" t="str">
        <f>_xll.BDP("912827NW Govt","CPN_TYP")</f>
        <v>FIXED</v>
      </c>
      <c r="L1053" t="str">
        <f>_xll.BDP("912827NW Govt","ID_ISIN")</f>
        <v>US912827NW87</v>
      </c>
      <c r="N1053">
        <v>0</v>
      </c>
      <c r="O1053" t="str">
        <f>_xll.BDP("912827NW Govt","ISSUE_DT")</f>
        <v>11/30/1982</v>
      </c>
      <c r="P1053" t="str">
        <f>_xll.BDP("912827NW Govt","SECURITY_NAME")</f>
        <v>T 9 7/8 11/30/84</v>
      </c>
      <c r="Q1053" t="str">
        <f>_xll.BDP("912827NW Govt","DAY_CNT_DES")</f>
        <v>ACT/ACT</v>
      </c>
      <c r="R1053">
        <v>100</v>
      </c>
      <c r="S1053" t="str">
        <f>_xll.BDP("912827NW Govt","ID_CUSIP")</f>
        <v>912827NW8</v>
      </c>
      <c r="T1053" t="str">
        <f>_xll.BDP("912827NW Govt","IDX_RATIO")</f>
        <v>#N/A Field Not Applicable</v>
      </c>
    </row>
    <row r="1054" spans="1:20" x14ac:dyDescent="0.25">
      <c r="A1054" t="s">
        <v>14</v>
      </c>
      <c r="B1054" t="str">
        <f>_xll.BDP("912827PE Govt","TICKER")</f>
        <v>T</v>
      </c>
      <c r="C1054">
        <f>_xll.BDP("912827PE Govt","CPN")</f>
        <v>9.625</v>
      </c>
      <c r="D1054" t="str">
        <f>_xll.BDP("912827PE Govt","YLD_YTM_BID")</f>
        <v>#N/A N/A</v>
      </c>
      <c r="E1054" t="str">
        <f>_xll.BDP("912827PE Govt","MATURITY")</f>
        <v>2/28/1985</v>
      </c>
      <c r="F1054" t="str">
        <f>_xll.BDP("912827PE Govt","MTY_TYP")</f>
        <v>NORMAL</v>
      </c>
      <c r="G1054" t="str">
        <f>_xll.BDP("912827PE Govt","CRNCY")</f>
        <v>USD</v>
      </c>
      <c r="H1054" t="str">
        <f>_xll.BDP("912827PE Govt","COUNTRY_FULL_NAME")</f>
        <v>UNITED STATES</v>
      </c>
      <c r="I1054" t="str">
        <f>_xll.BDP("912827PE Govt","FIRST_CPN_DT")</f>
        <v>8/31/1983</v>
      </c>
      <c r="J1054" t="str">
        <f>_xll.BDP("912827PE Govt","COUPON_FREQUENCY_DESCRIPTION")</f>
        <v>S/A</v>
      </c>
      <c r="K1054" t="str">
        <f>_xll.BDP("912827PE Govt","CPN_TYP")</f>
        <v>FIXED</v>
      </c>
      <c r="L1054" t="str">
        <f>_xll.BDP("912827PE Govt","ID_ISIN")</f>
        <v>US912827PE61</v>
      </c>
      <c r="N1054">
        <v>0</v>
      </c>
      <c r="O1054" t="str">
        <f>_xll.BDP("912827PE Govt","ISSUE_DT")</f>
        <v>2/28/1983</v>
      </c>
      <c r="P1054" t="str">
        <f>_xll.BDP("912827PE Govt","SECURITY_NAME")</f>
        <v>T 9 5/8 02/28/85</v>
      </c>
      <c r="Q1054" t="str">
        <f>_xll.BDP("912827PE Govt","DAY_CNT_DES")</f>
        <v>ACT/ACT</v>
      </c>
      <c r="R1054">
        <v>100</v>
      </c>
      <c r="S1054" t="str">
        <f>_xll.BDP("912827PE Govt","ID_CUSIP")</f>
        <v>912827PE6</v>
      </c>
      <c r="T1054" t="str">
        <f>_xll.BDP("912827PE Govt","IDX_RATIO")</f>
        <v>#N/A Field Not Applicable</v>
      </c>
    </row>
    <row r="1055" spans="1:20" x14ac:dyDescent="0.25">
      <c r="A1055" t="s">
        <v>14</v>
      </c>
      <c r="B1055" t="str">
        <f>_xll.BDP("912827QC Govt","TICKER")</f>
        <v>T</v>
      </c>
      <c r="C1055">
        <f>_xll.BDP("912827QC Govt","CPN")</f>
        <v>11</v>
      </c>
      <c r="D1055" t="str">
        <f>_xll.BDP("912827QC Govt","YLD_YTM_BID")</f>
        <v>#N/A N/A</v>
      </c>
      <c r="E1055" t="str">
        <f>_xll.BDP("912827QC Govt","MATURITY")</f>
        <v>11/15/1986</v>
      </c>
      <c r="F1055" t="str">
        <f>_xll.BDP("912827QC Govt","MTY_TYP")</f>
        <v>NORMAL</v>
      </c>
      <c r="G1055" t="str">
        <f>_xll.BDP("912827QC Govt","CRNCY")</f>
        <v>USD</v>
      </c>
      <c r="H1055" t="str">
        <f>_xll.BDP("912827QC Govt","COUNTRY_FULL_NAME")</f>
        <v>UNITED STATES</v>
      </c>
      <c r="I1055" t="str">
        <f>_xll.BDP("912827QC Govt","FIRST_CPN_DT")</f>
        <v>5/15/1984</v>
      </c>
      <c r="J1055" t="str">
        <f>_xll.BDP("912827QC Govt","COUPON_FREQUENCY_DESCRIPTION")</f>
        <v>S/A</v>
      </c>
      <c r="K1055" t="str">
        <f>_xll.BDP("912827QC Govt","CPN_TYP")</f>
        <v>FIXED</v>
      </c>
      <c r="L1055" t="str">
        <f>_xll.BDP("912827QC Govt","ID_ISIN")</f>
        <v>US912827QC96</v>
      </c>
      <c r="N1055">
        <v>0</v>
      </c>
      <c r="O1055" t="str">
        <f>_xll.BDP("912827QC Govt","ISSUE_DT")</f>
        <v>11/15/1983</v>
      </c>
      <c r="P1055" t="str">
        <f>_xll.BDP("912827QC Govt","SECURITY_NAME")</f>
        <v>T 11 11/15/86</v>
      </c>
      <c r="Q1055" t="str">
        <f>_xll.BDP("912827QC Govt","DAY_CNT_DES")</f>
        <v>ACT/ACT</v>
      </c>
      <c r="R1055">
        <v>100</v>
      </c>
      <c r="S1055" t="str">
        <f>_xll.BDP("912827QC Govt","ID_CUSIP")</f>
        <v>912827QC9</v>
      </c>
      <c r="T1055" t="str">
        <f>_xll.BDP("912827QC Govt","IDX_RATIO")</f>
        <v>#N/A Field Not Applicable</v>
      </c>
    </row>
    <row r="1056" spans="1:20" x14ac:dyDescent="0.25">
      <c r="A1056" t="s">
        <v>14</v>
      </c>
      <c r="B1056" t="str">
        <f>_xll.BDP("912827QD Govt","TICKER")</f>
        <v>T</v>
      </c>
      <c r="C1056">
        <f>_xll.BDP("912827QD Govt","CPN")</f>
        <v>11.75</v>
      </c>
      <c r="D1056" t="str">
        <f>_xll.BDP("912827QD Govt","YLD_YTM_BID")</f>
        <v>#N/A N/A</v>
      </c>
      <c r="E1056" t="str">
        <f>_xll.BDP("912827QD Govt","MATURITY")</f>
        <v>11/15/1993</v>
      </c>
      <c r="F1056" t="str">
        <f>_xll.BDP("912827QD Govt","MTY_TYP")</f>
        <v>NORMAL</v>
      </c>
      <c r="G1056" t="str">
        <f>_xll.BDP("912827QD Govt","CRNCY")</f>
        <v>USD</v>
      </c>
      <c r="H1056" t="str">
        <f>_xll.BDP("912827QD Govt","COUNTRY_FULL_NAME")</f>
        <v>UNITED STATES</v>
      </c>
      <c r="I1056" t="str">
        <f>_xll.BDP("912827QD Govt","FIRST_CPN_DT")</f>
        <v>5/15/1984</v>
      </c>
      <c r="J1056" t="str">
        <f>_xll.BDP("912827QD Govt","COUPON_FREQUENCY_DESCRIPTION")</f>
        <v>S/A</v>
      </c>
      <c r="K1056" t="str">
        <f>_xll.BDP("912827QD Govt","CPN_TYP")</f>
        <v>FIXED</v>
      </c>
      <c r="L1056" t="str">
        <f>_xll.BDP("912827QD Govt","ID_ISIN")</f>
        <v>US912827QD79</v>
      </c>
      <c r="N1056">
        <v>0</v>
      </c>
      <c r="O1056" t="str">
        <f>_xll.BDP("912827QD Govt","ISSUE_DT")</f>
        <v>11/15/1983</v>
      </c>
      <c r="P1056" t="str">
        <f>_xll.BDP("912827QD Govt","SECURITY_NAME")</f>
        <v>T 11 3/4 11/15/93</v>
      </c>
      <c r="Q1056" t="str">
        <f>_xll.BDP("912827QD Govt","DAY_CNT_DES")</f>
        <v>ACT/ACT</v>
      </c>
      <c r="R1056">
        <v>100</v>
      </c>
      <c r="S1056" t="str">
        <f>_xll.BDP("912827QD Govt","ID_CUSIP")</f>
        <v>912827QD7</v>
      </c>
      <c r="T1056" t="str">
        <f>_xll.BDP("912827QD Govt","IDX_RATIO")</f>
        <v>#N/A Field Not Applicable</v>
      </c>
    </row>
    <row r="1057" spans="1:20" x14ac:dyDescent="0.25">
      <c r="A1057" t="s">
        <v>14</v>
      </c>
      <c r="B1057" t="str">
        <f>_xll.BDP("912827QH Govt","TICKER")</f>
        <v>T</v>
      </c>
      <c r="C1057">
        <f>_xll.BDP("912827QH Govt","CPN")</f>
        <v>11.25</v>
      </c>
      <c r="D1057" t="str">
        <f>_xll.BDP("912827QH Govt","YLD_YTM_BID")</f>
        <v>#N/A N/A</v>
      </c>
      <c r="E1057" t="str">
        <f>_xll.BDP("912827QH Govt","MATURITY")</f>
        <v>12/31/1987</v>
      </c>
      <c r="F1057" t="str">
        <f>_xll.BDP("912827QH Govt","MTY_TYP")</f>
        <v>NORMAL</v>
      </c>
      <c r="G1057" t="str">
        <f>_xll.BDP("912827QH Govt","CRNCY")</f>
        <v>USD</v>
      </c>
      <c r="H1057" t="str">
        <f>_xll.BDP("912827QH Govt","COUNTRY_FULL_NAME")</f>
        <v>UNITED STATES</v>
      </c>
      <c r="I1057" t="str">
        <f>_xll.BDP("912827QH Govt","FIRST_CPN_DT")</f>
        <v>6/30/1984</v>
      </c>
      <c r="J1057" t="str">
        <f>_xll.BDP("912827QH Govt","COUPON_FREQUENCY_DESCRIPTION")</f>
        <v>S/A</v>
      </c>
      <c r="K1057" t="str">
        <f>_xll.BDP("912827QH Govt","CPN_TYP")</f>
        <v>FIXED</v>
      </c>
      <c r="L1057" t="str">
        <f>_xll.BDP("912827QH Govt","ID_ISIN")</f>
        <v>US912827QH83</v>
      </c>
      <c r="N1057">
        <v>0</v>
      </c>
      <c r="O1057" t="str">
        <f>_xll.BDP("912827QH Govt","ISSUE_DT")</f>
        <v>1/3/1984</v>
      </c>
      <c r="P1057" t="str">
        <f>_xll.BDP("912827QH Govt","SECURITY_NAME")</f>
        <v>T 11 1/4 12/31/87</v>
      </c>
      <c r="Q1057" t="str">
        <f>_xll.BDP("912827QH Govt","DAY_CNT_DES")</f>
        <v>ACT/ACT</v>
      </c>
      <c r="R1057">
        <v>100</v>
      </c>
      <c r="S1057" t="str">
        <f>_xll.BDP("912827QH Govt","ID_CUSIP")</f>
        <v>912827QH8</v>
      </c>
      <c r="T1057" t="str">
        <f>_xll.BDP("912827QH Govt","IDX_RATIO")</f>
        <v>#N/A Field Not Applicable</v>
      </c>
    </row>
    <row r="1058" spans="1:20" x14ac:dyDescent="0.25">
      <c r="A1058" t="s">
        <v>14</v>
      </c>
      <c r="B1058" t="str">
        <f>_xll.BDP("912827QM Govt","TICKER")</f>
        <v>T</v>
      </c>
      <c r="C1058">
        <f>_xll.BDP("912827QM Govt","CPN")</f>
        <v>10.875</v>
      </c>
      <c r="D1058" t="str">
        <f>_xll.BDP("912827QM Govt","YLD_YTM_BID")</f>
        <v>#N/A N/A</v>
      </c>
      <c r="E1058" t="str">
        <f>_xll.BDP("912827QM Govt","MATURITY")</f>
        <v>2/28/1986</v>
      </c>
      <c r="F1058" t="str">
        <f>_xll.BDP("912827QM Govt","MTY_TYP")</f>
        <v>NORMAL</v>
      </c>
      <c r="G1058" t="str">
        <f>_xll.BDP("912827QM Govt","CRNCY")</f>
        <v>USD</v>
      </c>
      <c r="H1058" t="str">
        <f>_xll.BDP("912827QM Govt","COUNTRY_FULL_NAME")</f>
        <v>UNITED STATES</v>
      </c>
      <c r="I1058" t="str">
        <f>_xll.BDP("912827QM Govt","FIRST_CPN_DT")</f>
        <v>8/31/1984</v>
      </c>
      <c r="J1058" t="str">
        <f>_xll.BDP("912827QM Govt","COUPON_FREQUENCY_DESCRIPTION")</f>
        <v>S/A</v>
      </c>
      <c r="K1058" t="str">
        <f>_xll.BDP("912827QM Govt","CPN_TYP")</f>
        <v>FIXED</v>
      </c>
      <c r="L1058" t="str">
        <f>_xll.BDP("912827QM Govt","ID_ISIN")</f>
        <v>US912827QM78</v>
      </c>
      <c r="N1058">
        <v>0</v>
      </c>
      <c r="O1058" t="str">
        <f>_xll.BDP("912827QM Govt","ISSUE_DT")</f>
        <v>2/29/1984</v>
      </c>
      <c r="P1058" t="str">
        <f>_xll.BDP("912827QM Govt","SECURITY_NAME")</f>
        <v>T 10 7/8 02/28/86</v>
      </c>
      <c r="Q1058" t="str">
        <f>_xll.BDP("912827QM Govt","DAY_CNT_DES")</f>
        <v>ACT/ACT</v>
      </c>
      <c r="R1058">
        <v>100</v>
      </c>
      <c r="S1058" t="str">
        <f>_xll.BDP("912827QM Govt","ID_CUSIP")</f>
        <v>912827QM7</v>
      </c>
      <c r="T1058" t="str">
        <f>_xll.BDP("912827QM Govt","IDX_RATIO")</f>
        <v>#N/A Field Not Applicable</v>
      </c>
    </row>
    <row r="1059" spans="1:20" x14ac:dyDescent="0.25">
      <c r="A1059" t="s">
        <v>14</v>
      </c>
      <c r="B1059" t="str">
        <f>_xll.BDP("912827QT Govt","TICKER")</f>
        <v>T</v>
      </c>
      <c r="C1059">
        <f>_xll.BDP("912827QT Govt","CPN")</f>
        <v>12.5</v>
      </c>
      <c r="D1059" t="str">
        <f>_xll.BDP("912827QT Govt","YLD_YTM_BID")</f>
        <v>#N/A N/A</v>
      </c>
      <c r="E1059" t="str">
        <f>_xll.BDP("912827QT Govt","MATURITY")</f>
        <v>5/15/1987</v>
      </c>
      <c r="F1059" t="str">
        <f>_xll.BDP("912827QT Govt","MTY_TYP")</f>
        <v>NORMAL</v>
      </c>
      <c r="G1059" t="str">
        <f>_xll.BDP("912827QT Govt","CRNCY")</f>
        <v>USD</v>
      </c>
      <c r="H1059" t="str">
        <f>_xll.BDP("912827QT Govt","COUNTRY_FULL_NAME")</f>
        <v>UNITED STATES</v>
      </c>
      <c r="I1059" t="str">
        <f>_xll.BDP("912827QT Govt","FIRST_CPN_DT")</f>
        <v>11/15/1984</v>
      </c>
      <c r="J1059" t="str">
        <f>_xll.BDP("912827QT Govt","COUPON_FREQUENCY_DESCRIPTION")</f>
        <v>S/A</v>
      </c>
      <c r="K1059" t="str">
        <f>_xll.BDP("912827QT Govt","CPN_TYP")</f>
        <v>FIXED</v>
      </c>
      <c r="L1059" t="str">
        <f>_xll.BDP("912827QT Govt","ID_ISIN")</f>
        <v>US912827QT22</v>
      </c>
      <c r="N1059">
        <v>0</v>
      </c>
      <c r="O1059" t="str">
        <f>_xll.BDP("912827QT Govt","ISSUE_DT")</f>
        <v>5/15/1984</v>
      </c>
      <c r="P1059" t="str">
        <f>_xll.BDP("912827QT Govt","SECURITY_NAME")</f>
        <v>T 12 1/2 05/15/87</v>
      </c>
      <c r="Q1059" t="str">
        <f>_xll.BDP("912827QT Govt","DAY_CNT_DES")</f>
        <v>ACT/ACT</v>
      </c>
      <c r="R1059">
        <v>100</v>
      </c>
      <c r="S1059" t="str">
        <f>_xll.BDP("912827QT Govt","ID_CUSIP")</f>
        <v>912827QT2</v>
      </c>
      <c r="T1059" t="str">
        <f>_xll.BDP("912827QT Govt","IDX_RATIO")</f>
        <v>#N/A Field Not Applicable</v>
      </c>
    </row>
    <row r="1060" spans="1:20" x14ac:dyDescent="0.25">
      <c r="A1060" t="s">
        <v>14</v>
      </c>
      <c r="B1060" t="str">
        <f>_xll.BDP("912827R3 Govt","TICKER")</f>
        <v>T</v>
      </c>
      <c r="C1060">
        <f>_xll.BDP("912827R3 Govt","CPN")</f>
        <v>6.5</v>
      </c>
      <c r="D1060" t="str">
        <f>_xll.BDP("912827R3 Govt","YLD_YTM_BID")</f>
        <v>#N/A N/A</v>
      </c>
      <c r="E1060" t="str">
        <f>_xll.BDP("912827R3 Govt","MATURITY")</f>
        <v>9/30/1996</v>
      </c>
      <c r="F1060" t="str">
        <f>_xll.BDP("912827R3 Govt","MTY_TYP")</f>
        <v>NORMAL</v>
      </c>
      <c r="G1060" t="str">
        <f>_xll.BDP("912827R3 Govt","CRNCY")</f>
        <v>USD</v>
      </c>
      <c r="H1060" t="str">
        <f>_xll.BDP("912827R3 Govt","COUNTRY_FULL_NAME")</f>
        <v>UNITED STATES</v>
      </c>
      <c r="I1060" t="str">
        <f>_xll.BDP("912827R3 Govt","FIRST_CPN_DT")</f>
        <v>3/31/1995</v>
      </c>
      <c r="J1060" t="str">
        <f>_xll.BDP("912827R3 Govt","COUPON_FREQUENCY_DESCRIPTION")</f>
        <v>S/A</v>
      </c>
      <c r="K1060" t="str">
        <f>_xll.BDP("912827R3 Govt","CPN_TYP")</f>
        <v>FIXED</v>
      </c>
      <c r="L1060" t="str">
        <f>_xll.BDP("912827R3 Govt","ID_ISIN")</f>
        <v>US912827R384</v>
      </c>
      <c r="N1060">
        <v>0</v>
      </c>
      <c r="O1060" t="str">
        <f>_xll.BDP("912827R3 Govt","ISSUE_DT")</f>
        <v>9/30/1994</v>
      </c>
      <c r="P1060" t="str">
        <f>_xll.BDP("912827R3 Govt","SECURITY_NAME")</f>
        <v>T 6 1/2 09/30/96</v>
      </c>
      <c r="Q1060" t="str">
        <f>_xll.BDP("912827R3 Govt","DAY_CNT_DES")</f>
        <v>ACT/ACT</v>
      </c>
      <c r="R1060">
        <v>100</v>
      </c>
      <c r="S1060" t="str">
        <f>_xll.BDP("912827R3 Govt","ID_CUSIP")</f>
        <v>912827R38</v>
      </c>
      <c r="T1060" t="str">
        <f>_xll.BDP("912827R3 Govt","IDX_RATIO")</f>
        <v>#N/A Field Not Applicable</v>
      </c>
    </row>
    <row r="1061" spans="1:20" x14ac:dyDescent="0.25">
      <c r="A1061" t="s">
        <v>14</v>
      </c>
      <c r="B1061" t="str">
        <f>_xll.BDP("912827RA Govt","TICKER")</f>
        <v>T</v>
      </c>
      <c r="C1061">
        <f>_xll.BDP("912827RA Govt","CPN")</f>
        <v>12.625</v>
      </c>
      <c r="D1061" t="str">
        <f>_xll.BDP("912827RA Govt","YLD_YTM_BID")</f>
        <v>#N/A N/A</v>
      </c>
      <c r="E1061" t="str">
        <f>_xll.BDP("912827RA Govt","MATURITY")</f>
        <v>7/31/1986</v>
      </c>
      <c r="F1061" t="str">
        <f>_xll.BDP("912827RA Govt","MTY_TYP")</f>
        <v>NORMAL</v>
      </c>
      <c r="G1061" t="str">
        <f>_xll.BDP("912827RA Govt","CRNCY")</f>
        <v>USD</v>
      </c>
      <c r="H1061" t="str">
        <f>_xll.BDP("912827RA Govt","COUNTRY_FULL_NAME")</f>
        <v>UNITED STATES</v>
      </c>
      <c r="I1061" t="str">
        <f>_xll.BDP("912827RA Govt","FIRST_CPN_DT")</f>
        <v>1/31/1985</v>
      </c>
      <c r="J1061" t="str">
        <f>_xll.BDP("912827RA Govt","COUPON_FREQUENCY_DESCRIPTION")</f>
        <v>S/A</v>
      </c>
      <c r="K1061" t="str">
        <f>_xll.BDP("912827RA Govt","CPN_TYP")</f>
        <v>FIXED</v>
      </c>
      <c r="L1061" t="str">
        <f>_xll.BDP("912827RA Govt","ID_ISIN")</f>
        <v>US912827RA22</v>
      </c>
      <c r="N1061">
        <v>0</v>
      </c>
      <c r="O1061" t="str">
        <f>_xll.BDP("912827RA Govt","ISSUE_DT")</f>
        <v>7/31/1984</v>
      </c>
      <c r="P1061" t="str">
        <f>_xll.BDP("912827RA Govt","SECURITY_NAME")</f>
        <v>T 12 5/8 07/31/86</v>
      </c>
      <c r="Q1061" t="str">
        <f>_xll.BDP("912827RA Govt","DAY_CNT_DES")</f>
        <v>ACT/ACT</v>
      </c>
      <c r="R1061">
        <v>100</v>
      </c>
      <c r="S1061" t="str">
        <f>_xll.BDP("912827RA Govt","ID_CUSIP")</f>
        <v>912827RA2</v>
      </c>
      <c r="T1061" t="str">
        <f>_xll.BDP("912827RA Govt","IDX_RATIO")</f>
        <v>#N/A Field Not Applicable</v>
      </c>
    </row>
    <row r="1062" spans="1:20" x14ac:dyDescent="0.25">
      <c r="A1062" t="s">
        <v>14</v>
      </c>
      <c r="B1062" t="str">
        <f>_xll.BDP("912827RC Govt","TICKER")</f>
        <v>T</v>
      </c>
      <c r="C1062">
        <f>_xll.BDP("912827RC Govt","CPN")</f>
        <v>12.625</v>
      </c>
      <c r="D1062" t="str">
        <f>_xll.BDP("912827RC Govt","YLD_YTM_BID")</f>
        <v>#N/A N/A</v>
      </c>
      <c r="E1062" t="str">
        <f>_xll.BDP("912827RC Govt","MATURITY")</f>
        <v>8/15/1994</v>
      </c>
      <c r="F1062" t="str">
        <f>_xll.BDP("912827RC Govt","MTY_TYP")</f>
        <v>NORMAL</v>
      </c>
      <c r="G1062" t="str">
        <f>_xll.BDP("912827RC Govt","CRNCY")</f>
        <v>USD</v>
      </c>
      <c r="H1062" t="str">
        <f>_xll.BDP("912827RC Govt","COUNTRY_FULL_NAME")</f>
        <v>UNITED STATES</v>
      </c>
      <c r="I1062" t="str">
        <f>_xll.BDP("912827RC Govt","FIRST_CPN_DT")</f>
        <v>2/15/1985</v>
      </c>
      <c r="J1062" t="str">
        <f>_xll.BDP("912827RC Govt","COUPON_FREQUENCY_DESCRIPTION")</f>
        <v>S/A</v>
      </c>
      <c r="K1062" t="str">
        <f>_xll.BDP("912827RC Govt","CPN_TYP")</f>
        <v>FIXED</v>
      </c>
      <c r="L1062" t="str">
        <f>_xll.BDP("912827RC Govt","ID_ISIN")</f>
        <v>US912827RC87</v>
      </c>
      <c r="N1062">
        <v>0</v>
      </c>
      <c r="O1062" t="str">
        <f>_xll.BDP("912827RC Govt","ISSUE_DT")</f>
        <v>8/15/1984</v>
      </c>
      <c r="P1062" t="str">
        <f>_xll.BDP("912827RC Govt","SECURITY_NAME")</f>
        <v>T 12 5/8 08/15/94</v>
      </c>
      <c r="Q1062" t="str">
        <f>_xll.BDP("912827RC Govt","DAY_CNT_DES")</f>
        <v>ACT/ACT</v>
      </c>
      <c r="R1062">
        <v>100</v>
      </c>
      <c r="S1062" t="str">
        <f>_xll.BDP("912827RC Govt","ID_CUSIP")</f>
        <v>912827RC8</v>
      </c>
      <c r="T1062" t="str">
        <f>_xll.BDP("912827RC Govt","IDX_RATIO")</f>
        <v>#N/A Field Not Applicable</v>
      </c>
    </row>
    <row r="1063" spans="1:20" x14ac:dyDescent="0.25">
      <c r="A1063" t="s">
        <v>14</v>
      </c>
      <c r="B1063" t="str">
        <f>_xll.BDP("912827RE Govt","TICKER")</f>
        <v>T</v>
      </c>
      <c r="C1063">
        <f>_xll.BDP("912827RE Govt","CPN")</f>
        <v>12.75</v>
      </c>
      <c r="D1063" t="str">
        <f>_xll.BDP("912827RE Govt","YLD_YTM_BID")</f>
        <v>#N/A N/A</v>
      </c>
      <c r="E1063" t="str">
        <f>_xll.BDP("912827RE Govt","MATURITY")</f>
        <v>11/15/1989</v>
      </c>
      <c r="F1063" t="str">
        <f>_xll.BDP("912827RE Govt","MTY_TYP")</f>
        <v>NORMAL</v>
      </c>
      <c r="G1063" t="str">
        <f>_xll.BDP("912827RE Govt","CRNCY")</f>
        <v>USD</v>
      </c>
      <c r="H1063" t="str">
        <f>_xll.BDP("912827RE Govt","COUNTRY_FULL_NAME")</f>
        <v>UNITED STATES</v>
      </c>
      <c r="I1063" t="str">
        <f>_xll.BDP("912827RE Govt","FIRST_CPN_DT")</f>
        <v>5/15/1985</v>
      </c>
      <c r="J1063" t="str">
        <f>_xll.BDP("912827RE Govt","COUPON_FREQUENCY_DESCRIPTION")</f>
        <v>S/A</v>
      </c>
      <c r="K1063" t="str">
        <f>_xll.BDP("912827RE Govt","CPN_TYP")</f>
        <v>FIXED</v>
      </c>
      <c r="L1063" t="str">
        <f>_xll.BDP("912827RE Govt","ID_ISIN")</f>
        <v>US912827RE44</v>
      </c>
      <c r="N1063">
        <v>0</v>
      </c>
      <c r="O1063" t="str">
        <f>_xll.BDP("912827RE Govt","ISSUE_DT")</f>
        <v>9/4/1984</v>
      </c>
      <c r="P1063" t="str">
        <f>_xll.BDP("912827RE Govt","SECURITY_NAME")</f>
        <v>T 12 3/4 11/15/89</v>
      </c>
      <c r="Q1063" t="str">
        <f>_xll.BDP("912827RE Govt","DAY_CNT_DES")</f>
        <v>ACT/ACT</v>
      </c>
      <c r="R1063">
        <v>100</v>
      </c>
      <c r="S1063" t="str">
        <f>_xll.BDP("912827RE Govt","ID_CUSIP")</f>
        <v>912827RE4</v>
      </c>
      <c r="T1063" t="str">
        <f>_xll.BDP("912827RE Govt","IDX_RATIO")</f>
        <v>#N/A Field Not Applicable</v>
      </c>
    </row>
    <row r="1064" spans="1:20" x14ac:dyDescent="0.25">
      <c r="A1064" t="s">
        <v>14</v>
      </c>
      <c r="B1064" t="str">
        <f>_xll.BDP("912827RN Govt","TICKER")</f>
        <v>T</v>
      </c>
      <c r="C1064">
        <f>_xll.BDP("912827RN Govt","CPN")</f>
        <v>10.375</v>
      </c>
      <c r="D1064" t="str">
        <f>_xll.BDP("912827RN Govt","YLD_YTM_BID")</f>
        <v>#N/A N/A</v>
      </c>
      <c r="E1064" t="str">
        <f>_xll.BDP("912827RN Govt","MATURITY")</f>
        <v>11/30/1986</v>
      </c>
      <c r="F1064" t="str">
        <f>_xll.BDP("912827RN Govt","MTY_TYP")</f>
        <v>NORMAL</v>
      </c>
      <c r="G1064" t="str">
        <f>_xll.BDP("912827RN Govt","CRNCY")</f>
        <v>USD</v>
      </c>
      <c r="H1064" t="str">
        <f>_xll.BDP("912827RN Govt","COUNTRY_FULL_NAME")</f>
        <v>UNITED STATES</v>
      </c>
      <c r="I1064" t="str">
        <f>_xll.BDP("912827RN Govt","FIRST_CPN_DT")</f>
        <v>5/31/1985</v>
      </c>
      <c r="J1064" t="str">
        <f>_xll.BDP("912827RN Govt","COUPON_FREQUENCY_DESCRIPTION")</f>
        <v>S/A</v>
      </c>
      <c r="K1064" t="str">
        <f>_xll.BDP("912827RN Govt","CPN_TYP")</f>
        <v>FIXED</v>
      </c>
      <c r="L1064" t="str">
        <f>_xll.BDP("912827RN Govt","ID_ISIN")</f>
        <v>US912827RN43</v>
      </c>
      <c r="N1064">
        <v>0</v>
      </c>
      <c r="O1064" t="str">
        <f>_xll.BDP("912827RN Govt","ISSUE_DT")</f>
        <v>11/30/1984</v>
      </c>
      <c r="P1064" t="str">
        <f>_xll.BDP("912827RN Govt","SECURITY_NAME")</f>
        <v>T 10 3/8 11/30/86</v>
      </c>
      <c r="Q1064" t="str">
        <f>_xll.BDP("912827RN Govt","DAY_CNT_DES")</f>
        <v>ACT/ACT</v>
      </c>
      <c r="R1064">
        <v>100</v>
      </c>
      <c r="S1064" t="str">
        <f>_xll.BDP("912827RN Govt","ID_CUSIP")</f>
        <v>912827RN4</v>
      </c>
      <c r="T1064" t="str">
        <f>_xll.BDP("912827RN Govt","IDX_RATIO")</f>
        <v>#N/A Field Not Applicable</v>
      </c>
    </row>
    <row r="1065" spans="1:20" x14ac:dyDescent="0.25">
      <c r="A1065" t="s">
        <v>14</v>
      </c>
      <c r="B1065" t="str">
        <f>_xll.BDP("912827SF Govt","TICKER")</f>
        <v>T</v>
      </c>
      <c r="C1065">
        <f>_xll.BDP("912827SF Govt","CPN")</f>
        <v>9.125</v>
      </c>
      <c r="D1065" t="str">
        <f>_xll.BDP("912827SF Govt","YLD_YTM_BID")</f>
        <v>#N/A N/A</v>
      </c>
      <c r="E1065" t="str">
        <f>_xll.BDP("912827SF Govt","MATURITY")</f>
        <v>5/31/1987</v>
      </c>
      <c r="F1065" t="str">
        <f>_xll.BDP("912827SF Govt","MTY_TYP")</f>
        <v>NORMAL</v>
      </c>
      <c r="G1065" t="str">
        <f>_xll.BDP("912827SF Govt","CRNCY")</f>
        <v>USD</v>
      </c>
      <c r="H1065" t="str">
        <f>_xll.BDP("912827SF Govt","COUNTRY_FULL_NAME")</f>
        <v>UNITED STATES</v>
      </c>
      <c r="I1065" t="str">
        <f>_xll.BDP("912827SF Govt","FIRST_CPN_DT")</f>
        <v>11/30/1985</v>
      </c>
      <c r="J1065" t="str">
        <f>_xll.BDP("912827SF Govt","COUPON_FREQUENCY_DESCRIPTION")</f>
        <v>S/A</v>
      </c>
      <c r="K1065" t="str">
        <f>_xll.BDP("912827SF Govt","CPN_TYP")</f>
        <v>FIXED</v>
      </c>
      <c r="L1065" t="str">
        <f>_xll.BDP("912827SF Govt","ID_ISIN")</f>
        <v>US912827SF00</v>
      </c>
      <c r="N1065">
        <v>0</v>
      </c>
      <c r="O1065" t="str">
        <f>_xll.BDP("912827SF Govt","ISSUE_DT")</f>
        <v>5/31/1985</v>
      </c>
      <c r="P1065" t="str">
        <f>_xll.BDP("912827SF Govt","SECURITY_NAME")</f>
        <v>T 9 1/8 05/31/87</v>
      </c>
      <c r="Q1065" t="str">
        <f>_xll.BDP("912827SF Govt","DAY_CNT_DES")</f>
        <v>ACT/ACT</v>
      </c>
      <c r="R1065">
        <v>100</v>
      </c>
      <c r="S1065" t="str">
        <f>_xll.BDP("912827SF Govt","ID_CUSIP")</f>
        <v>912827SF0</v>
      </c>
      <c r="T1065" t="str">
        <f>_xll.BDP("912827SF Govt","IDX_RATIO")</f>
        <v>#N/A Field Not Applicable</v>
      </c>
    </row>
    <row r="1066" spans="1:20" x14ac:dyDescent="0.25">
      <c r="A1066" t="s">
        <v>14</v>
      </c>
      <c r="B1066" t="str">
        <f>_xll.BDP("912827SN Govt","TICKER")</f>
        <v>T</v>
      </c>
      <c r="C1066">
        <f>_xll.BDP("912827SN Govt","CPN")</f>
        <v>9.5</v>
      </c>
      <c r="D1066" t="str">
        <f>_xll.BDP("912827SN Govt","YLD_YTM_BID")</f>
        <v>#N/A N/A</v>
      </c>
      <c r="E1066" t="str">
        <f>_xll.BDP("912827SN Govt","MATURITY")</f>
        <v>8/15/1988</v>
      </c>
      <c r="F1066" t="str">
        <f>_xll.BDP("912827SN Govt","MTY_TYP")</f>
        <v>NORMAL</v>
      </c>
      <c r="G1066" t="str">
        <f>_xll.BDP("912827SN Govt","CRNCY")</f>
        <v>USD</v>
      </c>
      <c r="H1066" t="str">
        <f>_xll.BDP("912827SN Govt","COUNTRY_FULL_NAME")</f>
        <v>UNITED STATES</v>
      </c>
      <c r="I1066" t="str">
        <f>_xll.BDP("912827SN Govt","FIRST_CPN_DT")</f>
        <v>2/15/1986</v>
      </c>
      <c r="J1066" t="str">
        <f>_xll.BDP("912827SN Govt","COUPON_FREQUENCY_DESCRIPTION")</f>
        <v>S/A</v>
      </c>
      <c r="K1066" t="str">
        <f>_xll.BDP("912827SN Govt","CPN_TYP")</f>
        <v>FIXED</v>
      </c>
      <c r="L1066" t="str">
        <f>_xll.BDP("912827SN Govt","ID_ISIN")</f>
        <v>US912827SN34</v>
      </c>
      <c r="N1066">
        <v>0</v>
      </c>
      <c r="O1066" t="str">
        <f>_xll.BDP("912827SN Govt","ISSUE_DT")</f>
        <v>8/15/1985</v>
      </c>
      <c r="P1066" t="str">
        <f>_xll.BDP("912827SN Govt","SECURITY_NAME")</f>
        <v>T 9 1/2 08/15/88</v>
      </c>
      <c r="Q1066" t="str">
        <f>_xll.BDP("912827SN Govt","DAY_CNT_DES")</f>
        <v>ACT/ACT</v>
      </c>
      <c r="R1066">
        <v>100</v>
      </c>
      <c r="S1066" t="str">
        <f>_xll.BDP("912827SN Govt","ID_CUSIP")</f>
        <v>912827SN3</v>
      </c>
      <c r="T1066" t="str">
        <f>_xll.BDP("912827SN Govt","IDX_RATIO")</f>
        <v>#N/A Field Not Applicable</v>
      </c>
    </row>
    <row r="1067" spans="1:20" x14ac:dyDescent="0.25">
      <c r="A1067" t="s">
        <v>14</v>
      </c>
      <c r="B1067" t="str">
        <f>_xll.BDP("912827ST Govt","TICKER")</f>
        <v>T</v>
      </c>
      <c r="C1067">
        <f>_xll.BDP("912827ST Govt","CPN")</f>
        <v>8.875</v>
      </c>
      <c r="D1067" t="str">
        <f>_xll.BDP("912827ST Govt","YLD_YTM_BID")</f>
        <v>#N/A N/A</v>
      </c>
      <c r="E1067" t="str">
        <f>_xll.BDP("912827ST Govt","MATURITY")</f>
        <v>10/31/1987</v>
      </c>
      <c r="F1067" t="str">
        <f>_xll.BDP("912827ST Govt","MTY_TYP")</f>
        <v>NORMAL</v>
      </c>
      <c r="G1067" t="str">
        <f>_xll.BDP("912827ST Govt","CRNCY")</f>
        <v>USD</v>
      </c>
      <c r="H1067" t="str">
        <f>_xll.BDP("912827ST Govt","COUNTRY_FULL_NAME")</f>
        <v>UNITED STATES</v>
      </c>
      <c r="I1067" t="str">
        <f>_xll.BDP("912827ST Govt","FIRST_CPN_DT")</f>
        <v>4/30/1986</v>
      </c>
      <c r="J1067" t="str">
        <f>_xll.BDP("912827ST Govt","COUPON_FREQUENCY_DESCRIPTION")</f>
        <v>S/A</v>
      </c>
      <c r="K1067" t="str">
        <f>_xll.BDP("912827ST Govt","CPN_TYP")</f>
        <v>FIXED</v>
      </c>
      <c r="L1067" t="str">
        <f>_xll.BDP("912827ST Govt","ID_ISIN")</f>
        <v>US912827ST04</v>
      </c>
      <c r="N1067">
        <v>0</v>
      </c>
      <c r="O1067" t="str">
        <f>_xll.BDP("912827ST Govt","ISSUE_DT")</f>
        <v>10/31/1985</v>
      </c>
      <c r="P1067" t="str">
        <f>_xll.BDP("912827ST Govt","SECURITY_NAME")</f>
        <v>T 8 7/8 10/31/87</v>
      </c>
      <c r="Q1067" t="str">
        <f>_xll.BDP("912827ST Govt","DAY_CNT_DES")</f>
        <v>ACT/ACT</v>
      </c>
      <c r="R1067">
        <v>100</v>
      </c>
      <c r="S1067" t="str">
        <f>_xll.BDP("912827ST Govt","ID_CUSIP")</f>
        <v>912827ST0</v>
      </c>
      <c r="T1067" t="str">
        <f>_xll.BDP("912827ST Govt","IDX_RATIO")</f>
        <v>#N/A Field Not Applicable</v>
      </c>
    </row>
    <row r="1068" spans="1:20" x14ac:dyDescent="0.25">
      <c r="A1068" t="s">
        <v>14</v>
      </c>
      <c r="B1068" t="str">
        <f>_xll.BDP("912827SZ Govt","TICKER")</f>
        <v>T</v>
      </c>
      <c r="C1068">
        <f>_xll.BDP("912827SZ Govt","CPN")</f>
        <v>9.125</v>
      </c>
      <c r="D1068" t="str">
        <f>_xll.BDP("912827SZ Govt","YLD_YTM_BID")</f>
        <v>#N/A N/A</v>
      </c>
      <c r="E1068" t="str">
        <f>_xll.BDP("912827SZ Govt","MATURITY")</f>
        <v>2/15/1991</v>
      </c>
      <c r="F1068" t="str">
        <f>_xll.BDP("912827SZ Govt","MTY_TYP")</f>
        <v>NORMAL</v>
      </c>
      <c r="G1068" t="str">
        <f>_xll.BDP("912827SZ Govt","CRNCY")</f>
        <v>USD</v>
      </c>
      <c r="H1068" t="str">
        <f>_xll.BDP("912827SZ Govt","COUNTRY_FULL_NAME")</f>
        <v>UNITED STATES</v>
      </c>
      <c r="I1068" t="str">
        <f>_xll.BDP("912827SZ Govt","FIRST_CPN_DT")</f>
        <v>8/15/1986</v>
      </c>
      <c r="J1068" t="str">
        <f>_xll.BDP("912827SZ Govt","COUPON_FREQUENCY_DESCRIPTION")</f>
        <v>S/A</v>
      </c>
      <c r="K1068" t="str">
        <f>_xll.BDP("912827SZ Govt","CPN_TYP")</f>
        <v>FIXED</v>
      </c>
      <c r="L1068" t="str">
        <f>_xll.BDP("912827SZ Govt","ID_ISIN")</f>
        <v>US912827SZ63</v>
      </c>
      <c r="N1068">
        <v>0</v>
      </c>
      <c r="O1068" t="str">
        <f>_xll.BDP("912827SZ Govt","ISSUE_DT")</f>
        <v>12/3/1985</v>
      </c>
      <c r="P1068" t="str">
        <f>_xll.BDP("912827SZ Govt","SECURITY_NAME")</f>
        <v>T 9 1/8 02/15/91</v>
      </c>
      <c r="Q1068" t="str">
        <f>_xll.BDP("912827SZ Govt","DAY_CNT_DES")</f>
        <v>ACT/ACT</v>
      </c>
      <c r="R1068">
        <v>100</v>
      </c>
      <c r="S1068" t="str">
        <f>_xll.BDP("912827SZ Govt","ID_CUSIP")</f>
        <v>912827SZ6</v>
      </c>
      <c r="T1068" t="str">
        <f>_xll.BDP("912827SZ Govt","IDX_RATIO")</f>
        <v>#N/A Field Not Applicable</v>
      </c>
    </row>
    <row r="1069" spans="1:20" x14ac:dyDescent="0.25">
      <c r="A1069" t="s">
        <v>14</v>
      </c>
      <c r="B1069" t="str">
        <f>_xll.BDP("912827T3 Govt","TICKER")</f>
        <v>T</v>
      </c>
      <c r="C1069">
        <f>_xll.BDP("912827T3 Govt","CPN")</f>
        <v>6.625</v>
      </c>
      <c r="D1069" t="str">
        <f>_xll.BDP("912827T3 Govt","YLD_YTM_BID")</f>
        <v>#N/A N/A</v>
      </c>
      <c r="E1069" t="str">
        <f>_xll.BDP("912827T3 Govt","MATURITY")</f>
        <v>3/31/1997</v>
      </c>
      <c r="F1069" t="str">
        <f>_xll.BDP("912827T3 Govt","MTY_TYP")</f>
        <v>NORMAL</v>
      </c>
      <c r="G1069" t="str">
        <f>_xll.BDP("912827T3 Govt","CRNCY")</f>
        <v>USD</v>
      </c>
      <c r="H1069" t="str">
        <f>_xll.BDP("912827T3 Govt","COUNTRY_FULL_NAME")</f>
        <v>UNITED STATES</v>
      </c>
      <c r="I1069" t="str">
        <f>_xll.BDP("912827T3 Govt","FIRST_CPN_DT")</f>
        <v>9/30/1995</v>
      </c>
      <c r="J1069" t="str">
        <f>_xll.BDP("912827T3 Govt","COUPON_FREQUENCY_DESCRIPTION")</f>
        <v>S/A</v>
      </c>
      <c r="K1069" t="str">
        <f>_xll.BDP("912827T3 Govt","CPN_TYP")</f>
        <v>FIXED</v>
      </c>
      <c r="L1069" t="str">
        <f>_xll.BDP("912827T3 Govt","ID_ISIN")</f>
        <v>US912827T364</v>
      </c>
      <c r="N1069">
        <v>0</v>
      </c>
      <c r="O1069" t="str">
        <f>_xll.BDP("912827T3 Govt","ISSUE_DT")</f>
        <v>3/31/1995</v>
      </c>
      <c r="P1069" t="str">
        <f>_xll.BDP("912827T3 Govt","SECURITY_NAME")</f>
        <v>T 6 5/8 03/31/97</v>
      </c>
      <c r="Q1069" t="str">
        <f>_xll.BDP("912827T3 Govt","DAY_CNT_DES")</f>
        <v>ACT/ACT</v>
      </c>
      <c r="R1069">
        <v>100</v>
      </c>
      <c r="S1069" t="str">
        <f>_xll.BDP("912827T3 Govt","ID_CUSIP")</f>
        <v>912827T36</v>
      </c>
      <c r="T1069" t="str">
        <f>_xll.BDP("912827T3 Govt","IDX_RATIO")</f>
        <v>#N/A Field Not Applicable</v>
      </c>
    </row>
    <row r="1070" spans="1:20" x14ac:dyDescent="0.25">
      <c r="A1070" t="s">
        <v>14</v>
      </c>
      <c r="B1070" t="str">
        <f>_xll.BDP("912827T7 Govt","TICKER")</f>
        <v>T</v>
      </c>
      <c r="C1070">
        <f>_xll.BDP("912827T7 Govt","CPN")</f>
        <v>6.125</v>
      </c>
      <c r="D1070" t="str">
        <f>_xll.BDP("912827T7 Govt","YLD_YTM_BID")</f>
        <v>#N/A N/A</v>
      </c>
      <c r="E1070" t="str">
        <f>_xll.BDP("912827T7 Govt","MATURITY")</f>
        <v>5/15/1998</v>
      </c>
      <c r="F1070" t="str">
        <f>_xll.BDP("912827T7 Govt","MTY_TYP")</f>
        <v>NORMAL</v>
      </c>
      <c r="G1070" t="str">
        <f>_xll.BDP("912827T7 Govt","CRNCY")</f>
        <v>USD</v>
      </c>
      <c r="H1070" t="str">
        <f>_xll.BDP("912827T7 Govt","COUNTRY_FULL_NAME")</f>
        <v>UNITED STATES</v>
      </c>
      <c r="I1070" t="str">
        <f>_xll.BDP("912827T7 Govt","FIRST_CPN_DT")</f>
        <v>11/15/1995</v>
      </c>
      <c r="J1070" t="str">
        <f>_xll.BDP("912827T7 Govt","COUPON_FREQUENCY_DESCRIPTION")</f>
        <v>S/A</v>
      </c>
      <c r="K1070" t="str">
        <f>_xll.BDP("912827T7 Govt","CPN_TYP")</f>
        <v>FIXED</v>
      </c>
      <c r="L1070" t="str">
        <f>_xll.BDP("912827T7 Govt","ID_ISIN")</f>
        <v>US912827T778</v>
      </c>
      <c r="M1070">
        <v>21226000000</v>
      </c>
      <c r="N1070">
        <v>0</v>
      </c>
      <c r="O1070" t="str">
        <f>_xll.BDP("912827T7 Govt","ISSUE_DT")</f>
        <v>5/15/1995</v>
      </c>
      <c r="P1070" t="str">
        <f>_xll.BDP("912827T7 Govt","SECURITY_NAME")</f>
        <v>T 6 1/8 05/15/98</v>
      </c>
      <c r="Q1070" t="str">
        <f>_xll.BDP("912827T7 Govt","DAY_CNT_DES")</f>
        <v>ACT/ACT</v>
      </c>
      <c r="R1070">
        <v>100</v>
      </c>
      <c r="S1070" t="str">
        <f>_xll.BDP("912827T7 Govt","ID_CUSIP")</f>
        <v>912827T77</v>
      </c>
      <c r="T1070" t="str">
        <f>_xll.BDP("912827T7 Govt","IDX_RATIO")</f>
        <v>#N/A Field Not Applicable</v>
      </c>
    </row>
    <row r="1071" spans="1:20" x14ac:dyDescent="0.25">
      <c r="A1071" t="s">
        <v>14</v>
      </c>
      <c r="B1071" t="str">
        <f>_xll.BDP("912827T8 Govt","TICKER")</f>
        <v>T</v>
      </c>
      <c r="C1071">
        <f>_xll.BDP("912827T8 Govt","CPN")</f>
        <v>6.5</v>
      </c>
      <c r="D1071" t="str">
        <f>_xll.BDP("912827T8 Govt","YLD_YTM_BID")</f>
        <v>#N/A N/A</v>
      </c>
      <c r="E1071" t="str">
        <f>_xll.BDP("912827T8 Govt","MATURITY")</f>
        <v>5/15/2005</v>
      </c>
      <c r="F1071" t="str">
        <f>_xll.BDP("912827T8 Govt","MTY_TYP")</f>
        <v>NORMAL</v>
      </c>
      <c r="G1071" t="str">
        <f>_xll.BDP("912827T8 Govt","CRNCY")</f>
        <v>USD</v>
      </c>
      <c r="H1071" t="str">
        <f>_xll.BDP("912827T8 Govt","COUNTRY_FULL_NAME")</f>
        <v>UNITED STATES</v>
      </c>
      <c r="I1071" t="str">
        <f>_xll.BDP("912827T8 Govt","FIRST_CPN_DT")</f>
        <v>11/15/1995</v>
      </c>
      <c r="J1071" t="str">
        <f>_xll.BDP("912827T8 Govt","COUPON_FREQUENCY_DESCRIPTION")</f>
        <v>S/A</v>
      </c>
      <c r="K1071" t="str">
        <f>_xll.BDP("912827T8 Govt","CPN_TYP")</f>
        <v>FIXED</v>
      </c>
      <c r="L1071" t="str">
        <f>_xll.BDP("912827T8 Govt","ID_ISIN")</f>
        <v>US912827T851</v>
      </c>
      <c r="M1071">
        <v>14740000000</v>
      </c>
      <c r="N1071">
        <v>0</v>
      </c>
      <c r="O1071" t="str">
        <f>_xll.BDP("912827T8 Govt","ISSUE_DT")</f>
        <v>5/15/1995</v>
      </c>
      <c r="P1071" t="str">
        <f>_xll.BDP("912827T8 Govt","SECURITY_NAME")</f>
        <v>T 6 1/2 05/15/05</v>
      </c>
      <c r="Q1071" t="str">
        <f>_xll.BDP("912827T8 Govt","DAY_CNT_DES")</f>
        <v>ACT/ACT</v>
      </c>
      <c r="R1071">
        <v>100</v>
      </c>
      <c r="S1071" t="str">
        <f>_xll.BDP("912827T8 Govt","ID_CUSIP")</f>
        <v>912827T85</v>
      </c>
      <c r="T1071" t="str">
        <f>_xll.BDP("912827T8 Govt","IDX_RATIO")</f>
        <v>#N/A Field Not Applicable</v>
      </c>
    </row>
    <row r="1072" spans="1:20" x14ac:dyDescent="0.25">
      <c r="A1072" t="s">
        <v>14</v>
      </c>
      <c r="B1072" t="str">
        <f>_xll.BDP("912827TB Govt","TICKER")</f>
        <v>T</v>
      </c>
      <c r="C1072">
        <f>_xll.BDP("912827TB Govt","CPN")</f>
        <v>8.375</v>
      </c>
      <c r="D1072" t="str">
        <f>_xll.BDP("912827TB Govt","YLD_YTM_BID")</f>
        <v>#N/A N/A</v>
      </c>
      <c r="E1072" t="str">
        <f>_xll.BDP("912827TB Govt","MATURITY")</f>
        <v>12/31/1989</v>
      </c>
      <c r="F1072" t="str">
        <f>_xll.BDP("912827TB Govt","MTY_TYP")</f>
        <v>NORMAL</v>
      </c>
      <c r="G1072" t="str">
        <f>_xll.BDP("912827TB Govt","CRNCY")</f>
        <v>USD</v>
      </c>
      <c r="H1072" t="str">
        <f>_xll.BDP("912827TB Govt","COUNTRY_FULL_NAME")</f>
        <v>UNITED STATES</v>
      </c>
      <c r="I1072" t="str">
        <f>_xll.BDP("912827TB Govt","FIRST_CPN_DT")</f>
        <v>6/30/1986</v>
      </c>
      <c r="J1072" t="str">
        <f>_xll.BDP("912827TB Govt","COUPON_FREQUENCY_DESCRIPTION")</f>
        <v>S/A</v>
      </c>
      <c r="K1072" t="str">
        <f>_xll.BDP("912827TB Govt","CPN_TYP")</f>
        <v>FIXED</v>
      </c>
      <c r="L1072" t="str">
        <f>_xll.BDP("912827TB Govt","ID_ISIN")</f>
        <v>US912827TB86</v>
      </c>
      <c r="N1072">
        <v>0</v>
      </c>
      <c r="O1072" t="str">
        <f>_xll.BDP("912827TB Govt","ISSUE_DT")</f>
        <v>12/31/1985</v>
      </c>
      <c r="P1072" t="str">
        <f>_xll.BDP("912827TB Govt","SECURITY_NAME")</f>
        <v>T 8 3/8 12/31/89</v>
      </c>
      <c r="Q1072" t="str">
        <f>_xll.BDP("912827TB Govt","DAY_CNT_DES")</f>
        <v>ACT/ACT</v>
      </c>
      <c r="R1072">
        <v>100</v>
      </c>
      <c r="S1072" t="str">
        <f>_xll.BDP("912827TB Govt","ID_CUSIP")</f>
        <v>912827TB8</v>
      </c>
      <c r="T1072" t="str">
        <f>_xll.BDP("912827TB Govt","IDX_RATIO")</f>
        <v>#N/A Field Not Applicable</v>
      </c>
    </row>
    <row r="1073" spans="1:20" x14ac:dyDescent="0.25">
      <c r="A1073" t="s">
        <v>14</v>
      </c>
      <c r="B1073" t="str">
        <f>_xll.BDP("912827TJ Govt","TICKER")</f>
        <v>T</v>
      </c>
      <c r="C1073">
        <f>_xll.BDP("912827TJ Govt","CPN")</f>
        <v>8.125</v>
      </c>
      <c r="D1073" t="str">
        <f>_xll.BDP("912827TJ Govt","YLD_YTM_BID")</f>
        <v>#N/A N/A</v>
      </c>
      <c r="E1073" t="str">
        <f>_xll.BDP("912827TJ Govt","MATURITY")</f>
        <v>5/15/1991</v>
      </c>
      <c r="F1073" t="str">
        <f>_xll.BDP("912827TJ Govt","MTY_TYP")</f>
        <v>NORMAL</v>
      </c>
      <c r="G1073" t="str">
        <f>_xll.BDP("912827TJ Govt","CRNCY")</f>
        <v>USD</v>
      </c>
      <c r="H1073" t="str">
        <f>_xll.BDP("912827TJ Govt","COUNTRY_FULL_NAME")</f>
        <v>UNITED STATES</v>
      </c>
      <c r="I1073" t="str">
        <f>_xll.BDP("912827TJ Govt","FIRST_CPN_DT")</f>
        <v>11/15/1986</v>
      </c>
      <c r="J1073" t="str">
        <f>_xll.BDP("912827TJ Govt","COUPON_FREQUENCY_DESCRIPTION")</f>
        <v>S/A</v>
      </c>
      <c r="K1073" t="str">
        <f>_xll.BDP("912827TJ Govt","CPN_TYP")</f>
        <v>FIXED</v>
      </c>
      <c r="L1073" t="str">
        <f>_xll.BDP("912827TJ Govt","ID_ISIN")</f>
        <v>US912827TJ13</v>
      </c>
      <c r="N1073">
        <v>0</v>
      </c>
      <c r="O1073" t="str">
        <f>_xll.BDP("912827TJ Govt","ISSUE_DT")</f>
        <v>3/5/1986</v>
      </c>
      <c r="P1073" t="str">
        <f>_xll.BDP("912827TJ Govt","SECURITY_NAME")</f>
        <v>T 8 1/8 05/15/91</v>
      </c>
      <c r="Q1073" t="str">
        <f>_xll.BDP("912827TJ Govt","DAY_CNT_DES")</f>
        <v>ACT/ACT</v>
      </c>
      <c r="R1073">
        <v>100</v>
      </c>
      <c r="S1073" t="str">
        <f>_xll.BDP("912827TJ Govt","ID_CUSIP")</f>
        <v>912827TJ1</v>
      </c>
      <c r="T1073" t="str">
        <f>_xll.BDP("912827TJ Govt","IDX_RATIO")</f>
        <v>#N/A Field Not Applicable</v>
      </c>
    </row>
    <row r="1074" spans="1:20" x14ac:dyDescent="0.25">
      <c r="A1074" t="s">
        <v>14</v>
      </c>
      <c r="B1074" t="str">
        <f>_xll.BDP("912827TN Govt","TICKER")</f>
        <v>T</v>
      </c>
      <c r="C1074">
        <f>_xll.BDP("912827TN Govt","CPN")</f>
        <v>6.625</v>
      </c>
      <c r="D1074" t="str">
        <f>_xll.BDP("912827TN Govt","YLD_YTM_BID")</f>
        <v>#N/A N/A</v>
      </c>
      <c r="E1074" t="str">
        <f>_xll.BDP("912827TN Govt","MATURITY")</f>
        <v>4/30/1988</v>
      </c>
      <c r="F1074" t="str">
        <f>_xll.BDP("912827TN Govt","MTY_TYP")</f>
        <v>NORMAL</v>
      </c>
      <c r="G1074" t="str">
        <f>_xll.BDP("912827TN Govt","CRNCY")</f>
        <v>USD</v>
      </c>
      <c r="H1074" t="str">
        <f>_xll.BDP("912827TN Govt","COUNTRY_FULL_NAME")</f>
        <v>UNITED STATES</v>
      </c>
      <c r="I1074" t="str">
        <f>_xll.BDP("912827TN Govt","FIRST_CPN_DT")</f>
        <v>10/31/1986</v>
      </c>
      <c r="J1074" t="str">
        <f>_xll.BDP("912827TN Govt","COUPON_FREQUENCY_DESCRIPTION")</f>
        <v>S/A</v>
      </c>
      <c r="K1074" t="str">
        <f>_xll.BDP("912827TN Govt","CPN_TYP")</f>
        <v>FIXED</v>
      </c>
      <c r="L1074" t="str">
        <f>_xll.BDP("912827TN Govt","ID_ISIN")</f>
        <v>US912827TN25</v>
      </c>
      <c r="N1074">
        <v>0</v>
      </c>
      <c r="O1074" t="str">
        <f>_xll.BDP("912827TN Govt","ISSUE_DT")</f>
        <v>4/30/1986</v>
      </c>
      <c r="P1074" t="str">
        <f>_xll.BDP("912827TN Govt","SECURITY_NAME")</f>
        <v>T 6 5/8 04/30/88</v>
      </c>
      <c r="Q1074" t="str">
        <f>_xll.BDP("912827TN Govt","DAY_CNT_DES")</f>
        <v>ACT/ACT</v>
      </c>
      <c r="R1074">
        <v>100</v>
      </c>
      <c r="S1074" t="str">
        <f>_xll.BDP("912827TN Govt","ID_CUSIP")</f>
        <v>912827TN2</v>
      </c>
      <c r="T1074" t="str">
        <f>_xll.BDP("912827TN Govt","IDX_RATIO")</f>
        <v>#N/A Field Not Applicable</v>
      </c>
    </row>
    <row r="1075" spans="1:20" x14ac:dyDescent="0.25">
      <c r="A1075" t="s">
        <v>14</v>
      </c>
      <c r="B1075" t="str">
        <f>_xll.BDP("912827TQ Govt","TICKER")</f>
        <v>T</v>
      </c>
      <c r="C1075">
        <f>_xll.BDP("912827TQ Govt","CPN")</f>
        <v>7.375</v>
      </c>
      <c r="D1075" t="str">
        <f>_xll.BDP("912827TQ Govt","YLD_YTM_BID")</f>
        <v>#N/A N/A</v>
      </c>
      <c r="E1075" t="str">
        <f>_xll.BDP("912827TQ Govt","MATURITY")</f>
        <v>5/15/1996</v>
      </c>
      <c r="F1075" t="str">
        <f>_xll.BDP("912827TQ Govt","MTY_TYP")</f>
        <v>NORMAL</v>
      </c>
      <c r="G1075" t="str">
        <f>_xll.BDP("912827TQ Govt","CRNCY")</f>
        <v>USD</v>
      </c>
      <c r="H1075" t="str">
        <f>_xll.BDP("912827TQ Govt","COUNTRY_FULL_NAME")</f>
        <v>UNITED STATES</v>
      </c>
      <c r="I1075" t="str">
        <f>_xll.BDP("912827TQ Govt","FIRST_CPN_DT")</f>
        <v>11/15/1986</v>
      </c>
      <c r="J1075" t="str">
        <f>_xll.BDP("912827TQ Govt","COUPON_FREQUENCY_DESCRIPTION")</f>
        <v>S/A</v>
      </c>
      <c r="K1075" t="str">
        <f>_xll.BDP("912827TQ Govt","CPN_TYP")</f>
        <v>FIXED</v>
      </c>
      <c r="L1075" t="str">
        <f>_xll.BDP("912827TQ Govt","ID_ISIN")</f>
        <v>US912827TQ55</v>
      </c>
      <c r="N1075">
        <v>0</v>
      </c>
      <c r="O1075" t="str">
        <f>_xll.BDP("912827TQ Govt","ISSUE_DT")</f>
        <v>5/15/1986</v>
      </c>
      <c r="P1075" t="str">
        <f>_xll.BDP("912827TQ Govt","SECURITY_NAME")</f>
        <v>T 7 3/8 05/15/96</v>
      </c>
      <c r="Q1075" t="str">
        <f>_xll.BDP("912827TQ Govt","DAY_CNT_DES")</f>
        <v>ACT/ACT</v>
      </c>
      <c r="R1075">
        <v>100</v>
      </c>
      <c r="S1075" t="str">
        <f>_xll.BDP("912827TQ Govt","ID_CUSIP")</f>
        <v>912827TQ5</v>
      </c>
      <c r="T1075" t="str">
        <f>_xll.BDP("912827TQ Govt","IDX_RATIO")</f>
        <v>#N/A Field Not Applicable</v>
      </c>
    </row>
    <row r="1076" spans="1:20" x14ac:dyDescent="0.25">
      <c r="A1076" t="s">
        <v>14</v>
      </c>
      <c r="B1076" t="str">
        <f>_xll.BDP("912827TY Govt","TICKER")</f>
        <v>T</v>
      </c>
      <c r="C1076">
        <f>_xll.BDP("912827TY Govt","CPN")</f>
        <v>6.125</v>
      </c>
      <c r="D1076" t="str">
        <f>_xll.BDP("912827TY Govt","YLD_YTM_BID")</f>
        <v>#N/A N/A</v>
      </c>
      <c r="E1076" t="str">
        <f>_xll.BDP("912827TY Govt","MATURITY")</f>
        <v>8/31/1988</v>
      </c>
      <c r="F1076" t="str">
        <f>_xll.BDP("912827TY Govt","MTY_TYP")</f>
        <v>NORMAL</v>
      </c>
      <c r="G1076" t="str">
        <f>_xll.BDP("912827TY Govt","CRNCY")</f>
        <v>USD</v>
      </c>
      <c r="H1076" t="str">
        <f>_xll.BDP("912827TY Govt","COUNTRY_FULL_NAME")</f>
        <v>UNITED STATES</v>
      </c>
      <c r="I1076" t="str">
        <f>_xll.BDP("912827TY Govt","FIRST_CPN_DT")</f>
        <v>2/28/1987</v>
      </c>
      <c r="J1076" t="str">
        <f>_xll.BDP("912827TY Govt","COUPON_FREQUENCY_DESCRIPTION")</f>
        <v>S/A</v>
      </c>
      <c r="K1076" t="str">
        <f>_xll.BDP("912827TY Govt","CPN_TYP")</f>
        <v>FIXED</v>
      </c>
      <c r="L1076" t="str">
        <f>_xll.BDP("912827TY Govt","ID_ISIN")</f>
        <v>US912827TY89</v>
      </c>
      <c r="N1076">
        <v>0</v>
      </c>
      <c r="O1076" t="str">
        <f>_xll.BDP("912827TY Govt","ISSUE_DT")</f>
        <v>9/2/1986</v>
      </c>
      <c r="P1076" t="str">
        <f>_xll.BDP("912827TY Govt","SECURITY_NAME")</f>
        <v>T 6 1/8 08/31/88</v>
      </c>
      <c r="Q1076" t="str">
        <f>_xll.BDP("912827TY Govt","DAY_CNT_DES")</f>
        <v>ACT/ACT</v>
      </c>
      <c r="R1076">
        <v>100</v>
      </c>
      <c r="S1076" t="str">
        <f>_xll.BDP("912827TY Govt","ID_CUSIP")</f>
        <v>912827TY8</v>
      </c>
      <c r="T1076" t="str">
        <f>_xll.BDP("912827TY Govt","IDX_RATIO")</f>
        <v>#N/A Field Not Applicable</v>
      </c>
    </row>
    <row r="1077" spans="1:20" x14ac:dyDescent="0.25">
      <c r="A1077" t="s">
        <v>14</v>
      </c>
      <c r="B1077" t="str">
        <f>_xll.BDP("912827UE Govt","TICKER")</f>
        <v>T</v>
      </c>
      <c r="C1077">
        <f>_xll.BDP("912827UE Govt","CPN")</f>
        <v>6.375</v>
      </c>
      <c r="D1077" t="str">
        <f>_xll.BDP("912827UE Govt","YLD_YTM_BID")</f>
        <v>#N/A N/A</v>
      </c>
      <c r="E1077" t="str">
        <f>_xll.BDP("912827UE Govt","MATURITY")</f>
        <v>11/15/1989</v>
      </c>
      <c r="F1077" t="str">
        <f>_xll.BDP("912827UE Govt","MTY_TYP")</f>
        <v>NORMAL</v>
      </c>
      <c r="G1077" t="str">
        <f>_xll.BDP("912827UE Govt","CRNCY")</f>
        <v>USD</v>
      </c>
      <c r="H1077" t="str">
        <f>_xll.BDP("912827UE Govt","COUNTRY_FULL_NAME")</f>
        <v>UNITED STATES</v>
      </c>
      <c r="I1077" t="str">
        <f>_xll.BDP("912827UE Govt","FIRST_CPN_DT")</f>
        <v>5/15/1987</v>
      </c>
      <c r="J1077" t="str">
        <f>_xll.BDP("912827UE Govt","COUPON_FREQUENCY_DESCRIPTION")</f>
        <v>S/A</v>
      </c>
      <c r="K1077" t="str">
        <f>_xll.BDP("912827UE Govt","CPN_TYP")</f>
        <v>FIXED</v>
      </c>
      <c r="L1077" t="str">
        <f>_xll.BDP("912827UE Govt","ID_ISIN")</f>
        <v>US912827UE07</v>
      </c>
      <c r="N1077">
        <v>0</v>
      </c>
      <c r="O1077" t="str">
        <f>_xll.BDP("912827UE Govt","ISSUE_DT")</f>
        <v>11/17/1986</v>
      </c>
      <c r="P1077" t="str">
        <f>_xll.BDP("912827UE Govt","SECURITY_NAME")</f>
        <v>T 6 3/8 11/15/89</v>
      </c>
      <c r="Q1077" t="str">
        <f>_xll.BDP("912827UE Govt","DAY_CNT_DES")</f>
        <v>ACT/ACT</v>
      </c>
      <c r="R1077">
        <v>100</v>
      </c>
      <c r="S1077" t="str">
        <f>_xll.BDP("912827UE Govt","ID_CUSIP")</f>
        <v>912827UE0</v>
      </c>
      <c r="T1077" t="str">
        <f>_xll.BDP("912827UE Govt","IDX_RATIO")</f>
        <v>#N/A Field Not Applicable</v>
      </c>
    </row>
    <row r="1078" spans="1:20" x14ac:dyDescent="0.25">
      <c r="A1078" t="s">
        <v>14</v>
      </c>
      <c r="B1078" t="str">
        <f>_xll.BDP("912827UH Govt","TICKER")</f>
        <v>T</v>
      </c>
      <c r="C1078">
        <f>_xll.BDP("912827UH Govt","CPN")</f>
        <v>6.625</v>
      </c>
      <c r="D1078" t="str">
        <f>_xll.BDP("912827UH Govt","YLD_YTM_BID")</f>
        <v>#N/A N/A</v>
      </c>
      <c r="E1078" t="str">
        <f>_xll.BDP("912827UH Govt","MATURITY")</f>
        <v>2/15/1992</v>
      </c>
      <c r="F1078" t="str">
        <f>_xll.BDP("912827UH Govt","MTY_TYP")</f>
        <v>NORMAL</v>
      </c>
      <c r="G1078" t="str">
        <f>_xll.BDP("912827UH Govt","CRNCY")</f>
        <v>USD</v>
      </c>
      <c r="H1078" t="str">
        <f>_xll.BDP("912827UH Govt","COUNTRY_FULL_NAME")</f>
        <v>UNITED STATES</v>
      </c>
      <c r="I1078" t="str">
        <f>_xll.BDP("912827UH Govt","FIRST_CPN_DT")</f>
        <v>8/15/1987</v>
      </c>
      <c r="J1078" t="str">
        <f>_xll.BDP("912827UH Govt","COUPON_FREQUENCY_DESCRIPTION")</f>
        <v>S/A</v>
      </c>
      <c r="K1078" t="str">
        <f>_xll.BDP("912827UH Govt","CPN_TYP")</f>
        <v>FIXED</v>
      </c>
      <c r="L1078" t="str">
        <f>_xll.BDP("912827UH Govt","ID_ISIN")</f>
        <v>US912827UH38</v>
      </c>
      <c r="N1078">
        <v>0</v>
      </c>
      <c r="O1078" t="str">
        <f>_xll.BDP("912827UH Govt","ISSUE_DT")</f>
        <v>12/3/1986</v>
      </c>
      <c r="P1078" t="str">
        <f>_xll.BDP("912827UH Govt","SECURITY_NAME")</f>
        <v>T 6 5/8 02/15/92</v>
      </c>
      <c r="Q1078" t="str">
        <f>_xll.BDP("912827UH Govt","DAY_CNT_DES")</f>
        <v>ACT/ACT</v>
      </c>
      <c r="R1078">
        <v>100</v>
      </c>
      <c r="S1078" t="str">
        <f>_xll.BDP("912827UH Govt","ID_CUSIP")</f>
        <v>912827UH3</v>
      </c>
      <c r="T1078" t="str">
        <f>_xll.BDP("912827UH Govt","IDX_RATIO")</f>
        <v>#N/A Field Not Applicable</v>
      </c>
    </row>
    <row r="1079" spans="1:20" x14ac:dyDescent="0.25">
      <c r="A1079" t="s">
        <v>14</v>
      </c>
      <c r="B1079" t="str">
        <f>_xll.BDP("912827UQ Govt","TICKER")</f>
        <v>T</v>
      </c>
      <c r="C1079">
        <f>_xll.BDP("912827UQ Govt","CPN")</f>
        <v>6.625</v>
      </c>
      <c r="D1079" t="str">
        <f>_xll.BDP("912827UQ Govt","YLD_YTM_BID")</f>
        <v>#N/A N/A</v>
      </c>
      <c r="E1079" t="str">
        <f>_xll.BDP("912827UQ Govt","MATURITY")</f>
        <v>5/15/1992</v>
      </c>
      <c r="F1079" t="str">
        <f>_xll.BDP("912827UQ Govt","MTY_TYP")</f>
        <v>NORMAL</v>
      </c>
      <c r="G1079" t="str">
        <f>_xll.BDP("912827UQ Govt","CRNCY")</f>
        <v>USD</v>
      </c>
      <c r="H1079" t="str">
        <f>_xll.BDP("912827UQ Govt","COUNTRY_FULL_NAME")</f>
        <v>UNITED STATES</v>
      </c>
      <c r="I1079" t="str">
        <f>_xll.BDP("912827UQ Govt","FIRST_CPN_DT")</f>
        <v>11/15/1987</v>
      </c>
      <c r="J1079" t="str">
        <f>_xll.BDP("912827UQ Govt","COUPON_FREQUENCY_DESCRIPTION")</f>
        <v>S/A</v>
      </c>
      <c r="K1079" t="str">
        <f>_xll.BDP("912827UQ Govt","CPN_TYP")</f>
        <v>FIXED</v>
      </c>
      <c r="L1079" t="str">
        <f>_xll.BDP("912827UQ Govt","ID_ISIN")</f>
        <v>US912827UQ37</v>
      </c>
      <c r="N1079">
        <v>0</v>
      </c>
      <c r="O1079" t="str">
        <f>_xll.BDP("912827UQ Govt","ISSUE_DT")</f>
        <v>3/3/1987</v>
      </c>
      <c r="P1079" t="str">
        <f>_xll.BDP("912827UQ Govt","SECURITY_NAME")</f>
        <v>T 6 5/8 05/15/92</v>
      </c>
      <c r="Q1079" t="str">
        <f>_xll.BDP("912827UQ Govt","DAY_CNT_DES")</f>
        <v>ACT/ACT</v>
      </c>
      <c r="R1079">
        <v>100</v>
      </c>
      <c r="S1079" t="str">
        <f>_xll.BDP("912827UQ Govt","ID_CUSIP")</f>
        <v>912827UQ3</v>
      </c>
      <c r="T1079" t="str">
        <f>_xll.BDP("912827UQ Govt","IDX_RATIO")</f>
        <v>#N/A Field Not Applicable</v>
      </c>
    </row>
    <row r="1080" spans="1:20" x14ac:dyDescent="0.25">
      <c r="A1080" t="s">
        <v>14</v>
      </c>
      <c r="B1080" t="str">
        <f>_xll.BDP("912827UR Govt","TICKER")</f>
        <v>T</v>
      </c>
      <c r="C1080">
        <f>_xll.BDP("912827UR Govt","CPN")</f>
        <v>6.375</v>
      </c>
      <c r="D1080" t="str">
        <f>_xll.BDP("912827UR Govt","YLD_YTM_BID")</f>
        <v>#N/A N/A</v>
      </c>
      <c r="E1080" t="str">
        <f>_xll.BDP("912827UR Govt","MATURITY")</f>
        <v>3/31/1989</v>
      </c>
      <c r="F1080" t="str">
        <f>_xll.BDP("912827UR Govt","MTY_TYP")</f>
        <v>NORMAL</v>
      </c>
      <c r="G1080" t="str">
        <f>_xll.BDP("912827UR Govt","CRNCY")</f>
        <v>USD</v>
      </c>
      <c r="H1080" t="str">
        <f>_xll.BDP("912827UR Govt","COUNTRY_FULL_NAME")</f>
        <v>UNITED STATES</v>
      </c>
      <c r="I1080" t="str">
        <f>_xll.BDP("912827UR Govt","FIRST_CPN_DT")</f>
        <v>9/30/1987</v>
      </c>
      <c r="J1080" t="str">
        <f>_xll.BDP("912827UR Govt","COUPON_FREQUENCY_DESCRIPTION")</f>
        <v>S/A</v>
      </c>
      <c r="K1080" t="str">
        <f>_xll.BDP("912827UR Govt","CPN_TYP")</f>
        <v>FIXED</v>
      </c>
      <c r="L1080" t="str">
        <f>_xll.BDP("912827UR Govt","ID_ISIN")</f>
        <v>US912827UR10</v>
      </c>
      <c r="N1080">
        <v>0</v>
      </c>
      <c r="O1080" t="str">
        <f>_xll.BDP("912827UR Govt","ISSUE_DT")</f>
        <v>3/31/1987</v>
      </c>
      <c r="P1080" t="str">
        <f>_xll.BDP("912827UR Govt","SECURITY_NAME")</f>
        <v>T 6 3/8 03/31/89</v>
      </c>
      <c r="Q1080" t="str">
        <f>_xll.BDP("912827UR Govt","DAY_CNT_DES")</f>
        <v>ACT/ACT</v>
      </c>
      <c r="R1080">
        <v>100</v>
      </c>
      <c r="S1080" t="str">
        <f>_xll.BDP("912827UR Govt","ID_CUSIP")</f>
        <v>912827UR1</v>
      </c>
      <c r="T1080" t="str">
        <f>_xll.BDP("912827UR Govt","IDX_RATIO")</f>
        <v>#N/A Field Not Applicable</v>
      </c>
    </row>
    <row r="1081" spans="1:20" x14ac:dyDescent="0.25">
      <c r="A1081" t="s">
        <v>14</v>
      </c>
      <c r="B1081" t="str">
        <f>_xll.BDP("912827UX Govt","TICKER")</f>
        <v>T</v>
      </c>
      <c r="C1081">
        <f>_xll.BDP("912827UX Govt","CPN")</f>
        <v>8</v>
      </c>
      <c r="D1081" t="str">
        <f>_xll.BDP("912827UX Govt","YLD_YTM_BID")</f>
        <v>#N/A N/A</v>
      </c>
      <c r="E1081" t="str">
        <f>_xll.BDP("912827UX Govt","MATURITY")</f>
        <v>5/31/1989</v>
      </c>
      <c r="F1081" t="str">
        <f>_xll.BDP("912827UX Govt","MTY_TYP")</f>
        <v>NORMAL</v>
      </c>
      <c r="G1081" t="str">
        <f>_xll.BDP("912827UX Govt","CRNCY")</f>
        <v>USD</v>
      </c>
      <c r="H1081" t="str">
        <f>_xll.BDP("912827UX Govt","COUNTRY_FULL_NAME")</f>
        <v>UNITED STATES</v>
      </c>
      <c r="I1081" t="str">
        <f>_xll.BDP("912827UX Govt","FIRST_CPN_DT")</f>
        <v>11/30/1987</v>
      </c>
      <c r="J1081" t="str">
        <f>_xll.BDP("912827UX Govt","COUPON_FREQUENCY_DESCRIPTION")</f>
        <v>S/A</v>
      </c>
      <c r="K1081" t="str">
        <f>_xll.BDP("912827UX Govt","CPN_TYP")</f>
        <v>FIXED</v>
      </c>
      <c r="L1081" t="str">
        <f>_xll.BDP("912827UX Govt","ID_ISIN")</f>
        <v>US912827UX87</v>
      </c>
      <c r="N1081">
        <v>0</v>
      </c>
      <c r="O1081" t="str">
        <f>_xll.BDP("912827UX Govt","ISSUE_DT")</f>
        <v>6/1/1987</v>
      </c>
      <c r="P1081" t="str">
        <f>_xll.BDP("912827UX Govt","SECURITY_NAME")</f>
        <v>T 8 05/31/89</v>
      </c>
      <c r="Q1081" t="str">
        <f>_xll.BDP("912827UX Govt","DAY_CNT_DES")</f>
        <v>ACT/ACT</v>
      </c>
      <c r="R1081">
        <v>100</v>
      </c>
      <c r="S1081" t="str">
        <f>_xll.BDP("912827UX Govt","ID_CUSIP")</f>
        <v>912827UX8</v>
      </c>
      <c r="T1081" t="str">
        <f>_xll.BDP("912827UX Govt","IDX_RATIO")</f>
        <v>#N/A Field Not Applicable</v>
      </c>
    </row>
    <row r="1082" spans="1:20" x14ac:dyDescent="0.25">
      <c r="A1082" t="s">
        <v>14</v>
      </c>
      <c r="B1082" t="str">
        <f>_xll.BDP("912827V2 Govt","TICKER")</f>
        <v>T</v>
      </c>
      <c r="C1082">
        <f>_xll.BDP("912827V2 Govt","CPN")</f>
        <v>6.25</v>
      </c>
      <c r="D1082" t="str">
        <f>_xll.BDP("912827V2 Govt","YLD_YTM_BID")</f>
        <v>#N/A N/A</v>
      </c>
      <c r="E1082" t="str">
        <f>_xll.BDP("912827V2 Govt","MATURITY")</f>
        <v>8/31/2000</v>
      </c>
      <c r="F1082" t="str">
        <f>_xll.BDP("912827V2 Govt","MTY_TYP")</f>
        <v>NORMAL</v>
      </c>
      <c r="G1082" t="str">
        <f>_xll.BDP("912827V2 Govt","CRNCY")</f>
        <v>USD</v>
      </c>
      <c r="H1082" t="str">
        <f>_xll.BDP("912827V2 Govt","COUNTRY_FULL_NAME")</f>
        <v>UNITED STATES</v>
      </c>
      <c r="I1082" t="str">
        <f>_xll.BDP("912827V2 Govt","FIRST_CPN_DT")</f>
        <v>2/29/1996</v>
      </c>
      <c r="J1082" t="str">
        <f>_xll.BDP("912827V2 Govt","COUPON_FREQUENCY_DESCRIPTION")</f>
        <v>S/A</v>
      </c>
      <c r="K1082" t="str">
        <f>_xll.BDP("912827V2 Govt","CPN_TYP")</f>
        <v>FIXED</v>
      </c>
      <c r="L1082" t="str">
        <f>_xll.BDP("912827V2 Govt","ID_ISIN")</f>
        <v>US912827V253</v>
      </c>
      <c r="M1082">
        <v>11922000000</v>
      </c>
      <c r="N1082">
        <v>0</v>
      </c>
      <c r="O1082" t="str">
        <f>_xll.BDP("912827V2 Govt","ISSUE_DT")</f>
        <v>8/31/1995</v>
      </c>
      <c r="P1082" t="str">
        <f>_xll.BDP("912827V2 Govt","SECURITY_NAME")</f>
        <v>T 6 1/4 08/31/00</v>
      </c>
      <c r="Q1082" t="str">
        <f>_xll.BDP("912827V2 Govt","DAY_CNT_DES")</f>
        <v>ACT/ACT</v>
      </c>
      <c r="R1082">
        <v>100</v>
      </c>
      <c r="S1082" t="str">
        <f>_xll.BDP("912827V2 Govt","ID_CUSIP")</f>
        <v>912827V25</v>
      </c>
      <c r="T1082" t="str">
        <f>_xll.BDP("912827V2 Govt","IDX_RATIO")</f>
        <v>#N/A Field Not Applicable</v>
      </c>
    </row>
    <row r="1083" spans="1:20" x14ac:dyDescent="0.25">
      <c r="A1083" t="s">
        <v>14</v>
      </c>
      <c r="B1083" t="str">
        <f>_xll.BDP("912827V5 Govt","TICKER")</f>
        <v>T</v>
      </c>
      <c r="C1083">
        <f>_xll.BDP("912827V5 Govt","CPN")</f>
        <v>5.625</v>
      </c>
      <c r="D1083" t="str">
        <f>_xll.BDP("912827V5 Govt","YLD_YTM_BID")</f>
        <v>#N/A N/A</v>
      </c>
      <c r="E1083" t="str">
        <f>_xll.BDP("912827V5 Govt","MATURITY")</f>
        <v>10/31/1997</v>
      </c>
      <c r="F1083" t="str">
        <f>_xll.BDP("912827V5 Govt","MTY_TYP")</f>
        <v>NORMAL</v>
      </c>
      <c r="G1083" t="str">
        <f>_xll.BDP("912827V5 Govt","CRNCY")</f>
        <v>USD</v>
      </c>
      <c r="H1083" t="str">
        <f>_xll.BDP("912827V5 Govt","COUNTRY_FULL_NAME")</f>
        <v>UNITED STATES</v>
      </c>
      <c r="I1083" t="str">
        <f>_xll.BDP("912827V5 Govt","FIRST_CPN_DT")</f>
        <v>4/30/1996</v>
      </c>
      <c r="J1083" t="str">
        <f>_xll.BDP("912827V5 Govt","COUPON_FREQUENCY_DESCRIPTION")</f>
        <v>S/A</v>
      </c>
      <c r="K1083" t="str">
        <f>_xll.BDP("912827V5 Govt","CPN_TYP")</f>
        <v>FIXED</v>
      </c>
      <c r="L1083" t="str">
        <f>_xll.BDP("912827V5 Govt","ID_ISIN")</f>
        <v>US912827V584</v>
      </c>
      <c r="M1083">
        <v>18840000000</v>
      </c>
      <c r="N1083">
        <v>0</v>
      </c>
      <c r="O1083" t="str">
        <f>_xll.BDP("912827V5 Govt","ISSUE_DT")</f>
        <v>10/31/1995</v>
      </c>
      <c r="P1083" t="str">
        <f>_xll.BDP("912827V5 Govt","SECURITY_NAME")</f>
        <v>T 5 5/8 10/31/97</v>
      </c>
      <c r="Q1083" t="str">
        <f>_xll.BDP("912827V5 Govt","DAY_CNT_DES")</f>
        <v>ACT/ACT</v>
      </c>
      <c r="R1083">
        <v>100</v>
      </c>
      <c r="S1083" t="str">
        <f>_xll.BDP("912827V5 Govt","ID_CUSIP")</f>
        <v>912827V58</v>
      </c>
      <c r="T1083" t="str">
        <f>_xll.BDP("912827V5 Govt","IDX_RATIO")</f>
        <v>#N/A Field Not Applicable</v>
      </c>
    </row>
    <row r="1084" spans="1:20" x14ac:dyDescent="0.25">
      <c r="A1084" t="s">
        <v>14</v>
      </c>
      <c r="B1084" t="str">
        <f>_xll.BDP("912827V6 Govt","TICKER")</f>
        <v>T</v>
      </c>
      <c r="C1084">
        <f>_xll.BDP("912827V6 Govt","CPN")</f>
        <v>5.75</v>
      </c>
      <c r="D1084" t="str">
        <f>_xll.BDP("912827V6 Govt","YLD_YTM_BID")</f>
        <v>#N/A N/A</v>
      </c>
      <c r="E1084" t="str">
        <f>_xll.BDP("912827V6 Govt","MATURITY")</f>
        <v>10/31/2000</v>
      </c>
      <c r="F1084" t="str">
        <f>_xll.BDP("912827V6 Govt","MTY_TYP")</f>
        <v>NORMAL</v>
      </c>
      <c r="G1084" t="str">
        <f>_xll.BDP("912827V6 Govt","CRNCY")</f>
        <v>USD</v>
      </c>
      <c r="H1084" t="str">
        <f>_xll.BDP("912827V6 Govt","COUNTRY_FULL_NAME")</f>
        <v>UNITED STATES</v>
      </c>
      <c r="I1084" t="str">
        <f>_xll.BDP("912827V6 Govt","FIRST_CPN_DT")</f>
        <v>4/30/1996</v>
      </c>
      <c r="J1084" t="str">
        <f>_xll.BDP("912827V6 Govt","COUPON_FREQUENCY_DESCRIPTION")</f>
        <v>S/A</v>
      </c>
      <c r="K1084" t="str">
        <f>_xll.BDP("912827V6 Govt","CPN_TYP")</f>
        <v>FIXED</v>
      </c>
      <c r="L1084" t="str">
        <f>_xll.BDP("912827V6 Govt","ID_ISIN")</f>
        <v>US912827V667</v>
      </c>
      <c r="M1084">
        <v>12080000000</v>
      </c>
      <c r="N1084">
        <v>0</v>
      </c>
      <c r="O1084" t="str">
        <f>_xll.BDP("912827V6 Govt","ISSUE_DT")</f>
        <v>10/31/1995</v>
      </c>
      <c r="P1084" t="str">
        <f>_xll.BDP("912827V6 Govt","SECURITY_NAME")</f>
        <v>T 5 3/4 10/31/00</v>
      </c>
      <c r="Q1084" t="str">
        <f>_xll.BDP("912827V6 Govt","DAY_CNT_DES")</f>
        <v>ACT/ACT</v>
      </c>
      <c r="R1084">
        <v>100</v>
      </c>
      <c r="S1084" t="str">
        <f>_xll.BDP("912827V6 Govt","ID_CUSIP")</f>
        <v>912827V66</v>
      </c>
      <c r="T1084" t="str">
        <f>_xll.BDP("912827V6 Govt","IDX_RATIO")</f>
        <v>#N/A Field Not Applicable</v>
      </c>
    </row>
    <row r="1085" spans="1:20" x14ac:dyDescent="0.25">
      <c r="A1085" t="s">
        <v>14</v>
      </c>
      <c r="B1085" t="str">
        <f>_xll.BDP("912827VD Govt","TICKER")</f>
        <v>T</v>
      </c>
      <c r="C1085">
        <f>_xll.BDP("912827VD Govt","CPN")</f>
        <v>7.875</v>
      </c>
      <c r="D1085" t="str">
        <f>_xll.BDP("912827VD Govt","YLD_YTM_BID")</f>
        <v>#N/A N/A</v>
      </c>
      <c r="E1085" t="str">
        <f>_xll.BDP("912827VD Govt","MATURITY")</f>
        <v>8/15/1990</v>
      </c>
      <c r="F1085" t="str">
        <f>_xll.BDP("912827VD Govt","MTY_TYP")</f>
        <v>NORMAL</v>
      </c>
      <c r="G1085" t="str">
        <f>_xll.BDP("912827VD Govt","CRNCY")</f>
        <v>USD</v>
      </c>
      <c r="H1085" t="str">
        <f>_xll.BDP("912827VD Govt","COUNTRY_FULL_NAME")</f>
        <v>UNITED STATES</v>
      </c>
      <c r="I1085" t="str">
        <f>_xll.BDP("912827VD Govt","FIRST_CPN_DT")</f>
        <v>2/15/1988</v>
      </c>
      <c r="J1085" t="str">
        <f>_xll.BDP("912827VD Govt","COUPON_FREQUENCY_DESCRIPTION")</f>
        <v>S/A</v>
      </c>
      <c r="K1085" t="str">
        <f>_xll.BDP("912827VD Govt","CPN_TYP")</f>
        <v>FIXED</v>
      </c>
      <c r="L1085" t="str">
        <f>_xll.BDP("912827VD Govt","ID_ISIN")</f>
        <v>US912827VD15</v>
      </c>
      <c r="N1085">
        <v>0</v>
      </c>
      <c r="O1085" t="str">
        <f>_xll.BDP("912827VD Govt","ISSUE_DT")</f>
        <v>8/17/1987</v>
      </c>
      <c r="P1085" t="str">
        <f>_xll.BDP("912827VD Govt","SECURITY_NAME")</f>
        <v>T 7 7/8 08/15/90</v>
      </c>
      <c r="Q1085" t="str">
        <f>_xll.BDP("912827VD Govt","DAY_CNT_DES")</f>
        <v>ACT/ACT</v>
      </c>
      <c r="R1085">
        <v>100</v>
      </c>
      <c r="S1085" t="str">
        <f>_xll.BDP("912827VD Govt","ID_CUSIP")</f>
        <v>912827VD1</v>
      </c>
      <c r="T1085" t="str">
        <f>_xll.BDP("912827VD Govt","IDX_RATIO")</f>
        <v>#N/A Field Not Applicable</v>
      </c>
    </row>
    <row r="1086" spans="1:20" x14ac:dyDescent="0.25">
      <c r="A1086" t="s">
        <v>14</v>
      </c>
      <c r="B1086" t="str">
        <f>_xll.BDP("912827VF Govt","TICKER")</f>
        <v>T</v>
      </c>
      <c r="C1086">
        <f>_xll.BDP("912827VF Govt","CPN")</f>
        <v>7.75</v>
      </c>
      <c r="D1086" t="str">
        <f>_xll.BDP("912827VF Govt","YLD_YTM_BID")</f>
        <v>#N/A N/A</v>
      </c>
      <c r="E1086" t="str">
        <f>_xll.BDP("912827VF Govt","MATURITY")</f>
        <v>8/31/1989</v>
      </c>
      <c r="F1086" t="str">
        <f>_xll.BDP("912827VF Govt","MTY_TYP")</f>
        <v>NORMAL</v>
      </c>
      <c r="G1086" t="str">
        <f>_xll.BDP("912827VF Govt","CRNCY")</f>
        <v>USD</v>
      </c>
      <c r="H1086" t="str">
        <f>_xll.BDP("912827VF Govt","COUNTRY_FULL_NAME")</f>
        <v>UNITED STATES</v>
      </c>
      <c r="I1086" t="str">
        <f>_xll.BDP("912827VF Govt","FIRST_CPN_DT")</f>
        <v>2/29/1988</v>
      </c>
      <c r="J1086" t="str">
        <f>_xll.BDP("912827VF Govt","COUPON_FREQUENCY_DESCRIPTION")</f>
        <v>S/A</v>
      </c>
      <c r="K1086" t="str">
        <f>_xll.BDP("912827VF Govt","CPN_TYP")</f>
        <v>FIXED</v>
      </c>
      <c r="L1086" t="str">
        <f>_xll.BDP("912827VF Govt","ID_ISIN")</f>
        <v>US912827VF62</v>
      </c>
      <c r="N1086">
        <v>0</v>
      </c>
      <c r="O1086" t="str">
        <f>_xll.BDP("912827VF Govt","ISSUE_DT")</f>
        <v>8/31/1987</v>
      </c>
      <c r="P1086" t="str">
        <f>_xll.BDP("912827VF Govt","SECURITY_NAME")</f>
        <v>T 7 3/4 08/31/89</v>
      </c>
      <c r="Q1086" t="str">
        <f>_xll.BDP("912827VF Govt","DAY_CNT_DES")</f>
        <v>ACT/ACT</v>
      </c>
      <c r="R1086">
        <v>100</v>
      </c>
      <c r="S1086" t="str">
        <f>_xll.BDP("912827VF Govt","ID_CUSIP")</f>
        <v>912827VF6</v>
      </c>
      <c r="T1086" t="str">
        <f>_xll.BDP("912827VF Govt","IDX_RATIO")</f>
        <v>#N/A Field Not Applicable</v>
      </c>
    </row>
    <row r="1087" spans="1:20" x14ac:dyDescent="0.25">
      <c r="A1087" t="s">
        <v>14</v>
      </c>
      <c r="B1087" t="str">
        <f>_xll.BDP("912827VL Govt","TICKER")</f>
        <v>T</v>
      </c>
      <c r="C1087">
        <f>_xll.BDP("912827VL Govt","CPN")</f>
        <v>7.875</v>
      </c>
      <c r="D1087" t="str">
        <f>_xll.BDP("912827VL Govt","YLD_YTM_BID")</f>
        <v>#N/A N/A</v>
      </c>
      <c r="E1087" t="str">
        <f>_xll.BDP("912827VL Govt","MATURITY")</f>
        <v>10/31/1989</v>
      </c>
      <c r="F1087" t="str">
        <f>_xll.BDP("912827VL Govt","MTY_TYP")</f>
        <v>NORMAL</v>
      </c>
      <c r="G1087" t="str">
        <f>_xll.BDP("912827VL Govt","CRNCY")</f>
        <v>USD</v>
      </c>
      <c r="H1087" t="str">
        <f>_xll.BDP("912827VL Govt","COUNTRY_FULL_NAME")</f>
        <v>UNITED STATES</v>
      </c>
      <c r="I1087" t="str">
        <f>_xll.BDP("912827VL Govt","FIRST_CPN_DT")</f>
        <v>4/30/1988</v>
      </c>
      <c r="J1087" t="str">
        <f>_xll.BDP("912827VL Govt","COUPON_FREQUENCY_DESCRIPTION")</f>
        <v>S/A</v>
      </c>
      <c r="K1087" t="str">
        <f>_xll.BDP("912827VL Govt","CPN_TYP")</f>
        <v>FIXED</v>
      </c>
      <c r="L1087" t="str">
        <f>_xll.BDP("912827VL Govt","ID_ISIN")</f>
        <v>US912827VL31</v>
      </c>
      <c r="N1087">
        <v>0</v>
      </c>
      <c r="O1087" t="str">
        <f>_xll.BDP("912827VL Govt","ISSUE_DT")</f>
        <v>11/2/1987</v>
      </c>
      <c r="P1087" t="str">
        <f>_xll.BDP("912827VL Govt","SECURITY_NAME")</f>
        <v>T 7 7/8 10/31/89</v>
      </c>
      <c r="Q1087" t="str">
        <f>_xll.BDP("912827VL Govt","DAY_CNT_DES")</f>
        <v>ACT/ACT</v>
      </c>
      <c r="R1087">
        <v>100</v>
      </c>
      <c r="S1087" t="str">
        <f>_xll.BDP("912827VL Govt","ID_CUSIP")</f>
        <v>912827VL3</v>
      </c>
      <c r="T1087" t="str">
        <f>_xll.BDP("912827VL Govt","IDX_RATIO")</f>
        <v>#N/A Field Not Applicable</v>
      </c>
    </row>
    <row r="1088" spans="1:20" x14ac:dyDescent="0.25">
      <c r="A1088" t="s">
        <v>14</v>
      </c>
      <c r="B1088" t="str">
        <f>_xll.BDP("912827VM Govt","TICKER")</f>
        <v>T</v>
      </c>
      <c r="C1088">
        <f>_xll.BDP("912827VM Govt","CPN")</f>
        <v>8</v>
      </c>
      <c r="D1088" t="str">
        <f>_xll.BDP("912827VM Govt","YLD_YTM_BID")</f>
        <v>#N/A N/A</v>
      </c>
      <c r="E1088" t="str">
        <f>_xll.BDP("912827VM Govt","MATURITY")</f>
        <v>11/15/1990</v>
      </c>
      <c r="F1088" t="str">
        <f>_xll.BDP("912827VM Govt","MTY_TYP")</f>
        <v>NORMAL</v>
      </c>
      <c r="G1088" t="str">
        <f>_xll.BDP("912827VM Govt","CRNCY")</f>
        <v>USD</v>
      </c>
      <c r="H1088" t="str">
        <f>_xll.BDP("912827VM Govt","COUNTRY_FULL_NAME")</f>
        <v>UNITED STATES</v>
      </c>
      <c r="I1088" t="str">
        <f>_xll.BDP("912827VM Govt","FIRST_CPN_DT")</f>
        <v>5/15/1988</v>
      </c>
      <c r="J1088" t="str">
        <f>_xll.BDP("912827VM Govt","COUPON_FREQUENCY_DESCRIPTION")</f>
        <v>S/A</v>
      </c>
      <c r="K1088" t="str">
        <f>_xll.BDP("912827VM Govt","CPN_TYP")</f>
        <v>FIXED</v>
      </c>
      <c r="L1088" t="str">
        <f>_xll.BDP("912827VM Govt","ID_ISIN")</f>
        <v>US912827VM14</v>
      </c>
      <c r="N1088">
        <v>0</v>
      </c>
      <c r="O1088" t="str">
        <f>_xll.BDP("912827VM Govt","ISSUE_DT")</f>
        <v>11/16/1987</v>
      </c>
      <c r="P1088" t="str">
        <f>_xll.BDP("912827VM Govt","SECURITY_NAME")</f>
        <v>T 8 11/15/90</v>
      </c>
      <c r="Q1088" t="str">
        <f>_xll.BDP("912827VM Govt","DAY_CNT_DES")</f>
        <v>ACT/ACT</v>
      </c>
      <c r="R1088">
        <v>100</v>
      </c>
      <c r="S1088" t="str">
        <f>_xll.BDP("912827VM Govt","ID_CUSIP")</f>
        <v>912827VM1</v>
      </c>
      <c r="T1088" t="str">
        <f>_xll.BDP("912827VM Govt","IDX_RATIO")</f>
        <v>#N/A Field Not Applicable</v>
      </c>
    </row>
    <row r="1089" spans="1:20" x14ac:dyDescent="0.25">
      <c r="A1089" t="s">
        <v>14</v>
      </c>
      <c r="B1089" t="str">
        <f>_xll.BDP("912827VZ Govt","TICKER")</f>
        <v>T</v>
      </c>
      <c r="C1089">
        <f>_xll.BDP("912827VZ Govt","CPN")</f>
        <v>7.375</v>
      </c>
      <c r="D1089" t="str">
        <f>_xll.BDP("912827VZ Govt","YLD_YTM_BID")</f>
        <v>#N/A N/A</v>
      </c>
      <c r="E1089" t="str">
        <f>_xll.BDP("912827VZ Govt","MATURITY")</f>
        <v>3/31/1990</v>
      </c>
      <c r="F1089" t="str">
        <f>_xll.BDP("912827VZ Govt","MTY_TYP")</f>
        <v>NORMAL</v>
      </c>
      <c r="G1089" t="str">
        <f>_xll.BDP("912827VZ Govt","CRNCY")</f>
        <v>USD</v>
      </c>
      <c r="H1089" t="str">
        <f>_xll.BDP("912827VZ Govt","COUNTRY_FULL_NAME")</f>
        <v>UNITED STATES</v>
      </c>
      <c r="I1089" t="str">
        <f>_xll.BDP("912827VZ Govt","FIRST_CPN_DT")</f>
        <v>9/30/1988</v>
      </c>
      <c r="J1089" t="str">
        <f>_xll.BDP("912827VZ Govt","COUPON_FREQUENCY_DESCRIPTION")</f>
        <v>S/A</v>
      </c>
      <c r="K1089" t="str">
        <f>_xll.BDP("912827VZ Govt","CPN_TYP")</f>
        <v>FIXED</v>
      </c>
      <c r="L1089" t="str">
        <f>_xll.BDP("912827VZ Govt","ID_ISIN")</f>
        <v>US912827VZ27</v>
      </c>
      <c r="N1089">
        <v>0</v>
      </c>
      <c r="O1089" t="str">
        <f>_xll.BDP("912827VZ Govt","ISSUE_DT")</f>
        <v>3/31/1988</v>
      </c>
      <c r="P1089" t="str">
        <f>_xll.BDP("912827VZ Govt","SECURITY_NAME")</f>
        <v>T 7 3/8 03/31/90</v>
      </c>
      <c r="Q1089" t="str">
        <f>_xll.BDP("912827VZ Govt","DAY_CNT_DES")</f>
        <v>ACT/ACT</v>
      </c>
      <c r="R1089">
        <v>100</v>
      </c>
      <c r="S1089" t="str">
        <f>_xll.BDP("912827VZ Govt","ID_CUSIP")</f>
        <v>912827VZ2</v>
      </c>
      <c r="T1089" t="str">
        <f>_xll.BDP("912827VZ Govt","IDX_RATIO")</f>
        <v>#N/A Field Not Applicable</v>
      </c>
    </row>
    <row r="1090" spans="1:20" x14ac:dyDescent="0.25">
      <c r="A1090" t="s">
        <v>14</v>
      </c>
      <c r="B1090" t="str">
        <f>_xll.BDP("912827WF Govt","TICKER")</f>
        <v>T</v>
      </c>
      <c r="C1090">
        <f>_xll.BDP("912827WF Govt","CPN")</f>
        <v>8.125</v>
      </c>
      <c r="D1090" t="str">
        <f>_xll.BDP("912827WF Govt","YLD_YTM_BID")</f>
        <v>#N/A N/A</v>
      </c>
      <c r="E1090" t="str">
        <f>_xll.BDP("912827WF Govt","MATURITY")</f>
        <v>5/31/1990</v>
      </c>
      <c r="F1090" t="str">
        <f>_xll.BDP("912827WF Govt","MTY_TYP")</f>
        <v>NORMAL</v>
      </c>
      <c r="G1090" t="str">
        <f>_xll.BDP("912827WF Govt","CRNCY")</f>
        <v>USD</v>
      </c>
      <c r="H1090" t="str">
        <f>_xll.BDP("912827WF Govt","COUNTRY_FULL_NAME")</f>
        <v>UNITED STATES</v>
      </c>
      <c r="I1090" t="str">
        <f>_xll.BDP("912827WF Govt","FIRST_CPN_DT")</f>
        <v>11/30/1988</v>
      </c>
      <c r="J1090" t="str">
        <f>_xll.BDP("912827WF Govt","COUPON_FREQUENCY_DESCRIPTION")</f>
        <v>S/A</v>
      </c>
      <c r="K1090" t="str">
        <f>_xll.BDP("912827WF Govt","CPN_TYP")</f>
        <v>FIXED</v>
      </c>
      <c r="L1090" t="str">
        <f>_xll.BDP("912827WF Govt","ID_ISIN")</f>
        <v>US912827WF53</v>
      </c>
      <c r="N1090">
        <v>0</v>
      </c>
      <c r="O1090" t="str">
        <f>_xll.BDP("912827WF Govt","ISSUE_DT")</f>
        <v>5/31/1988</v>
      </c>
      <c r="P1090" t="str">
        <f>_xll.BDP("912827WF Govt","SECURITY_NAME")</f>
        <v>T 8 1/8 05/31/90</v>
      </c>
      <c r="Q1090" t="str">
        <f>_xll.BDP("912827WF Govt","DAY_CNT_DES")</f>
        <v>ACT/ACT</v>
      </c>
      <c r="R1090">
        <v>100</v>
      </c>
      <c r="S1090" t="str">
        <f>_xll.BDP("912827WF Govt","ID_CUSIP")</f>
        <v>912827WF5</v>
      </c>
      <c r="T1090" t="str">
        <f>_xll.BDP("912827WF Govt","IDX_RATIO")</f>
        <v>#N/A Field Not Applicable</v>
      </c>
    </row>
    <row r="1091" spans="1:20" x14ac:dyDescent="0.25">
      <c r="A1091" t="s">
        <v>14</v>
      </c>
      <c r="B1091" t="str">
        <f>_xll.BDP("912827WG Govt","TICKER")</f>
        <v>T</v>
      </c>
      <c r="C1091">
        <f>_xll.BDP("912827WG Govt","CPN")</f>
        <v>8.75</v>
      </c>
      <c r="D1091" t="str">
        <f>_xll.BDP("912827WG Govt","YLD_YTM_BID")</f>
        <v>#N/A N/A</v>
      </c>
      <c r="E1091" t="str">
        <f>_xll.BDP("912827WG Govt","MATURITY")</f>
        <v>8/15/1993</v>
      </c>
      <c r="F1091" t="str">
        <f>_xll.BDP("912827WG Govt","MTY_TYP")</f>
        <v>NORMAL</v>
      </c>
      <c r="G1091" t="str">
        <f>_xll.BDP("912827WG Govt","CRNCY")</f>
        <v>USD</v>
      </c>
      <c r="H1091" t="str">
        <f>_xll.BDP("912827WG Govt","COUNTRY_FULL_NAME")</f>
        <v>UNITED STATES</v>
      </c>
      <c r="I1091" t="str">
        <f>_xll.BDP("912827WG Govt","FIRST_CPN_DT")</f>
        <v>2/15/1989</v>
      </c>
      <c r="J1091" t="str">
        <f>_xll.BDP("912827WG Govt","COUPON_FREQUENCY_DESCRIPTION")</f>
        <v>S/A</v>
      </c>
      <c r="K1091" t="str">
        <f>_xll.BDP("912827WG Govt","CPN_TYP")</f>
        <v>FIXED</v>
      </c>
      <c r="L1091" t="str">
        <f>_xll.BDP("912827WG Govt","ID_ISIN")</f>
        <v>US912827WG37</v>
      </c>
      <c r="N1091">
        <v>0</v>
      </c>
      <c r="O1091" t="str">
        <f>_xll.BDP("912827WG Govt","ISSUE_DT")</f>
        <v>6/1/1988</v>
      </c>
      <c r="P1091" t="str">
        <f>_xll.BDP("912827WG Govt","SECURITY_NAME")</f>
        <v>T 8 3/4 08/15/93</v>
      </c>
      <c r="Q1091" t="str">
        <f>_xll.BDP("912827WG Govt","DAY_CNT_DES")</f>
        <v>ACT/ACT</v>
      </c>
      <c r="R1091">
        <v>100</v>
      </c>
      <c r="S1091" t="str">
        <f>_xll.BDP("912827WG Govt","ID_CUSIP")</f>
        <v>912827WG3</v>
      </c>
      <c r="T1091" t="str">
        <f>_xll.BDP("912827WG Govt","IDX_RATIO")</f>
        <v>#N/A Field Not Applicable</v>
      </c>
    </row>
    <row r="1092" spans="1:20" x14ac:dyDescent="0.25">
      <c r="A1092" t="s">
        <v>14</v>
      </c>
      <c r="B1092" t="str">
        <f>_xll.BDP("912827WN Govt","TICKER")</f>
        <v>T</v>
      </c>
      <c r="C1092">
        <f>_xll.BDP("912827WN Govt","CPN")</f>
        <v>9.25</v>
      </c>
      <c r="D1092" t="str">
        <f>_xll.BDP("912827WN Govt","YLD_YTM_BID")</f>
        <v>#N/A N/A</v>
      </c>
      <c r="E1092" t="str">
        <f>_xll.BDP("912827WN Govt","MATURITY")</f>
        <v>8/15/1998</v>
      </c>
      <c r="F1092" t="str">
        <f>_xll.BDP("912827WN Govt","MTY_TYP")</f>
        <v>NORMAL</v>
      </c>
      <c r="G1092" t="str">
        <f>_xll.BDP("912827WN Govt","CRNCY")</f>
        <v>USD</v>
      </c>
      <c r="H1092" t="str">
        <f>_xll.BDP("912827WN Govt","COUNTRY_FULL_NAME")</f>
        <v>UNITED STATES</v>
      </c>
      <c r="I1092" t="str">
        <f>_xll.BDP("912827WN Govt","FIRST_CPN_DT")</f>
        <v>2/15/1989</v>
      </c>
      <c r="J1092" t="str">
        <f>_xll.BDP("912827WN Govt","COUPON_FREQUENCY_DESCRIPTION")</f>
        <v>S/A</v>
      </c>
      <c r="K1092" t="str">
        <f>_xll.BDP("912827WN Govt","CPN_TYP")</f>
        <v>FIXED</v>
      </c>
      <c r="L1092" t="str">
        <f>_xll.BDP("912827WN Govt","ID_ISIN")</f>
        <v>US912827WN87</v>
      </c>
      <c r="M1092">
        <v>11343000000</v>
      </c>
      <c r="N1092">
        <v>0</v>
      </c>
      <c r="O1092" t="str">
        <f>_xll.BDP("912827WN Govt","ISSUE_DT")</f>
        <v>8/15/1988</v>
      </c>
      <c r="P1092" t="str">
        <f>_xll.BDP("912827WN Govt","SECURITY_NAME")</f>
        <v>T 9 1/4 08/15/98</v>
      </c>
      <c r="Q1092" t="str">
        <f>_xll.BDP("912827WN Govt","DAY_CNT_DES")</f>
        <v>ACT/ACT</v>
      </c>
      <c r="R1092">
        <v>100</v>
      </c>
      <c r="S1092" t="str">
        <f>_xll.BDP("912827WN Govt","ID_CUSIP")</f>
        <v>912827WN8</v>
      </c>
      <c r="T1092" t="str">
        <f>_xll.BDP("912827WN Govt","IDX_RATIO")</f>
        <v>#N/A Field Not Applicable</v>
      </c>
    </row>
    <row r="1093" spans="1:20" x14ac:dyDescent="0.25">
      <c r="A1093" t="s">
        <v>14</v>
      </c>
      <c r="B1093" t="str">
        <f>_xll.BDP("912827WQ Govt","TICKER")</f>
        <v>T</v>
      </c>
      <c r="C1093">
        <f>_xll.BDP("912827WQ Govt","CPN")</f>
        <v>9</v>
      </c>
      <c r="D1093" t="str">
        <f>_xll.BDP("912827WQ Govt","YLD_YTM_BID")</f>
        <v>#N/A N/A</v>
      </c>
      <c r="E1093" t="str">
        <f>_xll.BDP("912827WQ Govt","MATURITY")</f>
        <v>11/15/1993</v>
      </c>
      <c r="F1093" t="str">
        <f>_xll.BDP("912827WQ Govt","MTY_TYP")</f>
        <v>NORMAL</v>
      </c>
      <c r="G1093" t="str">
        <f>_xll.BDP("912827WQ Govt","CRNCY")</f>
        <v>USD</v>
      </c>
      <c r="H1093" t="str">
        <f>_xll.BDP("912827WQ Govt","COUNTRY_FULL_NAME")</f>
        <v>UNITED STATES</v>
      </c>
      <c r="I1093" t="str">
        <f>_xll.BDP("912827WQ Govt","FIRST_CPN_DT")</f>
        <v>5/15/1989</v>
      </c>
      <c r="J1093" t="str">
        <f>_xll.BDP("912827WQ Govt","COUPON_FREQUENCY_DESCRIPTION")</f>
        <v>S/A</v>
      </c>
      <c r="K1093" t="str">
        <f>_xll.BDP("912827WQ Govt","CPN_TYP")</f>
        <v>FIXED</v>
      </c>
      <c r="L1093" t="str">
        <f>_xll.BDP("912827WQ Govt","ID_ISIN")</f>
        <v>US912827WQ19</v>
      </c>
      <c r="N1093">
        <v>0</v>
      </c>
      <c r="O1093" t="str">
        <f>_xll.BDP("912827WQ Govt","ISSUE_DT")</f>
        <v>9/1/1988</v>
      </c>
      <c r="P1093" t="str">
        <f>_xll.BDP("912827WQ Govt","SECURITY_NAME")</f>
        <v>T 9 11/15/93</v>
      </c>
      <c r="Q1093" t="str">
        <f>_xll.BDP("912827WQ Govt","DAY_CNT_DES")</f>
        <v>ACT/ACT</v>
      </c>
      <c r="R1093">
        <v>100</v>
      </c>
      <c r="S1093" t="str">
        <f>_xll.BDP("912827WQ Govt","ID_CUSIP")</f>
        <v>912827WQ1</v>
      </c>
      <c r="T1093" t="str">
        <f>_xll.BDP("912827WQ Govt","IDX_RATIO")</f>
        <v>#N/A Field Not Applicable</v>
      </c>
    </row>
    <row r="1094" spans="1:20" x14ac:dyDescent="0.25">
      <c r="A1094" t="s">
        <v>14</v>
      </c>
      <c r="B1094" t="str">
        <f>_xll.BDP("912827X3 Govt","TICKER")</f>
        <v>T</v>
      </c>
      <c r="C1094">
        <f>_xll.BDP("912827X3 Govt","CPN")</f>
        <v>6.125</v>
      </c>
      <c r="D1094" t="str">
        <f>_xll.BDP("912827X3 Govt","YLD_YTM_BID")</f>
        <v>#N/A N/A</v>
      </c>
      <c r="E1094" t="str">
        <f>_xll.BDP("912827X3 Govt","MATURITY")</f>
        <v>3/31/1998</v>
      </c>
      <c r="F1094" t="str">
        <f>_xll.BDP("912827X3 Govt","MTY_TYP")</f>
        <v>NORMAL</v>
      </c>
      <c r="G1094" t="str">
        <f>_xll.BDP("912827X3 Govt","CRNCY")</f>
        <v>USD</v>
      </c>
      <c r="H1094" t="str">
        <f>_xll.BDP("912827X3 Govt","COUNTRY_FULL_NAME")</f>
        <v>UNITED STATES</v>
      </c>
      <c r="I1094" t="str">
        <f>_xll.BDP("912827X3 Govt","FIRST_CPN_DT")</f>
        <v>9/30/1996</v>
      </c>
      <c r="J1094" t="str">
        <f>_xll.BDP("912827X3 Govt","COUPON_FREQUENCY_DESCRIPTION")</f>
        <v>S/A</v>
      </c>
      <c r="K1094" t="str">
        <f>_xll.BDP("912827X3 Govt","CPN_TYP")</f>
        <v>FIXED</v>
      </c>
      <c r="L1094" t="str">
        <f>_xll.BDP("912827X3 Govt","ID_ISIN")</f>
        <v>US912827X317</v>
      </c>
      <c r="M1094">
        <v>21720000000</v>
      </c>
      <c r="N1094">
        <v>0</v>
      </c>
      <c r="O1094" t="str">
        <f>_xll.BDP("912827X3 Govt","ISSUE_DT")</f>
        <v>4/10/1996</v>
      </c>
      <c r="P1094" t="str">
        <f>_xll.BDP("912827X3 Govt","SECURITY_NAME")</f>
        <v>T 6 1/8 03/31/98</v>
      </c>
      <c r="Q1094" t="str">
        <f>_xll.BDP("912827X3 Govt","DAY_CNT_DES")</f>
        <v>ACT/ACT</v>
      </c>
      <c r="R1094">
        <v>100</v>
      </c>
      <c r="S1094" t="str">
        <f>_xll.BDP("912827X3 Govt","ID_CUSIP")</f>
        <v>912827X31</v>
      </c>
      <c r="T1094" t="str">
        <f>_xll.BDP("912827X3 Govt","IDX_RATIO")</f>
        <v>#N/A Field Not Applicable</v>
      </c>
    </row>
    <row r="1095" spans="1:20" x14ac:dyDescent="0.25">
      <c r="A1095" t="s">
        <v>14</v>
      </c>
      <c r="B1095" t="str">
        <f>_xll.BDP("912827X7 Govt","TICKER")</f>
        <v>T</v>
      </c>
      <c r="C1095">
        <f>_xll.BDP("912827X7 Govt","CPN")</f>
        <v>6.375</v>
      </c>
      <c r="D1095" t="str">
        <f>_xll.BDP("912827X7 Govt","YLD_YTM_BID")</f>
        <v>#N/A N/A</v>
      </c>
      <c r="E1095" t="str">
        <f>_xll.BDP("912827X7 Govt","MATURITY")</f>
        <v>5/15/1999</v>
      </c>
      <c r="F1095" t="str">
        <f>_xll.BDP("912827X7 Govt","MTY_TYP")</f>
        <v>NORMAL</v>
      </c>
      <c r="G1095" t="str">
        <f>_xll.BDP("912827X7 Govt","CRNCY")</f>
        <v>USD</v>
      </c>
      <c r="H1095" t="str">
        <f>_xll.BDP("912827X7 Govt","COUNTRY_FULL_NAME")</f>
        <v>UNITED STATES</v>
      </c>
      <c r="I1095" t="str">
        <f>_xll.BDP("912827X7 Govt","FIRST_CPN_DT")</f>
        <v>11/15/1996</v>
      </c>
      <c r="J1095" t="str">
        <f>_xll.BDP("912827X7 Govt","COUPON_FREQUENCY_DESCRIPTION")</f>
        <v>S/A</v>
      </c>
      <c r="K1095" t="str">
        <f>_xll.BDP("912827X7 Govt","CPN_TYP")</f>
        <v>FIXED</v>
      </c>
      <c r="L1095" t="str">
        <f>_xll.BDP("912827X7 Govt","ID_ISIN")</f>
        <v>US912827X721</v>
      </c>
      <c r="M1095">
        <v>23360000000</v>
      </c>
      <c r="N1095">
        <v>0</v>
      </c>
      <c r="O1095" t="str">
        <f>_xll.BDP("912827X7 Govt","ISSUE_DT")</f>
        <v>5/15/1996</v>
      </c>
      <c r="P1095" t="str">
        <f>_xll.BDP("912827X7 Govt","SECURITY_NAME")</f>
        <v>T 6 3/8 05/15/99</v>
      </c>
      <c r="Q1095" t="str">
        <f>_xll.BDP("912827X7 Govt","DAY_CNT_DES")</f>
        <v>ACT/ACT</v>
      </c>
      <c r="R1095">
        <v>100</v>
      </c>
      <c r="S1095" t="str">
        <f>_xll.BDP("912827X7 Govt","ID_CUSIP")</f>
        <v>912827X72</v>
      </c>
      <c r="T1095" t="str">
        <f>_xll.BDP("912827X7 Govt","IDX_RATIO")</f>
        <v>#N/A Field Not Applicable</v>
      </c>
    </row>
    <row r="1096" spans="1:20" x14ac:dyDescent="0.25">
      <c r="A1096" t="s">
        <v>14</v>
      </c>
      <c r="B1096" t="str">
        <f>_xll.BDP("912827XQ Govt","TICKER")</f>
        <v>T</v>
      </c>
      <c r="C1096">
        <f>_xll.BDP("912827XQ Govt","CPN")</f>
        <v>8.625</v>
      </c>
      <c r="D1096" t="str">
        <f>_xll.BDP("912827XQ Govt","YLD_YTM_BID")</f>
        <v>#N/A N/A</v>
      </c>
      <c r="E1096" t="str">
        <f>_xll.BDP("912827XQ Govt","MATURITY")</f>
        <v>8/15/1994</v>
      </c>
      <c r="F1096" t="str">
        <f>_xll.BDP("912827XQ Govt","MTY_TYP")</f>
        <v>NORMAL</v>
      </c>
      <c r="G1096" t="str">
        <f>_xll.BDP("912827XQ Govt","CRNCY")</f>
        <v>USD</v>
      </c>
      <c r="H1096" t="str">
        <f>_xll.BDP("912827XQ Govt","COUNTRY_FULL_NAME")</f>
        <v>UNITED STATES</v>
      </c>
      <c r="I1096" t="str">
        <f>_xll.BDP("912827XQ Govt","FIRST_CPN_DT")</f>
        <v>2/15/1990</v>
      </c>
      <c r="J1096" t="str">
        <f>_xll.BDP("912827XQ Govt","COUPON_FREQUENCY_DESCRIPTION")</f>
        <v>S/A</v>
      </c>
      <c r="K1096" t="str">
        <f>_xll.BDP("912827XQ Govt","CPN_TYP")</f>
        <v>FIXED</v>
      </c>
      <c r="L1096" t="str">
        <f>_xll.BDP("912827XQ Govt","ID_ISIN")</f>
        <v>US912827XQ00</v>
      </c>
      <c r="N1096">
        <v>0</v>
      </c>
      <c r="O1096" t="str">
        <f>_xll.BDP("912827XQ Govt","ISSUE_DT")</f>
        <v>6/2/1989</v>
      </c>
      <c r="P1096" t="str">
        <f>_xll.BDP("912827XQ Govt","SECURITY_NAME")</f>
        <v>T 8 5/8 08/15/94</v>
      </c>
      <c r="Q1096" t="str">
        <f>_xll.BDP("912827XQ Govt","DAY_CNT_DES")</f>
        <v>ACT/ACT</v>
      </c>
      <c r="R1096">
        <v>100</v>
      </c>
      <c r="S1096" t="str">
        <f>_xll.BDP("912827XQ Govt","ID_CUSIP")</f>
        <v>912827XQ0</v>
      </c>
      <c r="T1096" t="str">
        <f>_xll.BDP("912827XQ Govt","IDX_RATIO")</f>
        <v>#N/A Field Not Applicable</v>
      </c>
    </row>
    <row r="1097" spans="1:20" x14ac:dyDescent="0.25">
      <c r="A1097" t="s">
        <v>14</v>
      </c>
      <c r="B1097" t="str">
        <f>_xll.BDP("912827XZ Govt","TICKER")</f>
        <v>T</v>
      </c>
      <c r="C1097">
        <f>_xll.BDP("912827XZ Govt","CPN")</f>
        <v>8.375</v>
      </c>
      <c r="D1097" t="str">
        <f>_xll.BDP("912827XZ Govt","YLD_YTM_BID")</f>
        <v>#N/A N/A</v>
      </c>
      <c r="E1097" t="str">
        <f>_xll.BDP("912827XZ Govt","MATURITY")</f>
        <v>9/30/1991</v>
      </c>
      <c r="F1097" t="str">
        <f>_xll.BDP("912827XZ Govt","MTY_TYP")</f>
        <v>NORMAL</v>
      </c>
      <c r="G1097" t="str">
        <f>_xll.BDP("912827XZ Govt","CRNCY")</f>
        <v>USD</v>
      </c>
      <c r="H1097" t="str">
        <f>_xll.BDP("912827XZ Govt","COUNTRY_FULL_NAME")</f>
        <v>UNITED STATES</v>
      </c>
      <c r="I1097" t="str">
        <f>_xll.BDP("912827XZ Govt","FIRST_CPN_DT")</f>
        <v>3/31/1990</v>
      </c>
      <c r="J1097" t="str">
        <f>_xll.BDP("912827XZ Govt","COUPON_FREQUENCY_DESCRIPTION")</f>
        <v>S/A</v>
      </c>
      <c r="K1097" t="str">
        <f>_xll.BDP("912827XZ Govt","CPN_TYP")</f>
        <v>FIXED</v>
      </c>
      <c r="L1097" t="str">
        <f>_xll.BDP("912827XZ Govt","ID_ISIN")</f>
        <v>US912827XZ09</v>
      </c>
      <c r="N1097">
        <v>0</v>
      </c>
      <c r="O1097" t="str">
        <f>_xll.BDP("912827XZ Govt","ISSUE_DT")</f>
        <v>10/2/1989</v>
      </c>
      <c r="P1097" t="str">
        <f>_xll.BDP("912827XZ Govt","SECURITY_NAME")</f>
        <v>T 8 3/8 09/30/91</v>
      </c>
      <c r="Q1097" t="str">
        <f>_xll.BDP("912827XZ Govt","DAY_CNT_DES")</f>
        <v>ACT/ACT</v>
      </c>
      <c r="R1097">
        <v>100</v>
      </c>
      <c r="S1097" t="str">
        <f>_xll.BDP("912827XZ Govt","ID_CUSIP")</f>
        <v>912827XZ0</v>
      </c>
      <c r="T1097" t="str">
        <f>_xll.BDP("912827XZ Govt","IDX_RATIO")</f>
        <v>#N/A Field Not Applicable</v>
      </c>
    </row>
    <row r="1098" spans="1:20" x14ac:dyDescent="0.25">
      <c r="A1098" t="s">
        <v>14</v>
      </c>
      <c r="B1098" t="str">
        <f>_xll.BDP("912827Y2 Govt","TICKER")</f>
        <v>T</v>
      </c>
      <c r="C1098">
        <f>_xll.BDP("912827Y2 Govt","CPN")</f>
        <v>6.5</v>
      </c>
      <c r="D1098" t="str">
        <f>_xll.BDP("912827Y2 Govt","YLD_YTM_BID")</f>
        <v>#N/A N/A</v>
      </c>
      <c r="E1098" t="str">
        <f>_xll.BDP("912827Y2 Govt","MATURITY")</f>
        <v>5/31/2001</v>
      </c>
      <c r="F1098" t="str">
        <f>_xll.BDP("912827Y2 Govt","MTY_TYP")</f>
        <v>NORMAL</v>
      </c>
      <c r="G1098" t="str">
        <f>_xll.BDP("912827Y2 Govt","CRNCY")</f>
        <v>USD</v>
      </c>
      <c r="H1098" t="str">
        <f>_xll.BDP("912827Y2 Govt","COUNTRY_FULL_NAME")</f>
        <v>UNITED STATES</v>
      </c>
      <c r="I1098" t="str">
        <f>_xll.BDP("912827Y2 Govt","FIRST_CPN_DT")</f>
        <v>11/30/1996</v>
      </c>
      <c r="J1098" t="str">
        <f>_xll.BDP("912827Y2 Govt","COUPON_FREQUENCY_DESCRIPTION")</f>
        <v>S/A</v>
      </c>
      <c r="K1098" t="str">
        <f>_xll.BDP("912827Y2 Govt","CPN_TYP")</f>
        <v>FIXED</v>
      </c>
      <c r="L1098" t="str">
        <f>_xll.BDP("912827Y2 Govt","ID_ISIN")</f>
        <v>US912827Y224</v>
      </c>
      <c r="M1098">
        <v>13722000000</v>
      </c>
      <c r="N1098">
        <v>0</v>
      </c>
      <c r="O1098" t="str">
        <f>_xll.BDP("912827Y2 Govt","ISSUE_DT")</f>
        <v>5/31/1996</v>
      </c>
      <c r="P1098" t="str">
        <f>_xll.BDP("912827Y2 Govt","SECURITY_NAME")</f>
        <v>T 6 1/2 05/31/01</v>
      </c>
      <c r="Q1098" t="str">
        <f>_xll.BDP("912827Y2 Govt","DAY_CNT_DES")</f>
        <v>ACT/ACT</v>
      </c>
      <c r="R1098">
        <v>100</v>
      </c>
      <c r="S1098" t="str">
        <f>_xll.BDP("912827Y2 Govt","ID_CUSIP")</f>
        <v>912827Y22</v>
      </c>
      <c r="T1098" t="str">
        <f>_xll.BDP("912827Y2 Govt","IDX_RATIO")</f>
        <v>#N/A Field Not Applicable</v>
      </c>
    </row>
    <row r="1099" spans="1:20" x14ac:dyDescent="0.25">
      <c r="A1099" t="s">
        <v>14</v>
      </c>
      <c r="B1099" t="str">
        <f>_xll.BDP("912827Y6 Govt","TICKER")</f>
        <v>T</v>
      </c>
      <c r="C1099">
        <f>_xll.BDP("912827Y6 Govt","CPN")</f>
        <v>6.25</v>
      </c>
      <c r="D1099" t="str">
        <f>_xll.BDP("912827Y6 Govt","YLD_YTM_BID")</f>
        <v>#N/A N/A</v>
      </c>
      <c r="E1099" t="str">
        <f>_xll.BDP("912827Y6 Govt","MATURITY")</f>
        <v>7/31/1998</v>
      </c>
      <c r="F1099" t="str">
        <f>_xll.BDP("912827Y6 Govt","MTY_TYP")</f>
        <v>NORMAL</v>
      </c>
      <c r="G1099" t="str">
        <f>_xll.BDP("912827Y6 Govt","CRNCY")</f>
        <v>USD</v>
      </c>
      <c r="H1099" t="str">
        <f>_xll.BDP("912827Y6 Govt","COUNTRY_FULL_NAME")</f>
        <v>UNITED STATES</v>
      </c>
      <c r="I1099" t="str">
        <f>_xll.BDP("912827Y6 Govt","FIRST_CPN_DT")</f>
        <v>1/31/1997</v>
      </c>
      <c r="J1099" t="str">
        <f>_xll.BDP("912827Y6 Govt","COUPON_FREQUENCY_DESCRIPTION")</f>
        <v>S/A</v>
      </c>
      <c r="K1099" t="str">
        <f>_xll.BDP("912827Y6 Govt","CPN_TYP")</f>
        <v>FIXED</v>
      </c>
      <c r="L1099" t="str">
        <f>_xll.BDP("912827Y6 Govt","ID_ISIN")</f>
        <v>US912827Y638</v>
      </c>
      <c r="M1099">
        <v>21563000000</v>
      </c>
      <c r="N1099">
        <v>0</v>
      </c>
      <c r="O1099" t="str">
        <f>_xll.BDP("912827Y6 Govt","ISSUE_DT")</f>
        <v>7/31/1996</v>
      </c>
      <c r="P1099" t="str">
        <f>_xll.BDP("912827Y6 Govt","SECURITY_NAME")</f>
        <v>T 6 1/4 07/31/98</v>
      </c>
      <c r="Q1099" t="str">
        <f>_xll.BDP("912827Y6 Govt","DAY_CNT_DES")</f>
        <v>ACT/ACT</v>
      </c>
      <c r="R1099">
        <v>100</v>
      </c>
      <c r="S1099" t="str">
        <f>_xll.BDP("912827Y6 Govt","ID_CUSIP")</f>
        <v>912827Y63</v>
      </c>
      <c r="T1099" t="str">
        <f>_xll.BDP("912827Y6 Govt","IDX_RATIO")</f>
        <v>#N/A Field Not Applicable</v>
      </c>
    </row>
    <row r="1100" spans="1:20" x14ac:dyDescent="0.25">
      <c r="A1100" t="s">
        <v>14</v>
      </c>
      <c r="B1100" t="str">
        <f>_xll.BDP("912827YB Govt","TICKER")</f>
        <v>T</v>
      </c>
      <c r="C1100">
        <f>_xll.BDP("912827YB Govt","CPN")</f>
        <v>8</v>
      </c>
      <c r="D1100" t="str">
        <f>_xll.BDP("912827YB Govt","YLD_YTM_BID")</f>
        <v>#N/A N/A</v>
      </c>
      <c r="E1100" t="str">
        <f>_xll.BDP("912827YB Govt","MATURITY")</f>
        <v>10/15/1996</v>
      </c>
      <c r="F1100" t="str">
        <f>_xll.BDP("912827YB Govt","MTY_TYP")</f>
        <v>NORMAL</v>
      </c>
      <c r="G1100" t="str">
        <f>_xll.BDP("912827YB Govt","CRNCY")</f>
        <v>USD</v>
      </c>
      <c r="H1100" t="str">
        <f>_xll.BDP("912827YB Govt","COUNTRY_FULL_NAME")</f>
        <v>UNITED STATES</v>
      </c>
      <c r="I1100" t="str">
        <f>_xll.BDP("912827YB Govt","FIRST_CPN_DT")</f>
        <v>4/15/1990</v>
      </c>
      <c r="J1100" t="str">
        <f>_xll.BDP("912827YB Govt","COUPON_FREQUENCY_DESCRIPTION")</f>
        <v>S/A</v>
      </c>
      <c r="K1100" t="str">
        <f>_xll.BDP("912827YB Govt","CPN_TYP")</f>
        <v>FIXED</v>
      </c>
      <c r="L1100" t="str">
        <f>_xll.BDP("912827YB Govt","ID_ISIN")</f>
        <v>US912827YB22</v>
      </c>
      <c r="N1100">
        <v>0</v>
      </c>
      <c r="O1100" t="str">
        <f>_xll.BDP("912827YB Govt","ISSUE_DT")</f>
        <v>10/16/1989</v>
      </c>
      <c r="P1100" t="str">
        <f>_xll.BDP("912827YB Govt","SECURITY_NAME")</f>
        <v>T 8 10/15/96</v>
      </c>
      <c r="Q1100" t="str">
        <f>_xll.BDP("912827YB Govt","DAY_CNT_DES")</f>
        <v>ACT/ACT</v>
      </c>
      <c r="R1100">
        <v>100</v>
      </c>
      <c r="S1100" t="str">
        <f>_xll.BDP("912827YB Govt","ID_CUSIP")</f>
        <v>912827YB2</v>
      </c>
      <c r="T1100" t="str">
        <f>_xll.BDP("912827YB Govt","IDX_RATIO")</f>
        <v>#N/A Field Not Applicable</v>
      </c>
    </row>
    <row r="1101" spans="1:20" x14ac:dyDescent="0.25">
      <c r="A1101" t="s">
        <v>14</v>
      </c>
      <c r="B1101" t="str">
        <f>_xll.BDP("912827YT Govt","TICKER")</f>
        <v>T</v>
      </c>
      <c r="C1101">
        <f>_xll.BDP("912827YT Govt","CPN")</f>
        <v>8.5</v>
      </c>
      <c r="D1101" t="str">
        <f>_xll.BDP("912827YT Govt","YLD_YTM_BID")</f>
        <v>#N/A N/A</v>
      </c>
      <c r="E1101" t="str">
        <f>_xll.BDP("912827YT Govt","MATURITY")</f>
        <v>4/15/1997</v>
      </c>
      <c r="F1101" t="str">
        <f>_xll.BDP("912827YT Govt","MTY_TYP")</f>
        <v>NORMAL</v>
      </c>
      <c r="G1101" t="str">
        <f>_xll.BDP("912827YT Govt","CRNCY")</f>
        <v>USD</v>
      </c>
      <c r="H1101" t="str">
        <f>_xll.BDP("912827YT Govt","COUNTRY_FULL_NAME")</f>
        <v>UNITED STATES</v>
      </c>
      <c r="I1101" t="str">
        <f>_xll.BDP("912827YT Govt","FIRST_CPN_DT")</f>
        <v>10/15/1990</v>
      </c>
      <c r="J1101" t="str">
        <f>_xll.BDP("912827YT Govt","COUPON_FREQUENCY_DESCRIPTION")</f>
        <v>S/A</v>
      </c>
      <c r="K1101" t="str">
        <f>_xll.BDP("912827YT Govt","CPN_TYP")</f>
        <v>FIXED</v>
      </c>
      <c r="L1101" t="str">
        <f>_xll.BDP("912827YT Govt","ID_ISIN")</f>
        <v>US912827YT30</v>
      </c>
      <c r="N1101">
        <v>0</v>
      </c>
      <c r="O1101" t="str">
        <f>_xll.BDP("912827YT Govt","ISSUE_DT")</f>
        <v>4/16/1990</v>
      </c>
      <c r="P1101" t="str">
        <f>_xll.BDP("912827YT Govt","SECURITY_NAME")</f>
        <v>T 8 1/2 04/15/97</v>
      </c>
      <c r="Q1101" t="str">
        <f>_xll.BDP("912827YT Govt","DAY_CNT_DES")</f>
        <v>ACT/ACT</v>
      </c>
      <c r="R1101">
        <v>100</v>
      </c>
      <c r="S1101" t="str">
        <f>_xll.BDP("912827YT Govt","ID_CUSIP")</f>
        <v>912827YT3</v>
      </c>
      <c r="T1101" t="str">
        <f>_xll.BDP("912827YT Govt","IDX_RATIO")</f>
        <v>#N/A Field Not Applicable</v>
      </c>
    </row>
    <row r="1102" spans="1:20" x14ac:dyDescent="0.25">
      <c r="A1102" t="s">
        <v>14</v>
      </c>
      <c r="B1102" t="str">
        <f>_xll.BDP("912827Z8 Govt","TICKER")</f>
        <v>T</v>
      </c>
      <c r="C1102">
        <f>_xll.BDP("912827Z8 Govt","CPN")</f>
        <v>6.25</v>
      </c>
      <c r="D1102" t="str">
        <f>_xll.BDP("912827Z8 Govt","YLD_YTM_BID")</f>
        <v>#N/A N/A</v>
      </c>
      <c r="E1102" t="str">
        <f>_xll.BDP("912827Z8 Govt","MATURITY")</f>
        <v>10/31/2001</v>
      </c>
      <c r="F1102" t="str">
        <f>_xll.BDP("912827Z8 Govt","MTY_TYP")</f>
        <v>NORMAL</v>
      </c>
      <c r="G1102" t="str">
        <f>_xll.BDP("912827Z8 Govt","CRNCY")</f>
        <v>USD</v>
      </c>
      <c r="H1102" t="str">
        <f>_xll.BDP("912827Z8 Govt","COUNTRY_FULL_NAME")</f>
        <v>UNITED STATES</v>
      </c>
      <c r="I1102" t="str">
        <f>_xll.BDP("912827Z8 Govt","FIRST_CPN_DT")</f>
        <v>4/30/1997</v>
      </c>
      <c r="J1102" t="str">
        <f>_xll.BDP("912827Z8 Govt","COUPON_FREQUENCY_DESCRIPTION")</f>
        <v>S/A</v>
      </c>
      <c r="K1102" t="str">
        <f>_xll.BDP("912827Z8 Govt","CPN_TYP")</f>
        <v>FIXED</v>
      </c>
      <c r="L1102" t="str">
        <f>_xll.BDP("912827Z8 Govt","ID_ISIN")</f>
        <v>US912827Z882</v>
      </c>
      <c r="M1102">
        <v>14640000000</v>
      </c>
      <c r="N1102">
        <v>0</v>
      </c>
      <c r="O1102" t="str">
        <f>_xll.BDP("912827Z8 Govt","ISSUE_DT")</f>
        <v>10/31/1996</v>
      </c>
      <c r="P1102" t="str">
        <f>_xll.BDP("912827Z8 Govt","SECURITY_NAME")</f>
        <v>T 6 1/4 10/31/01</v>
      </c>
      <c r="Q1102" t="str">
        <f>_xll.BDP("912827Z8 Govt","DAY_CNT_DES")</f>
        <v>ACT/ACT</v>
      </c>
      <c r="R1102">
        <v>100</v>
      </c>
      <c r="S1102" t="str">
        <f>_xll.BDP("912827Z8 Govt","ID_CUSIP")</f>
        <v>912827Z88</v>
      </c>
      <c r="T1102" t="str">
        <f>_xll.BDP("912827Z8 Govt","IDX_RATIO")</f>
        <v>#N/A Field Not Applicable</v>
      </c>
    </row>
    <row r="1103" spans="1:20" x14ac:dyDescent="0.25">
      <c r="A1103" t="s">
        <v>14</v>
      </c>
      <c r="B1103" t="str">
        <f>_xll.BDP("912827ZG Govt","TICKER")</f>
        <v>T</v>
      </c>
      <c r="C1103">
        <f>_xll.BDP("912827ZG Govt","CPN")</f>
        <v>8.5</v>
      </c>
      <c r="D1103" t="str">
        <f>_xll.BDP("912827ZG Govt","YLD_YTM_BID")</f>
        <v>#N/A N/A</v>
      </c>
      <c r="E1103" t="str">
        <f>_xll.BDP("912827ZG Govt","MATURITY")</f>
        <v>11/15/1995</v>
      </c>
      <c r="F1103" t="str">
        <f>_xll.BDP("912827ZG Govt","MTY_TYP")</f>
        <v>NORMAL</v>
      </c>
      <c r="G1103" t="str">
        <f>_xll.BDP("912827ZG Govt","CRNCY")</f>
        <v>USD</v>
      </c>
      <c r="H1103" t="str">
        <f>_xll.BDP("912827ZG Govt","COUNTRY_FULL_NAME")</f>
        <v>UNITED STATES</v>
      </c>
      <c r="I1103" t="str">
        <f>_xll.BDP("912827ZG Govt","FIRST_CPN_DT")</f>
        <v>5/15/1991</v>
      </c>
      <c r="J1103" t="str">
        <f>_xll.BDP("912827ZG Govt","COUPON_FREQUENCY_DESCRIPTION")</f>
        <v>S/A</v>
      </c>
      <c r="K1103" t="str">
        <f>_xll.BDP("912827ZG Govt","CPN_TYP")</f>
        <v>FIXED</v>
      </c>
      <c r="L1103" t="str">
        <f>_xll.BDP("912827ZG Govt","ID_ISIN")</f>
        <v>US912827ZG00</v>
      </c>
      <c r="N1103">
        <v>0</v>
      </c>
      <c r="O1103" t="str">
        <f>_xll.BDP("912827ZG Govt","ISSUE_DT")</f>
        <v>9/4/1990</v>
      </c>
      <c r="P1103" t="str">
        <f>_xll.BDP("912827ZG Govt","SECURITY_NAME")</f>
        <v>T 8 1/2 11/15/95</v>
      </c>
      <c r="Q1103" t="str">
        <f>_xll.BDP("912827ZG Govt","DAY_CNT_DES")</f>
        <v>ACT/ACT</v>
      </c>
      <c r="R1103">
        <v>100</v>
      </c>
      <c r="S1103" t="str">
        <f>_xll.BDP("912827ZG Govt","ID_CUSIP")</f>
        <v>912827ZG0</v>
      </c>
      <c r="T1103" t="str">
        <f>_xll.BDP("912827ZG Govt","IDX_RATIO")</f>
        <v>#N/A Field Not Applicable</v>
      </c>
    </row>
    <row r="1104" spans="1:20" x14ac:dyDescent="0.25">
      <c r="A1104" t="s">
        <v>14</v>
      </c>
      <c r="B1104" t="str">
        <f>_xll.BDP("912827ZW Govt","TICKER")</f>
        <v>T</v>
      </c>
      <c r="C1104">
        <f>_xll.BDP("912827ZW Govt","CPN")</f>
        <v>6.875</v>
      </c>
      <c r="D1104" t="str">
        <f>_xll.BDP("912827ZW Govt","YLD_YTM_BID")</f>
        <v>#N/A N/A</v>
      </c>
      <c r="E1104" t="str">
        <f>_xll.BDP("912827ZW Govt","MATURITY")</f>
        <v>2/15/1994</v>
      </c>
      <c r="F1104" t="str">
        <f>_xll.BDP("912827ZW Govt","MTY_TYP")</f>
        <v>NORMAL</v>
      </c>
      <c r="G1104" t="str">
        <f>_xll.BDP("912827ZW Govt","CRNCY")</f>
        <v>USD</v>
      </c>
      <c r="H1104" t="str">
        <f>_xll.BDP("912827ZW Govt","COUNTRY_FULL_NAME")</f>
        <v>UNITED STATES</v>
      </c>
      <c r="I1104" t="str">
        <f>_xll.BDP("912827ZW Govt","FIRST_CPN_DT")</f>
        <v>8/15/1991</v>
      </c>
      <c r="J1104" t="str">
        <f>_xll.BDP("912827ZW Govt","COUPON_FREQUENCY_DESCRIPTION")</f>
        <v>S/A</v>
      </c>
      <c r="K1104" t="str">
        <f>_xll.BDP("912827ZW Govt","CPN_TYP")</f>
        <v>FIXED</v>
      </c>
      <c r="L1104" t="str">
        <f>_xll.BDP("912827ZW Govt","ID_ISIN")</f>
        <v>US912827ZW59</v>
      </c>
      <c r="N1104">
        <v>0</v>
      </c>
      <c r="O1104" t="str">
        <f>_xll.BDP("912827ZW Govt","ISSUE_DT")</f>
        <v>2/15/1991</v>
      </c>
      <c r="P1104" t="str">
        <f>_xll.BDP("912827ZW Govt","SECURITY_NAME")</f>
        <v>T 6 7/8 02/15/94</v>
      </c>
      <c r="Q1104" t="str">
        <f>_xll.BDP("912827ZW Govt","DAY_CNT_DES")</f>
        <v>ACT/ACT</v>
      </c>
      <c r="R1104">
        <v>100</v>
      </c>
      <c r="S1104" t="str">
        <f>_xll.BDP("912827ZW Govt","ID_CUSIP")</f>
        <v>912827ZW5</v>
      </c>
      <c r="T1104" t="str">
        <f>_xll.BDP("912827ZW Govt","IDX_RATIO")</f>
        <v>#N/A Field Not Applicable</v>
      </c>
    </row>
    <row r="1105" spans="1:20" x14ac:dyDescent="0.25">
      <c r="A1105" t="s">
        <v>14</v>
      </c>
      <c r="B1105" t="str">
        <f>_xll.BDP("9128282G Govt","TICKER")</f>
        <v>T</v>
      </c>
      <c r="C1105">
        <f>_xll.BDP("9128282G Govt","CPN")</f>
        <v>0.875</v>
      </c>
      <c r="D1105" t="str">
        <f>_xll.BDP("9128282G Govt","YLD_YTM_BID")</f>
        <v>#N/A N/A</v>
      </c>
      <c r="E1105" t="str">
        <f>_xll.BDP("9128282G Govt","MATURITY")</f>
        <v>9/15/2019</v>
      </c>
      <c r="F1105" t="str">
        <f>_xll.BDP("9128282G Govt","MTY_TYP")</f>
        <v>NORMAL</v>
      </c>
      <c r="G1105" t="str">
        <f>_xll.BDP("9128282G Govt","CRNCY")</f>
        <v>USD</v>
      </c>
      <c r="H1105" t="str">
        <f>_xll.BDP("9128282G Govt","COUNTRY_FULL_NAME")</f>
        <v>UNITED STATES</v>
      </c>
      <c r="I1105" t="str">
        <f>_xll.BDP("9128282G Govt","FIRST_CPN_DT")</f>
        <v>3/15/2017</v>
      </c>
      <c r="J1105" t="str">
        <f>_xll.BDP("9128282G Govt","COUPON_FREQUENCY_DESCRIPTION")</f>
        <v>S/A</v>
      </c>
      <c r="K1105" t="str">
        <f>_xll.BDP("9128282G Govt","CPN_TYP")</f>
        <v>FIXED</v>
      </c>
      <c r="L1105" t="str">
        <f>_xll.BDP("9128282G Govt","ID_ISIN")</f>
        <v>US9128282G41</v>
      </c>
      <c r="M1105">
        <v>24000000000</v>
      </c>
      <c r="N1105">
        <v>0</v>
      </c>
      <c r="O1105" t="str">
        <f>_xll.BDP("9128282G Govt","ISSUE_DT")</f>
        <v>9/15/2016</v>
      </c>
      <c r="P1105" t="str">
        <f>_xll.BDP("9128282G Govt","SECURITY_NAME")</f>
        <v>T 0 7/8 09/15/19</v>
      </c>
      <c r="Q1105" t="str">
        <f>_xll.BDP("9128282G Govt","DAY_CNT_DES")</f>
        <v>ACT/ACT</v>
      </c>
      <c r="R1105">
        <v>100</v>
      </c>
      <c r="S1105" t="str">
        <f>_xll.BDP("9128282G Govt","ID_CUSIP")</f>
        <v>9128282G4</v>
      </c>
      <c r="T1105" t="str">
        <f>_xll.BDP("9128282G Govt","IDX_RATIO")</f>
        <v>#N/A Field Not Applicable</v>
      </c>
    </row>
    <row r="1106" spans="1:20" x14ac:dyDescent="0.25">
      <c r="A1106" t="s">
        <v>14</v>
      </c>
      <c r="B1106" t="str">
        <f>_xll.BDP("9128284B Govt","TICKER")</f>
        <v>T</v>
      </c>
      <c r="C1106">
        <f>_xll.BDP("9128284B Govt","CPN")</f>
        <v>2.375</v>
      </c>
      <c r="D1106" t="str">
        <f>_xll.BDP("9128284B Govt","YLD_YTM_BID")</f>
        <v>#N/A N/A</v>
      </c>
      <c r="E1106" t="str">
        <f>_xll.BDP("9128284B Govt","MATURITY")</f>
        <v>3/15/2021</v>
      </c>
      <c r="F1106" t="str">
        <f>_xll.BDP("9128284B Govt","MTY_TYP")</f>
        <v>NORMAL</v>
      </c>
      <c r="G1106" t="str">
        <f>_xll.BDP("9128284B Govt","CRNCY")</f>
        <v>USD</v>
      </c>
      <c r="H1106" t="str">
        <f>_xll.BDP("9128284B Govt","COUNTRY_FULL_NAME")</f>
        <v>UNITED STATES</v>
      </c>
      <c r="I1106" t="str">
        <f>_xll.BDP("9128284B Govt","FIRST_CPN_DT")</f>
        <v>9/15/2018</v>
      </c>
      <c r="J1106" t="str">
        <f>_xll.BDP("9128284B Govt","COUPON_FREQUENCY_DESCRIPTION")</f>
        <v>S/A</v>
      </c>
      <c r="K1106" t="str">
        <f>_xll.BDP("9128284B Govt","CPN_TYP")</f>
        <v>FIXED</v>
      </c>
      <c r="L1106" t="str">
        <f>_xll.BDP("9128284B Govt","ID_ISIN")</f>
        <v>US9128284B36</v>
      </c>
      <c r="M1106">
        <v>28001000000</v>
      </c>
      <c r="N1106">
        <v>0</v>
      </c>
      <c r="O1106" t="str">
        <f>_xll.BDP("9128284B Govt","ISSUE_DT")</f>
        <v>3/15/2018</v>
      </c>
      <c r="P1106" t="str">
        <f>_xll.BDP("9128284B Govt","SECURITY_NAME")</f>
        <v>T 2 3/8 03/15/21</v>
      </c>
      <c r="Q1106" t="str">
        <f>_xll.BDP("9128284B Govt","DAY_CNT_DES")</f>
        <v>ACT/ACT</v>
      </c>
      <c r="R1106">
        <v>100</v>
      </c>
      <c r="S1106" t="str">
        <f>_xll.BDP("9128284B Govt","ID_CUSIP")</f>
        <v>9128284B3</v>
      </c>
      <c r="T1106" t="str">
        <f>_xll.BDP("9128284B Govt","IDX_RATIO")</f>
        <v>#N/A Field Not Applicable</v>
      </c>
    </row>
    <row r="1107" spans="1:20" x14ac:dyDescent="0.25">
      <c r="A1107" t="s">
        <v>14</v>
      </c>
      <c r="B1107" t="str">
        <f>_xll.BDP("912828AH Govt","TICKER")</f>
        <v>T</v>
      </c>
      <c r="C1107">
        <f>_xll.BDP("912828AH Govt","CPN")</f>
        <v>3.25</v>
      </c>
      <c r="D1107" t="str">
        <f>_xll.BDP("912828AH Govt","YLD_YTM_BID")</f>
        <v>#N/A N/A</v>
      </c>
      <c r="E1107" t="str">
        <f>_xll.BDP("912828AH Govt","MATURITY")</f>
        <v>8/15/2007</v>
      </c>
      <c r="F1107" t="str">
        <f>_xll.BDP("912828AH Govt","MTY_TYP")</f>
        <v>NORMAL</v>
      </c>
      <c r="G1107" t="str">
        <f>_xll.BDP("912828AH Govt","CRNCY")</f>
        <v>USD</v>
      </c>
      <c r="H1107" t="str">
        <f>_xll.BDP("912828AH Govt","COUNTRY_FULL_NAME")</f>
        <v>UNITED STATES</v>
      </c>
      <c r="I1107" t="str">
        <f>_xll.BDP("912828AH Govt","FIRST_CPN_DT")</f>
        <v>2/15/2003</v>
      </c>
      <c r="J1107" t="str">
        <f>_xll.BDP("912828AH Govt","COUPON_FREQUENCY_DESCRIPTION")</f>
        <v>S/A</v>
      </c>
      <c r="K1107" t="str">
        <f>_xll.BDP("912828AH Govt","CPN_TYP")</f>
        <v>FIXED</v>
      </c>
      <c r="L1107" t="str">
        <f>_xll.BDP("912828AH Govt","ID_ISIN")</f>
        <v>US912828AH31</v>
      </c>
      <c r="M1107">
        <v>25411000000</v>
      </c>
      <c r="N1107">
        <v>0</v>
      </c>
      <c r="O1107" t="str">
        <f>_xll.BDP("912828AH Govt","ISSUE_DT")</f>
        <v>8/15/2002</v>
      </c>
      <c r="P1107" t="str">
        <f>_xll.BDP("912828AH Govt","SECURITY_NAME")</f>
        <v>T 3 1/4 08/15/07</v>
      </c>
      <c r="Q1107" t="str">
        <f>_xll.BDP("912828AH Govt","DAY_CNT_DES")</f>
        <v>ACT/ACT</v>
      </c>
      <c r="R1107">
        <v>100</v>
      </c>
      <c r="S1107" t="str">
        <f>_xll.BDP("912828AH Govt","ID_CUSIP")</f>
        <v>912828AH3</v>
      </c>
      <c r="T1107" t="str">
        <f>_xll.BDP("912828AH Govt","IDX_RATIO")</f>
        <v>#N/A Field Not Applicable</v>
      </c>
    </row>
    <row r="1108" spans="1:20" x14ac:dyDescent="0.25">
      <c r="A1108" t="s">
        <v>14</v>
      </c>
      <c r="B1108" t="str">
        <f>_xll.BDP("912828B3 Govt","TICKER")</f>
        <v>T</v>
      </c>
      <c r="C1108">
        <f>_xll.BDP("912828B3 Govt","CPN")</f>
        <v>1.5</v>
      </c>
      <c r="D1108" t="str">
        <f>_xll.BDP("912828B3 Govt","YLD_YTM_BID")</f>
        <v>#N/A N/A</v>
      </c>
      <c r="E1108" t="str">
        <f>_xll.BDP("912828B3 Govt","MATURITY")</f>
        <v>1/31/2019</v>
      </c>
      <c r="F1108" t="str">
        <f>_xll.BDP("912828B3 Govt","MTY_TYP")</f>
        <v>NORMAL</v>
      </c>
      <c r="G1108" t="str">
        <f>_xll.BDP("912828B3 Govt","CRNCY")</f>
        <v>USD</v>
      </c>
      <c r="H1108" t="str">
        <f>_xll.BDP("912828B3 Govt","COUNTRY_FULL_NAME")</f>
        <v>UNITED STATES</v>
      </c>
      <c r="I1108" t="str">
        <f>_xll.BDP("912828B3 Govt","FIRST_CPN_DT")</f>
        <v>7/31/2014</v>
      </c>
      <c r="J1108" t="str">
        <f>_xll.BDP("912828B3 Govt","COUPON_FREQUENCY_DESCRIPTION")</f>
        <v>S/A</v>
      </c>
      <c r="K1108" t="str">
        <f>_xll.BDP("912828B3 Govt","CPN_TYP")</f>
        <v>FIXED</v>
      </c>
      <c r="L1108" t="str">
        <f>_xll.BDP("912828B3 Govt","ID_ISIN")</f>
        <v>US912828B337</v>
      </c>
      <c r="M1108">
        <v>35000000000</v>
      </c>
      <c r="N1108">
        <v>0</v>
      </c>
      <c r="O1108" t="str">
        <f>_xll.BDP("912828B3 Govt","ISSUE_DT")</f>
        <v>1/31/2014</v>
      </c>
      <c r="P1108" t="str">
        <f>_xll.BDP("912828B3 Govt","SECURITY_NAME")</f>
        <v>T 1 1/2 01/31/19</v>
      </c>
      <c r="Q1108" t="str">
        <f>_xll.BDP("912828B3 Govt","DAY_CNT_DES")</f>
        <v>ACT/ACT</v>
      </c>
      <c r="R1108">
        <v>100</v>
      </c>
      <c r="S1108" t="str">
        <f>_xll.BDP("912828B3 Govt","ID_CUSIP")</f>
        <v>912828B33</v>
      </c>
      <c r="T1108" t="str">
        <f>_xll.BDP("912828B3 Govt","IDX_RATIO")</f>
        <v>#N/A Field Not Applicable</v>
      </c>
    </row>
    <row r="1109" spans="1:20" x14ac:dyDescent="0.25">
      <c r="A1109" t="s">
        <v>14</v>
      </c>
      <c r="B1109" t="str">
        <f>_xll.BDP("912828DE Govt","TICKER")</f>
        <v>T</v>
      </c>
      <c r="C1109">
        <f>_xll.BDP("912828DE Govt","CPN")</f>
        <v>3.5</v>
      </c>
      <c r="D1109" t="str">
        <f>_xll.BDP("912828DE Govt","YLD_YTM_BID")</f>
        <v>#N/A N/A</v>
      </c>
      <c r="E1109" t="str">
        <f>_xll.BDP("912828DE Govt","MATURITY")</f>
        <v>12/15/2009</v>
      </c>
      <c r="F1109" t="str">
        <f>_xll.BDP("912828DE Govt","MTY_TYP")</f>
        <v>NORMAL</v>
      </c>
      <c r="G1109" t="str">
        <f>_xll.BDP("912828DE Govt","CRNCY")</f>
        <v>USD</v>
      </c>
      <c r="H1109" t="str">
        <f>_xll.BDP("912828DE Govt","COUNTRY_FULL_NAME")</f>
        <v>UNITED STATES</v>
      </c>
      <c r="I1109" t="str">
        <f>_xll.BDP("912828DE Govt","FIRST_CPN_DT")</f>
        <v>6/15/2005</v>
      </c>
      <c r="J1109" t="str">
        <f>_xll.BDP("912828DE Govt","COUPON_FREQUENCY_DESCRIPTION")</f>
        <v>S/A</v>
      </c>
      <c r="K1109" t="str">
        <f>_xll.BDP("912828DE Govt","CPN_TYP")</f>
        <v>FIXED</v>
      </c>
      <c r="L1109" t="str">
        <f>_xll.BDP("912828DE Govt","ID_ISIN")</f>
        <v>US912828DE72</v>
      </c>
      <c r="M1109">
        <v>15002000000</v>
      </c>
      <c r="N1109">
        <v>0</v>
      </c>
      <c r="O1109" t="str">
        <f>_xll.BDP("912828DE Govt","ISSUE_DT")</f>
        <v>12/15/2004</v>
      </c>
      <c r="P1109" t="str">
        <f>_xll.BDP("912828DE Govt","SECURITY_NAME")</f>
        <v>T 3 1/2 12/15/09</v>
      </c>
      <c r="Q1109" t="str">
        <f>_xll.BDP("912828DE Govt","DAY_CNT_DES")</f>
        <v>ACT/ACT</v>
      </c>
      <c r="R1109">
        <v>100</v>
      </c>
      <c r="S1109" t="str">
        <f>_xll.BDP("912828DE Govt","ID_CUSIP")</f>
        <v>912828DE7</v>
      </c>
      <c r="T1109" t="str">
        <f>_xll.BDP("912828DE Govt","IDX_RATIO")</f>
        <v>#N/A Field Not Applicable</v>
      </c>
    </row>
    <row r="1110" spans="1:20" x14ac:dyDescent="0.25">
      <c r="A1110" t="s">
        <v>14</v>
      </c>
      <c r="B1110" t="str">
        <f>_xll.BDP("912828DG Govt","TICKER")</f>
        <v>T</v>
      </c>
      <c r="C1110">
        <f>_xll.BDP("912828DG Govt","CPN")</f>
        <v>3.625</v>
      </c>
      <c r="D1110" t="str">
        <f>_xll.BDP("912828DG Govt","YLD_YTM_BID")</f>
        <v>#N/A N/A</v>
      </c>
      <c r="E1110" t="str">
        <f>_xll.BDP("912828DG Govt","MATURITY")</f>
        <v>1/15/2010</v>
      </c>
      <c r="F1110" t="str">
        <f>_xll.BDP("912828DG Govt","MTY_TYP")</f>
        <v>NORMAL</v>
      </c>
      <c r="G1110" t="str">
        <f>_xll.BDP("912828DG Govt","CRNCY")</f>
        <v>USD</v>
      </c>
      <c r="H1110" t="str">
        <f>_xll.BDP("912828DG Govt","COUNTRY_FULL_NAME")</f>
        <v>UNITED STATES</v>
      </c>
      <c r="I1110" t="str">
        <f>_xll.BDP("912828DG Govt","FIRST_CPN_DT")</f>
        <v>7/15/2005</v>
      </c>
      <c r="J1110" t="str">
        <f>_xll.BDP("912828DG Govt","COUPON_FREQUENCY_DESCRIPTION")</f>
        <v>S/A</v>
      </c>
      <c r="K1110" t="str">
        <f>_xll.BDP("912828DG Govt","CPN_TYP")</f>
        <v>FIXED</v>
      </c>
      <c r="L1110" t="str">
        <f>_xll.BDP("912828DG Govt","ID_ISIN")</f>
        <v>US912828DG21</v>
      </c>
      <c r="M1110">
        <v>15005000000</v>
      </c>
      <c r="N1110">
        <v>0</v>
      </c>
      <c r="O1110" t="str">
        <f>_xll.BDP("912828DG Govt","ISSUE_DT")</f>
        <v>1/18/2005</v>
      </c>
      <c r="P1110" t="str">
        <f>_xll.BDP("912828DG Govt","SECURITY_NAME")</f>
        <v>T 3 5/8 01/15/10</v>
      </c>
      <c r="Q1110" t="str">
        <f>_xll.BDP("912828DG Govt","DAY_CNT_DES")</f>
        <v>ACT/ACT</v>
      </c>
      <c r="R1110">
        <v>100</v>
      </c>
      <c r="S1110" t="str">
        <f>_xll.BDP("912828DG Govt","ID_CUSIP")</f>
        <v>912828DG2</v>
      </c>
      <c r="T1110" t="str">
        <f>_xll.BDP("912828DG Govt","IDX_RATIO")</f>
        <v>#N/A Field Not Applicable</v>
      </c>
    </row>
    <row r="1111" spans="1:20" x14ac:dyDescent="0.25">
      <c r="A1111" t="s">
        <v>14</v>
      </c>
      <c r="B1111" t="str">
        <f>_xll.BDP("912828DJ Govt","TICKER")</f>
        <v>T</v>
      </c>
      <c r="C1111">
        <f>_xll.BDP("912828DJ Govt","CPN")</f>
        <v>3.125</v>
      </c>
      <c r="D1111" t="str">
        <f>_xll.BDP("912828DJ Govt","YLD_YTM_BID")</f>
        <v>#N/A N/A</v>
      </c>
      <c r="E1111" t="str">
        <f>_xll.BDP("912828DJ Govt","MATURITY")</f>
        <v>1/31/2007</v>
      </c>
      <c r="F1111" t="str">
        <f>_xll.BDP("912828DJ Govt","MTY_TYP")</f>
        <v>NORMAL</v>
      </c>
      <c r="G1111" t="str">
        <f>_xll.BDP("912828DJ Govt","CRNCY")</f>
        <v>USD</v>
      </c>
      <c r="H1111" t="str">
        <f>_xll.BDP("912828DJ Govt","COUNTRY_FULL_NAME")</f>
        <v>UNITED STATES</v>
      </c>
      <c r="I1111" t="str">
        <f>_xll.BDP("912828DJ Govt","FIRST_CPN_DT")</f>
        <v>7/31/2005</v>
      </c>
      <c r="J1111" t="str">
        <f>_xll.BDP("912828DJ Govt","COUPON_FREQUENCY_DESCRIPTION")</f>
        <v>S/A</v>
      </c>
      <c r="K1111" t="str">
        <f>_xll.BDP("912828DJ Govt","CPN_TYP")</f>
        <v>FIXED</v>
      </c>
      <c r="L1111" t="str">
        <f>_xll.BDP("912828DJ Govt","ID_ISIN")</f>
        <v>US912828DJ69</v>
      </c>
      <c r="M1111">
        <v>29027000000</v>
      </c>
      <c r="N1111">
        <v>0</v>
      </c>
      <c r="O1111" t="str">
        <f>_xll.BDP("912828DJ Govt","ISSUE_DT")</f>
        <v>1/31/2005</v>
      </c>
      <c r="P1111" t="str">
        <f>_xll.BDP("912828DJ Govt","SECURITY_NAME")</f>
        <v>T 3 1/8 01/31/07</v>
      </c>
      <c r="Q1111" t="str">
        <f>_xll.BDP("912828DJ Govt","DAY_CNT_DES")</f>
        <v>ACT/ACT</v>
      </c>
      <c r="R1111">
        <v>100</v>
      </c>
      <c r="S1111" t="str">
        <f>_xll.BDP("912828DJ Govt","ID_CUSIP")</f>
        <v>912828DJ6</v>
      </c>
      <c r="T1111" t="str">
        <f>_xll.BDP("912828DJ Govt","IDX_RATIO")</f>
        <v>#N/A Field Not Applicable</v>
      </c>
    </row>
    <row r="1112" spans="1:20" x14ac:dyDescent="0.25">
      <c r="A1112" t="s">
        <v>14</v>
      </c>
      <c r="B1112" t="str">
        <f>_xll.BDP("912828DQ Govt","TICKER")</f>
        <v>T</v>
      </c>
      <c r="C1112">
        <f>_xll.BDP("912828DQ Govt","CPN")</f>
        <v>3.75</v>
      </c>
      <c r="D1112" t="str">
        <f>_xll.BDP("912828DQ Govt","YLD_YTM_BID")</f>
        <v>#N/A N/A</v>
      </c>
      <c r="E1112" t="str">
        <f>_xll.BDP("912828DQ Govt","MATURITY")</f>
        <v>3/31/2007</v>
      </c>
      <c r="F1112" t="str">
        <f>_xll.BDP("912828DQ Govt","MTY_TYP")</f>
        <v>NORMAL</v>
      </c>
      <c r="G1112" t="str">
        <f>_xll.BDP("912828DQ Govt","CRNCY")</f>
        <v>USD</v>
      </c>
      <c r="H1112" t="str">
        <f>_xll.BDP("912828DQ Govt","COUNTRY_FULL_NAME")</f>
        <v>UNITED STATES</v>
      </c>
      <c r="I1112" t="str">
        <f>_xll.BDP("912828DQ Govt","FIRST_CPN_DT")</f>
        <v>9/30/2005</v>
      </c>
      <c r="J1112" t="str">
        <f>_xll.BDP("912828DQ Govt","COUPON_FREQUENCY_DESCRIPTION")</f>
        <v>S/A</v>
      </c>
      <c r="K1112" t="str">
        <f>_xll.BDP("912828DQ Govt","CPN_TYP")</f>
        <v>FIXED</v>
      </c>
      <c r="L1112" t="str">
        <f>_xll.BDP("912828DQ Govt","ID_ISIN")</f>
        <v>US912828DQ03</v>
      </c>
      <c r="M1112">
        <v>32001000000</v>
      </c>
      <c r="N1112">
        <v>0</v>
      </c>
      <c r="O1112" t="str">
        <f>_xll.BDP("912828DQ Govt","ISSUE_DT")</f>
        <v>3/31/2005</v>
      </c>
      <c r="P1112" t="str">
        <f>_xll.BDP("912828DQ Govt","SECURITY_NAME")</f>
        <v>T 3 3/4 03/31/07</v>
      </c>
      <c r="Q1112" t="str">
        <f>_xll.BDP("912828DQ Govt","DAY_CNT_DES")</f>
        <v>ACT/ACT</v>
      </c>
      <c r="R1112">
        <v>100</v>
      </c>
      <c r="S1112" t="str">
        <f>_xll.BDP("912828DQ Govt","ID_CUSIP")</f>
        <v>912828DQ0</v>
      </c>
      <c r="T1112" t="str">
        <f>_xll.BDP("912828DQ Govt","IDX_RATIO")</f>
        <v>#N/A Field Not Applicable</v>
      </c>
    </row>
    <row r="1113" spans="1:20" x14ac:dyDescent="0.25">
      <c r="A1113" t="s">
        <v>14</v>
      </c>
      <c r="B1113" t="str">
        <f>_xll.BDP("912828EB Govt","TICKER")</f>
        <v>T</v>
      </c>
      <c r="C1113">
        <f>_xll.BDP("912828EB Govt","CPN")</f>
        <v>3.875</v>
      </c>
      <c r="D1113" t="str">
        <f>_xll.BDP("912828EB Govt","YLD_YTM_BID")</f>
        <v>#N/A N/A</v>
      </c>
      <c r="E1113" t="str">
        <f>_xll.BDP("912828EB Govt","MATURITY")</f>
        <v>7/31/2007</v>
      </c>
      <c r="F1113" t="str">
        <f>_xll.BDP("912828EB Govt","MTY_TYP")</f>
        <v>NORMAL</v>
      </c>
      <c r="G1113" t="str">
        <f>_xll.BDP("912828EB Govt","CRNCY")</f>
        <v>USD</v>
      </c>
      <c r="H1113" t="str">
        <f>_xll.BDP("912828EB Govt","COUNTRY_FULL_NAME")</f>
        <v>UNITED STATES</v>
      </c>
      <c r="I1113" t="str">
        <f>_xll.BDP("912828EB Govt","FIRST_CPN_DT")</f>
        <v>1/31/2006</v>
      </c>
      <c r="J1113" t="str">
        <f>_xll.BDP("912828EB Govt","COUPON_FREQUENCY_DESCRIPTION")</f>
        <v>S/A</v>
      </c>
      <c r="K1113" t="str">
        <f>_xll.BDP("912828EB Govt","CPN_TYP")</f>
        <v>FIXED</v>
      </c>
      <c r="L1113" t="str">
        <f>_xll.BDP("912828EB Govt","ID_ISIN")</f>
        <v>US912828EB25</v>
      </c>
      <c r="M1113">
        <v>25870000000</v>
      </c>
      <c r="N1113">
        <v>0</v>
      </c>
      <c r="O1113" t="str">
        <f>_xll.BDP("912828EB Govt","ISSUE_DT")</f>
        <v>8/1/2005</v>
      </c>
      <c r="P1113" t="str">
        <f>_xll.BDP("912828EB Govt","SECURITY_NAME")</f>
        <v>T 3 7/8 07/31/07</v>
      </c>
      <c r="Q1113" t="str">
        <f>_xll.BDP("912828EB Govt","DAY_CNT_DES")</f>
        <v>ACT/ACT</v>
      </c>
      <c r="R1113">
        <v>100</v>
      </c>
      <c r="S1113" t="str">
        <f>_xll.BDP("912828EB Govt","ID_CUSIP")</f>
        <v>912828EB2</v>
      </c>
      <c r="T1113" t="str">
        <f>_xll.BDP("912828EB Govt","IDX_RATIO")</f>
        <v>#N/A Field Not Applicable</v>
      </c>
    </row>
    <row r="1114" spans="1:20" x14ac:dyDescent="0.25">
      <c r="A1114" t="s">
        <v>14</v>
      </c>
      <c r="B1114" t="str">
        <f>_xll.BDP("912828EH Govt","TICKER")</f>
        <v>T</v>
      </c>
      <c r="C1114">
        <f>_xll.BDP("912828EH Govt","CPN")</f>
        <v>4</v>
      </c>
      <c r="D1114" t="str">
        <f>_xll.BDP("912828EH Govt","YLD_YTM_BID")</f>
        <v>#N/A N/A</v>
      </c>
      <c r="E1114" t="str">
        <f>_xll.BDP("912828EH Govt","MATURITY")</f>
        <v>9/30/2007</v>
      </c>
      <c r="F1114" t="str">
        <f>_xll.BDP("912828EH Govt","MTY_TYP")</f>
        <v>NORMAL</v>
      </c>
      <c r="G1114" t="str">
        <f>_xll.BDP("912828EH Govt","CRNCY")</f>
        <v>USD</v>
      </c>
      <c r="H1114" t="str">
        <f>_xll.BDP("912828EH Govt","COUNTRY_FULL_NAME")</f>
        <v>UNITED STATES</v>
      </c>
      <c r="I1114" t="str">
        <f>_xll.BDP("912828EH Govt","FIRST_CPN_DT")</f>
        <v>3/31/2006</v>
      </c>
      <c r="J1114" t="str">
        <f>_xll.BDP("912828EH Govt","COUPON_FREQUENCY_DESCRIPTION")</f>
        <v>S/A</v>
      </c>
      <c r="K1114" t="str">
        <f>_xll.BDP("912828EH Govt","CPN_TYP")</f>
        <v>FIXED</v>
      </c>
      <c r="L1114" t="str">
        <f>_xll.BDP("912828EH Govt","ID_ISIN")</f>
        <v>US912828EH94</v>
      </c>
      <c r="M1114">
        <v>26591000000</v>
      </c>
      <c r="N1114">
        <v>0</v>
      </c>
      <c r="O1114" t="str">
        <f>_xll.BDP("912828EH Govt","ISSUE_DT")</f>
        <v>9/30/2005</v>
      </c>
      <c r="P1114" t="str">
        <f>_xll.BDP("912828EH Govt","SECURITY_NAME")</f>
        <v>T 4 09/30/07</v>
      </c>
      <c r="Q1114" t="str">
        <f>_xll.BDP("912828EH Govt","DAY_CNT_DES")</f>
        <v>ACT/ACT</v>
      </c>
      <c r="R1114">
        <v>100</v>
      </c>
      <c r="S1114" t="str">
        <f>_xll.BDP("912828EH Govt","ID_CUSIP")</f>
        <v>912828EH9</v>
      </c>
      <c r="T1114" t="str">
        <f>_xll.BDP("912828EH Govt","IDX_RATIO")</f>
        <v>#N/A Field Not Applicable</v>
      </c>
    </row>
    <row r="1115" spans="1:20" x14ac:dyDescent="0.25">
      <c r="A1115" t="s">
        <v>14</v>
      </c>
      <c r="B1115" t="str">
        <f>_xll.BDP("912828EM Govt","TICKER")</f>
        <v>T</v>
      </c>
      <c r="C1115">
        <f>_xll.BDP("912828EM Govt","CPN")</f>
        <v>4.5</v>
      </c>
      <c r="D1115" t="str">
        <f>_xll.BDP("912828EM Govt","YLD_YTM_BID")</f>
        <v>#N/A N/A</v>
      </c>
      <c r="E1115" t="str">
        <f>_xll.BDP("912828EM Govt","MATURITY")</f>
        <v>11/15/2010</v>
      </c>
      <c r="F1115" t="str">
        <f>_xll.BDP("912828EM Govt","MTY_TYP")</f>
        <v>NORMAL</v>
      </c>
      <c r="G1115" t="str">
        <f>_xll.BDP("912828EM Govt","CRNCY")</f>
        <v>USD</v>
      </c>
      <c r="H1115" t="str">
        <f>_xll.BDP("912828EM Govt","COUNTRY_FULL_NAME")</f>
        <v>UNITED STATES</v>
      </c>
      <c r="I1115" t="str">
        <f>_xll.BDP("912828EM Govt","FIRST_CPN_DT")</f>
        <v>5/15/2006</v>
      </c>
      <c r="J1115" t="str">
        <f>_xll.BDP("912828EM Govt","COUPON_FREQUENCY_DESCRIPTION")</f>
        <v>S/A</v>
      </c>
      <c r="K1115" t="str">
        <f>_xll.BDP("912828EM Govt","CPN_TYP")</f>
        <v>FIXED</v>
      </c>
      <c r="L1115" t="str">
        <f>_xll.BDP("912828EM Govt","ID_ISIN")</f>
        <v>US912828EM89</v>
      </c>
      <c r="M1115">
        <v>15961000000</v>
      </c>
      <c r="N1115">
        <v>0</v>
      </c>
      <c r="O1115" t="str">
        <f>_xll.BDP("912828EM Govt","ISSUE_DT")</f>
        <v>11/15/2005</v>
      </c>
      <c r="P1115" t="str">
        <f>_xll.BDP("912828EM Govt","SECURITY_NAME")</f>
        <v>T 4 1/2 11/15/10</v>
      </c>
      <c r="Q1115" t="str">
        <f>_xll.BDP("912828EM Govt","DAY_CNT_DES")</f>
        <v>ACT/ACT</v>
      </c>
      <c r="R1115">
        <v>100</v>
      </c>
      <c r="S1115" t="str">
        <f>_xll.BDP("912828EM Govt","ID_CUSIP")</f>
        <v>912828EM8</v>
      </c>
      <c r="T1115" t="str">
        <f>_xll.BDP("912828EM Govt","IDX_RATIO")</f>
        <v>#N/A Field Not Applicable</v>
      </c>
    </row>
    <row r="1116" spans="1:20" x14ac:dyDescent="0.25">
      <c r="A1116" t="s">
        <v>14</v>
      </c>
      <c r="B1116" t="str">
        <f>_xll.BDP("912828ES Govt","TICKER")</f>
        <v>T</v>
      </c>
      <c r="C1116">
        <f>_xll.BDP("912828ES Govt","CPN")</f>
        <v>4.25</v>
      </c>
      <c r="D1116" t="str">
        <f>_xll.BDP("912828ES Govt","YLD_YTM_BID")</f>
        <v>#N/A N/A</v>
      </c>
      <c r="E1116" t="str">
        <f>_xll.BDP("912828ES Govt","MATURITY")</f>
        <v>1/15/2011</v>
      </c>
      <c r="F1116" t="str">
        <f>_xll.BDP("912828ES Govt","MTY_TYP")</f>
        <v>NORMAL</v>
      </c>
      <c r="G1116" t="str">
        <f>_xll.BDP("912828ES Govt","CRNCY")</f>
        <v>USD</v>
      </c>
      <c r="H1116" t="str">
        <f>_xll.BDP("912828ES Govt","COUNTRY_FULL_NAME")</f>
        <v>UNITED STATES</v>
      </c>
      <c r="I1116" t="str">
        <f>_xll.BDP("912828ES Govt","FIRST_CPN_DT")</f>
        <v>7/15/2006</v>
      </c>
      <c r="J1116" t="str">
        <f>_xll.BDP("912828ES Govt","COUPON_FREQUENCY_DESCRIPTION")</f>
        <v>S/A</v>
      </c>
      <c r="K1116" t="str">
        <f>_xll.BDP("912828ES Govt","CPN_TYP")</f>
        <v>FIXED</v>
      </c>
      <c r="L1116" t="str">
        <f>_xll.BDP("912828ES Govt","ID_ISIN")</f>
        <v>US912828ES59</v>
      </c>
      <c r="M1116">
        <v>13001000000</v>
      </c>
      <c r="N1116">
        <v>0</v>
      </c>
      <c r="O1116" t="str">
        <f>_xll.BDP("912828ES Govt","ISSUE_DT")</f>
        <v>1/17/2006</v>
      </c>
      <c r="P1116" t="str">
        <f>_xll.BDP("912828ES Govt","SECURITY_NAME")</f>
        <v>T 4 1/4 01/15/11</v>
      </c>
      <c r="Q1116" t="str">
        <f>_xll.BDP("912828ES Govt","DAY_CNT_DES")</f>
        <v>ACT/ACT</v>
      </c>
      <c r="R1116">
        <v>100</v>
      </c>
      <c r="S1116" t="str">
        <f>_xll.BDP("912828ES Govt","ID_CUSIP")</f>
        <v>912828ES5</v>
      </c>
      <c r="T1116" t="str">
        <f>_xll.BDP("912828ES Govt","IDX_RATIO")</f>
        <v>#N/A Field Not Applicable</v>
      </c>
    </row>
    <row r="1117" spans="1:20" x14ac:dyDescent="0.25">
      <c r="A1117" t="s">
        <v>14</v>
      </c>
      <c r="B1117" t="str">
        <f>_xll.BDP("912828F4 Govt","TICKER")</f>
        <v>T</v>
      </c>
      <c r="C1117">
        <f>_xll.BDP("912828F4 Govt","CPN")</f>
        <v>0.5</v>
      </c>
      <c r="D1117" t="str">
        <f>_xll.BDP("912828F4 Govt","YLD_YTM_BID")</f>
        <v>#N/A N/A</v>
      </c>
      <c r="E1117" t="str">
        <f>_xll.BDP("912828F4 Govt","MATURITY")</f>
        <v>9/30/2016</v>
      </c>
      <c r="F1117" t="str">
        <f>_xll.BDP("912828F4 Govt","MTY_TYP")</f>
        <v>NORMAL</v>
      </c>
      <c r="G1117" t="str">
        <f>_xll.BDP("912828F4 Govt","CRNCY")</f>
        <v>USD</v>
      </c>
      <c r="H1117" t="str">
        <f>_xll.BDP("912828F4 Govt","COUNTRY_FULL_NAME")</f>
        <v>UNITED STATES</v>
      </c>
      <c r="I1117" t="str">
        <f>_xll.BDP("912828F4 Govt","FIRST_CPN_DT")</f>
        <v>3/31/2015</v>
      </c>
      <c r="J1117" t="str">
        <f>_xll.BDP("912828F4 Govt","COUPON_FREQUENCY_DESCRIPTION")</f>
        <v>S/A</v>
      </c>
      <c r="K1117" t="str">
        <f>_xll.BDP("912828F4 Govt","CPN_TYP")</f>
        <v>FIXED</v>
      </c>
      <c r="L1117" t="str">
        <f>_xll.BDP("912828F4 Govt","ID_ISIN")</f>
        <v>US912828F478</v>
      </c>
      <c r="M1117">
        <v>29000000000</v>
      </c>
      <c r="N1117">
        <v>0</v>
      </c>
      <c r="O1117" t="str">
        <f>_xll.BDP("912828F4 Govt","ISSUE_DT")</f>
        <v>9/30/2014</v>
      </c>
      <c r="P1117" t="str">
        <f>_xll.BDP("912828F4 Govt","SECURITY_NAME")</f>
        <v>T 0 1/2 09/30/16</v>
      </c>
      <c r="Q1117" t="str">
        <f>_xll.BDP("912828F4 Govt","DAY_CNT_DES")</f>
        <v>ACT/ACT</v>
      </c>
      <c r="R1117">
        <v>100</v>
      </c>
      <c r="S1117" t="str">
        <f>_xll.BDP("912828F4 Govt","ID_CUSIP")</f>
        <v>912828F47</v>
      </c>
      <c r="T1117" t="str">
        <f>_xll.BDP("912828F4 Govt","IDX_RATIO")</f>
        <v>#N/A Field Not Applicable</v>
      </c>
    </row>
    <row r="1118" spans="1:20" x14ac:dyDescent="0.25">
      <c r="A1118" t="s">
        <v>14</v>
      </c>
      <c r="B1118" t="str">
        <f>_xll.BDP("912828F8 Govt","TICKER")</f>
        <v>T</v>
      </c>
      <c r="C1118">
        <f>_xll.BDP("912828F8 Govt","CPN")</f>
        <v>0.375</v>
      </c>
      <c r="D1118" t="str">
        <f>_xll.BDP("912828F8 Govt","YLD_YTM_BID")</f>
        <v>#N/A N/A</v>
      </c>
      <c r="E1118" t="str">
        <f>_xll.BDP("912828F8 Govt","MATURITY")</f>
        <v>10/31/2016</v>
      </c>
      <c r="F1118" t="str">
        <f>_xll.BDP("912828F8 Govt","MTY_TYP")</f>
        <v>NORMAL</v>
      </c>
      <c r="G1118" t="str">
        <f>_xll.BDP("912828F8 Govt","CRNCY")</f>
        <v>USD</v>
      </c>
      <c r="H1118" t="str">
        <f>_xll.BDP("912828F8 Govt","COUNTRY_FULL_NAME")</f>
        <v>UNITED STATES</v>
      </c>
      <c r="I1118" t="str">
        <f>_xll.BDP("912828F8 Govt","FIRST_CPN_DT")</f>
        <v>4/30/2015</v>
      </c>
      <c r="J1118" t="str">
        <f>_xll.BDP("912828F8 Govt","COUPON_FREQUENCY_DESCRIPTION")</f>
        <v>S/A</v>
      </c>
      <c r="K1118" t="str">
        <f>_xll.BDP("912828F8 Govt","CPN_TYP")</f>
        <v>FIXED</v>
      </c>
      <c r="L1118" t="str">
        <f>_xll.BDP("912828F8 Govt","ID_ISIN")</f>
        <v>US912828F882</v>
      </c>
      <c r="M1118">
        <v>28991000000</v>
      </c>
      <c r="N1118">
        <v>0</v>
      </c>
      <c r="O1118" t="str">
        <f>_xll.BDP("912828F8 Govt","ISSUE_DT")</f>
        <v>10/31/2014</v>
      </c>
      <c r="P1118" t="str">
        <f>_xll.BDP("912828F8 Govt","SECURITY_NAME")</f>
        <v>T 0 3/8 10/31/16</v>
      </c>
      <c r="Q1118" t="str">
        <f>_xll.BDP("912828F8 Govt","DAY_CNT_DES")</f>
        <v>ACT/ACT</v>
      </c>
      <c r="R1118">
        <v>100</v>
      </c>
      <c r="S1118" t="str">
        <f>_xll.BDP("912828F8 Govt","ID_CUSIP")</f>
        <v>912828F88</v>
      </c>
      <c r="T1118" t="str">
        <f>_xll.BDP("912828F8 Govt","IDX_RATIO")</f>
        <v>#N/A Field Not Applicable</v>
      </c>
    </row>
    <row r="1119" spans="1:20" x14ac:dyDescent="0.25">
      <c r="A1119" t="s">
        <v>14</v>
      </c>
      <c r="B1119" t="str">
        <f>_xll.BDP("912828GK Govt","TICKER")</f>
        <v>T</v>
      </c>
      <c r="C1119">
        <f>_xll.BDP("912828GK Govt","CPN")</f>
        <v>4.625</v>
      </c>
      <c r="D1119" t="str">
        <f>_xll.BDP("912828GK Govt","YLD_YTM_BID")</f>
        <v>#N/A N/A</v>
      </c>
      <c r="E1119" t="str">
        <f>_xll.BDP("912828GK Govt","MATURITY")</f>
        <v>2/29/2012</v>
      </c>
      <c r="F1119" t="str">
        <f>_xll.BDP("912828GK Govt","MTY_TYP")</f>
        <v>NORMAL</v>
      </c>
      <c r="G1119" t="str">
        <f>_xll.BDP("912828GK Govt","CRNCY")</f>
        <v>USD</v>
      </c>
      <c r="H1119" t="str">
        <f>_xll.BDP("912828GK Govt","COUNTRY_FULL_NAME")</f>
        <v>UNITED STATES</v>
      </c>
      <c r="I1119" t="str">
        <f>_xll.BDP("912828GK Govt","FIRST_CPN_DT")</f>
        <v>8/31/2007</v>
      </c>
      <c r="J1119" t="str">
        <f>_xll.BDP("912828GK Govt","COUPON_FREQUENCY_DESCRIPTION")</f>
        <v>S/A</v>
      </c>
      <c r="K1119" t="str">
        <f>_xll.BDP("912828GK Govt","CPN_TYP")</f>
        <v>FIXED</v>
      </c>
      <c r="L1119" t="str">
        <f>_xll.BDP("912828GK Govt","ID_ISIN")</f>
        <v>US912828GK06</v>
      </c>
      <c r="M1119">
        <v>16637000000</v>
      </c>
      <c r="N1119">
        <v>0</v>
      </c>
      <c r="O1119" t="str">
        <f>_xll.BDP("912828GK Govt","ISSUE_DT")</f>
        <v>2/28/2007</v>
      </c>
      <c r="P1119" t="str">
        <f>_xll.BDP("912828GK Govt","SECURITY_NAME")</f>
        <v>T 4 5/8 02/29/12</v>
      </c>
      <c r="Q1119" t="str">
        <f>_xll.BDP("912828GK Govt","DAY_CNT_DES")</f>
        <v>ACT/ACT</v>
      </c>
      <c r="R1119">
        <v>100</v>
      </c>
      <c r="S1119" t="str">
        <f>_xll.BDP("912828GK Govt","ID_CUSIP")</f>
        <v>912828GK0</v>
      </c>
      <c r="T1119" t="str">
        <f>_xll.BDP("912828GK Govt","IDX_RATIO")</f>
        <v>#N/A Field Not Applicable</v>
      </c>
    </row>
    <row r="1120" spans="1:20" x14ac:dyDescent="0.25">
      <c r="A1120" t="s">
        <v>14</v>
      </c>
      <c r="B1120" t="str">
        <f>_xll.BDP("912828GY Govt","TICKER")</f>
        <v>T</v>
      </c>
      <c r="C1120">
        <f>_xll.BDP("912828GY Govt","CPN")</f>
        <v>4.625</v>
      </c>
      <c r="D1120" t="str">
        <f>_xll.BDP("912828GY Govt","YLD_YTM_BID")</f>
        <v>#N/A N/A</v>
      </c>
      <c r="E1120" t="str">
        <f>_xll.BDP("912828GY Govt","MATURITY")</f>
        <v>7/31/2009</v>
      </c>
      <c r="F1120" t="str">
        <f>_xll.BDP("912828GY Govt","MTY_TYP")</f>
        <v>NORMAL</v>
      </c>
      <c r="G1120" t="str">
        <f>_xll.BDP("912828GY Govt","CRNCY")</f>
        <v>USD</v>
      </c>
      <c r="H1120" t="str">
        <f>_xll.BDP("912828GY Govt","COUNTRY_FULL_NAME")</f>
        <v>UNITED STATES</v>
      </c>
      <c r="I1120" t="str">
        <f>_xll.BDP("912828GY Govt","FIRST_CPN_DT")</f>
        <v>1/31/2008</v>
      </c>
      <c r="J1120" t="str">
        <f>_xll.BDP("912828GY Govt","COUPON_FREQUENCY_DESCRIPTION")</f>
        <v>S/A</v>
      </c>
      <c r="K1120" t="str">
        <f>_xll.BDP("912828GY Govt","CPN_TYP")</f>
        <v>FIXED</v>
      </c>
      <c r="L1120" t="str">
        <f>_xll.BDP("912828GY Govt","ID_ISIN")</f>
        <v>US912828GY00</v>
      </c>
      <c r="M1120">
        <v>21888000000</v>
      </c>
      <c r="N1120">
        <v>0</v>
      </c>
      <c r="O1120" t="str">
        <f>_xll.BDP("912828GY Govt","ISSUE_DT")</f>
        <v>7/31/2007</v>
      </c>
      <c r="P1120" t="str">
        <f>_xll.BDP("912828GY Govt","SECURITY_NAME")</f>
        <v>T 4 5/8 07/31/09</v>
      </c>
      <c r="Q1120" t="str">
        <f>_xll.BDP("912828GY Govt","DAY_CNT_DES")</f>
        <v>ACT/ACT</v>
      </c>
      <c r="R1120">
        <v>100</v>
      </c>
      <c r="S1120" t="str">
        <f>_xll.BDP("912828GY Govt","ID_CUSIP")</f>
        <v>912828GY0</v>
      </c>
      <c r="T1120" t="str">
        <f>_xll.BDP("912828GY Govt","IDX_RATIO")</f>
        <v>#N/A Field Not Applicable</v>
      </c>
    </row>
    <row r="1121" spans="1:20" x14ac:dyDescent="0.25">
      <c r="A1121" t="s">
        <v>14</v>
      </c>
      <c r="B1121" t="str">
        <f>_xll.BDP("912828GZ Govt","TICKER")</f>
        <v>T</v>
      </c>
      <c r="C1121">
        <f>_xll.BDP("912828GZ Govt","CPN")</f>
        <v>4.625</v>
      </c>
      <c r="D1121" t="str">
        <f>_xll.BDP("912828GZ Govt","YLD_YTM_BID")</f>
        <v>#N/A N/A</v>
      </c>
      <c r="E1121" t="str">
        <f>_xll.BDP("912828GZ Govt","MATURITY")</f>
        <v>7/31/2012</v>
      </c>
      <c r="F1121" t="str">
        <f>_xll.BDP("912828GZ Govt","MTY_TYP")</f>
        <v>NORMAL</v>
      </c>
      <c r="G1121" t="str">
        <f>_xll.BDP("912828GZ Govt","CRNCY")</f>
        <v>USD</v>
      </c>
      <c r="H1121" t="str">
        <f>_xll.BDP("912828GZ Govt","COUNTRY_FULL_NAME")</f>
        <v>UNITED STATES</v>
      </c>
      <c r="I1121" t="str">
        <f>_xll.BDP("912828GZ Govt","FIRST_CPN_DT")</f>
        <v>1/31/2008</v>
      </c>
      <c r="J1121" t="str">
        <f>_xll.BDP("912828GZ Govt","COUPON_FREQUENCY_DESCRIPTION")</f>
        <v>S/A</v>
      </c>
      <c r="K1121" t="str">
        <f>_xll.BDP("912828GZ Govt","CPN_TYP")</f>
        <v>FIXED</v>
      </c>
      <c r="L1121" t="str">
        <f>_xll.BDP("912828GZ Govt","ID_ISIN")</f>
        <v>US912828GZ74</v>
      </c>
      <c r="M1121">
        <v>15804000000</v>
      </c>
      <c r="N1121">
        <v>0</v>
      </c>
      <c r="O1121" t="str">
        <f>_xll.BDP("912828GZ Govt","ISSUE_DT")</f>
        <v>7/31/2007</v>
      </c>
      <c r="P1121" t="str">
        <f>_xll.BDP("912828GZ Govt","SECURITY_NAME")</f>
        <v>T 4 5/8 07/31/12</v>
      </c>
      <c r="Q1121" t="str">
        <f>_xll.BDP("912828GZ Govt","DAY_CNT_DES")</f>
        <v>ACT/ACT</v>
      </c>
      <c r="R1121">
        <v>100</v>
      </c>
      <c r="S1121" t="str">
        <f>_xll.BDP("912828GZ Govt","ID_CUSIP")</f>
        <v>912828GZ7</v>
      </c>
      <c r="T1121" t="str">
        <f>_xll.BDP("912828GZ Govt","IDX_RATIO")</f>
        <v>#N/A Field Not Applicable</v>
      </c>
    </row>
    <row r="1122" spans="1:20" x14ac:dyDescent="0.25">
      <c r="A1122" t="s">
        <v>14</v>
      </c>
      <c r="B1122" t="str">
        <f>_xll.BDP("912828JL Govt","TICKER")</f>
        <v>T</v>
      </c>
      <c r="C1122">
        <f>_xll.BDP("912828JL Govt","CPN")</f>
        <v>2</v>
      </c>
      <c r="D1122" t="str">
        <f>_xll.BDP("912828JL Govt","YLD_YTM_BID")</f>
        <v>#N/A N/A</v>
      </c>
      <c r="E1122" t="str">
        <f>_xll.BDP("912828JL Govt","MATURITY")</f>
        <v>9/30/2010</v>
      </c>
      <c r="F1122" t="str">
        <f>_xll.BDP("912828JL Govt","MTY_TYP")</f>
        <v>NORMAL</v>
      </c>
      <c r="G1122" t="str">
        <f>_xll.BDP("912828JL Govt","CRNCY")</f>
        <v>USD</v>
      </c>
      <c r="H1122" t="str">
        <f>_xll.BDP("912828JL Govt","COUNTRY_FULL_NAME")</f>
        <v>UNITED STATES</v>
      </c>
      <c r="I1122" t="str">
        <f>_xll.BDP("912828JL Govt","FIRST_CPN_DT")</f>
        <v>3/31/2009</v>
      </c>
      <c r="J1122" t="str">
        <f>_xll.BDP("912828JL Govt","COUPON_FREQUENCY_DESCRIPTION")</f>
        <v>S/A</v>
      </c>
      <c r="K1122" t="str">
        <f>_xll.BDP("912828JL Govt","CPN_TYP")</f>
        <v>FIXED</v>
      </c>
      <c r="L1122" t="str">
        <f>_xll.BDP("912828JL Govt","ID_ISIN")</f>
        <v>US912828JL51</v>
      </c>
      <c r="M1122">
        <v>37148000000</v>
      </c>
      <c r="N1122">
        <v>0</v>
      </c>
      <c r="O1122" t="str">
        <f>_xll.BDP("912828JL Govt","ISSUE_DT")</f>
        <v>9/30/2008</v>
      </c>
      <c r="P1122" t="str">
        <f>_xll.BDP("912828JL Govt","SECURITY_NAME")</f>
        <v>T 2 09/30/10</v>
      </c>
      <c r="Q1122" t="str">
        <f>_xll.BDP("912828JL Govt","DAY_CNT_DES")</f>
        <v>ACT/ACT</v>
      </c>
      <c r="R1122">
        <v>100</v>
      </c>
      <c r="S1122" t="str">
        <f>_xll.BDP("912828JL Govt","ID_CUSIP")</f>
        <v>912828JL5</v>
      </c>
      <c r="T1122" t="str">
        <f>_xll.BDP("912828JL Govt","IDX_RATIO")</f>
        <v>#N/A Field Not Applicable</v>
      </c>
    </row>
    <row r="1123" spans="1:20" x14ac:dyDescent="0.25">
      <c r="A1123" t="s">
        <v>14</v>
      </c>
      <c r="B1123" t="str">
        <f>_xll.BDP("912828KH Govt","TICKER")</f>
        <v>T</v>
      </c>
      <c r="C1123">
        <f>_xll.BDP("912828KH Govt","CPN")</f>
        <v>0.875</v>
      </c>
      <c r="D1123" t="str">
        <f>_xll.BDP("912828KH Govt","YLD_YTM_BID")</f>
        <v>#N/A N/A</v>
      </c>
      <c r="E1123" t="str">
        <f>_xll.BDP("912828KH Govt","MATURITY")</f>
        <v>3/31/2011</v>
      </c>
      <c r="F1123" t="str">
        <f>_xll.BDP("912828KH Govt","MTY_TYP")</f>
        <v>NORMAL</v>
      </c>
      <c r="G1123" t="str">
        <f>_xll.BDP("912828KH Govt","CRNCY")</f>
        <v>USD</v>
      </c>
      <c r="H1123" t="str">
        <f>_xll.BDP("912828KH Govt","COUNTRY_FULL_NAME")</f>
        <v>UNITED STATES</v>
      </c>
      <c r="I1123" t="str">
        <f>_xll.BDP("912828KH Govt","FIRST_CPN_DT")</f>
        <v>9/30/2009</v>
      </c>
      <c r="J1123" t="str">
        <f>_xll.BDP("912828KH Govt","COUPON_FREQUENCY_DESCRIPTION")</f>
        <v>S/A</v>
      </c>
      <c r="K1123" t="str">
        <f>_xll.BDP("912828KH Govt","CPN_TYP")</f>
        <v>FIXED</v>
      </c>
      <c r="L1123" t="str">
        <f>_xll.BDP("912828KH Govt","ID_ISIN")</f>
        <v>US912828KH21</v>
      </c>
      <c r="M1123">
        <v>41897000000</v>
      </c>
      <c r="N1123">
        <v>0</v>
      </c>
      <c r="O1123" t="str">
        <f>_xll.BDP("912828KH Govt","ISSUE_DT")</f>
        <v>3/31/2009</v>
      </c>
      <c r="P1123" t="str">
        <f>_xll.BDP("912828KH Govt","SECURITY_NAME")</f>
        <v>T 0 7/8 03/31/11</v>
      </c>
      <c r="Q1123" t="str">
        <f>_xll.BDP("912828KH Govt","DAY_CNT_DES")</f>
        <v>ACT/ACT</v>
      </c>
      <c r="R1123">
        <v>100</v>
      </c>
      <c r="S1123" t="str">
        <f>_xll.BDP("912828KH Govt","ID_CUSIP")</f>
        <v>912828KH2</v>
      </c>
      <c r="T1123" t="str">
        <f>_xll.BDP("912828KH Govt","IDX_RATIO")</f>
        <v>#N/A Field Not Applicable</v>
      </c>
    </row>
    <row r="1124" spans="1:20" x14ac:dyDescent="0.25">
      <c r="A1124" t="s">
        <v>14</v>
      </c>
      <c r="B1124" t="str">
        <f>_xll.BDP("912828KK Govt","TICKER")</f>
        <v>T</v>
      </c>
      <c r="C1124">
        <f>_xll.BDP("912828KK Govt","CPN")</f>
        <v>1.375</v>
      </c>
      <c r="D1124" t="str">
        <f>_xll.BDP("912828KK Govt","YLD_YTM_BID")</f>
        <v>#N/A N/A</v>
      </c>
      <c r="E1124" t="str">
        <f>_xll.BDP("912828KK Govt","MATURITY")</f>
        <v>4/15/2012</v>
      </c>
      <c r="F1124" t="str">
        <f>_xll.BDP("912828KK Govt","MTY_TYP")</f>
        <v>NORMAL</v>
      </c>
      <c r="G1124" t="str">
        <f>_xll.BDP("912828KK Govt","CRNCY")</f>
        <v>USD</v>
      </c>
      <c r="H1124" t="str">
        <f>_xll.BDP("912828KK Govt","COUNTRY_FULL_NAME")</f>
        <v>UNITED STATES</v>
      </c>
      <c r="I1124" t="str">
        <f>_xll.BDP("912828KK Govt","FIRST_CPN_DT")</f>
        <v>10/15/2009</v>
      </c>
      <c r="J1124" t="str">
        <f>_xll.BDP("912828KK Govt","COUPON_FREQUENCY_DESCRIPTION")</f>
        <v>S/A</v>
      </c>
      <c r="K1124" t="str">
        <f>_xll.BDP("912828KK Govt","CPN_TYP")</f>
        <v>FIXED</v>
      </c>
      <c r="L1124" t="str">
        <f>_xll.BDP("912828KK Govt","ID_ISIN")</f>
        <v>US912828KK59</v>
      </c>
      <c r="M1124">
        <v>35558000000</v>
      </c>
      <c r="N1124">
        <v>0</v>
      </c>
      <c r="O1124" t="str">
        <f>_xll.BDP("912828KK Govt","ISSUE_DT")</f>
        <v>4/15/2009</v>
      </c>
      <c r="P1124" t="str">
        <f>_xll.BDP("912828KK Govt","SECURITY_NAME")</f>
        <v>T 1 3/8 04/15/12</v>
      </c>
      <c r="Q1124" t="str">
        <f>_xll.BDP("912828KK Govt","DAY_CNT_DES")</f>
        <v>ACT/ACT</v>
      </c>
      <c r="R1124">
        <v>100</v>
      </c>
      <c r="S1124" t="str">
        <f>_xll.BDP("912828KK Govt","ID_CUSIP")</f>
        <v>912828KK5</v>
      </c>
      <c r="T1124" t="str">
        <f>_xll.BDP("912828KK Govt","IDX_RATIO")</f>
        <v>#N/A Field Not Applicable</v>
      </c>
    </row>
    <row r="1125" spans="1:20" x14ac:dyDescent="0.25">
      <c r="A1125" t="s">
        <v>14</v>
      </c>
      <c r="B1125" t="str">
        <f>_xll.BDP("912828KP Govt","TICKER")</f>
        <v>T</v>
      </c>
      <c r="C1125">
        <f>_xll.BDP("912828KP Govt","CPN")</f>
        <v>1.375</v>
      </c>
      <c r="D1125" t="str">
        <f>_xll.BDP("912828KP Govt","YLD_YTM_BID")</f>
        <v>#N/A N/A</v>
      </c>
      <c r="E1125" t="str">
        <f>_xll.BDP("912828KP Govt","MATURITY")</f>
        <v>5/15/2012</v>
      </c>
      <c r="F1125" t="str">
        <f>_xll.BDP("912828KP Govt","MTY_TYP")</f>
        <v>NORMAL</v>
      </c>
      <c r="G1125" t="str">
        <f>_xll.BDP("912828KP Govt","CRNCY")</f>
        <v>USD</v>
      </c>
      <c r="H1125" t="str">
        <f>_xll.BDP("912828KP Govt","COUNTRY_FULL_NAME")</f>
        <v>UNITED STATES</v>
      </c>
      <c r="I1125" t="str">
        <f>_xll.BDP("912828KP Govt","FIRST_CPN_DT")</f>
        <v>11/15/2009</v>
      </c>
      <c r="J1125" t="str">
        <f>_xll.BDP("912828KP Govt","COUPON_FREQUENCY_DESCRIPTION")</f>
        <v>S/A</v>
      </c>
      <c r="K1125" t="str">
        <f>_xll.BDP("912828KP Govt","CPN_TYP")</f>
        <v>FIXED</v>
      </c>
      <c r="L1125" t="str">
        <f>_xll.BDP("912828KP Govt","ID_ISIN")</f>
        <v>US912828KP47</v>
      </c>
      <c r="M1125">
        <v>41194000000</v>
      </c>
      <c r="N1125">
        <v>0</v>
      </c>
      <c r="O1125" t="str">
        <f>_xll.BDP("912828KP Govt","ISSUE_DT")</f>
        <v>5/15/2009</v>
      </c>
      <c r="P1125" t="str">
        <f>_xll.BDP("912828KP Govt","SECURITY_NAME")</f>
        <v>T 1 3/8 05/15/12</v>
      </c>
      <c r="Q1125" t="str">
        <f>_xll.BDP("912828KP Govt","DAY_CNT_DES")</f>
        <v>ACT/ACT</v>
      </c>
      <c r="R1125">
        <v>100</v>
      </c>
      <c r="S1125" t="str">
        <f>_xll.BDP("912828KP Govt","ID_CUSIP")</f>
        <v>912828KP4</v>
      </c>
      <c r="T1125" t="str">
        <f>_xll.BDP("912828KP Govt","IDX_RATIO")</f>
        <v>#N/A Field Not Applicable</v>
      </c>
    </row>
    <row r="1126" spans="1:20" x14ac:dyDescent="0.25">
      <c r="A1126" t="s">
        <v>14</v>
      </c>
      <c r="B1126" t="str">
        <f>_xll.BDP("912828KX Govt","TICKER")</f>
        <v>T</v>
      </c>
      <c r="C1126">
        <f>_xll.BDP("912828KX Govt","CPN")</f>
        <v>1.875</v>
      </c>
      <c r="D1126" t="str">
        <f>_xll.BDP("912828KX Govt","YLD_YTM_BID")</f>
        <v>#N/A N/A</v>
      </c>
      <c r="E1126" t="str">
        <f>_xll.BDP("912828KX Govt","MATURITY")</f>
        <v>6/15/2012</v>
      </c>
      <c r="F1126" t="str">
        <f>_xll.BDP("912828KX Govt","MTY_TYP")</f>
        <v>NORMAL</v>
      </c>
      <c r="G1126" t="str">
        <f>_xll.BDP("912828KX Govt","CRNCY")</f>
        <v>USD</v>
      </c>
      <c r="H1126" t="str">
        <f>_xll.BDP("912828KX Govt","COUNTRY_FULL_NAME")</f>
        <v>UNITED STATES</v>
      </c>
      <c r="I1126" t="str">
        <f>_xll.BDP("912828KX Govt","FIRST_CPN_DT")</f>
        <v>12/15/2009</v>
      </c>
      <c r="J1126" t="str">
        <f>_xll.BDP("912828KX Govt","COUPON_FREQUENCY_DESCRIPTION")</f>
        <v>S/A</v>
      </c>
      <c r="K1126" t="str">
        <f>_xll.BDP("912828KX Govt","CPN_TYP")</f>
        <v>FIXED</v>
      </c>
      <c r="L1126" t="str">
        <f>_xll.BDP("912828KX Govt","ID_ISIN")</f>
        <v>US912828KX70</v>
      </c>
      <c r="M1126">
        <v>35370000000</v>
      </c>
      <c r="N1126">
        <v>0</v>
      </c>
      <c r="O1126" t="str">
        <f>_xll.BDP("912828KX Govt","ISSUE_DT")</f>
        <v>6/15/2009</v>
      </c>
      <c r="P1126" t="str">
        <f>_xll.BDP("912828KX Govt","SECURITY_NAME")</f>
        <v>T 1 7/8 06/15/12</v>
      </c>
      <c r="Q1126" t="str">
        <f>_xll.BDP("912828KX Govt","DAY_CNT_DES")</f>
        <v>ACT/ACT</v>
      </c>
      <c r="R1126">
        <v>100</v>
      </c>
      <c r="S1126" t="str">
        <f>_xll.BDP("912828KX Govt","ID_CUSIP")</f>
        <v>912828KX7</v>
      </c>
      <c r="T1126" t="str">
        <f>_xll.BDP("912828KX Govt","IDX_RATIO")</f>
        <v>#N/A Field Not Applicable</v>
      </c>
    </row>
    <row r="1127" spans="1:20" x14ac:dyDescent="0.25">
      <c r="A1127" t="s">
        <v>14</v>
      </c>
      <c r="B1127" t="str">
        <f>_xll.BDP("912828L8 Govt","TICKER")</f>
        <v>T</v>
      </c>
      <c r="C1127">
        <f>_xll.BDP("912828L8 Govt","CPN")</f>
        <v>0.875</v>
      </c>
      <c r="D1127" t="str">
        <f>_xll.BDP("912828L8 Govt","YLD_YTM_BID")</f>
        <v>#N/A N/A</v>
      </c>
      <c r="E1127" t="str">
        <f>_xll.BDP("912828L8 Govt","MATURITY")</f>
        <v>10/15/2018</v>
      </c>
      <c r="F1127" t="str">
        <f>_xll.BDP("912828L8 Govt","MTY_TYP")</f>
        <v>NORMAL</v>
      </c>
      <c r="G1127" t="str">
        <f>_xll.BDP("912828L8 Govt","CRNCY")</f>
        <v>USD</v>
      </c>
      <c r="H1127" t="str">
        <f>_xll.BDP("912828L8 Govt","COUNTRY_FULL_NAME")</f>
        <v>UNITED STATES</v>
      </c>
      <c r="I1127" t="str">
        <f>_xll.BDP("912828L8 Govt","FIRST_CPN_DT")</f>
        <v>4/15/2016</v>
      </c>
      <c r="J1127" t="str">
        <f>_xll.BDP("912828L8 Govt","COUPON_FREQUENCY_DESCRIPTION")</f>
        <v>S/A</v>
      </c>
      <c r="K1127" t="str">
        <f>_xll.BDP("912828L8 Govt","CPN_TYP")</f>
        <v>FIXED</v>
      </c>
      <c r="L1127" t="str">
        <f>_xll.BDP("912828L8 Govt","ID_ISIN")</f>
        <v>US912828L815</v>
      </c>
      <c r="M1127">
        <v>24000000000</v>
      </c>
      <c r="N1127">
        <v>0</v>
      </c>
      <c r="O1127" t="str">
        <f>_xll.BDP("912828L8 Govt","ISSUE_DT")</f>
        <v>10/15/2015</v>
      </c>
      <c r="P1127" t="str">
        <f>_xll.BDP("912828L8 Govt","SECURITY_NAME")</f>
        <v>T 0 7/8 10/15/18</v>
      </c>
      <c r="Q1127" t="str">
        <f>_xll.BDP("912828L8 Govt","DAY_CNT_DES")</f>
        <v>ACT/ACT</v>
      </c>
      <c r="R1127">
        <v>100</v>
      </c>
      <c r="S1127" t="str">
        <f>_xll.BDP("912828L8 Govt","ID_CUSIP")</f>
        <v>912828L81</v>
      </c>
      <c r="T1127" t="str">
        <f>_xll.BDP("912828L8 Govt","IDX_RATIO")</f>
        <v>#N/A Field Not Applicable</v>
      </c>
    </row>
    <row r="1128" spans="1:20" x14ac:dyDescent="0.25">
      <c r="A1128" t="s">
        <v>14</v>
      </c>
      <c r="B1128" t="str">
        <f>_xll.BDP("912828LH Govt","TICKER")</f>
        <v>T</v>
      </c>
      <c r="C1128">
        <f>_xll.BDP("912828LH Govt","CPN")</f>
        <v>1.75</v>
      </c>
      <c r="D1128" t="str">
        <f>_xll.BDP("912828LH Govt","YLD_YTM_BID")</f>
        <v>#N/A N/A</v>
      </c>
      <c r="E1128" t="str">
        <f>_xll.BDP("912828LH Govt","MATURITY")</f>
        <v>8/15/2012</v>
      </c>
      <c r="F1128" t="str">
        <f>_xll.BDP("912828LH Govt","MTY_TYP")</f>
        <v>NORMAL</v>
      </c>
      <c r="G1128" t="str">
        <f>_xll.BDP("912828LH Govt","CRNCY")</f>
        <v>USD</v>
      </c>
      <c r="H1128" t="str">
        <f>_xll.BDP("912828LH Govt","COUNTRY_FULL_NAME")</f>
        <v>UNITED STATES</v>
      </c>
      <c r="I1128" t="str">
        <f>_xll.BDP("912828LH Govt","FIRST_CPN_DT")</f>
        <v>2/15/2010</v>
      </c>
      <c r="J1128" t="str">
        <f>_xll.BDP("912828LH Govt","COUPON_FREQUENCY_DESCRIPTION")</f>
        <v>S/A</v>
      </c>
      <c r="K1128" t="str">
        <f>_xll.BDP("912828LH Govt","CPN_TYP")</f>
        <v>FIXED</v>
      </c>
      <c r="L1128" t="str">
        <f>_xll.BDP("912828LH Govt","ID_ISIN")</f>
        <v>US912828LH12</v>
      </c>
      <c r="M1128">
        <v>42715000000</v>
      </c>
      <c r="N1128">
        <v>0</v>
      </c>
      <c r="O1128" t="str">
        <f>_xll.BDP("912828LH Govt","ISSUE_DT")</f>
        <v>8/17/2009</v>
      </c>
      <c r="P1128" t="str">
        <f>_xll.BDP("912828LH Govt","SECURITY_NAME")</f>
        <v>T 1 3/4 08/15/12</v>
      </c>
      <c r="Q1128" t="str">
        <f>_xll.BDP("912828LH Govt","DAY_CNT_DES")</f>
        <v>ACT/ACT</v>
      </c>
      <c r="R1128">
        <v>100</v>
      </c>
      <c r="S1128" t="str">
        <f>_xll.BDP("912828LH Govt","ID_CUSIP")</f>
        <v>912828LH1</v>
      </c>
      <c r="T1128" t="str">
        <f>_xll.BDP("912828LH Govt","IDX_RATIO")</f>
        <v>#N/A Field Not Applicable</v>
      </c>
    </row>
    <row r="1129" spans="1:20" x14ac:dyDescent="0.25">
      <c r="A1129" t="s">
        <v>14</v>
      </c>
      <c r="B1129" t="str">
        <f>_xll.BDP("912828LM Govt","TICKER")</f>
        <v>T</v>
      </c>
      <c r="C1129">
        <f>_xll.BDP("912828LM Govt","CPN")</f>
        <v>1.375</v>
      </c>
      <c r="D1129" t="str">
        <f>_xll.BDP("912828LM Govt","YLD_YTM_BID")</f>
        <v>#N/A N/A</v>
      </c>
      <c r="E1129" t="str">
        <f>_xll.BDP("912828LM Govt","MATURITY")</f>
        <v>9/15/2012</v>
      </c>
      <c r="F1129" t="str">
        <f>_xll.BDP("912828LM Govt","MTY_TYP")</f>
        <v>NORMAL</v>
      </c>
      <c r="G1129" t="str">
        <f>_xll.BDP("912828LM Govt","CRNCY")</f>
        <v>USD</v>
      </c>
      <c r="H1129" t="str">
        <f>_xll.BDP("912828LM Govt","COUNTRY_FULL_NAME")</f>
        <v>UNITED STATES</v>
      </c>
      <c r="I1129" t="str">
        <f>_xll.BDP("912828LM Govt","FIRST_CPN_DT")</f>
        <v>3/15/2010</v>
      </c>
      <c r="J1129" t="str">
        <f>_xll.BDP("912828LM Govt","COUPON_FREQUENCY_DESCRIPTION")</f>
        <v>S/A</v>
      </c>
      <c r="K1129" t="str">
        <f>_xll.BDP("912828LM Govt","CPN_TYP")</f>
        <v>FIXED</v>
      </c>
      <c r="L1129" t="str">
        <f>_xll.BDP("912828LM Govt","ID_ISIN")</f>
        <v>US912828LM07</v>
      </c>
      <c r="M1129">
        <v>38082000000</v>
      </c>
      <c r="N1129">
        <v>0</v>
      </c>
      <c r="O1129" t="str">
        <f>_xll.BDP("912828LM Govt","ISSUE_DT")</f>
        <v>9/15/2009</v>
      </c>
      <c r="P1129" t="str">
        <f>_xll.BDP("912828LM Govt","SECURITY_NAME")</f>
        <v>T 1 3/8 09/15/12</v>
      </c>
      <c r="Q1129" t="str">
        <f>_xll.BDP("912828LM Govt","DAY_CNT_DES")</f>
        <v>ACT/ACT</v>
      </c>
      <c r="R1129">
        <v>100</v>
      </c>
      <c r="S1129" t="str">
        <f>_xll.BDP("912828LM Govt","ID_CUSIP")</f>
        <v>912828LM0</v>
      </c>
      <c r="T1129" t="str">
        <f>_xll.BDP("912828LM Govt","IDX_RATIO")</f>
        <v>#N/A Field Not Applicable</v>
      </c>
    </row>
    <row r="1130" spans="1:20" x14ac:dyDescent="0.25">
      <c r="A1130" t="s">
        <v>14</v>
      </c>
      <c r="B1130" t="str">
        <f>_xll.BDP("912828QM Govt","TICKER")</f>
        <v>T</v>
      </c>
      <c r="C1130">
        <f>_xll.BDP("912828QM Govt","CPN")</f>
        <v>1</v>
      </c>
      <c r="D1130" t="str">
        <f>_xll.BDP("912828QM Govt","YLD_YTM_BID")</f>
        <v>#N/A N/A</v>
      </c>
      <c r="E1130" t="str">
        <f>_xll.BDP("912828QM Govt","MATURITY")</f>
        <v>5/15/2014</v>
      </c>
      <c r="F1130" t="str">
        <f>_xll.BDP("912828QM Govt","MTY_TYP")</f>
        <v>NORMAL</v>
      </c>
      <c r="G1130" t="str">
        <f>_xll.BDP("912828QM Govt","CRNCY")</f>
        <v>USD</v>
      </c>
      <c r="H1130" t="str">
        <f>_xll.BDP("912828QM Govt","COUNTRY_FULL_NAME")</f>
        <v>UNITED STATES</v>
      </c>
      <c r="I1130" t="str">
        <f>_xll.BDP("912828QM Govt","FIRST_CPN_DT")</f>
        <v>11/15/2011</v>
      </c>
      <c r="J1130" t="str">
        <f>_xll.BDP("912828QM Govt","COUPON_FREQUENCY_DESCRIPTION")</f>
        <v>S/A</v>
      </c>
      <c r="K1130" t="str">
        <f>_xll.BDP("912828QM Govt","CPN_TYP")</f>
        <v>FIXED</v>
      </c>
      <c r="L1130" t="str">
        <f>_xll.BDP("912828QM Govt","ID_ISIN")</f>
        <v>US912828QM51</v>
      </c>
      <c r="M1130">
        <v>32000000000</v>
      </c>
      <c r="N1130">
        <v>0</v>
      </c>
      <c r="O1130" t="str">
        <f>_xll.BDP("912828QM Govt","ISSUE_DT")</f>
        <v>5/16/2011</v>
      </c>
      <c r="P1130" t="str">
        <f>_xll.BDP("912828QM Govt","SECURITY_NAME")</f>
        <v>T 1 05/15/14</v>
      </c>
      <c r="Q1130" t="str">
        <f>_xll.BDP("912828QM Govt","DAY_CNT_DES")</f>
        <v>ACT/ACT</v>
      </c>
      <c r="R1130">
        <v>100</v>
      </c>
      <c r="S1130" t="str">
        <f>_xll.BDP("912828QM Govt","ID_CUSIP")</f>
        <v>912828QM5</v>
      </c>
      <c r="T1130" t="str">
        <f>_xll.BDP("912828QM Govt","IDX_RATIO")</f>
        <v>#N/A Field Not Applicable</v>
      </c>
    </row>
    <row r="1131" spans="1:20" x14ac:dyDescent="0.25">
      <c r="A1131" t="s">
        <v>14</v>
      </c>
      <c r="B1131" t="str">
        <f>_xll.BDP("912828RL Govt","TICKER")</f>
        <v>T</v>
      </c>
      <c r="C1131">
        <f>_xll.BDP("912828RL Govt","CPN")</f>
        <v>0.5</v>
      </c>
      <c r="D1131" t="str">
        <f>_xll.BDP("912828RL Govt","YLD_YTM_BID")</f>
        <v>#N/A N/A</v>
      </c>
      <c r="E1131" t="str">
        <f>_xll.BDP("912828RL Govt","MATURITY")</f>
        <v>10/15/2014</v>
      </c>
      <c r="F1131" t="str">
        <f>_xll.BDP("912828RL Govt","MTY_TYP")</f>
        <v>NORMAL</v>
      </c>
      <c r="G1131" t="str">
        <f>_xll.BDP("912828RL Govt","CRNCY")</f>
        <v>USD</v>
      </c>
      <c r="H1131" t="str">
        <f>_xll.BDP("912828RL Govt","COUNTRY_FULL_NAME")</f>
        <v>UNITED STATES</v>
      </c>
      <c r="I1131" t="str">
        <f>_xll.BDP("912828RL Govt","FIRST_CPN_DT")</f>
        <v>4/15/2012</v>
      </c>
      <c r="J1131" t="str">
        <f>_xll.BDP("912828RL Govt","COUPON_FREQUENCY_DESCRIPTION")</f>
        <v>S/A</v>
      </c>
      <c r="K1131" t="str">
        <f>_xll.BDP("912828RL Govt","CPN_TYP")</f>
        <v>FIXED</v>
      </c>
      <c r="L1131" t="str">
        <f>_xll.BDP("912828RL Govt","ID_ISIN")</f>
        <v>US912828RL69</v>
      </c>
      <c r="M1131">
        <v>32000000000</v>
      </c>
      <c r="N1131">
        <v>0</v>
      </c>
      <c r="O1131" t="str">
        <f>_xll.BDP("912828RL Govt","ISSUE_DT")</f>
        <v>10/17/2011</v>
      </c>
      <c r="P1131" t="str">
        <f>_xll.BDP("912828RL Govt","SECURITY_NAME")</f>
        <v>T 0 1/2 10/15/14</v>
      </c>
      <c r="Q1131" t="str">
        <f>_xll.BDP("912828RL Govt","DAY_CNT_DES")</f>
        <v>ACT/ACT</v>
      </c>
      <c r="R1131">
        <v>100</v>
      </c>
      <c r="S1131" t="str">
        <f>_xll.BDP("912828RL Govt","ID_CUSIP")</f>
        <v>912828RL6</v>
      </c>
      <c r="T1131" t="str">
        <f>_xll.BDP("912828RL Govt","IDX_RATIO")</f>
        <v>#N/A Field Not Applicable</v>
      </c>
    </row>
    <row r="1132" spans="1:20" x14ac:dyDescent="0.25">
      <c r="A1132" t="s">
        <v>14</v>
      </c>
      <c r="B1132" t="str">
        <f>_xll.BDP("912828SK Govt","TICKER")</f>
        <v>T</v>
      </c>
      <c r="C1132">
        <f>_xll.BDP("912828SK Govt","CPN")</f>
        <v>0.375</v>
      </c>
      <c r="D1132" t="str">
        <f>_xll.BDP("912828SK Govt","YLD_YTM_BID")</f>
        <v>#N/A N/A</v>
      </c>
      <c r="E1132" t="str">
        <f>_xll.BDP("912828SK Govt","MATURITY")</f>
        <v>3/15/2015</v>
      </c>
      <c r="F1132" t="str">
        <f>_xll.BDP("912828SK Govt","MTY_TYP")</f>
        <v>NORMAL</v>
      </c>
      <c r="G1132" t="str">
        <f>_xll.BDP("912828SK Govt","CRNCY")</f>
        <v>USD</v>
      </c>
      <c r="H1132" t="str">
        <f>_xll.BDP("912828SK Govt","COUNTRY_FULL_NAME")</f>
        <v>UNITED STATES</v>
      </c>
      <c r="I1132" t="str">
        <f>_xll.BDP("912828SK Govt","FIRST_CPN_DT")</f>
        <v>9/15/2012</v>
      </c>
      <c r="J1132" t="str">
        <f>_xll.BDP("912828SK Govt","COUPON_FREQUENCY_DESCRIPTION")</f>
        <v>S/A</v>
      </c>
      <c r="K1132" t="str">
        <f>_xll.BDP("912828SK Govt","CPN_TYP")</f>
        <v>FIXED</v>
      </c>
      <c r="L1132" t="str">
        <f>_xll.BDP("912828SK Govt","ID_ISIN")</f>
        <v>US912828SK77</v>
      </c>
      <c r="M1132">
        <v>34222000000</v>
      </c>
      <c r="N1132">
        <v>0</v>
      </c>
      <c r="O1132" t="str">
        <f>_xll.BDP("912828SK Govt","ISSUE_DT")</f>
        <v>3/15/2012</v>
      </c>
      <c r="P1132" t="str">
        <f>_xll.BDP("912828SK Govt","SECURITY_NAME")</f>
        <v>T 0 3/8 03/15/15</v>
      </c>
      <c r="Q1132" t="str">
        <f>_xll.BDP("912828SK Govt","DAY_CNT_DES")</f>
        <v>ACT/ACT</v>
      </c>
      <c r="R1132">
        <v>100</v>
      </c>
      <c r="S1132" t="str">
        <f>_xll.BDP("912828SK Govt","ID_CUSIP")</f>
        <v>912828SK7</v>
      </c>
      <c r="T1132" t="str">
        <f>_xll.BDP("912828SK Govt","IDX_RATIO")</f>
        <v>#N/A Field Not Applicable</v>
      </c>
    </row>
    <row r="1133" spans="1:20" x14ac:dyDescent="0.25">
      <c r="A1133" t="s">
        <v>14</v>
      </c>
      <c r="B1133" t="str">
        <f>_xll.BDP("912828SY Govt","TICKER")</f>
        <v>T</v>
      </c>
      <c r="C1133">
        <f>_xll.BDP("912828SY Govt","CPN")</f>
        <v>0.625</v>
      </c>
      <c r="D1133" t="str">
        <f>_xll.BDP("912828SY Govt","YLD_YTM_BID")</f>
        <v>#N/A N/A</v>
      </c>
      <c r="E1133" t="str">
        <f>_xll.BDP("912828SY Govt","MATURITY")</f>
        <v>5/31/2017</v>
      </c>
      <c r="F1133" t="str">
        <f>_xll.BDP("912828SY Govt","MTY_TYP")</f>
        <v>NORMAL</v>
      </c>
      <c r="G1133" t="str">
        <f>_xll.BDP("912828SY Govt","CRNCY")</f>
        <v>USD</v>
      </c>
      <c r="H1133" t="str">
        <f>_xll.BDP("912828SY Govt","COUNTRY_FULL_NAME")</f>
        <v>UNITED STATES</v>
      </c>
      <c r="I1133" t="str">
        <f>_xll.BDP("912828SY Govt","FIRST_CPN_DT")</f>
        <v>11/30/2012</v>
      </c>
      <c r="J1133" t="str">
        <f>_xll.BDP("912828SY Govt","COUPON_FREQUENCY_DESCRIPTION")</f>
        <v>S/A</v>
      </c>
      <c r="K1133" t="str">
        <f>_xll.BDP("912828SY Govt","CPN_TYP")</f>
        <v>FIXED</v>
      </c>
      <c r="L1133" t="str">
        <f>_xll.BDP("912828SY Govt","ID_ISIN")</f>
        <v>US912828SY71</v>
      </c>
      <c r="M1133">
        <v>61001000000</v>
      </c>
      <c r="N1133">
        <v>0</v>
      </c>
      <c r="O1133" t="str">
        <f>_xll.BDP("912828SY Govt","ISSUE_DT")</f>
        <v>5/31/2012</v>
      </c>
      <c r="P1133" t="str">
        <f>_xll.BDP("912828SY Govt","SECURITY_NAME")</f>
        <v>T 0 5/8 05/31/17</v>
      </c>
      <c r="Q1133" t="str">
        <f>_xll.BDP("912828SY Govt","DAY_CNT_DES")</f>
        <v>ACT/ACT</v>
      </c>
      <c r="R1133">
        <v>100</v>
      </c>
      <c r="S1133" t="str">
        <f>_xll.BDP("912828SY Govt","ID_CUSIP")</f>
        <v>912828SY7</v>
      </c>
      <c r="T1133" t="str">
        <f>_xll.BDP("912828SY Govt","IDX_RATIO")</f>
        <v>#N/A Field Not Applicable</v>
      </c>
    </row>
    <row r="1134" spans="1:20" x14ac:dyDescent="0.25">
      <c r="A1134" t="s">
        <v>14</v>
      </c>
      <c r="B1134" t="str">
        <f>_xll.BDP("912828TT Govt","TICKER")</f>
        <v>T</v>
      </c>
      <c r="C1134">
        <f>_xll.BDP("912828TT Govt","CPN")</f>
        <v>0.25</v>
      </c>
      <c r="D1134" t="str">
        <f>_xll.BDP("912828TT Govt","YLD_YTM_BID")</f>
        <v>#N/A N/A</v>
      </c>
      <c r="E1134" t="str">
        <f>_xll.BDP("912828TT Govt","MATURITY")</f>
        <v>10/15/2015</v>
      </c>
      <c r="F1134" t="str">
        <f>_xll.BDP("912828TT Govt","MTY_TYP")</f>
        <v>NORMAL</v>
      </c>
      <c r="G1134" t="str">
        <f>_xll.BDP("912828TT Govt","CRNCY")</f>
        <v>USD</v>
      </c>
      <c r="H1134" t="str">
        <f>_xll.BDP("912828TT Govt","COUNTRY_FULL_NAME")</f>
        <v>UNITED STATES</v>
      </c>
      <c r="I1134" t="str">
        <f>_xll.BDP("912828TT Govt","FIRST_CPN_DT")</f>
        <v>4/15/2013</v>
      </c>
      <c r="J1134" t="str">
        <f>_xll.BDP("912828TT Govt","COUPON_FREQUENCY_DESCRIPTION")</f>
        <v>S/A</v>
      </c>
      <c r="K1134" t="str">
        <f>_xll.BDP("912828TT Govt","CPN_TYP")</f>
        <v>FIXED</v>
      </c>
      <c r="L1134" t="str">
        <f>_xll.BDP("912828TT Govt","ID_ISIN")</f>
        <v>US912828TT77</v>
      </c>
      <c r="M1134">
        <v>32000000000</v>
      </c>
      <c r="N1134">
        <v>0</v>
      </c>
      <c r="O1134" t="str">
        <f>_xll.BDP("912828TT Govt","ISSUE_DT")</f>
        <v>10/15/2012</v>
      </c>
      <c r="P1134" t="str">
        <f>_xll.BDP("912828TT Govt","SECURITY_NAME")</f>
        <v>T 0 1/4 10/15/15</v>
      </c>
      <c r="Q1134" t="str">
        <f>_xll.BDP("912828TT Govt","DAY_CNT_DES")</f>
        <v>ACT/ACT</v>
      </c>
      <c r="R1134">
        <v>100</v>
      </c>
      <c r="S1134" t="str">
        <f>_xll.BDP("912828TT Govt","ID_CUSIP")</f>
        <v>912828TT7</v>
      </c>
      <c r="T1134" t="str">
        <f>_xll.BDP("912828TT Govt","IDX_RATIO")</f>
        <v>#N/A Field Not Applicable</v>
      </c>
    </row>
    <row r="1135" spans="1:20" x14ac:dyDescent="0.25">
      <c r="A1135" t="s">
        <v>14</v>
      </c>
      <c r="B1135" t="str">
        <f>_xll.BDP("912828UG Govt","TICKER")</f>
        <v>T</v>
      </c>
      <c r="C1135">
        <f>_xll.BDP("912828UG Govt","CPN")</f>
        <v>0.375</v>
      </c>
      <c r="D1135" t="str">
        <f>_xll.BDP("912828UG Govt","YLD_YTM_BID")</f>
        <v>#N/A N/A</v>
      </c>
      <c r="E1135" t="str">
        <f>_xll.BDP("912828UG Govt","MATURITY")</f>
        <v>1/15/2016</v>
      </c>
      <c r="F1135" t="str">
        <f>_xll.BDP("912828UG Govt","MTY_TYP")</f>
        <v>NORMAL</v>
      </c>
      <c r="G1135" t="str">
        <f>_xll.BDP("912828UG Govt","CRNCY")</f>
        <v>USD</v>
      </c>
      <c r="H1135" t="str">
        <f>_xll.BDP("912828UG Govt","COUNTRY_FULL_NAME")</f>
        <v>UNITED STATES</v>
      </c>
      <c r="I1135" t="str">
        <f>_xll.BDP("912828UG Govt","FIRST_CPN_DT")</f>
        <v>7/15/2013</v>
      </c>
      <c r="J1135" t="str">
        <f>_xll.BDP("912828UG Govt","COUPON_FREQUENCY_DESCRIPTION")</f>
        <v>S/A</v>
      </c>
      <c r="K1135" t="str">
        <f>_xll.BDP("912828UG Govt","CPN_TYP")</f>
        <v>FIXED</v>
      </c>
      <c r="L1135" t="str">
        <f>_xll.BDP("912828UG Govt","ID_ISIN")</f>
        <v>US912828UG38</v>
      </c>
      <c r="M1135">
        <v>32000000000</v>
      </c>
      <c r="N1135">
        <v>0</v>
      </c>
      <c r="O1135" t="str">
        <f>_xll.BDP("912828UG Govt","ISSUE_DT")</f>
        <v>1/15/2013</v>
      </c>
      <c r="P1135" t="str">
        <f>_xll.BDP("912828UG Govt","SECURITY_NAME")</f>
        <v>T 0 3/8 01/15/16</v>
      </c>
      <c r="Q1135" t="str">
        <f>_xll.BDP("912828UG Govt","DAY_CNT_DES")</f>
        <v>ACT/ACT</v>
      </c>
      <c r="R1135">
        <v>100</v>
      </c>
      <c r="S1135" t="str">
        <f>_xll.BDP("912828UG Govt","ID_CUSIP")</f>
        <v>912828UG3</v>
      </c>
      <c r="T1135" t="str">
        <f>_xll.BDP("912828UG Govt","IDX_RATIO")</f>
        <v>#N/A Field Not Applicable</v>
      </c>
    </row>
    <row r="1136" spans="1:20" x14ac:dyDescent="0.25">
      <c r="A1136" t="s">
        <v>14</v>
      </c>
      <c r="B1136" t="str">
        <f>_xll.BDP("912828UK Govt","TICKER")</f>
        <v>T</v>
      </c>
      <c r="C1136">
        <f>_xll.BDP("912828UK Govt","CPN")</f>
        <v>0.25</v>
      </c>
      <c r="D1136" t="str">
        <f>_xll.BDP("912828UK Govt","YLD_YTM_BID")</f>
        <v>#N/A N/A</v>
      </c>
      <c r="E1136" t="str">
        <f>_xll.BDP("912828UK Govt","MATURITY")</f>
        <v>1/31/2015</v>
      </c>
      <c r="F1136" t="str">
        <f>_xll.BDP("912828UK Govt","MTY_TYP")</f>
        <v>NORMAL</v>
      </c>
      <c r="G1136" t="str">
        <f>_xll.BDP("912828UK Govt","CRNCY")</f>
        <v>USD</v>
      </c>
      <c r="H1136" t="str">
        <f>_xll.BDP("912828UK Govt","COUNTRY_FULL_NAME")</f>
        <v>UNITED STATES</v>
      </c>
      <c r="I1136" t="str">
        <f>_xll.BDP("912828UK Govt","FIRST_CPN_DT")</f>
        <v>7/31/2013</v>
      </c>
      <c r="J1136" t="str">
        <f>_xll.BDP("912828UK Govt","COUPON_FREQUENCY_DESCRIPTION")</f>
        <v>S/A</v>
      </c>
      <c r="K1136" t="str">
        <f>_xll.BDP("912828UK Govt","CPN_TYP")</f>
        <v>FIXED</v>
      </c>
      <c r="L1136" t="str">
        <f>_xll.BDP("912828UK Govt","ID_ISIN")</f>
        <v>US912828UK40</v>
      </c>
      <c r="M1136">
        <v>34999000000</v>
      </c>
      <c r="N1136">
        <v>0</v>
      </c>
      <c r="O1136" t="str">
        <f>_xll.BDP("912828UK Govt","ISSUE_DT")</f>
        <v>1/31/2013</v>
      </c>
      <c r="P1136" t="str">
        <f>_xll.BDP("912828UK Govt","SECURITY_NAME")</f>
        <v>T 0 1/4 01/31/15</v>
      </c>
      <c r="Q1136" t="str">
        <f>_xll.BDP("912828UK Govt","DAY_CNT_DES")</f>
        <v>ACT/ACT</v>
      </c>
      <c r="R1136">
        <v>100</v>
      </c>
      <c r="S1136" t="str">
        <f>_xll.BDP("912828UK Govt","ID_CUSIP")</f>
        <v>912828UK4</v>
      </c>
      <c r="T1136" t="str">
        <f>_xll.BDP("912828UK Govt","IDX_RATIO")</f>
        <v>#N/A Field Not Applicable</v>
      </c>
    </row>
    <row r="1137" spans="1:20" x14ac:dyDescent="0.25">
      <c r="A1137" t="s">
        <v>14</v>
      </c>
      <c r="B1137" t="str">
        <f>_xll.BDP("912828US Govt","TICKER")</f>
        <v>T</v>
      </c>
      <c r="C1137">
        <f>_xll.BDP("912828US Govt","CPN")</f>
        <v>0.375</v>
      </c>
      <c r="D1137" t="str">
        <f>_xll.BDP("912828US Govt","YLD_YTM_BID")</f>
        <v>#N/A N/A</v>
      </c>
      <c r="E1137" t="str">
        <f>_xll.BDP("912828US Govt","MATURITY")</f>
        <v>3/15/2016</v>
      </c>
      <c r="F1137" t="str">
        <f>_xll.BDP("912828US Govt","MTY_TYP")</f>
        <v>NORMAL</v>
      </c>
      <c r="G1137" t="str">
        <f>_xll.BDP("912828US Govt","CRNCY")</f>
        <v>USD</v>
      </c>
      <c r="H1137" t="str">
        <f>_xll.BDP("912828US Govt","COUNTRY_FULL_NAME")</f>
        <v>UNITED STATES</v>
      </c>
      <c r="I1137" t="str">
        <f>_xll.BDP("912828US Govt","FIRST_CPN_DT")</f>
        <v>9/15/2013</v>
      </c>
      <c r="J1137" t="str">
        <f>_xll.BDP("912828US Govt","COUPON_FREQUENCY_DESCRIPTION")</f>
        <v>S/A</v>
      </c>
      <c r="K1137" t="str">
        <f>_xll.BDP("912828US Govt","CPN_TYP")</f>
        <v>FIXED</v>
      </c>
      <c r="L1137" t="str">
        <f>_xll.BDP("912828US Govt","ID_ISIN")</f>
        <v>US912828US75</v>
      </c>
      <c r="M1137">
        <v>32000000000</v>
      </c>
      <c r="N1137">
        <v>0</v>
      </c>
      <c r="O1137" t="str">
        <f>_xll.BDP("912828US Govt","ISSUE_DT")</f>
        <v>3/15/2013</v>
      </c>
      <c r="P1137" t="str">
        <f>_xll.BDP("912828US Govt","SECURITY_NAME")</f>
        <v>T 0 3/8 03/15/16</v>
      </c>
      <c r="Q1137" t="str">
        <f>_xll.BDP("912828US Govt","DAY_CNT_DES")</f>
        <v>ACT/ACT</v>
      </c>
      <c r="R1137">
        <v>100</v>
      </c>
      <c r="S1137" t="str">
        <f>_xll.BDP("912828US Govt","ID_CUSIP")</f>
        <v>912828US7</v>
      </c>
      <c r="T1137" t="str">
        <f>_xll.BDP("912828US Govt","IDX_RATIO")</f>
        <v>#N/A Field Not Applicable</v>
      </c>
    </row>
    <row r="1138" spans="1:20" x14ac:dyDescent="0.25">
      <c r="A1138" t="s">
        <v>14</v>
      </c>
      <c r="B1138" t="str">
        <f>_xll.BDP("912828UY Govt","TICKER")</f>
        <v>T</v>
      </c>
      <c r="C1138">
        <f>_xll.BDP("912828UY Govt","CPN")</f>
        <v>0.125</v>
      </c>
      <c r="D1138" t="str">
        <f>_xll.BDP("912828UY Govt","YLD_YTM_BID")</f>
        <v>#N/A N/A</v>
      </c>
      <c r="E1138" t="str">
        <f>_xll.BDP("912828UY Govt","MATURITY")</f>
        <v>4/30/2015</v>
      </c>
      <c r="F1138" t="str">
        <f>_xll.BDP("912828UY Govt","MTY_TYP")</f>
        <v>NORMAL</v>
      </c>
      <c r="G1138" t="str">
        <f>_xll.BDP("912828UY Govt","CRNCY")</f>
        <v>USD</v>
      </c>
      <c r="H1138" t="str">
        <f>_xll.BDP("912828UY Govt","COUNTRY_FULL_NAME")</f>
        <v>UNITED STATES</v>
      </c>
      <c r="I1138" t="str">
        <f>_xll.BDP("912828UY Govt","FIRST_CPN_DT")</f>
        <v>10/31/2013</v>
      </c>
      <c r="J1138" t="str">
        <f>_xll.BDP("912828UY Govt","COUPON_FREQUENCY_DESCRIPTION")</f>
        <v>S/A</v>
      </c>
      <c r="K1138" t="str">
        <f>_xll.BDP("912828UY Govt","CPN_TYP")</f>
        <v>FIXED</v>
      </c>
      <c r="L1138" t="str">
        <f>_xll.BDP("912828UY Govt","ID_ISIN")</f>
        <v>US912828UY44</v>
      </c>
      <c r="M1138">
        <v>34999000000</v>
      </c>
      <c r="N1138">
        <v>0</v>
      </c>
      <c r="O1138" t="str">
        <f>_xll.BDP("912828UY Govt","ISSUE_DT")</f>
        <v>4/30/2013</v>
      </c>
      <c r="P1138" t="str">
        <f>_xll.BDP("912828UY Govt","SECURITY_NAME")</f>
        <v>T 0 1/8 04/30/15</v>
      </c>
      <c r="Q1138" t="str">
        <f>_xll.BDP("912828UY Govt","DAY_CNT_DES")</f>
        <v>ACT/ACT</v>
      </c>
      <c r="R1138">
        <v>100</v>
      </c>
      <c r="S1138" t="str">
        <f>_xll.BDP("912828UY Govt","ID_CUSIP")</f>
        <v>912828UY4</v>
      </c>
      <c r="T1138" t="str">
        <f>_xll.BDP("912828UY Govt","IDX_RATIO")</f>
        <v>#N/A Field Not Applicable</v>
      </c>
    </row>
    <row r="1139" spans="1:20" x14ac:dyDescent="0.25">
      <c r="A1139" t="s">
        <v>14</v>
      </c>
      <c r="B1139" t="str">
        <f>_xll.BDP("912828WC Govt","TICKER")</f>
        <v>T</v>
      </c>
      <c r="C1139">
        <f>_xll.BDP("912828WC Govt","CPN")</f>
        <v>1.75</v>
      </c>
      <c r="D1139" t="str">
        <f>_xll.BDP("912828WC Govt","YLD_YTM_BID")</f>
        <v>#N/A N/A</v>
      </c>
      <c r="E1139" t="str">
        <f>_xll.BDP("912828WC Govt","MATURITY")</f>
        <v>10/31/2020</v>
      </c>
      <c r="F1139" t="str">
        <f>_xll.BDP("912828WC Govt","MTY_TYP")</f>
        <v>NORMAL</v>
      </c>
      <c r="G1139" t="str">
        <f>_xll.BDP("912828WC Govt","CRNCY")</f>
        <v>USD</v>
      </c>
      <c r="H1139" t="str">
        <f>_xll.BDP("912828WC Govt","COUNTRY_FULL_NAME")</f>
        <v>UNITED STATES</v>
      </c>
      <c r="I1139" t="str">
        <f>_xll.BDP("912828WC Govt","FIRST_CPN_DT")</f>
        <v>4/30/2014</v>
      </c>
      <c r="J1139" t="str">
        <f>_xll.BDP("912828WC Govt","COUPON_FREQUENCY_DESCRIPTION")</f>
        <v>S/A</v>
      </c>
      <c r="K1139" t="str">
        <f>_xll.BDP("912828WC Govt","CPN_TYP")</f>
        <v>FIXED</v>
      </c>
      <c r="L1139" t="str">
        <f>_xll.BDP("912828WC Govt","ID_ISIN")</f>
        <v>US912828WC06</v>
      </c>
      <c r="M1139">
        <v>29000000000</v>
      </c>
      <c r="N1139">
        <v>0</v>
      </c>
      <c r="O1139" t="str">
        <f>_xll.BDP("912828WC Govt","ISSUE_DT")</f>
        <v>10/31/2013</v>
      </c>
      <c r="P1139" t="str">
        <f>_xll.BDP("912828WC Govt","SECURITY_NAME")</f>
        <v>T 1 3/4 10/31/20</v>
      </c>
      <c r="Q1139" t="str">
        <f>_xll.BDP("912828WC Govt","DAY_CNT_DES")</f>
        <v>ACT/ACT</v>
      </c>
      <c r="R1139">
        <v>100</v>
      </c>
      <c r="S1139" t="str">
        <f>_xll.BDP("912828WC Govt","ID_CUSIP")</f>
        <v>912828WC0</v>
      </c>
      <c r="T1139" t="str">
        <f>_xll.BDP("912828WC Govt","IDX_RATIO")</f>
        <v>#N/A Field Not Applicable</v>
      </c>
    </row>
    <row r="1140" spans="1:20" x14ac:dyDescent="0.25">
      <c r="A1140" t="s">
        <v>14</v>
      </c>
      <c r="B1140" t="str">
        <f>_xll.BDP("912828RN Govt","TICKER")</f>
        <v>T</v>
      </c>
      <c r="C1140">
        <f>_xll.BDP("912828RN Govt","CPN")</f>
        <v>0.25</v>
      </c>
      <c r="D1140" t="str">
        <f>_xll.BDP("912828RN Govt","YLD_YTM_BID")</f>
        <v>#N/A N/A</v>
      </c>
      <c r="E1140" t="str">
        <f>_xll.BDP("912828RN Govt","MATURITY")</f>
        <v>10/31/2013</v>
      </c>
      <c r="F1140" t="str">
        <f>_xll.BDP("912828RN Govt","MTY_TYP")</f>
        <v>NORMAL</v>
      </c>
      <c r="G1140" t="str">
        <f>_xll.BDP("912828RN Govt","CRNCY")</f>
        <v>USD</v>
      </c>
      <c r="H1140" t="str">
        <f>_xll.BDP("912828RN Govt","COUNTRY_FULL_NAME")</f>
        <v>UNITED STATES</v>
      </c>
      <c r="I1140" t="str">
        <f>_xll.BDP("912828RN Govt","FIRST_CPN_DT")</f>
        <v>4/30/2012</v>
      </c>
      <c r="J1140" t="str">
        <f>_xll.BDP("912828RN Govt","COUPON_FREQUENCY_DESCRIPTION")</f>
        <v>S/A</v>
      </c>
      <c r="K1140" t="str">
        <f>_xll.BDP("912828RN Govt","CPN_TYP")</f>
        <v>FIXED</v>
      </c>
      <c r="L1140" t="str">
        <f>_xll.BDP("912828RN Govt","ID_ISIN")</f>
        <v>US912828RN26</v>
      </c>
      <c r="M1140">
        <v>36332000000</v>
      </c>
      <c r="N1140">
        <v>0</v>
      </c>
      <c r="O1140" t="str">
        <f>_xll.BDP("912828RN Govt","ISSUE_DT")</f>
        <v>10/31/2011</v>
      </c>
      <c r="P1140" t="str">
        <f>_xll.BDP("912828RN Govt","SECURITY_NAME")</f>
        <v>T 0 1/4 10/31/13</v>
      </c>
      <c r="Q1140" t="str">
        <f>_xll.BDP("912828RN Govt","DAY_CNT_DES")</f>
        <v>ACT/ACT</v>
      </c>
      <c r="R1140">
        <v>100</v>
      </c>
      <c r="S1140" t="str">
        <f>_xll.BDP("912828RN Govt","ID_CUSIP")</f>
        <v>912828RN2</v>
      </c>
      <c r="T1140" t="str">
        <f>_xll.BDP("912828RN Govt","IDX_RATIO")</f>
        <v>#N/A Field Not Applicable</v>
      </c>
    </row>
    <row r="1141" spans="1:20" x14ac:dyDescent="0.25">
      <c r="A1141" t="s">
        <v>14</v>
      </c>
      <c r="B1141" t="str">
        <f>_xll.BDP("912828SC Govt","TICKER")</f>
        <v>T</v>
      </c>
      <c r="C1141">
        <f>_xll.BDP("912828SC Govt","CPN")</f>
        <v>0.875</v>
      </c>
      <c r="D1141" t="str">
        <f>_xll.BDP("912828SC Govt","YLD_YTM_BID")</f>
        <v>#N/A N/A</v>
      </c>
      <c r="E1141" t="str">
        <f>_xll.BDP("912828SC Govt","MATURITY")</f>
        <v>1/31/2017</v>
      </c>
      <c r="F1141" t="str">
        <f>_xll.BDP("912828SC Govt","MTY_TYP")</f>
        <v>NORMAL</v>
      </c>
      <c r="G1141" t="str">
        <f>_xll.BDP("912828SC Govt","CRNCY")</f>
        <v>USD</v>
      </c>
      <c r="H1141" t="str">
        <f>_xll.BDP("912828SC Govt","COUNTRY_FULL_NAME")</f>
        <v>UNITED STATES</v>
      </c>
      <c r="I1141" t="str">
        <f>_xll.BDP("912828SC Govt","FIRST_CPN_DT")</f>
        <v>7/31/2012</v>
      </c>
      <c r="J1141" t="str">
        <f>_xll.BDP("912828SC Govt","COUPON_FREQUENCY_DESCRIPTION")</f>
        <v>S/A</v>
      </c>
      <c r="K1141" t="str">
        <f>_xll.BDP("912828SC Govt","CPN_TYP")</f>
        <v>FIXED</v>
      </c>
      <c r="L1141" t="str">
        <f>_xll.BDP("912828SC Govt","ID_ISIN")</f>
        <v>US912828SC51</v>
      </c>
      <c r="M1141">
        <v>35659000000</v>
      </c>
      <c r="N1141">
        <v>0</v>
      </c>
      <c r="O1141" t="str">
        <f>_xll.BDP("912828SC Govt","ISSUE_DT")</f>
        <v>1/31/2012</v>
      </c>
      <c r="P1141" t="str">
        <f>_xll.BDP("912828SC Govt","SECURITY_NAME")</f>
        <v>T 0 7/8 01/31/17</v>
      </c>
      <c r="Q1141" t="str">
        <f>_xll.BDP("912828SC Govt","DAY_CNT_DES")</f>
        <v>ACT/ACT</v>
      </c>
      <c r="R1141">
        <v>100</v>
      </c>
      <c r="S1141" t="str">
        <f>_xll.BDP("912828SC Govt","ID_CUSIP")</f>
        <v>912828SC5</v>
      </c>
      <c r="T1141" t="str">
        <f>_xll.BDP("912828SC Govt","IDX_RATIO")</f>
        <v>#N/A Field Not Applicable</v>
      </c>
    </row>
    <row r="1142" spans="1:20" x14ac:dyDescent="0.25">
      <c r="A1142" t="s">
        <v>14</v>
      </c>
      <c r="B1142" t="str">
        <f>_xll.BDP("912828SR Govt","TICKER")</f>
        <v>T</v>
      </c>
      <c r="C1142">
        <f>_xll.BDP("912828SR Govt","CPN")</f>
        <v>0.25</v>
      </c>
      <c r="D1142" t="str">
        <f>_xll.BDP("912828SR Govt","YLD_YTM_BID")</f>
        <v>#N/A N/A</v>
      </c>
      <c r="E1142" t="str">
        <f>_xll.BDP("912828SR Govt","MATURITY")</f>
        <v>4/30/2014</v>
      </c>
      <c r="F1142" t="str">
        <f>_xll.BDP("912828SR Govt","MTY_TYP")</f>
        <v>NORMAL</v>
      </c>
      <c r="G1142" t="str">
        <f>_xll.BDP("912828SR Govt","CRNCY")</f>
        <v>USD</v>
      </c>
      <c r="H1142" t="str">
        <f>_xll.BDP("912828SR Govt","COUNTRY_FULL_NAME")</f>
        <v>UNITED STATES</v>
      </c>
      <c r="I1142" t="str">
        <f>_xll.BDP("912828SR Govt","FIRST_CPN_DT")</f>
        <v>10/31/2012</v>
      </c>
      <c r="J1142" t="str">
        <f>_xll.BDP("912828SR Govt","COUPON_FREQUENCY_DESCRIPTION")</f>
        <v>S/A</v>
      </c>
      <c r="K1142" t="str">
        <f>_xll.BDP("912828SR Govt","CPN_TYP")</f>
        <v>FIXED</v>
      </c>
      <c r="L1142" t="str">
        <f>_xll.BDP("912828SR Govt","ID_ISIN")</f>
        <v>US912828SR21</v>
      </c>
      <c r="M1142">
        <v>35940000000</v>
      </c>
      <c r="N1142">
        <v>0</v>
      </c>
      <c r="O1142" t="str">
        <f>_xll.BDP("912828SR Govt","ISSUE_DT")</f>
        <v>4/30/2012</v>
      </c>
      <c r="P1142" t="str">
        <f>_xll.BDP("912828SR Govt","SECURITY_NAME")</f>
        <v>T 0 1/4 04/30/14</v>
      </c>
      <c r="Q1142" t="str">
        <f>_xll.BDP("912828SR Govt","DAY_CNT_DES")</f>
        <v>ACT/ACT</v>
      </c>
      <c r="R1142">
        <v>100</v>
      </c>
      <c r="S1142" t="str">
        <f>_xll.BDP("912828SR Govt","ID_CUSIP")</f>
        <v>912828SR2</v>
      </c>
      <c r="T1142" t="str">
        <f>_xll.BDP("912828SR Govt","IDX_RATIO")</f>
        <v>#N/A Field Not Applicable</v>
      </c>
    </row>
    <row r="1143" spans="1:20" x14ac:dyDescent="0.25">
      <c r="A1143" t="s">
        <v>14</v>
      </c>
      <c r="B1143" t="str">
        <f>_xll.BDP("912828TN Govt","TICKER")</f>
        <v>T</v>
      </c>
      <c r="C1143">
        <f>_xll.BDP("912828TN Govt","CPN")</f>
        <v>1</v>
      </c>
      <c r="D1143" t="str">
        <f>_xll.BDP("912828TN Govt","YLD_YTM_BID")</f>
        <v>#N/A N/A</v>
      </c>
      <c r="E1143" t="str">
        <f>_xll.BDP("912828TN Govt","MATURITY")</f>
        <v>8/31/2019</v>
      </c>
      <c r="F1143" t="str">
        <f>_xll.BDP("912828TN Govt","MTY_TYP")</f>
        <v>NORMAL</v>
      </c>
      <c r="G1143" t="str">
        <f>_xll.BDP("912828TN Govt","CRNCY")</f>
        <v>USD</v>
      </c>
      <c r="H1143" t="str">
        <f>_xll.BDP("912828TN Govt","COUNTRY_FULL_NAME")</f>
        <v>UNITED STATES</v>
      </c>
      <c r="I1143" t="str">
        <f>_xll.BDP("912828TN Govt","FIRST_CPN_DT")</f>
        <v>2/28/2013</v>
      </c>
      <c r="J1143" t="str">
        <f>_xll.BDP("912828TN Govt","COUPON_FREQUENCY_DESCRIPTION")</f>
        <v>S/A</v>
      </c>
      <c r="K1143" t="str">
        <f>_xll.BDP("912828TN Govt","CPN_TYP")</f>
        <v>FIXED</v>
      </c>
      <c r="L1143" t="str">
        <f>_xll.BDP("912828TN Govt","ID_ISIN")</f>
        <v>US912828TN08</v>
      </c>
      <c r="M1143">
        <v>29000000000</v>
      </c>
      <c r="N1143">
        <v>0</v>
      </c>
      <c r="O1143" t="str">
        <f>_xll.BDP("912828TN Govt","ISSUE_DT")</f>
        <v>8/31/2012</v>
      </c>
      <c r="P1143" t="str">
        <f>_xll.BDP("912828TN Govt","SECURITY_NAME")</f>
        <v>T 1 08/31/19</v>
      </c>
      <c r="Q1143" t="str">
        <f>_xll.BDP("912828TN Govt","DAY_CNT_DES")</f>
        <v>ACT/ACT</v>
      </c>
      <c r="R1143">
        <v>100</v>
      </c>
      <c r="S1143" t="str">
        <f>_xll.BDP("912828TN Govt","ID_CUSIP")</f>
        <v>912828TN0</v>
      </c>
      <c r="T1143" t="str">
        <f>_xll.BDP("912828TN Govt","IDX_RATIO")</f>
        <v>#N/A Field Not Applicable</v>
      </c>
    </row>
    <row r="1144" spans="1:20" x14ac:dyDescent="0.25">
      <c r="A1144" t="s">
        <v>14</v>
      </c>
      <c r="B1144" t="str">
        <f>_xll.BDP("912828UC Govt","TICKER")</f>
        <v>T</v>
      </c>
      <c r="C1144">
        <f>_xll.BDP("912828UC Govt","CPN")</f>
        <v>0.25</v>
      </c>
      <c r="D1144" t="str">
        <f>_xll.BDP("912828UC Govt","YLD_YTM_BID")</f>
        <v>#N/A N/A</v>
      </c>
      <c r="E1144" t="str">
        <f>_xll.BDP("912828UC Govt","MATURITY")</f>
        <v>12/15/2015</v>
      </c>
      <c r="F1144" t="str">
        <f>_xll.BDP("912828UC Govt","MTY_TYP")</f>
        <v>NORMAL</v>
      </c>
      <c r="G1144" t="str">
        <f>_xll.BDP("912828UC Govt","CRNCY")</f>
        <v>USD</v>
      </c>
      <c r="H1144" t="str">
        <f>_xll.BDP("912828UC Govt","COUNTRY_FULL_NAME")</f>
        <v>UNITED STATES</v>
      </c>
      <c r="I1144" t="str">
        <f>_xll.BDP("912828UC Govt","FIRST_CPN_DT")</f>
        <v>6/15/2013</v>
      </c>
      <c r="J1144" t="str">
        <f>_xll.BDP("912828UC Govt","COUPON_FREQUENCY_DESCRIPTION")</f>
        <v>S/A</v>
      </c>
      <c r="K1144" t="str">
        <f>_xll.BDP("912828UC Govt","CPN_TYP")</f>
        <v>FIXED</v>
      </c>
      <c r="L1144" t="str">
        <f>_xll.BDP("912828UC Govt","ID_ISIN")</f>
        <v>US912828UC24</v>
      </c>
      <c r="M1144">
        <v>32000000000</v>
      </c>
      <c r="N1144">
        <v>0</v>
      </c>
      <c r="O1144" t="str">
        <f>_xll.BDP("912828UC Govt","ISSUE_DT")</f>
        <v>12/17/2012</v>
      </c>
      <c r="P1144" t="str">
        <f>_xll.BDP("912828UC Govt","SECURITY_NAME")</f>
        <v>T 0 1/4 12/15/15</v>
      </c>
      <c r="Q1144" t="str">
        <f>_xll.BDP("912828UC Govt","DAY_CNT_DES")</f>
        <v>ACT/ACT</v>
      </c>
      <c r="R1144">
        <v>100</v>
      </c>
      <c r="S1144" t="str">
        <f>_xll.BDP("912828UC Govt","ID_CUSIP")</f>
        <v>912828UC2</v>
      </c>
      <c r="T1144" t="str">
        <f>_xll.BDP("912828UC Govt","IDX_RATIO")</f>
        <v>#N/A Field Not Applicable</v>
      </c>
    </row>
    <row r="1145" spans="1:20" x14ac:dyDescent="0.25">
      <c r="A1145" t="s">
        <v>14</v>
      </c>
      <c r="B1145" t="str">
        <f>_xll.BDP("912828UP Govt","TICKER")</f>
        <v>T</v>
      </c>
      <c r="C1145">
        <f>_xll.BDP("912828UP Govt","CPN")</f>
        <v>0.25</v>
      </c>
      <c r="D1145" t="str">
        <f>_xll.BDP("912828UP Govt","YLD_YTM_BID")</f>
        <v>#N/A N/A</v>
      </c>
      <c r="E1145" t="str">
        <f>_xll.BDP("912828UP Govt","MATURITY")</f>
        <v>2/28/2015</v>
      </c>
      <c r="F1145" t="str">
        <f>_xll.BDP("912828UP Govt","MTY_TYP")</f>
        <v>NORMAL</v>
      </c>
      <c r="G1145" t="str">
        <f>_xll.BDP("912828UP Govt","CRNCY")</f>
        <v>USD</v>
      </c>
      <c r="H1145" t="str">
        <f>_xll.BDP("912828UP Govt","COUNTRY_FULL_NAME")</f>
        <v>UNITED STATES</v>
      </c>
      <c r="I1145" t="str">
        <f>_xll.BDP("912828UP Govt","FIRST_CPN_DT")</f>
        <v>8/31/2013</v>
      </c>
      <c r="J1145" t="str">
        <f>_xll.BDP("912828UP Govt","COUPON_FREQUENCY_DESCRIPTION")</f>
        <v>S/A</v>
      </c>
      <c r="K1145" t="str">
        <f>_xll.BDP("912828UP Govt","CPN_TYP")</f>
        <v>FIXED</v>
      </c>
      <c r="L1145" t="str">
        <f>_xll.BDP("912828UP Govt","ID_ISIN")</f>
        <v>US912828UP37</v>
      </c>
      <c r="M1145">
        <v>35000000000</v>
      </c>
      <c r="N1145">
        <v>0</v>
      </c>
      <c r="O1145" t="str">
        <f>_xll.BDP("912828UP Govt","ISSUE_DT")</f>
        <v>2/28/2013</v>
      </c>
      <c r="P1145" t="str">
        <f>_xll.BDP("912828UP Govt","SECURITY_NAME")</f>
        <v>T 0 1/4 02/28/15</v>
      </c>
      <c r="Q1145" t="str">
        <f>_xll.BDP("912828UP Govt","DAY_CNT_DES")</f>
        <v>ACT/ACT</v>
      </c>
      <c r="R1145">
        <v>100</v>
      </c>
      <c r="S1145" t="str">
        <f>_xll.BDP("912828UP Govt","ID_CUSIP")</f>
        <v>912828UP3</v>
      </c>
      <c r="T1145" t="str">
        <f>_xll.BDP("912828UP Govt","IDX_RATIO")</f>
        <v>#N/A Field Not Applicable</v>
      </c>
    </row>
    <row r="1146" spans="1:20" x14ac:dyDescent="0.25">
      <c r="A1146" t="s">
        <v>14</v>
      </c>
      <c r="B1146" t="str">
        <f>_xll.BDP("912828UR Govt","TICKER")</f>
        <v>T</v>
      </c>
      <c r="C1146">
        <f>_xll.BDP("912828UR Govt","CPN")</f>
        <v>0.75</v>
      </c>
      <c r="D1146" t="str">
        <f>_xll.BDP("912828UR Govt","YLD_YTM_BID")</f>
        <v>#N/A N/A</v>
      </c>
      <c r="E1146" t="str">
        <f>_xll.BDP("912828UR Govt","MATURITY")</f>
        <v>2/28/2018</v>
      </c>
      <c r="F1146" t="str">
        <f>_xll.BDP("912828UR Govt","MTY_TYP")</f>
        <v>NORMAL</v>
      </c>
      <c r="G1146" t="str">
        <f>_xll.BDP("912828UR Govt","CRNCY")</f>
        <v>USD</v>
      </c>
      <c r="H1146" t="str">
        <f>_xll.BDP("912828UR Govt","COUNTRY_FULL_NAME")</f>
        <v>UNITED STATES</v>
      </c>
      <c r="I1146" t="str">
        <f>_xll.BDP("912828UR Govt","FIRST_CPN_DT")</f>
        <v>8/31/2013</v>
      </c>
      <c r="J1146" t="str">
        <f>_xll.BDP("912828UR Govt","COUPON_FREQUENCY_DESCRIPTION")</f>
        <v>S/A</v>
      </c>
      <c r="K1146" t="str">
        <f>_xll.BDP("912828UR Govt","CPN_TYP")</f>
        <v>FIXED</v>
      </c>
      <c r="L1146" t="str">
        <f>_xll.BDP("912828UR Govt","ID_ISIN")</f>
        <v>US912828UR92</v>
      </c>
      <c r="M1146">
        <v>69713000000</v>
      </c>
      <c r="N1146">
        <v>0</v>
      </c>
      <c r="O1146" t="str">
        <f>_xll.BDP("912828UR Govt","ISSUE_DT")</f>
        <v>2/28/2013</v>
      </c>
      <c r="P1146" t="str">
        <f>_xll.BDP("912828UR Govt","SECURITY_NAME")</f>
        <v>T 0 3/4 02/28/18</v>
      </c>
      <c r="Q1146" t="str">
        <f>_xll.BDP("912828UR Govt","DAY_CNT_DES")</f>
        <v>ACT/ACT</v>
      </c>
      <c r="R1146">
        <v>100</v>
      </c>
      <c r="S1146" t="str">
        <f>_xll.BDP("912828UR Govt","ID_CUSIP")</f>
        <v>912828UR9</v>
      </c>
      <c r="T1146" t="str">
        <f>_xll.BDP("912828UR Govt","IDX_RATIO")</f>
        <v>#N/A Field Not Applicable</v>
      </c>
    </row>
    <row r="1147" spans="1:20" x14ac:dyDescent="0.25">
      <c r="A1147" t="s">
        <v>14</v>
      </c>
      <c r="B1147" t="str">
        <f>_xll.BDP("912828VD Govt","TICKER")</f>
        <v>T</v>
      </c>
      <c r="C1147">
        <f>_xll.BDP("912828VD Govt","CPN")</f>
        <v>0.25</v>
      </c>
      <c r="D1147" t="str">
        <f>_xll.BDP("912828VD Govt","YLD_YTM_BID")</f>
        <v>#N/A N/A</v>
      </c>
      <c r="E1147" t="str">
        <f>_xll.BDP("912828VD Govt","MATURITY")</f>
        <v>5/31/2015</v>
      </c>
      <c r="F1147" t="str">
        <f>_xll.BDP("912828VD Govt","MTY_TYP")</f>
        <v>NORMAL</v>
      </c>
      <c r="G1147" t="str">
        <f>_xll.BDP("912828VD Govt","CRNCY")</f>
        <v>USD</v>
      </c>
      <c r="H1147" t="str">
        <f>_xll.BDP("912828VD Govt","COUNTRY_FULL_NAME")</f>
        <v>UNITED STATES</v>
      </c>
      <c r="I1147" t="str">
        <f>_xll.BDP("912828VD Govt","FIRST_CPN_DT")</f>
        <v>11/30/2013</v>
      </c>
      <c r="J1147" t="str">
        <f>_xll.BDP("912828VD Govt","COUPON_FREQUENCY_DESCRIPTION")</f>
        <v>S/A</v>
      </c>
      <c r="K1147" t="str">
        <f>_xll.BDP("912828VD Govt","CPN_TYP")</f>
        <v>FIXED</v>
      </c>
      <c r="L1147" t="str">
        <f>_xll.BDP("912828VD Govt","ID_ISIN")</f>
        <v>US912828VD97</v>
      </c>
      <c r="M1147">
        <v>34997000000</v>
      </c>
      <c r="N1147">
        <v>0</v>
      </c>
      <c r="O1147" t="str">
        <f>_xll.BDP("912828VD Govt","ISSUE_DT")</f>
        <v>5/31/2013</v>
      </c>
      <c r="P1147" t="str">
        <f>_xll.BDP("912828VD Govt","SECURITY_NAME")</f>
        <v>T 0 1/4 05/31/15</v>
      </c>
      <c r="Q1147" t="str">
        <f>_xll.BDP("912828VD Govt","DAY_CNT_DES")</f>
        <v>ACT/ACT</v>
      </c>
      <c r="R1147">
        <v>100</v>
      </c>
      <c r="S1147" t="str">
        <f>_xll.BDP("912828VD Govt","ID_CUSIP")</f>
        <v>912828VD9</v>
      </c>
      <c r="T1147" t="str">
        <f>_xll.BDP("912828VD Govt","IDX_RATIO")</f>
        <v>#N/A Field Not Applicable</v>
      </c>
    </row>
    <row r="1148" spans="1:20" x14ac:dyDescent="0.25">
      <c r="A1148" t="s">
        <v>14</v>
      </c>
      <c r="B1148" t="str">
        <f>_xll.BDP("912828VK Govt","TICKER")</f>
        <v>T</v>
      </c>
      <c r="C1148">
        <f>_xll.BDP("912828VK Govt","CPN")</f>
        <v>1.375</v>
      </c>
      <c r="D1148" t="str">
        <f>_xll.BDP("912828VK Govt","YLD_YTM_BID")</f>
        <v>#N/A N/A</v>
      </c>
      <c r="E1148" t="str">
        <f>_xll.BDP("912828VK Govt","MATURITY")</f>
        <v>6/30/2018</v>
      </c>
      <c r="F1148" t="str">
        <f>_xll.BDP("912828VK Govt","MTY_TYP")</f>
        <v>NORMAL</v>
      </c>
      <c r="G1148" t="str">
        <f>_xll.BDP("912828VK Govt","CRNCY")</f>
        <v>USD</v>
      </c>
      <c r="H1148" t="str">
        <f>_xll.BDP("912828VK Govt","COUNTRY_FULL_NAME")</f>
        <v>UNITED STATES</v>
      </c>
      <c r="I1148" t="str">
        <f>_xll.BDP("912828VK Govt","FIRST_CPN_DT")</f>
        <v>12/31/2013</v>
      </c>
      <c r="J1148" t="str">
        <f>_xll.BDP("912828VK Govt","COUPON_FREQUENCY_DESCRIPTION")</f>
        <v>S/A</v>
      </c>
      <c r="K1148" t="str">
        <f>_xll.BDP("912828VK Govt","CPN_TYP")</f>
        <v>FIXED</v>
      </c>
      <c r="L1148" t="str">
        <f>_xll.BDP("912828VK Govt","ID_ISIN")</f>
        <v>US912828VK31</v>
      </c>
      <c r="M1148">
        <v>35000000000</v>
      </c>
      <c r="N1148">
        <v>0</v>
      </c>
      <c r="O1148" t="str">
        <f>_xll.BDP("912828VK Govt","ISSUE_DT")</f>
        <v>7/1/2013</v>
      </c>
      <c r="P1148" t="str">
        <f>_xll.BDP("912828VK Govt","SECURITY_NAME")</f>
        <v>T 1 3/8 06/30/18</v>
      </c>
      <c r="Q1148" t="str">
        <f>_xll.BDP("912828VK Govt","DAY_CNT_DES")</f>
        <v>ACT/ACT</v>
      </c>
      <c r="R1148">
        <v>100</v>
      </c>
      <c r="S1148" t="str">
        <f>_xll.BDP("912828VK Govt","ID_CUSIP")</f>
        <v>912828VK3</v>
      </c>
      <c r="T1148" t="str">
        <f>_xll.BDP("912828VK Govt","IDX_RATIO")</f>
        <v>#N/A Field Not Applicable</v>
      </c>
    </row>
    <row r="1149" spans="1:20" x14ac:dyDescent="0.25">
      <c r="A1149" t="s">
        <v>14</v>
      </c>
      <c r="B1149" t="str">
        <f>_xll.BDP("912828VW Govt","TICKER")</f>
        <v>T</v>
      </c>
      <c r="C1149">
        <f>_xll.BDP("912828VW Govt","CPN")</f>
        <v>0.875</v>
      </c>
      <c r="D1149" t="str">
        <f>_xll.BDP("912828VW Govt","YLD_YTM_BID")</f>
        <v>#N/A N/A</v>
      </c>
      <c r="E1149" t="str">
        <f>_xll.BDP("912828VW Govt","MATURITY")</f>
        <v>9/15/2016</v>
      </c>
      <c r="F1149" t="str">
        <f>_xll.BDP("912828VW Govt","MTY_TYP")</f>
        <v>NORMAL</v>
      </c>
      <c r="G1149" t="str">
        <f>_xll.BDP("912828VW Govt","CRNCY")</f>
        <v>USD</v>
      </c>
      <c r="H1149" t="str">
        <f>_xll.BDP("912828VW Govt","COUNTRY_FULL_NAME")</f>
        <v>UNITED STATES</v>
      </c>
      <c r="I1149" t="str">
        <f>_xll.BDP("912828VW Govt","FIRST_CPN_DT")</f>
        <v>3/15/2014</v>
      </c>
      <c r="J1149" t="str">
        <f>_xll.BDP("912828VW Govt","COUPON_FREQUENCY_DESCRIPTION")</f>
        <v>S/A</v>
      </c>
      <c r="K1149" t="str">
        <f>_xll.BDP("912828VW Govt","CPN_TYP")</f>
        <v>FIXED</v>
      </c>
      <c r="L1149" t="str">
        <f>_xll.BDP("912828VW Govt","ID_ISIN")</f>
        <v>US912828VW78</v>
      </c>
      <c r="M1149">
        <v>31000000000</v>
      </c>
      <c r="N1149">
        <v>0</v>
      </c>
      <c r="O1149" t="str">
        <f>_xll.BDP("912828VW Govt","ISSUE_DT")</f>
        <v>9/16/2013</v>
      </c>
      <c r="P1149" t="str">
        <f>_xll.BDP("912828VW Govt","SECURITY_NAME")</f>
        <v>T 0 7/8 09/15/16</v>
      </c>
      <c r="Q1149" t="str">
        <f>_xll.BDP("912828VW Govt","DAY_CNT_DES")</f>
        <v>ACT/ACT</v>
      </c>
      <c r="R1149">
        <v>100</v>
      </c>
      <c r="S1149" t="str">
        <f>_xll.BDP("912828VW Govt","ID_CUSIP")</f>
        <v>912828VW7</v>
      </c>
      <c r="T1149" t="str">
        <f>_xll.BDP("912828VW Govt","IDX_RATIO")</f>
        <v>#N/A Field Not Applicable</v>
      </c>
    </row>
    <row r="1150" spans="1:20" x14ac:dyDescent="0.25">
      <c r="A1150" t="s">
        <v>14</v>
      </c>
      <c r="B1150" t="str">
        <f>_xll.BDP("912828WL Govt","TICKER")</f>
        <v>T</v>
      </c>
      <c r="C1150">
        <f>_xll.BDP("912828WL Govt","CPN")</f>
        <v>1.5</v>
      </c>
      <c r="D1150" t="str">
        <f>_xll.BDP("912828WL Govt","YLD_YTM_BID")</f>
        <v>#N/A N/A</v>
      </c>
      <c r="E1150" t="str">
        <f>_xll.BDP("912828WL Govt","MATURITY")</f>
        <v>5/31/2019</v>
      </c>
      <c r="F1150" t="str">
        <f>_xll.BDP("912828WL Govt","MTY_TYP")</f>
        <v>NORMAL</v>
      </c>
      <c r="G1150" t="str">
        <f>_xll.BDP("912828WL Govt","CRNCY")</f>
        <v>USD</v>
      </c>
      <c r="H1150" t="str">
        <f>_xll.BDP("912828WL Govt","COUNTRY_FULL_NAME")</f>
        <v>UNITED STATES</v>
      </c>
      <c r="I1150" t="str">
        <f>_xll.BDP("912828WL Govt","FIRST_CPN_DT")</f>
        <v>11/30/2014</v>
      </c>
      <c r="J1150" t="str">
        <f>_xll.BDP("912828WL Govt","COUPON_FREQUENCY_DESCRIPTION")</f>
        <v>S/A</v>
      </c>
      <c r="K1150" t="str">
        <f>_xll.BDP("912828WL Govt","CPN_TYP")</f>
        <v>FIXED</v>
      </c>
      <c r="L1150" t="str">
        <f>_xll.BDP("912828WL Govt","ID_ISIN")</f>
        <v>US912828WL05</v>
      </c>
      <c r="M1150">
        <v>35013000000</v>
      </c>
      <c r="N1150">
        <v>0</v>
      </c>
      <c r="O1150" t="str">
        <f>_xll.BDP("912828WL Govt","ISSUE_DT")</f>
        <v>6/2/2014</v>
      </c>
      <c r="P1150" t="str">
        <f>_xll.BDP("912828WL Govt","SECURITY_NAME")</f>
        <v>T 1 1/2 05/31/19</v>
      </c>
      <c r="Q1150" t="str">
        <f>_xll.BDP("912828WL Govt","DAY_CNT_DES")</f>
        <v>ACT/ACT</v>
      </c>
      <c r="R1150">
        <v>100</v>
      </c>
      <c r="S1150" t="str">
        <f>_xll.BDP("912828WL Govt","ID_CUSIP")</f>
        <v>912828WL0</v>
      </c>
      <c r="T1150" t="str">
        <f>_xll.BDP("912828WL Govt","IDX_RATIO")</f>
        <v>#N/A Field Not Applicable</v>
      </c>
    </row>
    <row r="1151" spans="1:20" x14ac:dyDescent="0.25">
      <c r="A1151" t="s">
        <v>14</v>
      </c>
      <c r="B1151" t="str">
        <f>_xll.BDP("912828XF Govt","TICKER")</f>
        <v>T</v>
      </c>
      <c r="C1151">
        <f>_xll.BDP("912828XF Govt","CPN")</f>
        <v>1.125</v>
      </c>
      <c r="D1151" t="str">
        <f>_xll.BDP("912828XF Govt","YLD_YTM_BID")</f>
        <v>#N/A N/A</v>
      </c>
      <c r="E1151" t="str">
        <f>_xll.BDP("912828XF Govt","MATURITY")</f>
        <v>6/15/2018</v>
      </c>
      <c r="F1151" t="str">
        <f>_xll.BDP("912828XF Govt","MTY_TYP")</f>
        <v>NORMAL</v>
      </c>
      <c r="G1151" t="str">
        <f>_xll.BDP("912828XF Govt","CRNCY")</f>
        <v>USD</v>
      </c>
      <c r="H1151" t="str">
        <f>_xll.BDP("912828XF Govt","COUNTRY_FULL_NAME")</f>
        <v>UNITED STATES</v>
      </c>
      <c r="I1151" t="str">
        <f>_xll.BDP("912828XF Govt","FIRST_CPN_DT")</f>
        <v>12/15/2015</v>
      </c>
      <c r="J1151" t="str">
        <f>_xll.BDP("912828XF Govt","COUPON_FREQUENCY_DESCRIPTION")</f>
        <v>S/A</v>
      </c>
      <c r="K1151" t="str">
        <f>_xll.BDP("912828XF Govt","CPN_TYP")</f>
        <v>FIXED</v>
      </c>
      <c r="L1151" t="str">
        <f>_xll.BDP("912828XF Govt","ID_ISIN")</f>
        <v>US912828XF28</v>
      </c>
      <c r="M1151">
        <v>24000000000</v>
      </c>
      <c r="N1151">
        <v>0</v>
      </c>
      <c r="O1151" t="str">
        <f>_xll.BDP("912828XF Govt","ISSUE_DT")</f>
        <v>6/15/2015</v>
      </c>
      <c r="P1151" t="str">
        <f>_xll.BDP("912828XF Govt","SECURITY_NAME")</f>
        <v>T 1 1/8 06/15/18</v>
      </c>
      <c r="Q1151" t="str">
        <f>_xll.BDP("912828XF Govt","DAY_CNT_DES")</f>
        <v>ACT/ACT</v>
      </c>
      <c r="R1151">
        <v>100</v>
      </c>
      <c r="S1151" t="str">
        <f>_xll.BDP("912828XF Govt","ID_CUSIP")</f>
        <v>912828XF2</v>
      </c>
      <c r="T1151" t="str">
        <f>_xll.BDP("912828XF Govt","IDX_RATIO")</f>
        <v>#N/A Field Not Applicable</v>
      </c>
    </row>
    <row r="1152" spans="1:20" x14ac:dyDescent="0.25">
      <c r="A1152" t="s">
        <v>14</v>
      </c>
      <c r="B1152" t="str">
        <f>_xll.BDP("912828XJ Govt","TICKER")</f>
        <v>T</v>
      </c>
      <c r="C1152">
        <f>_xll.BDP("912828XJ Govt","CPN")</f>
        <v>0.625</v>
      </c>
      <c r="D1152" t="str">
        <f>_xll.BDP("912828XJ Govt","YLD_YTM_BID")</f>
        <v>#N/A N/A</v>
      </c>
      <c r="E1152" t="str">
        <f>_xll.BDP("912828XJ Govt","MATURITY")</f>
        <v>6/30/2017</v>
      </c>
      <c r="F1152" t="str">
        <f>_xll.BDP("912828XJ Govt","MTY_TYP")</f>
        <v>NORMAL</v>
      </c>
      <c r="G1152" t="str">
        <f>_xll.BDP("912828XJ Govt","CRNCY")</f>
        <v>USD</v>
      </c>
      <c r="H1152" t="str">
        <f>_xll.BDP("912828XJ Govt","COUNTRY_FULL_NAME")</f>
        <v>UNITED STATES</v>
      </c>
      <c r="I1152" t="str">
        <f>_xll.BDP("912828XJ Govt","FIRST_CPN_DT")</f>
        <v>12/31/2015</v>
      </c>
      <c r="J1152" t="str">
        <f>_xll.BDP("912828XJ Govt","COUPON_FREQUENCY_DESCRIPTION")</f>
        <v>S/A</v>
      </c>
      <c r="K1152" t="str">
        <f>_xll.BDP("912828XJ Govt","CPN_TYP")</f>
        <v>FIXED</v>
      </c>
      <c r="L1152" t="str">
        <f>_xll.BDP("912828XJ Govt","ID_ISIN")</f>
        <v>US912828XJ40</v>
      </c>
      <c r="M1152">
        <v>26000000000</v>
      </c>
      <c r="N1152">
        <v>0</v>
      </c>
      <c r="O1152" t="str">
        <f>_xll.BDP("912828XJ Govt","ISSUE_DT")</f>
        <v>6/30/2015</v>
      </c>
      <c r="P1152" t="str">
        <f>_xll.BDP("912828XJ Govt","SECURITY_NAME")</f>
        <v>T 0 5/8 06/30/17</v>
      </c>
      <c r="Q1152" t="str">
        <f>_xll.BDP("912828XJ Govt","DAY_CNT_DES")</f>
        <v>ACT/ACT</v>
      </c>
      <c r="R1152">
        <v>100</v>
      </c>
      <c r="S1152" t="str">
        <f>_xll.BDP("912828XJ Govt","ID_CUSIP")</f>
        <v>912828XJ4</v>
      </c>
      <c r="T1152" t="str">
        <f>_xll.BDP("912828XJ Govt","IDX_RATIO")</f>
        <v>#N/A Field Not Applicable</v>
      </c>
    </row>
    <row r="1153" spans="1:20" x14ac:dyDescent="0.25">
      <c r="A1153" t="s">
        <v>14</v>
      </c>
      <c r="B1153" t="str">
        <f>_xll.BDP("912827E2 Govt","TICKER")</f>
        <v>T</v>
      </c>
      <c r="C1153">
        <f>_xll.BDP("912827E2 Govt","CPN")</f>
        <v>5.5</v>
      </c>
      <c r="D1153" t="str">
        <f>_xll.BDP("912827E2 Govt","YLD_YTM_BID")</f>
        <v>#N/A N/A</v>
      </c>
      <c r="E1153" t="str">
        <f>_xll.BDP("912827E2 Govt","MATURITY")</f>
        <v>2/15/1995</v>
      </c>
      <c r="F1153" t="str">
        <f>_xll.BDP("912827E2 Govt","MTY_TYP")</f>
        <v>NORMAL</v>
      </c>
      <c r="G1153" t="str">
        <f>_xll.BDP("912827E2 Govt","CRNCY")</f>
        <v>USD</v>
      </c>
      <c r="H1153" t="str">
        <f>_xll.BDP("912827E2 Govt","COUNTRY_FULL_NAME")</f>
        <v>UNITED STATES</v>
      </c>
      <c r="I1153" t="str">
        <f>_xll.BDP("912827E2 Govt","FIRST_CPN_DT")</f>
        <v>8/15/1992</v>
      </c>
      <c r="J1153" t="str">
        <f>_xll.BDP("912827E2 Govt","COUPON_FREQUENCY_DESCRIPTION")</f>
        <v>S/A</v>
      </c>
      <c r="K1153" t="str">
        <f>_xll.BDP("912827E2 Govt","CPN_TYP")</f>
        <v>FIXED</v>
      </c>
      <c r="L1153" t="str">
        <f>_xll.BDP("912827E2 Govt","ID_ISIN")</f>
        <v>US912827E242</v>
      </c>
      <c r="N1153">
        <v>0</v>
      </c>
      <c r="O1153" t="str">
        <f>_xll.BDP("912827E2 Govt","ISSUE_DT")</f>
        <v>2/18/1992</v>
      </c>
      <c r="P1153" t="str">
        <f>_xll.BDP("912827E2 Govt","SECURITY_NAME")</f>
        <v>T 5 1/2 02/15/95</v>
      </c>
      <c r="Q1153" t="str">
        <f>_xll.BDP("912827E2 Govt","DAY_CNT_DES")</f>
        <v>ACT/ACT</v>
      </c>
      <c r="R1153">
        <v>100</v>
      </c>
      <c r="S1153" t="str">
        <f>_xll.BDP("912827E2 Govt","ID_CUSIP")</f>
        <v>912827E24</v>
      </c>
      <c r="T1153" t="str">
        <f>_xll.BDP("912827E2 Govt","IDX_RATIO")</f>
        <v>#N/A Field Not Applicable</v>
      </c>
    </row>
    <row r="1154" spans="1:20" x14ac:dyDescent="0.25">
      <c r="A1154" t="s">
        <v>14</v>
      </c>
      <c r="B1154" t="str">
        <f>_xll.BDP("912827F8 Govt","TICKER")</f>
        <v>T</v>
      </c>
      <c r="C1154">
        <f>_xll.BDP("912827F8 Govt","CPN")</f>
        <v>6.375</v>
      </c>
      <c r="D1154" t="str">
        <f>_xll.BDP("912827F8 Govt","YLD_YTM_BID")</f>
        <v>#N/A N/A</v>
      </c>
      <c r="E1154" t="str">
        <f>_xll.BDP("912827F8 Govt","MATURITY")</f>
        <v>6/30/1997</v>
      </c>
      <c r="F1154" t="str">
        <f>_xll.BDP("912827F8 Govt","MTY_TYP")</f>
        <v>NORMAL</v>
      </c>
      <c r="G1154" t="str">
        <f>_xll.BDP("912827F8 Govt","CRNCY")</f>
        <v>USD</v>
      </c>
      <c r="H1154" t="str">
        <f>_xll.BDP("912827F8 Govt","COUNTRY_FULL_NAME")</f>
        <v>UNITED STATES</v>
      </c>
      <c r="I1154" t="str">
        <f>_xll.BDP("912827F8 Govt","FIRST_CPN_DT")</f>
        <v>12/31/1992</v>
      </c>
      <c r="J1154" t="str">
        <f>_xll.BDP("912827F8 Govt","COUPON_FREQUENCY_DESCRIPTION")</f>
        <v>S/A</v>
      </c>
      <c r="K1154" t="str">
        <f>_xll.BDP("912827F8 Govt","CPN_TYP")</f>
        <v>FIXED</v>
      </c>
      <c r="L1154" t="str">
        <f>_xll.BDP("912827F8 Govt","ID_ISIN")</f>
        <v>US912827F801</v>
      </c>
      <c r="N1154">
        <v>0</v>
      </c>
      <c r="O1154" t="str">
        <f>_xll.BDP("912827F8 Govt","ISSUE_DT")</f>
        <v>6/30/1992</v>
      </c>
      <c r="P1154" t="str">
        <f>_xll.BDP("912827F8 Govt","SECURITY_NAME")</f>
        <v>T 6 3/8 06/30/97</v>
      </c>
      <c r="Q1154" t="str">
        <f>_xll.BDP("912827F8 Govt","DAY_CNT_DES")</f>
        <v>ACT/ACT</v>
      </c>
      <c r="R1154">
        <v>100</v>
      </c>
      <c r="S1154" t="str">
        <f>_xll.BDP("912827F8 Govt","ID_CUSIP")</f>
        <v>912827F80</v>
      </c>
      <c r="T1154" t="str">
        <f>_xll.BDP("912827F8 Govt","IDX_RATIO")</f>
        <v>#N/A Field Not Applicable</v>
      </c>
    </row>
    <row r="1155" spans="1:20" x14ac:dyDescent="0.25">
      <c r="A1155" t="s">
        <v>14</v>
      </c>
      <c r="B1155" t="str">
        <f>_xll.BDP("912827F9 Govt","TICKER")</f>
        <v>T</v>
      </c>
      <c r="C1155">
        <f>_xll.BDP("912827F9 Govt","CPN")</f>
        <v>6.375</v>
      </c>
      <c r="D1155" t="str">
        <f>_xll.BDP("912827F9 Govt","YLD_YTM_BID")</f>
        <v>#N/A N/A</v>
      </c>
      <c r="E1155" t="str">
        <f>_xll.BDP("912827F9 Govt","MATURITY")</f>
        <v>7/15/1999</v>
      </c>
      <c r="F1155" t="str">
        <f>_xll.BDP("912827F9 Govt","MTY_TYP")</f>
        <v>NORMAL</v>
      </c>
      <c r="G1155" t="str">
        <f>_xll.BDP("912827F9 Govt","CRNCY")</f>
        <v>USD</v>
      </c>
      <c r="H1155" t="str">
        <f>_xll.BDP("912827F9 Govt","COUNTRY_FULL_NAME")</f>
        <v>UNITED STATES</v>
      </c>
      <c r="I1155" t="str">
        <f>_xll.BDP("912827F9 Govt","FIRST_CPN_DT")</f>
        <v>1/15/1993</v>
      </c>
      <c r="J1155" t="str">
        <f>_xll.BDP("912827F9 Govt","COUPON_FREQUENCY_DESCRIPTION")</f>
        <v>S/A</v>
      </c>
      <c r="K1155" t="str">
        <f>_xll.BDP("912827F9 Govt","CPN_TYP")</f>
        <v>FIXED</v>
      </c>
      <c r="L1155" t="str">
        <f>_xll.BDP("912827F9 Govt","ID_ISIN")</f>
        <v>US912827F983</v>
      </c>
      <c r="M1155">
        <v>10006000000</v>
      </c>
      <c r="N1155">
        <v>0</v>
      </c>
      <c r="O1155" t="str">
        <f>_xll.BDP("912827F9 Govt","ISSUE_DT")</f>
        <v>7/15/1992</v>
      </c>
      <c r="P1155" t="str">
        <f>_xll.BDP("912827F9 Govt","SECURITY_NAME")</f>
        <v>T 6 3/8 07/15/99</v>
      </c>
      <c r="Q1155" t="str">
        <f>_xll.BDP("912827F9 Govt","DAY_CNT_DES")</f>
        <v>ACT/ACT</v>
      </c>
      <c r="R1155">
        <v>100</v>
      </c>
      <c r="S1155" t="str">
        <f>_xll.BDP("912827F9 Govt","ID_CUSIP")</f>
        <v>912827F98</v>
      </c>
      <c r="T1155" t="str">
        <f>_xll.BDP("912827F9 Govt","IDX_RATIO")</f>
        <v>#N/A Field Not Applicable</v>
      </c>
    </row>
    <row r="1156" spans="1:20" x14ac:dyDescent="0.25">
      <c r="A1156" t="s">
        <v>14</v>
      </c>
      <c r="B1156" t="str">
        <f>_xll.BDP("912827G5 Govt","TICKER")</f>
        <v>T</v>
      </c>
      <c r="C1156">
        <f>_xll.BDP("912827G5 Govt","CPN")</f>
        <v>6.375</v>
      </c>
      <c r="D1156" t="str">
        <f>_xll.BDP("912827G5 Govt","YLD_YTM_BID")</f>
        <v>#N/A N/A</v>
      </c>
      <c r="E1156" t="str">
        <f>_xll.BDP("912827G5 Govt","MATURITY")</f>
        <v>8/15/2002</v>
      </c>
      <c r="F1156" t="str">
        <f>_xll.BDP("912827G5 Govt","MTY_TYP")</f>
        <v>NORMAL</v>
      </c>
      <c r="G1156" t="str">
        <f>_xll.BDP("912827G5 Govt","CRNCY")</f>
        <v>USD</v>
      </c>
      <c r="H1156" t="str">
        <f>_xll.BDP("912827G5 Govt","COUNTRY_FULL_NAME")</f>
        <v>UNITED STATES</v>
      </c>
      <c r="I1156" t="str">
        <f>_xll.BDP("912827G5 Govt","FIRST_CPN_DT")</f>
        <v>2/15/1993</v>
      </c>
      <c r="J1156" t="str">
        <f>_xll.BDP("912827G5 Govt","COUPON_FREQUENCY_DESCRIPTION")</f>
        <v>S/A</v>
      </c>
      <c r="K1156" t="str">
        <f>_xll.BDP("912827G5 Govt","CPN_TYP")</f>
        <v>FIXED</v>
      </c>
      <c r="L1156" t="str">
        <f>_xll.BDP("912827G5 Govt","ID_ISIN")</f>
        <v>US912827G551</v>
      </c>
      <c r="M1156">
        <v>23859000000</v>
      </c>
      <c r="N1156">
        <v>0</v>
      </c>
      <c r="O1156" t="str">
        <f>_xll.BDP("912827G5 Govt","ISSUE_DT")</f>
        <v>8/17/1992</v>
      </c>
      <c r="P1156" t="str">
        <f>_xll.BDP("912827G5 Govt","SECURITY_NAME")</f>
        <v>T 6 3/8 08/15/02</v>
      </c>
      <c r="Q1156" t="str">
        <f>_xll.BDP("912827G5 Govt","DAY_CNT_DES")</f>
        <v>ACT/ACT</v>
      </c>
      <c r="R1156">
        <v>100</v>
      </c>
      <c r="S1156" t="str">
        <f>_xll.BDP("912827G5 Govt","ID_CUSIP")</f>
        <v>912827G55</v>
      </c>
      <c r="T1156" t="str">
        <f>_xll.BDP("912827G5 Govt","IDX_RATIO")</f>
        <v>#N/A Field Not Applicable</v>
      </c>
    </row>
    <row r="1157" spans="1:20" x14ac:dyDescent="0.25">
      <c r="A1157" t="s">
        <v>14</v>
      </c>
      <c r="B1157" t="str">
        <f>_xll.BDP("912827H4 Govt","TICKER")</f>
        <v>T</v>
      </c>
      <c r="C1157">
        <f>_xll.BDP("912827H4 Govt","CPN")</f>
        <v>5.75</v>
      </c>
      <c r="D1157" t="str">
        <f>_xll.BDP("912827H4 Govt","YLD_YTM_BID")</f>
        <v>#N/A N/A</v>
      </c>
      <c r="E1157" t="str">
        <f>_xll.BDP("912827H4 Govt","MATURITY")</f>
        <v>10/31/1997</v>
      </c>
      <c r="F1157" t="str">
        <f>_xll.BDP("912827H4 Govt","MTY_TYP")</f>
        <v>NORMAL</v>
      </c>
      <c r="G1157" t="str">
        <f>_xll.BDP("912827H4 Govt","CRNCY")</f>
        <v>USD</v>
      </c>
      <c r="H1157" t="str">
        <f>_xll.BDP("912827H4 Govt","COUNTRY_FULL_NAME")</f>
        <v>UNITED STATES</v>
      </c>
      <c r="I1157" t="str">
        <f>_xll.BDP("912827H4 Govt","FIRST_CPN_DT")</f>
        <v>4/30/1993</v>
      </c>
      <c r="J1157" t="str">
        <f>_xll.BDP("912827H4 Govt","COUPON_FREQUENCY_DESCRIPTION")</f>
        <v>S/A</v>
      </c>
      <c r="K1157" t="str">
        <f>_xll.BDP("912827H4 Govt","CPN_TYP")</f>
        <v>FIXED</v>
      </c>
      <c r="L1157" t="str">
        <f>_xll.BDP("912827H4 Govt","ID_ISIN")</f>
        <v>US912827H476</v>
      </c>
      <c r="M1157">
        <v>11383000000</v>
      </c>
      <c r="N1157">
        <v>0</v>
      </c>
      <c r="O1157" t="str">
        <f>_xll.BDP("912827H4 Govt","ISSUE_DT")</f>
        <v>11/2/1992</v>
      </c>
      <c r="P1157" t="str">
        <f>_xll.BDP("912827H4 Govt","SECURITY_NAME")</f>
        <v>T 5 3/4 10/31/97</v>
      </c>
      <c r="Q1157" t="str">
        <f>_xll.BDP("912827H4 Govt","DAY_CNT_DES")</f>
        <v>ACT/ACT</v>
      </c>
      <c r="R1157">
        <v>100</v>
      </c>
      <c r="S1157" t="str">
        <f>_xll.BDP("912827H4 Govt","ID_CUSIP")</f>
        <v>912827H47</v>
      </c>
      <c r="T1157" t="str">
        <f>_xll.BDP("912827H4 Govt","IDX_RATIO")</f>
        <v>#N/A Field Not Applicable</v>
      </c>
    </row>
    <row r="1158" spans="1:20" x14ac:dyDescent="0.25">
      <c r="A1158" t="s">
        <v>14</v>
      </c>
      <c r="B1158" t="str">
        <f>_xll.BDP("912827H7 Govt","TICKER")</f>
        <v>T</v>
      </c>
      <c r="C1158">
        <f>_xll.BDP("912827H7 Govt","CPN")</f>
        <v>4.625</v>
      </c>
      <c r="D1158" t="str">
        <f>_xll.BDP("912827H7 Govt","YLD_YTM_BID")</f>
        <v>#N/A N/A</v>
      </c>
      <c r="E1158" t="str">
        <f>_xll.BDP("912827H7 Govt","MATURITY")</f>
        <v>11/30/1994</v>
      </c>
      <c r="F1158" t="str">
        <f>_xll.BDP("912827H7 Govt","MTY_TYP")</f>
        <v>NORMAL</v>
      </c>
      <c r="G1158" t="str">
        <f>_xll.BDP("912827H7 Govt","CRNCY")</f>
        <v>USD</v>
      </c>
      <c r="H1158" t="str">
        <f>_xll.BDP("912827H7 Govt","COUNTRY_FULL_NAME")</f>
        <v>UNITED STATES</v>
      </c>
      <c r="I1158" t="str">
        <f>_xll.BDP("912827H7 Govt","FIRST_CPN_DT")</f>
        <v>5/31/1993</v>
      </c>
      <c r="J1158" t="str">
        <f>_xll.BDP("912827H7 Govt","COUPON_FREQUENCY_DESCRIPTION")</f>
        <v>S/A</v>
      </c>
      <c r="K1158" t="str">
        <f>_xll.BDP("912827H7 Govt","CPN_TYP")</f>
        <v>FIXED</v>
      </c>
      <c r="L1158" t="str">
        <f>_xll.BDP("912827H7 Govt","ID_ISIN")</f>
        <v>US912827H708</v>
      </c>
      <c r="N1158">
        <v>0</v>
      </c>
      <c r="O1158" t="str">
        <f>_xll.BDP("912827H7 Govt","ISSUE_DT")</f>
        <v>11/30/1992</v>
      </c>
      <c r="P1158" t="str">
        <f>_xll.BDP("912827H7 Govt","SECURITY_NAME")</f>
        <v>T 4 5/8 11/30/94</v>
      </c>
      <c r="Q1158" t="str">
        <f>_xll.BDP("912827H7 Govt","DAY_CNT_DES")</f>
        <v>ACT/ACT</v>
      </c>
      <c r="R1158">
        <v>100</v>
      </c>
      <c r="S1158" t="str">
        <f>_xll.BDP("912827H7 Govt","ID_CUSIP")</f>
        <v>912827H70</v>
      </c>
      <c r="T1158" t="str">
        <f>_xll.BDP("912827H7 Govt","IDX_RATIO")</f>
        <v>#N/A Field Not Applicable</v>
      </c>
    </row>
    <row r="1159" spans="1:20" x14ac:dyDescent="0.25">
      <c r="A1159" t="s">
        <v>14</v>
      </c>
      <c r="B1159" t="str">
        <f>_xll.BDP("912827K5 Govt","TICKER")</f>
        <v>T</v>
      </c>
      <c r="C1159">
        <f>_xll.BDP("912827K5 Govt","CPN")</f>
        <v>3.875</v>
      </c>
      <c r="D1159" t="str">
        <f>_xll.BDP("912827K5 Govt","YLD_YTM_BID")</f>
        <v>#N/A N/A</v>
      </c>
      <c r="E1159" t="str">
        <f>_xll.BDP("912827K5 Govt","MATURITY")</f>
        <v>4/30/1995</v>
      </c>
      <c r="F1159" t="str">
        <f>_xll.BDP("912827K5 Govt","MTY_TYP")</f>
        <v>NORMAL</v>
      </c>
      <c r="G1159" t="str">
        <f>_xll.BDP("912827K5 Govt","CRNCY")</f>
        <v>USD</v>
      </c>
      <c r="H1159" t="str">
        <f>_xll.BDP("912827K5 Govt","COUNTRY_FULL_NAME")</f>
        <v>UNITED STATES</v>
      </c>
      <c r="I1159" t="str">
        <f>_xll.BDP("912827K5 Govt","FIRST_CPN_DT")</f>
        <v>10/31/1993</v>
      </c>
      <c r="J1159" t="str">
        <f>_xll.BDP("912827K5 Govt","COUPON_FREQUENCY_DESCRIPTION")</f>
        <v>S/A</v>
      </c>
      <c r="K1159" t="str">
        <f>_xll.BDP("912827K5 Govt","CPN_TYP")</f>
        <v>FIXED</v>
      </c>
      <c r="L1159" t="str">
        <f>_xll.BDP("912827K5 Govt","ID_ISIN")</f>
        <v>US912827K504</v>
      </c>
      <c r="N1159">
        <v>0</v>
      </c>
      <c r="O1159" t="str">
        <f>_xll.BDP("912827K5 Govt","ISSUE_DT")</f>
        <v>4/30/1993</v>
      </c>
      <c r="P1159" t="str">
        <f>_xll.BDP("912827K5 Govt","SECURITY_NAME")</f>
        <v>T 3 7/8 04/30/95</v>
      </c>
      <c r="Q1159" t="str">
        <f>_xll.BDP("912827K5 Govt","DAY_CNT_DES")</f>
        <v>ACT/ACT</v>
      </c>
      <c r="R1159">
        <v>100</v>
      </c>
      <c r="S1159" t="str">
        <f>_xll.BDP("912827K5 Govt","ID_CUSIP")</f>
        <v>912827K50</v>
      </c>
      <c r="T1159" t="str">
        <f>_xll.BDP("912827K5 Govt","IDX_RATIO")</f>
        <v>#N/A Field Not Applicable</v>
      </c>
    </row>
    <row r="1160" spans="1:20" x14ac:dyDescent="0.25">
      <c r="A1160" t="s">
        <v>14</v>
      </c>
      <c r="B1160" t="str">
        <f>_xll.BDP("912827K9 Govt","TICKER")</f>
        <v>T</v>
      </c>
      <c r="C1160">
        <f>_xll.BDP("912827K9 Govt","CPN")</f>
        <v>4.125</v>
      </c>
      <c r="D1160" t="str">
        <f>_xll.BDP("912827K9 Govt","YLD_YTM_BID")</f>
        <v>#N/A N/A</v>
      </c>
      <c r="E1160" t="str">
        <f>_xll.BDP("912827K9 Govt","MATURITY")</f>
        <v>5/31/1995</v>
      </c>
      <c r="F1160" t="str">
        <f>_xll.BDP("912827K9 Govt","MTY_TYP")</f>
        <v>NORMAL</v>
      </c>
      <c r="G1160" t="str">
        <f>_xll.BDP("912827K9 Govt","CRNCY")</f>
        <v>USD</v>
      </c>
      <c r="H1160" t="str">
        <f>_xll.BDP("912827K9 Govt","COUNTRY_FULL_NAME")</f>
        <v>UNITED STATES</v>
      </c>
      <c r="I1160" t="str">
        <f>_xll.BDP("912827K9 Govt","FIRST_CPN_DT")</f>
        <v>11/30/1993</v>
      </c>
      <c r="J1160" t="str">
        <f>_xll.BDP("912827K9 Govt","COUPON_FREQUENCY_DESCRIPTION")</f>
        <v>S/A</v>
      </c>
      <c r="K1160" t="str">
        <f>_xll.BDP("912827K9 Govt","CPN_TYP")</f>
        <v>FIXED</v>
      </c>
      <c r="L1160" t="str">
        <f>_xll.BDP("912827K9 Govt","ID_ISIN")</f>
        <v>US912827K926</v>
      </c>
      <c r="N1160">
        <v>0</v>
      </c>
      <c r="O1160" t="str">
        <f>_xll.BDP("912827K9 Govt","ISSUE_DT")</f>
        <v>6/1/1993</v>
      </c>
      <c r="P1160" t="str">
        <f>_xll.BDP("912827K9 Govt","SECURITY_NAME")</f>
        <v>T 4 1/8 05/31/95</v>
      </c>
      <c r="Q1160" t="str">
        <f>_xll.BDP("912827K9 Govt","DAY_CNT_DES")</f>
        <v>ACT/ACT</v>
      </c>
      <c r="R1160">
        <v>100</v>
      </c>
      <c r="S1160" t="str">
        <f>_xll.BDP("912827K9 Govt","ID_CUSIP")</f>
        <v>912827K92</v>
      </c>
      <c r="T1160" t="str">
        <f>_xll.BDP("912827K9 Govt","IDX_RATIO")</f>
        <v>#N/A Field Not Applicable</v>
      </c>
    </row>
    <row r="1161" spans="1:20" x14ac:dyDescent="0.25">
      <c r="A1161" t="s">
        <v>14</v>
      </c>
      <c r="B1161" t="str">
        <f>_xll.BDP("912827KR Govt","TICKER")</f>
        <v>T</v>
      </c>
      <c r="C1161">
        <f>_xll.BDP("912827KR Govt","CPN")</f>
        <v>9.25</v>
      </c>
      <c r="D1161" t="str">
        <f>_xll.BDP("912827KR Govt","YLD_YTM_BID")</f>
        <v>#N/A N/A</v>
      </c>
      <c r="E1161" t="str">
        <f>_xll.BDP("912827KR Govt","MATURITY")</f>
        <v>8/15/1983</v>
      </c>
      <c r="F1161" t="str">
        <f>_xll.BDP("912827KR Govt","MTY_TYP")</f>
        <v>NORMAL</v>
      </c>
      <c r="G1161" t="str">
        <f>_xll.BDP("912827KR Govt","CRNCY")</f>
        <v>USD</v>
      </c>
      <c r="H1161" t="str">
        <f>_xll.BDP("912827KR Govt","COUNTRY_FULL_NAME")</f>
        <v>UNITED STATES</v>
      </c>
      <c r="I1161" t="str">
        <f>_xll.BDP("912827KR Govt","FIRST_CPN_DT")</f>
        <v>2/15/1981</v>
      </c>
      <c r="J1161" t="str">
        <f>_xll.BDP("912827KR Govt","COUPON_FREQUENCY_DESCRIPTION")</f>
        <v>S/A</v>
      </c>
      <c r="K1161" t="str">
        <f>_xll.BDP("912827KR Govt","CPN_TYP")</f>
        <v>FIXED</v>
      </c>
      <c r="L1161" t="str">
        <f>_xll.BDP("912827KR Govt","ID_ISIN")</f>
        <v>US912827KR20</v>
      </c>
      <c r="N1161">
        <v>0</v>
      </c>
      <c r="O1161" t="str">
        <f>_xll.BDP("912827KR Govt","ISSUE_DT")</f>
        <v>5/15/1980</v>
      </c>
      <c r="P1161" t="str">
        <f>_xll.BDP("912827KR Govt","SECURITY_NAME")</f>
        <v>T 9 1/4 08/15/83</v>
      </c>
      <c r="Q1161" t="str">
        <f>_xll.BDP("912827KR Govt","DAY_CNT_DES")</f>
        <v>ACT/ACT</v>
      </c>
      <c r="R1161">
        <v>100</v>
      </c>
      <c r="S1161" t="str">
        <f>_xll.BDP("912827KR Govt","ID_CUSIP")</f>
        <v>912827KR2</v>
      </c>
      <c r="T1161" t="str">
        <f>_xll.BDP("912827KR Govt","IDX_RATIO")</f>
        <v>#N/A Field Not Applicable</v>
      </c>
    </row>
    <row r="1162" spans="1:20" x14ac:dyDescent="0.25">
      <c r="A1162" t="s">
        <v>14</v>
      </c>
      <c r="B1162" t="str">
        <f>_xll.BDP("912827KX Govt","TICKER")</f>
        <v>T</v>
      </c>
      <c r="C1162">
        <f>_xll.BDP("912827KX Govt","CPN")</f>
        <v>9.875</v>
      </c>
      <c r="D1162" t="str">
        <f>_xll.BDP("912827KX Govt","YLD_YTM_BID")</f>
        <v>#N/A N/A</v>
      </c>
      <c r="E1162" t="str">
        <f>_xll.BDP("912827KX Govt","MATURITY")</f>
        <v>11/15/1983</v>
      </c>
      <c r="F1162" t="str">
        <f>_xll.BDP("912827KX Govt","MTY_TYP")</f>
        <v>NORMAL</v>
      </c>
      <c r="G1162" t="str">
        <f>_xll.BDP("912827KX Govt","CRNCY")</f>
        <v>USD</v>
      </c>
      <c r="H1162" t="str">
        <f>_xll.BDP("912827KX Govt","COUNTRY_FULL_NAME")</f>
        <v>UNITED STATES</v>
      </c>
      <c r="I1162" t="str">
        <f>_xll.BDP("912827KX Govt","FIRST_CPN_DT")</f>
        <v>5/15/1981</v>
      </c>
      <c r="J1162" t="str">
        <f>_xll.BDP("912827KX Govt","COUPON_FREQUENCY_DESCRIPTION")</f>
        <v>S/A</v>
      </c>
      <c r="K1162" t="str">
        <f>_xll.BDP("912827KX Govt","CPN_TYP")</f>
        <v>FIXED</v>
      </c>
      <c r="L1162" t="str">
        <f>_xll.BDP("912827KX Govt","ID_ISIN")</f>
        <v>US912827KX97</v>
      </c>
      <c r="N1162">
        <v>0</v>
      </c>
      <c r="O1162" t="str">
        <f>_xll.BDP("912827KX Govt","ISSUE_DT")</f>
        <v>8/15/1980</v>
      </c>
      <c r="P1162" t="str">
        <f>_xll.BDP("912827KX Govt","SECURITY_NAME")</f>
        <v>T 9 7/8 11/15/83</v>
      </c>
      <c r="Q1162" t="str">
        <f>_xll.BDP("912827KX Govt","DAY_CNT_DES")</f>
        <v>ACT/ACT</v>
      </c>
      <c r="R1162">
        <v>100</v>
      </c>
      <c r="S1162" t="str">
        <f>_xll.BDP("912827KX Govt","ID_CUSIP")</f>
        <v>912827KX9</v>
      </c>
      <c r="T1162" t="str">
        <f>_xll.BDP("912827KX Govt","IDX_RATIO")</f>
        <v>#N/A Field Not Applicable</v>
      </c>
    </row>
    <row r="1163" spans="1:20" x14ac:dyDescent="0.25">
      <c r="A1163" t="s">
        <v>14</v>
      </c>
      <c r="B1163" t="str">
        <f>_xll.BDP("912827L2 Govt","TICKER")</f>
        <v>T</v>
      </c>
      <c r="C1163">
        <f>_xll.BDP("912827L2 Govt","CPN")</f>
        <v>5.375</v>
      </c>
      <c r="D1163" t="str">
        <f>_xll.BDP("912827L2 Govt","YLD_YTM_BID")</f>
        <v>#N/A N/A</v>
      </c>
      <c r="E1163" t="str">
        <f>_xll.BDP("912827L2 Govt","MATURITY")</f>
        <v>5/31/1998</v>
      </c>
      <c r="F1163" t="str">
        <f>_xll.BDP("912827L2 Govt","MTY_TYP")</f>
        <v>NORMAL</v>
      </c>
      <c r="G1163" t="str">
        <f>_xll.BDP("912827L2 Govt","CRNCY")</f>
        <v>USD</v>
      </c>
      <c r="H1163" t="str">
        <f>_xll.BDP("912827L2 Govt","COUNTRY_FULL_NAME")</f>
        <v>UNITED STATES</v>
      </c>
      <c r="I1163" t="str">
        <f>_xll.BDP("912827L2 Govt","FIRST_CPN_DT")</f>
        <v>11/30/1993</v>
      </c>
      <c r="J1163" t="str">
        <f>_xll.BDP("912827L2 Govt","COUPON_FREQUENCY_DESCRIPTION")</f>
        <v>S/A</v>
      </c>
      <c r="K1163" t="str">
        <f>_xll.BDP("912827L2 Govt","CPN_TYP")</f>
        <v>FIXED</v>
      </c>
      <c r="L1163" t="str">
        <f>_xll.BDP("912827L2 Govt","ID_ISIN")</f>
        <v>US912827L262</v>
      </c>
      <c r="M1163">
        <v>12358000000</v>
      </c>
      <c r="N1163">
        <v>0</v>
      </c>
      <c r="O1163" t="str">
        <f>_xll.BDP("912827L2 Govt","ISSUE_DT")</f>
        <v>6/1/1993</v>
      </c>
      <c r="P1163" t="str">
        <f>_xll.BDP("912827L2 Govt","SECURITY_NAME")</f>
        <v>T 5 3/8 05/31/98</v>
      </c>
      <c r="Q1163" t="str">
        <f>_xll.BDP("912827L2 Govt","DAY_CNT_DES")</f>
        <v>ACT/ACT</v>
      </c>
      <c r="R1163">
        <v>100</v>
      </c>
      <c r="S1163" t="str">
        <f>_xll.BDP("912827L2 Govt","ID_CUSIP")</f>
        <v>912827L26</v>
      </c>
      <c r="T1163" t="str">
        <f>_xll.BDP("912827L2 Govt","IDX_RATIO")</f>
        <v>#N/A Field Not Applicable</v>
      </c>
    </row>
    <row r="1164" spans="1:20" x14ac:dyDescent="0.25">
      <c r="A1164" t="s">
        <v>14</v>
      </c>
      <c r="B1164" t="str">
        <f>_xll.BDP("912827M2 Govt","TICKER")</f>
        <v>T</v>
      </c>
      <c r="C1164">
        <f>_xll.BDP("912827M2 Govt","CPN")</f>
        <v>4.75</v>
      </c>
      <c r="D1164" t="str">
        <f>_xll.BDP("912827M2 Govt","YLD_YTM_BID")</f>
        <v>#N/A N/A</v>
      </c>
      <c r="E1164" t="str">
        <f>_xll.BDP("912827M2 Govt","MATURITY")</f>
        <v>8/31/1998</v>
      </c>
      <c r="F1164" t="str">
        <f>_xll.BDP("912827M2 Govt","MTY_TYP")</f>
        <v>NORMAL</v>
      </c>
      <c r="G1164" t="str">
        <f>_xll.BDP("912827M2 Govt","CRNCY")</f>
        <v>USD</v>
      </c>
      <c r="H1164" t="str">
        <f>_xll.BDP("912827M2 Govt","COUNTRY_FULL_NAME")</f>
        <v>UNITED STATES</v>
      </c>
      <c r="I1164" t="str">
        <f>_xll.BDP("912827M2 Govt","FIRST_CPN_DT")</f>
        <v>2/28/1994</v>
      </c>
      <c r="J1164" t="str">
        <f>_xll.BDP("912827M2 Govt","COUPON_FREQUENCY_DESCRIPTION")</f>
        <v>S/A</v>
      </c>
      <c r="K1164" t="str">
        <f>_xll.BDP("912827M2 Govt","CPN_TYP")</f>
        <v>FIXED</v>
      </c>
      <c r="L1164" t="str">
        <f>_xll.BDP("912827M2 Govt","ID_ISIN")</f>
        <v>US912827M252</v>
      </c>
      <c r="M1164">
        <v>13019000000</v>
      </c>
      <c r="N1164">
        <v>0</v>
      </c>
      <c r="O1164" t="str">
        <f>_xll.BDP("912827M2 Govt","ISSUE_DT")</f>
        <v>8/31/1993</v>
      </c>
      <c r="P1164" t="str">
        <f>_xll.BDP("912827M2 Govt","SECURITY_NAME")</f>
        <v>T 4 3/4 08/31/98</v>
      </c>
      <c r="Q1164" t="str">
        <f>_xll.BDP("912827M2 Govt","DAY_CNT_DES")</f>
        <v>ACT/ACT</v>
      </c>
      <c r="R1164">
        <v>100</v>
      </c>
      <c r="S1164" t="str">
        <f>_xll.BDP("912827M2 Govt","ID_CUSIP")</f>
        <v>912827M25</v>
      </c>
      <c r="T1164" t="str">
        <f>_xll.BDP("912827M2 Govt","IDX_RATIO")</f>
        <v>#N/A Field Not Applicable</v>
      </c>
    </row>
    <row r="1165" spans="1:20" x14ac:dyDescent="0.25">
      <c r="A1165" t="s">
        <v>14</v>
      </c>
      <c r="B1165" t="str">
        <f>_xll.BDP("912827M4 Govt","TICKER")</f>
        <v>T</v>
      </c>
      <c r="C1165">
        <f>_xll.BDP("912827M4 Govt","CPN")</f>
        <v>4.75</v>
      </c>
      <c r="D1165" t="str">
        <f>_xll.BDP("912827M4 Govt","YLD_YTM_BID")</f>
        <v>#N/A N/A</v>
      </c>
      <c r="E1165" t="str">
        <f>_xll.BDP("912827M4 Govt","MATURITY")</f>
        <v>9/30/1998</v>
      </c>
      <c r="F1165" t="str">
        <f>_xll.BDP("912827M4 Govt","MTY_TYP")</f>
        <v>NORMAL</v>
      </c>
      <c r="G1165" t="str">
        <f>_xll.BDP("912827M4 Govt","CRNCY")</f>
        <v>USD</v>
      </c>
      <c r="H1165" t="str">
        <f>_xll.BDP("912827M4 Govt","COUNTRY_FULL_NAME")</f>
        <v>UNITED STATES</v>
      </c>
      <c r="I1165" t="str">
        <f>_xll.BDP("912827M4 Govt","FIRST_CPN_DT")</f>
        <v>3/31/1994</v>
      </c>
      <c r="J1165" t="str">
        <f>_xll.BDP("912827M4 Govt","COUPON_FREQUENCY_DESCRIPTION")</f>
        <v>S/A</v>
      </c>
      <c r="K1165" t="str">
        <f>_xll.BDP("912827M4 Govt","CPN_TYP")</f>
        <v>FIXED</v>
      </c>
      <c r="L1165" t="str">
        <f>_xll.BDP("912827M4 Govt","ID_ISIN")</f>
        <v>US912827M419</v>
      </c>
      <c r="M1165">
        <v>12576000000</v>
      </c>
      <c r="N1165">
        <v>0</v>
      </c>
      <c r="O1165" t="str">
        <f>_xll.BDP("912827M4 Govt","ISSUE_DT")</f>
        <v>9/30/1993</v>
      </c>
      <c r="P1165" t="str">
        <f>_xll.BDP("912827M4 Govt","SECURITY_NAME")</f>
        <v>T 4 3/4 09/30/98</v>
      </c>
      <c r="Q1165" t="str">
        <f>_xll.BDP("912827M4 Govt","DAY_CNT_DES")</f>
        <v>ACT/ACT</v>
      </c>
      <c r="R1165">
        <v>100</v>
      </c>
      <c r="S1165" t="str">
        <f>_xll.BDP("912827M4 Govt","ID_CUSIP")</f>
        <v>912827M41</v>
      </c>
      <c r="T1165" t="str">
        <f>_xll.BDP("912827M4 Govt","IDX_RATIO")</f>
        <v>#N/A Field Not Applicable</v>
      </c>
    </row>
    <row r="1166" spans="1:20" x14ac:dyDescent="0.25">
      <c r="A1166" t="s">
        <v>14</v>
      </c>
      <c r="B1166" t="str">
        <f>_xll.BDP("912827M9 Govt","TICKER")</f>
        <v>T</v>
      </c>
      <c r="C1166">
        <f>_xll.BDP("912827M9 Govt","CPN")</f>
        <v>4.25</v>
      </c>
      <c r="D1166" t="str">
        <f>_xll.BDP("912827M9 Govt","YLD_YTM_BID")</f>
        <v>#N/A N/A</v>
      </c>
      <c r="E1166" t="str">
        <f>_xll.BDP("912827M9 Govt","MATURITY")</f>
        <v>11/30/1995</v>
      </c>
      <c r="F1166" t="str">
        <f>_xll.BDP("912827M9 Govt","MTY_TYP")</f>
        <v>NORMAL</v>
      </c>
      <c r="G1166" t="str">
        <f>_xll.BDP("912827M9 Govt","CRNCY")</f>
        <v>USD</v>
      </c>
      <c r="H1166" t="str">
        <f>_xll.BDP("912827M9 Govt","COUNTRY_FULL_NAME")</f>
        <v>UNITED STATES</v>
      </c>
      <c r="I1166" t="str">
        <f>_xll.BDP("912827M9 Govt","FIRST_CPN_DT")</f>
        <v>5/31/1994</v>
      </c>
      <c r="J1166" t="str">
        <f>_xll.BDP("912827M9 Govt","COUPON_FREQUENCY_DESCRIPTION")</f>
        <v>S/A</v>
      </c>
      <c r="K1166" t="str">
        <f>_xll.BDP("912827M9 Govt","CPN_TYP")</f>
        <v>FIXED</v>
      </c>
      <c r="L1166" t="str">
        <f>_xll.BDP("912827M9 Govt","ID_ISIN")</f>
        <v>US912827M906</v>
      </c>
      <c r="N1166">
        <v>0</v>
      </c>
      <c r="O1166" t="str">
        <f>_xll.BDP("912827M9 Govt","ISSUE_DT")</f>
        <v>11/30/1993</v>
      </c>
      <c r="P1166" t="str">
        <f>_xll.BDP("912827M9 Govt","SECURITY_NAME")</f>
        <v>T 4 1/4 11/30/95</v>
      </c>
      <c r="Q1166" t="str">
        <f>_xll.BDP("912827M9 Govt","DAY_CNT_DES")</f>
        <v>ACT/ACT</v>
      </c>
      <c r="R1166">
        <v>100</v>
      </c>
      <c r="S1166" t="str">
        <f>_xll.BDP("912827M9 Govt","ID_CUSIP")</f>
        <v>912827M90</v>
      </c>
      <c r="T1166" t="str">
        <f>_xll.BDP("912827M9 Govt","IDX_RATIO")</f>
        <v>#N/A Field Not Applicable</v>
      </c>
    </row>
    <row r="1167" spans="1:20" x14ac:dyDescent="0.25">
      <c r="A1167" t="s">
        <v>14</v>
      </c>
      <c r="B1167" t="str">
        <f>_xll.BDP("912827MD Govt","TICKER")</f>
        <v>T</v>
      </c>
      <c r="C1167">
        <f>_xll.BDP("912827MD Govt","CPN")</f>
        <v>16</v>
      </c>
      <c r="D1167" t="str">
        <f>_xll.BDP("912827MD Govt","YLD_YTM_BID")</f>
        <v>#N/A N/A</v>
      </c>
      <c r="E1167" t="str">
        <f>_xll.BDP("912827MD Govt","MATURITY")</f>
        <v>11/15/1984</v>
      </c>
      <c r="F1167" t="str">
        <f>_xll.BDP("912827MD Govt","MTY_TYP")</f>
        <v>NORMAL</v>
      </c>
      <c r="G1167" t="str">
        <f>_xll.BDP("912827MD Govt","CRNCY")</f>
        <v>USD</v>
      </c>
      <c r="H1167" t="str">
        <f>_xll.BDP("912827MD Govt","COUNTRY_FULL_NAME")</f>
        <v>UNITED STATES</v>
      </c>
      <c r="I1167" t="str">
        <f>_xll.BDP("912827MD Govt","FIRST_CPN_DT")</f>
        <v>5/15/1982</v>
      </c>
      <c r="J1167" t="str">
        <f>_xll.BDP("912827MD Govt","COUPON_FREQUENCY_DESCRIPTION")</f>
        <v>S/A</v>
      </c>
      <c r="K1167" t="str">
        <f>_xll.BDP("912827MD Govt","CPN_TYP")</f>
        <v>FIXED</v>
      </c>
      <c r="L1167" t="str">
        <f>_xll.BDP("912827MD Govt","ID_ISIN")</f>
        <v>US912827MD16</v>
      </c>
      <c r="N1167">
        <v>0</v>
      </c>
      <c r="O1167" t="str">
        <f>_xll.BDP("912827MD Govt","ISSUE_DT")</f>
        <v>8/17/1981</v>
      </c>
      <c r="P1167" t="str">
        <f>_xll.BDP("912827MD Govt","SECURITY_NAME")</f>
        <v>T 16 11/15/84</v>
      </c>
      <c r="Q1167" t="str">
        <f>_xll.BDP("912827MD Govt","DAY_CNT_DES")</f>
        <v>ACT/ACT</v>
      </c>
      <c r="R1167">
        <v>100</v>
      </c>
      <c r="S1167" t="str">
        <f>_xll.BDP("912827MD Govt","ID_CUSIP")</f>
        <v>912827MD1</v>
      </c>
      <c r="T1167" t="str">
        <f>_xll.BDP("912827MD Govt","IDX_RATIO")</f>
        <v>#N/A Field Not Applicable</v>
      </c>
    </row>
    <row r="1168" spans="1:20" x14ac:dyDescent="0.25">
      <c r="A1168" t="s">
        <v>14</v>
      </c>
      <c r="B1168" t="str">
        <f>_xll.BDP("912827MZ Govt","TICKER")</f>
        <v>T</v>
      </c>
      <c r="C1168">
        <f>_xll.BDP("912827MZ Govt","CPN")</f>
        <v>14.125</v>
      </c>
      <c r="D1168" t="str">
        <f>_xll.BDP("912827MZ Govt","YLD_YTM_BID")</f>
        <v>#N/A N/A</v>
      </c>
      <c r="E1168" t="str">
        <f>_xll.BDP("912827MZ Govt","MATURITY")</f>
        <v>3/31/1984</v>
      </c>
      <c r="F1168" t="str">
        <f>_xll.BDP("912827MZ Govt","MTY_TYP")</f>
        <v>NORMAL</v>
      </c>
      <c r="G1168" t="str">
        <f>_xll.BDP("912827MZ Govt","CRNCY")</f>
        <v>USD</v>
      </c>
      <c r="H1168" t="str">
        <f>_xll.BDP("912827MZ Govt","COUNTRY_FULL_NAME")</f>
        <v>UNITED STATES</v>
      </c>
      <c r="I1168" t="str">
        <f>_xll.BDP("912827MZ Govt","FIRST_CPN_DT")</f>
        <v>9/30/1982</v>
      </c>
      <c r="J1168" t="str">
        <f>_xll.BDP("912827MZ Govt","COUPON_FREQUENCY_DESCRIPTION")</f>
        <v>S/A</v>
      </c>
      <c r="K1168" t="str">
        <f>_xll.BDP("912827MZ Govt","CPN_TYP")</f>
        <v>FIXED</v>
      </c>
      <c r="L1168" t="str">
        <f>_xll.BDP("912827MZ Govt","ID_ISIN")</f>
        <v>US912827MZ28</v>
      </c>
      <c r="N1168">
        <v>0</v>
      </c>
      <c r="O1168" t="str">
        <f>_xll.BDP("912827MZ Govt","ISSUE_DT")</f>
        <v>3/31/1982</v>
      </c>
      <c r="P1168" t="str">
        <f>_xll.BDP("912827MZ Govt","SECURITY_NAME")</f>
        <v>T 14 1/8 03/31/84</v>
      </c>
      <c r="Q1168" t="str">
        <f>_xll.BDP("912827MZ Govt","DAY_CNT_DES")</f>
        <v>ACT/ACT</v>
      </c>
      <c r="R1168">
        <v>100</v>
      </c>
      <c r="S1168" t="str">
        <f>_xll.BDP("912827MZ Govt","ID_CUSIP")</f>
        <v>912827MZ2</v>
      </c>
      <c r="T1168" t="str">
        <f>_xll.BDP("912827MZ Govt","IDX_RATIO")</f>
        <v>#N/A Field Not Applicable</v>
      </c>
    </row>
    <row r="1169" spans="1:20" x14ac:dyDescent="0.25">
      <c r="A1169" t="s">
        <v>14</v>
      </c>
      <c r="B1169" t="str">
        <f>_xll.BDP("912827NG Govt","TICKER")</f>
        <v>T</v>
      </c>
      <c r="C1169">
        <f>_xll.BDP("912827NG Govt","CPN")</f>
        <v>13.75</v>
      </c>
      <c r="D1169" t="str">
        <f>_xll.BDP("912827NG Govt","YLD_YTM_BID")</f>
        <v>#N/A N/A</v>
      </c>
      <c r="E1169" t="str">
        <f>_xll.BDP("912827NG Govt","MATURITY")</f>
        <v>8/15/1987</v>
      </c>
      <c r="F1169" t="str">
        <f>_xll.BDP("912827NG Govt","MTY_TYP")</f>
        <v>NORMAL</v>
      </c>
      <c r="G1169" t="str">
        <f>_xll.BDP("912827NG Govt","CRNCY")</f>
        <v>USD</v>
      </c>
      <c r="H1169" t="str">
        <f>_xll.BDP("912827NG Govt","COUNTRY_FULL_NAME")</f>
        <v>UNITED STATES</v>
      </c>
      <c r="I1169" t="str">
        <f>_xll.BDP("912827NG Govt","FIRST_CPN_DT")</f>
        <v>2/15/1983</v>
      </c>
      <c r="J1169" t="str">
        <f>_xll.BDP("912827NG Govt","COUPON_FREQUENCY_DESCRIPTION")</f>
        <v>S/A</v>
      </c>
      <c r="K1169" t="str">
        <f>_xll.BDP("912827NG Govt","CPN_TYP")</f>
        <v>FIXED</v>
      </c>
      <c r="L1169" t="str">
        <f>_xll.BDP("912827NG Govt","ID_ISIN")</f>
        <v>US912827NG38</v>
      </c>
      <c r="N1169">
        <v>0</v>
      </c>
      <c r="O1169" t="str">
        <f>_xll.BDP("912827NG Govt","ISSUE_DT")</f>
        <v>6/2/1982</v>
      </c>
      <c r="P1169" t="str">
        <f>_xll.BDP("912827NG Govt","SECURITY_NAME")</f>
        <v>T 13 3/4 08/15/87</v>
      </c>
      <c r="Q1169" t="str">
        <f>_xll.BDP("912827NG Govt","DAY_CNT_DES")</f>
        <v>ACT/ACT</v>
      </c>
      <c r="R1169">
        <v>100</v>
      </c>
      <c r="S1169" t="str">
        <f>_xll.BDP("912827NG Govt","ID_CUSIP")</f>
        <v>912827NG3</v>
      </c>
      <c r="T1169" t="str">
        <f>_xll.BDP("912827NG Govt","IDX_RATIO")</f>
        <v>#N/A Field Not Applicable</v>
      </c>
    </row>
    <row r="1170" spans="1:20" x14ac:dyDescent="0.25">
      <c r="A1170" t="s">
        <v>14</v>
      </c>
      <c r="B1170" t="str">
        <f>_xll.BDP("912827NY Govt","TICKER")</f>
        <v>T</v>
      </c>
      <c r="C1170">
        <f>_xll.BDP("912827NY Govt","CPN")</f>
        <v>9.375</v>
      </c>
      <c r="D1170" t="str">
        <f>_xll.BDP("912827NY Govt","YLD_YTM_BID")</f>
        <v>#N/A N/A</v>
      </c>
      <c r="E1170" t="str">
        <f>_xll.BDP("912827NY Govt","MATURITY")</f>
        <v>12/31/1984</v>
      </c>
      <c r="F1170" t="str">
        <f>_xll.BDP("912827NY Govt","MTY_TYP")</f>
        <v>NORMAL</v>
      </c>
      <c r="G1170" t="str">
        <f>_xll.BDP("912827NY Govt","CRNCY")</f>
        <v>USD</v>
      </c>
      <c r="H1170" t="str">
        <f>_xll.BDP("912827NY Govt","COUNTRY_FULL_NAME")</f>
        <v>UNITED STATES</v>
      </c>
      <c r="I1170" t="str">
        <f>_xll.BDP("912827NY Govt","FIRST_CPN_DT")</f>
        <v>6/30/1983</v>
      </c>
      <c r="J1170" t="str">
        <f>_xll.BDP("912827NY Govt","COUPON_FREQUENCY_DESCRIPTION")</f>
        <v>S/A</v>
      </c>
      <c r="K1170" t="str">
        <f>_xll.BDP("912827NY Govt","CPN_TYP")</f>
        <v>FIXED</v>
      </c>
      <c r="L1170" t="str">
        <f>_xll.BDP("912827NY Govt","ID_ISIN")</f>
        <v>US912827NY44</v>
      </c>
      <c r="N1170">
        <v>0</v>
      </c>
      <c r="O1170" t="str">
        <f>_xll.BDP("912827NY Govt","ISSUE_DT")</f>
        <v>12/31/1982</v>
      </c>
      <c r="P1170" t="str">
        <f>_xll.BDP("912827NY Govt","SECURITY_NAME")</f>
        <v>T 9 3/8 12/31/84</v>
      </c>
      <c r="Q1170" t="str">
        <f>_xll.BDP("912827NY Govt","DAY_CNT_DES")</f>
        <v>ACT/ACT</v>
      </c>
      <c r="R1170">
        <v>100</v>
      </c>
      <c r="S1170" t="str">
        <f>_xll.BDP("912827NY Govt","ID_CUSIP")</f>
        <v>912827NY4</v>
      </c>
      <c r="T1170" t="str">
        <f>_xll.BDP("912827NY Govt","IDX_RATIO")</f>
        <v>#N/A Field Not Applicable</v>
      </c>
    </row>
    <row r="1171" spans="1:20" x14ac:dyDescent="0.25">
      <c r="A1171" t="s">
        <v>14</v>
      </c>
      <c r="B1171" t="str">
        <f>_xll.BDP("912827P4 Govt","TICKER")</f>
        <v>T</v>
      </c>
      <c r="C1171">
        <f>_xll.BDP("912827P4 Govt","CPN")</f>
        <v>5.875</v>
      </c>
      <c r="D1171" t="str">
        <f>_xll.BDP("912827P4 Govt","YLD_YTM_BID")</f>
        <v>#N/A N/A</v>
      </c>
      <c r="E1171" t="str">
        <f>_xll.BDP("912827P4 Govt","MATURITY")</f>
        <v>3/31/1999</v>
      </c>
      <c r="F1171" t="str">
        <f>_xll.BDP("912827P4 Govt","MTY_TYP")</f>
        <v>NORMAL</v>
      </c>
      <c r="G1171" t="str">
        <f>_xll.BDP("912827P4 Govt","CRNCY")</f>
        <v>USD</v>
      </c>
      <c r="H1171" t="str">
        <f>_xll.BDP("912827P4 Govt","COUNTRY_FULL_NAME")</f>
        <v>UNITED STATES</v>
      </c>
      <c r="I1171" t="str">
        <f>_xll.BDP("912827P4 Govt","FIRST_CPN_DT")</f>
        <v>9/30/1994</v>
      </c>
      <c r="J1171" t="str">
        <f>_xll.BDP("912827P4 Govt","COUPON_FREQUENCY_DESCRIPTION")</f>
        <v>S/A</v>
      </c>
      <c r="K1171" t="str">
        <f>_xll.BDP("912827P4 Govt","CPN_TYP")</f>
        <v>FIXED</v>
      </c>
      <c r="L1171" t="str">
        <f>_xll.BDP("912827P4 Govt","ID_ISIN")</f>
        <v>US912827P487</v>
      </c>
      <c r="M1171">
        <v>12780000000</v>
      </c>
      <c r="N1171">
        <v>0</v>
      </c>
      <c r="O1171" t="str">
        <f>_xll.BDP("912827P4 Govt","ISSUE_DT")</f>
        <v>3/31/1994</v>
      </c>
      <c r="P1171" t="str">
        <f>_xll.BDP("912827P4 Govt","SECURITY_NAME")</f>
        <v>T 5 7/8 03/31/99</v>
      </c>
      <c r="Q1171" t="str">
        <f>_xll.BDP("912827P4 Govt","DAY_CNT_DES")</f>
        <v>ACT/ACT</v>
      </c>
      <c r="R1171">
        <v>100</v>
      </c>
      <c r="S1171" t="str">
        <f>_xll.BDP("912827P4 Govt","ID_CUSIP")</f>
        <v>912827P48</v>
      </c>
      <c r="T1171" t="str">
        <f>_xll.BDP("912827P4 Govt","IDX_RATIO")</f>
        <v>#N/A Field Not Applicable</v>
      </c>
    </row>
    <row r="1172" spans="1:20" x14ac:dyDescent="0.25">
      <c r="A1172" t="s">
        <v>14</v>
      </c>
      <c r="B1172" t="str">
        <f>_xll.BDP("912827PA Govt","TICKER")</f>
        <v>T</v>
      </c>
      <c r="C1172">
        <f>_xll.BDP("912827PA Govt","CPN")</f>
        <v>10.5</v>
      </c>
      <c r="D1172" t="str">
        <f>_xll.BDP("912827PA Govt","YLD_YTM_BID")</f>
        <v>#N/A N/A</v>
      </c>
      <c r="E1172" t="str">
        <f>_xll.BDP("912827PA Govt","MATURITY")</f>
        <v>1/15/1990</v>
      </c>
      <c r="F1172" t="str">
        <f>_xll.BDP("912827PA Govt","MTY_TYP")</f>
        <v>NORMAL</v>
      </c>
      <c r="G1172" t="str">
        <f>_xll.BDP("912827PA Govt","CRNCY")</f>
        <v>USD</v>
      </c>
      <c r="H1172" t="str">
        <f>_xll.BDP("912827PA Govt","COUNTRY_FULL_NAME")</f>
        <v>UNITED STATES</v>
      </c>
      <c r="I1172" t="str">
        <f>_xll.BDP("912827PA Govt","FIRST_CPN_DT")</f>
        <v>7/15/1983</v>
      </c>
      <c r="J1172" t="str">
        <f>_xll.BDP("912827PA Govt","COUPON_FREQUENCY_DESCRIPTION")</f>
        <v>S/A</v>
      </c>
      <c r="K1172" t="str">
        <f>_xll.BDP("912827PA Govt","CPN_TYP")</f>
        <v>FIXED</v>
      </c>
      <c r="L1172" t="str">
        <f>_xll.BDP("912827PA Govt","ID_ISIN")</f>
        <v>US912827PA40</v>
      </c>
      <c r="N1172">
        <v>0</v>
      </c>
      <c r="O1172" t="str">
        <f>_xll.BDP("912827PA Govt","ISSUE_DT")</f>
        <v>1/4/1983</v>
      </c>
      <c r="P1172" t="str">
        <f>_xll.BDP("912827PA Govt","SECURITY_NAME")</f>
        <v>T 10 1/2 01/15/90</v>
      </c>
      <c r="Q1172" t="str">
        <f>_xll.BDP("912827PA Govt","DAY_CNT_DES")</f>
        <v>ACT/ACT</v>
      </c>
      <c r="R1172">
        <v>100</v>
      </c>
      <c r="S1172" t="str">
        <f>_xll.BDP("912827PA Govt","ID_CUSIP")</f>
        <v>912827PA4</v>
      </c>
      <c r="T1172" t="str">
        <f>_xll.BDP("912827PA Govt","IDX_RATIO")</f>
        <v>#N/A Field Not Applicable</v>
      </c>
    </row>
    <row r="1173" spans="1:20" x14ac:dyDescent="0.25">
      <c r="A1173" t="s">
        <v>14</v>
      </c>
      <c r="B1173" t="str">
        <f>_xll.BDP("912827PG Govt","TICKER")</f>
        <v>T</v>
      </c>
      <c r="C1173">
        <f>_xll.BDP("912827PG Govt","CPN")</f>
        <v>9.625</v>
      </c>
      <c r="D1173" t="str">
        <f>_xll.BDP("912827PG Govt","YLD_YTM_BID")</f>
        <v>#N/A N/A</v>
      </c>
      <c r="E1173" t="str">
        <f>_xll.BDP("912827PG Govt","MATURITY")</f>
        <v>3/31/1985</v>
      </c>
      <c r="F1173" t="str">
        <f>_xll.BDP("912827PG Govt","MTY_TYP")</f>
        <v>NORMAL</v>
      </c>
      <c r="G1173" t="str">
        <f>_xll.BDP("912827PG Govt","CRNCY")</f>
        <v>USD</v>
      </c>
      <c r="H1173" t="str">
        <f>_xll.BDP("912827PG Govt","COUNTRY_FULL_NAME")</f>
        <v>UNITED STATES</v>
      </c>
      <c r="I1173" t="str">
        <f>_xll.BDP("912827PG Govt","FIRST_CPN_DT")</f>
        <v>9/30/1983</v>
      </c>
      <c r="J1173" t="str">
        <f>_xll.BDP("912827PG Govt","COUPON_FREQUENCY_DESCRIPTION")</f>
        <v>S/A</v>
      </c>
      <c r="K1173" t="str">
        <f>_xll.BDP("912827PG Govt","CPN_TYP")</f>
        <v>FIXED</v>
      </c>
      <c r="L1173" t="str">
        <f>_xll.BDP("912827PG Govt","ID_ISIN")</f>
        <v>US912827PG10</v>
      </c>
      <c r="N1173">
        <v>0</v>
      </c>
      <c r="O1173" t="str">
        <f>_xll.BDP("912827PG Govt","ISSUE_DT")</f>
        <v>3/31/1983</v>
      </c>
      <c r="P1173" t="str">
        <f>_xll.BDP("912827PG Govt","SECURITY_NAME")</f>
        <v>T 9 5/8 03/31/85</v>
      </c>
      <c r="Q1173" t="str">
        <f>_xll.BDP("912827PG Govt","DAY_CNT_DES")</f>
        <v>ACT/ACT</v>
      </c>
      <c r="R1173">
        <v>100</v>
      </c>
      <c r="S1173" t="str">
        <f>_xll.BDP("912827PG Govt","ID_CUSIP")</f>
        <v>912827PG1</v>
      </c>
      <c r="T1173" t="str">
        <f>_xll.BDP("912827PG Govt","IDX_RATIO")</f>
        <v>#N/A Field Not Applicable</v>
      </c>
    </row>
    <row r="1174" spans="1:20" x14ac:dyDescent="0.25">
      <c r="A1174" t="s">
        <v>14</v>
      </c>
      <c r="B1174" t="str">
        <f>_xll.BDP("912827PM Govt","TICKER")</f>
        <v>T</v>
      </c>
      <c r="C1174">
        <f>_xll.BDP("912827PM Govt","CPN")</f>
        <v>10.125</v>
      </c>
      <c r="D1174" t="str">
        <f>_xll.BDP("912827PM Govt","YLD_YTM_BID")</f>
        <v>#N/A N/A</v>
      </c>
      <c r="E1174" t="str">
        <f>_xll.BDP("912827PM Govt","MATURITY")</f>
        <v>5/15/1993</v>
      </c>
      <c r="F1174" t="str">
        <f>_xll.BDP("912827PM Govt","MTY_TYP")</f>
        <v>NORMAL</v>
      </c>
      <c r="G1174" t="str">
        <f>_xll.BDP("912827PM Govt","CRNCY")</f>
        <v>USD</v>
      </c>
      <c r="H1174" t="str">
        <f>_xll.BDP("912827PM Govt","COUNTRY_FULL_NAME")</f>
        <v>UNITED STATES</v>
      </c>
      <c r="I1174" t="str">
        <f>_xll.BDP("912827PM Govt","FIRST_CPN_DT")</f>
        <v>11/15/1983</v>
      </c>
      <c r="J1174" t="str">
        <f>_xll.BDP("912827PM Govt","COUPON_FREQUENCY_DESCRIPTION")</f>
        <v>S/A</v>
      </c>
      <c r="K1174" t="str">
        <f>_xll.BDP("912827PM Govt","CPN_TYP")</f>
        <v>FIXED</v>
      </c>
      <c r="L1174" t="str">
        <f>_xll.BDP("912827PM Govt","ID_ISIN")</f>
        <v>US912827PM87</v>
      </c>
      <c r="N1174">
        <v>0</v>
      </c>
      <c r="O1174" t="str">
        <f>_xll.BDP("912827PM Govt","ISSUE_DT")</f>
        <v>5/16/1983</v>
      </c>
      <c r="P1174" t="str">
        <f>_xll.BDP("912827PM Govt","SECURITY_NAME")</f>
        <v>T 10 1/8 05/15/93</v>
      </c>
      <c r="Q1174" t="str">
        <f>_xll.BDP("912827PM Govt","DAY_CNT_DES")</f>
        <v>ACT/ACT</v>
      </c>
      <c r="R1174">
        <v>100</v>
      </c>
      <c r="S1174" t="str">
        <f>_xll.BDP("912827PM Govt","ID_CUSIP")</f>
        <v>912827PM8</v>
      </c>
      <c r="T1174" t="str">
        <f>_xll.BDP("912827PM Govt","IDX_RATIO")</f>
        <v>#N/A Field Not Applicable</v>
      </c>
    </row>
    <row r="1175" spans="1:20" x14ac:dyDescent="0.25">
      <c r="A1175" t="s">
        <v>14</v>
      </c>
      <c r="B1175" t="str">
        <f>_xll.BDP("912827PU Govt","TICKER")</f>
        <v>T</v>
      </c>
      <c r="C1175">
        <f>_xll.BDP("912827PU Govt","CPN")</f>
        <v>11.375</v>
      </c>
      <c r="D1175" t="str">
        <f>_xll.BDP("912827PU Govt","YLD_YTM_BID")</f>
        <v>#N/A N/A</v>
      </c>
      <c r="E1175" t="str">
        <f>_xll.BDP("912827PU Govt","MATURITY")</f>
        <v>8/15/1986</v>
      </c>
      <c r="F1175" t="str">
        <f>_xll.BDP("912827PU Govt","MTY_TYP")</f>
        <v>NORMAL</v>
      </c>
      <c r="G1175" t="str">
        <f>_xll.BDP("912827PU Govt","CRNCY")</f>
        <v>USD</v>
      </c>
      <c r="H1175" t="str">
        <f>_xll.BDP("912827PU Govt","COUNTRY_FULL_NAME")</f>
        <v>UNITED STATES</v>
      </c>
      <c r="I1175" t="str">
        <f>_xll.BDP("912827PU Govt","FIRST_CPN_DT")</f>
        <v>2/15/1984</v>
      </c>
      <c r="J1175" t="str">
        <f>_xll.BDP("912827PU Govt","COUPON_FREQUENCY_DESCRIPTION")</f>
        <v>S/A</v>
      </c>
      <c r="K1175" t="str">
        <f>_xll.BDP("912827PU Govt","CPN_TYP")</f>
        <v>FIXED</v>
      </c>
      <c r="L1175" t="str">
        <f>_xll.BDP("912827PU Govt","ID_ISIN")</f>
        <v>US912827PU04</v>
      </c>
      <c r="N1175">
        <v>0</v>
      </c>
      <c r="O1175" t="str">
        <f>_xll.BDP("912827PU Govt","ISSUE_DT")</f>
        <v>8/15/1983</v>
      </c>
      <c r="P1175" t="str">
        <f>_xll.BDP("912827PU Govt","SECURITY_NAME")</f>
        <v>T 11 3/8 08/15/86</v>
      </c>
      <c r="Q1175" t="str">
        <f>_xll.BDP("912827PU Govt","DAY_CNT_DES")</f>
        <v>ACT/ACT</v>
      </c>
      <c r="R1175">
        <v>100</v>
      </c>
      <c r="S1175" t="str">
        <f>_xll.BDP("912827PU Govt","ID_CUSIP")</f>
        <v>912827PU0</v>
      </c>
      <c r="T1175" t="str">
        <f>_xll.BDP("912827PU Govt","IDX_RATIO")</f>
        <v>#N/A Field Not Applicable</v>
      </c>
    </row>
    <row r="1176" spans="1:20" x14ac:dyDescent="0.25">
      <c r="A1176" t="s">
        <v>14</v>
      </c>
      <c r="B1176" t="str">
        <f>_xll.BDP("912827Q2 Govt","TICKER")</f>
        <v>T</v>
      </c>
      <c r="C1176">
        <f>_xll.BDP("912827Q2 Govt","CPN")</f>
        <v>6.75</v>
      </c>
      <c r="D1176" t="str">
        <f>_xll.BDP("912827Q2 Govt","YLD_YTM_BID")</f>
        <v>#N/A N/A</v>
      </c>
      <c r="E1176" t="str">
        <f>_xll.BDP("912827Q2 Govt","MATURITY")</f>
        <v>5/31/1999</v>
      </c>
      <c r="F1176" t="str">
        <f>_xll.BDP("912827Q2 Govt","MTY_TYP")</f>
        <v>NORMAL</v>
      </c>
      <c r="G1176" t="str">
        <f>_xll.BDP("912827Q2 Govt","CRNCY")</f>
        <v>USD</v>
      </c>
      <c r="H1176" t="str">
        <f>_xll.BDP("912827Q2 Govt","COUNTRY_FULL_NAME")</f>
        <v>UNITED STATES</v>
      </c>
      <c r="I1176" t="str">
        <f>_xll.BDP("912827Q2 Govt","FIRST_CPN_DT")</f>
        <v>11/30/1994</v>
      </c>
      <c r="J1176" t="str">
        <f>_xll.BDP("912827Q2 Govt","COUPON_FREQUENCY_DESCRIPTION")</f>
        <v>S/A</v>
      </c>
      <c r="K1176" t="str">
        <f>_xll.BDP("912827Q2 Govt","CPN_TYP")</f>
        <v>FIXED</v>
      </c>
      <c r="L1176" t="str">
        <f>_xll.BDP("912827Q2 Govt","ID_ISIN")</f>
        <v>US912827Q212</v>
      </c>
      <c r="M1176">
        <v>12339000000</v>
      </c>
      <c r="N1176">
        <v>0</v>
      </c>
      <c r="O1176" t="str">
        <f>_xll.BDP("912827Q2 Govt","ISSUE_DT")</f>
        <v>5/31/1994</v>
      </c>
      <c r="P1176" t="str">
        <f>_xll.BDP("912827Q2 Govt","SECURITY_NAME")</f>
        <v>T 6 3/4 05/31/99</v>
      </c>
      <c r="Q1176" t="str">
        <f>_xll.BDP("912827Q2 Govt","DAY_CNT_DES")</f>
        <v>ACT/ACT</v>
      </c>
      <c r="R1176">
        <v>100</v>
      </c>
      <c r="S1176" t="str">
        <f>_xll.BDP("912827Q2 Govt","ID_CUSIP")</f>
        <v>912827Q21</v>
      </c>
      <c r="T1176" t="str">
        <f>_xll.BDP("912827Q2 Govt","IDX_RATIO")</f>
        <v>#N/A Field Not Applicable</v>
      </c>
    </row>
    <row r="1177" spans="1:20" x14ac:dyDescent="0.25">
      <c r="A1177" t="s">
        <v>14</v>
      </c>
      <c r="B1177" t="str">
        <f>_xll.BDP("912827Q4 Govt","TICKER")</f>
        <v>T</v>
      </c>
      <c r="C1177">
        <f>_xll.BDP("912827Q4 Govt","CPN")</f>
        <v>6.75</v>
      </c>
      <c r="D1177" t="str">
        <f>_xll.BDP("912827Q4 Govt","YLD_YTM_BID")</f>
        <v>#N/A N/A</v>
      </c>
      <c r="E1177" t="str">
        <f>_xll.BDP("912827Q4 Govt","MATURITY")</f>
        <v>6/30/1999</v>
      </c>
      <c r="F1177" t="str">
        <f>_xll.BDP("912827Q4 Govt","MTY_TYP")</f>
        <v>NORMAL</v>
      </c>
      <c r="G1177" t="str">
        <f>_xll.BDP("912827Q4 Govt","CRNCY")</f>
        <v>USD</v>
      </c>
      <c r="H1177" t="str">
        <f>_xll.BDP("912827Q4 Govt","COUNTRY_FULL_NAME")</f>
        <v>UNITED STATES</v>
      </c>
      <c r="I1177" t="str">
        <f>_xll.BDP("912827Q4 Govt","FIRST_CPN_DT")</f>
        <v>12/31/1994</v>
      </c>
      <c r="J1177" t="str">
        <f>_xll.BDP("912827Q4 Govt","COUPON_FREQUENCY_DESCRIPTION")</f>
        <v>S/A</v>
      </c>
      <c r="K1177" t="str">
        <f>_xll.BDP("912827Q4 Govt","CPN_TYP")</f>
        <v>FIXED</v>
      </c>
      <c r="L1177" t="str">
        <f>_xll.BDP("912827Q4 Govt","ID_ISIN")</f>
        <v>US912827Q477</v>
      </c>
      <c r="M1177">
        <v>13101000000</v>
      </c>
      <c r="N1177">
        <v>0</v>
      </c>
      <c r="O1177" t="str">
        <f>_xll.BDP("912827Q4 Govt","ISSUE_DT")</f>
        <v>6/30/1994</v>
      </c>
      <c r="P1177" t="str">
        <f>_xll.BDP("912827Q4 Govt","SECURITY_NAME")</f>
        <v>T 6 3/4 06/30/99</v>
      </c>
      <c r="Q1177" t="str">
        <f>_xll.BDP("912827Q4 Govt","DAY_CNT_DES")</f>
        <v>ACT/ACT</v>
      </c>
      <c r="R1177">
        <v>100</v>
      </c>
      <c r="S1177" t="str">
        <f>_xll.BDP("912827Q4 Govt","ID_CUSIP")</f>
        <v>912827Q47</v>
      </c>
      <c r="T1177" t="str">
        <f>_xll.BDP("912827Q4 Govt","IDX_RATIO")</f>
        <v>#N/A Field Not Applicable</v>
      </c>
    </row>
    <row r="1178" spans="1:20" x14ac:dyDescent="0.25">
      <c r="A1178" t="s">
        <v>14</v>
      </c>
      <c r="B1178" t="str">
        <f>_xll.BDP("912827Q7 Govt","TICKER")</f>
        <v>T</v>
      </c>
      <c r="C1178">
        <f>_xll.BDP("912827Q7 Govt","CPN")</f>
        <v>6.5</v>
      </c>
      <c r="D1178" t="str">
        <f>_xll.BDP("912827Q7 Govt","YLD_YTM_BID")</f>
        <v>#N/A N/A</v>
      </c>
      <c r="E1178" t="str">
        <f>_xll.BDP("912827Q7 Govt","MATURITY")</f>
        <v>8/15/1997</v>
      </c>
      <c r="F1178" t="str">
        <f>_xll.BDP("912827Q7 Govt","MTY_TYP")</f>
        <v>NORMAL</v>
      </c>
      <c r="G1178" t="str">
        <f>_xll.BDP("912827Q7 Govt","CRNCY")</f>
        <v>USD</v>
      </c>
      <c r="H1178" t="str">
        <f>_xll.BDP("912827Q7 Govt","COUNTRY_FULL_NAME")</f>
        <v>UNITED STATES</v>
      </c>
      <c r="I1178" t="str">
        <f>_xll.BDP("912827Q7 Govt","FIRST_CPN_DT")</f>
        <v>2/15/1995</v>
      </c>
      <c r="J1178" t="str">
        <f>_xll.BDP("912827Q7 Govt","COUPON_FREQUENCY_DESCRIPTION")</f>
        <v>S/A</v>
      </c>
      <c r="K1178" t="str">
        <f>_xll.BDP("912827Q7 Govt","CPN_TYP")</f>
        <v>FIXED</v>
      </c>
      <c r="L1178" t="str">
        <f>_xll.BDP("912827Q7 Govt","ID_ISIN")</f>
        <v>US912827Q709</v>
      </c>
      <c r="M1178">
        <v>20250000000</v>
      </c>
      <c r="N1178">
        <v>0</v>
      </c>
      <c r="O1178" t="str">
        <f>_xll.BDP("912827Q7 Govt","ISSUE_DT")</f>
        <v>8/15/1994</v>
      </c>
      <c r="P1178" t="str">
        <f>_xll.BDP("912827Q7 Govt","SECURITY_NAME")</f>
        <v>T 6 1/2 08/15/97</v>
      </c>
      <c r="Q1178" t="str">
        <f>_xll.BDP("912827Q7 Govt","DAY_CNT_DES")</f>
        <v>ACT/ACT</v>
      </c>
      <c r="R1178">
        <v>100</v>
      </c>
      <c r="S1178" t="str">
        <f>_xll.BDP("912827Q7 Govt","ID_CUSIP")</f>
        <v>912827Q70</v>
      </c>
      <c r="T1178" t="str">
        <f>_xll.BDP("912827Q7 Govt","IDX_RATIO")</f>
        <v>#N/A Field Not Applicable</v>
      </c>
    </row>
    <row r="1179" spans="1:20" x14ac:dyDescent="0.25">
      <c r="A1179" t="s">
        <v>14</v>
      </c>
      <c r="B1179" t="str">
        <f>_xll.BDP("912827QN Govt","TICKER")</f>
        <v>T</v>
      </c>
      <c r="C1179">
        <f>_xll.BDP("912827QN Govt","CPN")</f>
        <v>11.75</v>
      </c>
      <c r="D1179" t="str">
        <f>_xll.BDP("912827QN Govt","YLD_YTM_BID")</f>
        <v>#N/A N/A</v>
      </c>
      <c r="E1179" t="str">
        <f>_xll.BDP("912827QN Govt","MATURITY")</f>
        <v>5/15/1989</v>
      </c>
      <c r="F1179" t="str">
        <f>_xll.BDP("912827QN Govt","MTY_TYP")</f>
        <v>NORMAL</v>
      </c>
      <c r="G1179" t="str">
        <f>_xll.BDP("912827QN Govt","CRNCY")</f>
        <v>USD</v>
      </c>
      <c r="H1179" t="str">
        <f>_xll.BDP("912827QN Govt","COUNTRY_FULL_NAME")</f>
        <v>UNITED STATES</v>
      </c>
      <c r="I1179" t="str">
        <f>_xll.BDP("912827QN Govt","FIRST_CPN_DT")</f>
        <v>11/15/1984</v>
      </c>
      <c r="J1179" t="str">
        <f>_xll.BDP("912827QN Govt","COUPON_FREQUENCY_DESCRIPTION")</f>
        <v>S/A</v>
      </c>
      <c r="K1179" t="str">
        <f>_xll.BDP("912827QN Govt","CPN_TYP")</f>
        <v>FIXED</v>
      </c>
      <c r="L1179" t="str">
        <f>_xll.BDP("912827QN Govt","ID_ISIN")</f>
        <v>US912827QN51</v>
      </c>
      <c r="N1179">
        <v>0</v>
      </c>
      <c r="O1179" t="str">
        <f>_xll.BDP("912827QN Govt","ISSUE_DT")</f>
        <v>3/5/1984</v>
      </c>
      <c r="P1179" t="str">
        <f>_xll.BDP("912827QN Govt","SECURITY_NAME")</f>
        <v>T 11 3/4 05/15/89</v>
      </c>
      <c r="Q1179" t="str">
        <f>_xll.BDP("912827QN Govt","DAY_CNT_DES")</f>
        <v>ACT/ACT</v>
      </c>
      <c r="R1179">
        <v>100</v>
      </c>
      <c r="S1179" t="str">
        <f>_xll.BDP("912827QN Govt","ID_CUSIP")</f>
        <v>912827QN5</v>
      </c>
      <c r="T1179" t="str">
        <f>_xll.BDP("912827QN Govt","IDX_RATIO")</f>
        <v>#N/A Field Not Applicable</v>
      </c>
    </row>
    <row r="1180" spans="1:20" x14ac:dyDescent="0.25">
      <c r="A1180" t="s">
        <v>14</v>
      </c>
      <c r="B1180" t="str">
        <f>_xll.BDP("912827QQ Govt","TICKER")</f>
        <v>T</v>
      </c>
      <c r="C1180">
        <f>_xll.BDP("912827QQ Govt","CPN")</f>
        <v>12</v>
      </c>
      <c r="D1180" t="str">
        <f>_xll.BDP("912827QQ Govt","YLD_YTM_BID")</f>
        <v>#N/A N/A</v>
      </c>
      <c r="E1180" t="str">
        <f>_xll.BDP("912827QQ Govt","MATURITY")</f>
        <v>3/31/1988</v>
      </c>
      <c r="F1180" t="str">
        <f>_xll.BDP("912827QQ Govt","MTY_TYP")</f>
        <v>NORMAL</v>
      </c>
      <c r="G1180" t="str">
        <f>_xll.BDP("912827QQ Govt","CRNCY")</f>
        <v>USD</v>
      </c>
      <c r="H1180" t="str">
        <f>_xll.BDP("912827QQ Govt","COUNTRY_FULL_NAME")</f>
        <v>UNITED STATES</v>
      </c>
      <c r="I1180" t="str">
        <f>_xll.BDP("912827QQ Govt","FIRST_CPN_DT")</f>
        <v>9/30/1984</v>
      </c>
      <c r="J1180" t="str">
        <f>_xll.BDP("912827QQ Govt","COUPON_FREQUENCY_DESCRIPTION")</f>
        <v>S/A</v>
      </c>
      <c r="K1180" t="str">
        <f>_xll.BDP("912827QQ Govt","CPN_TYP")</f>
        <v>FIXED</v>
      </c>
      <c r="L1180" t="str">
        <f>_xll.BDP("912827QQ Govt","ID_ISIN")</f>
        <v>US912827QQ82</v>
      </c>
      <c r="N1180">
        <v>0</v>
      </c>
      <c r="O1180" t="str">
        <f>_xll.BDP("912827QQ Govt","ISSUE_DT")</f>
        <v>4/2/1984</v>
      </c>
      <c r="P1180" t="str">
        <f>_xll.BDP("912827QQ Govt","SECURITY_NAME")</f>
        <v>T 12 03/31/88</v>
      </c>
      <c r="Q1180" t="str">
        <f>_xll.BDP("912827QQ Govt","DAY_CNT_DES")</f>
        <v>ACT/ACT</v>
      </c>
      <c r="R1180">
        <v>100</v>
      </c>
      <c r="S1180" t="str">
        <f>_xll.BDP("912827QQ Govt","ID_CUSIP")</f>
        <v>912827QQ8</v>
      </c>
      <c r="T1180" t="str">
        <f>_xll.BDP("912827QQ Govt","IDX_RATIO")</f>
        <v>#N/A Field Not Applicable</v>
      </c>
    </row>
    <row r="1181" spans="1:20" x14ac:dyDescent="0.25">
      <c r="A1181" t="s">
        <v>14</v>
      </c>
      <c r="B1181" t="str">
        <f>_xll.BDP("912827S2 Govt","TICKER")</f>
        <v>T</v>
      </c>
      <c r="C1181">
        <f>_xll.BDP("912827S2 Govt","CPN")</f>
        <v>7.75</v>
      </c>
      <c r="D1181" t="str">
        <f>_xll.BDP("912827S2 Govt","YLD_YTM_BID")</f>
        <v>#N/A N/A</v>
      </c>
      <c r="E1181" t="str">
        <f>_xll.BDP("912827S2 Govt","MATURITY")</f>
        <v>11/30/1999</v>
      </c>
      <c r="F1181" t="str">
        <f>_xll.BDP("912827S2 Govt","MTY_TYP")</f>
        <v>NORMAL</v>
      </c>
      <c r="G1181" t="str">
        <f>_xll.BDP("912827S2 Govt","CRNCY")</f>
        <v>USD</v>
      </c>
      <c r="H1181" t="str">
        <f>_xll.BDP("912827S2 Govt","COUNTRY_FULL_NAME")</f>
        <v>UNITED STATES</v>
      </c>
      <c r="I1181" t="str">
        <f>_xll.BDP("912827S2 Govt","FIRST_CPN_DT")</f>
        <v>5/31/1995</v>
      </c>
      <c r="J1181" t="str">
        <f>_xll.BDP("912827S2 Govt","COUPON_FREQUENCY_DESCRIPTION")</f>
        <v>S/A</v>
      </c>
      <c r="K1181" t="str">
        <f>_xll.BDP("912827S2 Govt","CPN_TYP")</f>
        <v>FIXED</v>
      </c>
      <c r="L1181" t="str">
        <f>_xll.BDP("912827S2 Govt","ID_ISIN")</f>
        <v>US912827S291</v>
      </c>
      <c r="M1181">
        <v>11934000000</v>
      </c>
      <c r="N1181">
        <v>0</v>
      </c>
      <c r="O1181" t="str">
        <f>_xll.BDP("912827S2 Govt","ISSUE_DT")</f>
        <v>11/30/1994</v>
      </c>
      <c r="P1181" t="str">
        <f>_xll.BDP("912827S2 Govt","SECURITY_NAME")</f>
        <v>T 7 3/4 11/30/99</v>
      </c>
      <c r="Q1181" t="str">
        <f>_xll.BDP("912827S2 Govt","DAY_CNT_DES")</f>
        <v>ACT/ACT</v>
      </c>
      <c r="R1181">
        <v>100</v>
      </c>
      <c r="S1181" t="str">
        <f>_xll.BDP("912827S2 Govt","ID_CUSIP")</f>
        <v>912827S29</v>
      </c>
      <c r="T1181" t="str">
        <f>_xll.BDP("912827S2 Govt","IDX_RATIO")</f>
        <v>#N/A Field Not Applicable</v>
      </c>
    </row>
    <row r="1182" spans="1:20" x14ac:dyDescent="0.25">
      <c r="A1182" t="s">
        <v>14</v>
      </c>
      <c r="B1182" t="str">
        <f>_xll.BDP("912827S6 Govt","TICKER")</f>
        <v>T</v>
      </c>
      <c r="C1182">
        <f>_xll.BDP("912827S6 Govt","CPN")</f>
        <v>7.75</v>
      </c>
      <c r="D1182" t="str">
        <f>_xll.BDP("912827S6 Govt","YLD_YTM_BID")</f>
        <v>#N/A N/A</v>
      </c>
      <c r="E1182" t="str">
        <f>_xll.BDP("912827S6 Govt","MATURITY")</f>
        <v>1/31/2000</v>
      </c>
      <c r="F1182" t="str">
        <f>_xll.BDP("912827S6 Govt","MTY_TYP")</f>
        <v>NORMAL</v>
      </c>
      <c r="G1182" t="str">
        <f>_xll.BDP("912827S6 Govt","CRNCY")</f>
        <v>USD</v>
      </c>
      <c r="H1182" t="str">
        <f>_xll.BDP("912827S6 Govt","COUNTRY_FULL_NAME")</f>
        <v>UNITED STATES</v>
      </c>
      <c r="I1182" t="str">
        <f>_xll.BDP("912827S6 Govt","FIRST_CPN_DT")</f>
        <v>7/31/1995</v>
      </c>
      <c r="J1182" t="str">
        <f>_xll.BDP("912827S6 Govt","COUPON_FREQUENCY_DESCRIPTION")</f>
        <v>S/A</v>
      </c>
      <c r="K1182" t="str">
        <f>_xll.BDP("912827S6 Govt","CPN_TYP")</f>
        <v>FIXED</v>
      </c>
      <c r="L1182" t="str">
        <f>_xll.BDP("912827S6 Govt","ID_ISIN")</f>
        <v>US912827S606</v>
      </c>
      <c r="M1182">
        <v>12229000000</v>
      </c>
      <c r="N1182">
        <v>0</v>
      </c>
      <c r="O1182" t="str">
        <f>_xll.BDP("912827S6 Govt","ISSUE_DT")</f>
        <v>1/31/1995</v>
      </c>
      <c r="P1182" t="str">
        <f>_xll.BDP("912827S6 Govt","SECURITY_NAME")</f>
        <v>T 7 3/4 01/31/00</v>
      </c>
      <c r="Q1182" t="str">
        <f>_xll.BDP("912827S6 Govt","DAY_CNT_DES")</f>
        <v>ACT/ACT</v>
      </c>
      <c r="R1182">
        <v>100</v>
      </c>
      <c r="S1182" t="str">
        <f>_xll.BDP("912827S6 Govt","ID_CUSIP")</f>
        <v>912827S60</v>
      </c>
      <c r="T1182" t="str">
        <f>_xll.BDP("912827S6 Govt","IDX_RATIO")</f>
        <v>#N/A Field Not Applicable</v>
      </c>
    </row>
    <row r="1183" spans="1:20" x14ac:dyDescent="0.25">
      <c r="A1183" t="s">
        <v>14</v>
      </c>
      <c r="B1183" t="str">
        <f>_xll.BDP("912827SB Govt","TICKER")</f>
        <v>T</v>
      </c>
      <c r="C1183">
        <f>_xll.BDP("912827SB Govt","CPN")</f>
        <v>11.75</v>
      </c>
      <c r="D1183" t="str">
        <f>_xll.BDP("912827SB Govt","YLD_YTM_BID")</f>
        <v>#N/A N/A</v>
      </c>
      <c r="E1183" t="str">
        <f>_xll.BDP("912827SB Govt","MATURITY")</f>
        <v>4/15/1992</v>
      </c>
      <c r="F1183" t="str">
        <f>_xll.BDP("912827SB Govt","MTY_TYP")</f>
        <v>NORMAL</v>
      </c>
      <c r="G1183" t="str">
        <f>_xll.BDP("912827SB Govt","CRNCY")</f>
        <v>USD</v>
      </c>
      <c r="H1183" t="str">
        <f>_xll.BDP("912827SB Govt","COUNTRY_FULL_NAME")</f>
        <v>UNITED STATES</v>
      </c>
      <c r="I1183" t="str">
        <f>_xll.BDP("912827SB Govt","FIRST_CPN_DT")</f>
        <v>10/15/1985</v>
      </c>
      <c r="J1183" t="str">
        <f>_xll.BDP("912827SB Govt","COUPON_FREQUENCY_DESCRIPTION")</f>
        <v>S/A</v>
      </c>
      <c r="K1183" t="str">
        <f>_xll.BDP("912827SB Govt","CPN_TYP")</f>
        <v>FIXED</v>
      </c>
      <c r="L1183" t="str">
        <f>_xll.BDP("912827SB Govt","ID_ISIN")</f>
        <v>US912827SB95</v>
      </c>
      <c r="N1183">
        <v>0</v>
      </c>
      <c r="O1183" t="str">
        <f>_xll.BDP("912827SB Govt","ISSUE_DT")</f>
        <v>4/2/1985</v>
      </c>
      <c r="P1183" t="str">
        <f>_xll.BDP("912827SB Govt","SECURITY_NAME")</f>
        <v>T 11 3/4 04/15/92</v>
      </c>
      <c r="Q1183" t="str">
        <f>_xll.BDP("912827SB Govt","DAY_CNT_DES")</f>
        <v>ACT/ACT</v>
      </c>
      <c r="R1183">
        <v>100</v>
      </c>
      <c r="S1183" t="str">
        <f>_xll.BDP("912827SB Govt","ID_CUSIP")</f>
        <v>912827SB9</v>
      </c>
      <c r="T1183" t="str">
        <f>_xll.BDP("912827SB Govt","IDX_RATIO")</f>
        <v>#N/A Field Not Applicable</v>
      </c>
    </row>
    <row r="1184" spans="1:20" x14ac:dyDescent="0.25">
      <c r="A1184" t="s">
        <v>14</v>
      </c>
      <c r="B1184" t="str">
        <f>_xll.BDP("912827SE Govt","TICKER")</f>
        <v>T</v>
      </c>
      <c r="C1184">
        <f>_xll.BDP("912827SE Govt","CPN")</f>
        <v>11.25</v>
      </c>
      <c r="D1184" t="str">
        <f>_xll.BDP("912827SE Govt","YLD_YTM_BID")</f>
        <v>#N/A N/A</v>
      </c>
      <c r="E1184" t="str">
        <f>_xll.BDP("912827SE Govt","MATURITY")</f>
        <v>5/15/1995</v>
      </c>
      <c r="F1184" t="str">
        <f>_xll.BDP("912827SE Govt","MTY_TYP")</f>
        <v>NORMAL</v>
      </c>
      <c r="G1184" t="str">
        <f>_xll.BDP("912827SE Govt","CRNCY")</f>
        <v>USD</v>
      </c>
      <c r="H1184" t="str">
        <f>_xll.BDP("912827SE Govt","COUNTRY_FULL_NAME")</f>
        <v>UNITED STATES</v>
      </c>
      <c r="I1184" t="str">
        <f>_xll.BDP("912827SE Govt","FIRST_CPN_DT")</f>
        <v>11/15/1985</v>
      </c>
      <c r="J1184" t="str">
        <f>_xll.BDP("912827SE Govt","COUPON_FREQUENCY_DESCRIPTION")</f>
        <v>S/A</v>
      </c>
      <c r="K1184" t="str">
        <f>_xll.BDP("912827SE Govt","CPN_TYP")</f>
        <v>FIXED</v>
      </c>
      <c r="L1184" t="str">
        <f>_xll.BDP("912827SE Govt","ID_ISIN")</f>
        <v>US912827SE35</v>
      </c>
      <c r="N1184">
        <v>0</v>
      </c>
      <c r="O1184" t="str">
        <f>_xll.BDP("912827SE Govt","ISSUE_DT")</f>
        <v>5/15/1985</v>
      </c>
      <c r="P1184" t="str">
        <f>_xll.BDP("912827SE Govt","SECURITY_NAME")</f>
        <v>T 11 1/4 05/15/95</v>
      </c>
      <c r="Q1184" t="str">
        <f>_xll.BDP("912827SE Govt","DAY_CNT_DES")</f>
        <v>ACT/ACT</v>
      </c>
      <c r="R1184">
        <v>100</v>
      </c>
      <c r="S1184" t="str">
        <f>_xll.BDP("912827SE Govt","ID_CUSIP")</f>
        <v>912827SE3</v>
      </c>
      <c r="T1184" t="str">
        <f>_xll.BDP("912827SE Govt","IDX_RATIO")</f>
        <v>#N/A Field Not Applicable</v>
      </c>
    </row>
    <row r="1185" spans="1:20" x14ac:dyDescent="0.25">
      <c r="A1185" t="s">
        <v>14</v>
      </c>
      <c r="B1185" t="str">
        <f>_xll.BDP("912827SJ Govt","TICKER")</f>
        <v>T</v>
      </c>
      <c r="C1185">
        <f>_xll.BDP("912827SJ Govt","CPN")</f>
        <v>8.5</v>
      </c>
      <c r="D1185" t="str">
        <f>_xll.BDP("912827SJ Govt","YLD_YTM_BID")</f>
        <v>#N/A N/A</v>
      </c>
      <c r="E1185" t="str">
        <f>_xll.BDP("912827SJ Govt","MATURITY")</f>
        <v>6/30/1987</v>
      </c>
      <c r="F1185" t="str">
        <f>_xll.BDP("912827SJ Govt","MTY_TYP")</f>
        <v>NORMAL</v>
      </c>
      <c r="G1185" t="str">
        <f>_xll.BDP("912827SJ Govt","CRNCY")</f>
        <v>USD</v>
      </c>
      <c r="H1185" t="str">
        <f>_xll.BDP("912827SJ Govt","COUNTRY_FULL_NAME")</f>
        <v>UNITED STATES</v>
      </c>
      <c r="I1185" t="str">
        <f>_xll.BDP("912827SJ Govt","FIRST_CPN_DT")</f>
        <v>12/31/1985</v>
      </c>
      <c r="J1185" t="str">
        <f>_xll.BDP("912827SJ Govt","COUPON_FREQUENCY_DESCRIPTION")</f>
        <v>S/A</v>
      </c>
      <c r="K1185" t="str">
        <f>_xll.BDP("912827SJ Govt","CPN_TYP")</f>
        <v>FIXED</v>
      </c>
      <c r="L1185" t="str">
        <f>_xll.BDP("912827SJ Govt","ID_ISIN")</f>
        <v>US912827SJ22</v>
      </c>
      <c r="N1185">
        <v>0</v>
      </c>
      <c r="O1185" t="str">
        <f>_xll.BDP("912827SJ Govt","ISSUE_DT")</f>
        <v>7/1/1985</v>
      </c>
      <c r="P1185" t="str">
        <f>_xll.BDP("912827SJ Govt","SECURITY_NAME")</f>
        <v>T 8 1/2 06/30/87</v>
      </c>
      <c r="Q1185" t="str">
        <f>_xll.BDP("912827SJ Govt","DAY_CNT_DES")</f>
        <v>ACT/ACT</v>
      </c>
      <c r="R1185">
        <v>100</v>
      </c>
      <c r="S1185" t="str">
        <f>_xll.BDP("912827SJ Govt","ID_CUSIP")</f>
        <v>912827SJ2</v>
      </c>
      <c r="T1185" t="str">
        <f>_xll.BDP("912827SJ Govt","IDX_RATIO")</f>
        <v>#N/A Field Not Applicable</v>
      </c>
    </row>
    <row r="1186" spans="1:20" x14ac:dyDescent="0.25">
      <c r="A1186" t="s">
        <v>14</v>
      </c>
      <c r="B1186" t="str">
        <f>_xll.BDP("912827SP Govt","TICKER")</f>
        <v>T</v>
      </c>
      <c r="C1186">
        <f>_xll.BDP("912827SP Govt","CPN")</f>
        <v>10.5</v>
      </c>
      <c r="D1186" t="str">
        <f>_xll.BDP("912827SP Govt","YLD_YTM_BID")</f>
        <v>#N/A N/A</v>
      </c>
      <c r="E1186" t="str">
        <f>_xll.BDP("912827SP Govt","MATURITY")</f>
        <v>8/15/1995</v>
      </c>
      <c r="F1186" t="str">
        <f>_xll.BDP("912827SP Govt","MTY_TYP")</f>
        <v>NORMAL</v>
      </c>
      <c r="G1186" t="str">
        <f>_xll.BDP("912827SP Govt","CRNCY")</f>
        <v>USD</v>
      </c>
      <c r="H1186" t="str">
        <f>_xll.BDP("912827SP Govt","COUNTRY_FULL_NAME")</f>
        <v>UNITED STATES</v>
      </c>
      <c r="I1186" t="str">
        <f>_xll.BDP("912827SP Govt","FIRST_CPN_DT")</f>
        <v>2/15/1986</v>
      </c>
      <c r="J1186" t="str">
        <f>_xll.BDP("912827SP Govt","COUPON_FREQUENCY_DESCRIPTION")</f>
        <v>S/A</v>
      </c>
      <c r="K1186" t="str">
        <f>_xll.BDP("912827SP Govt","CPN_TYP")</f>
        <v>FIXED</v>
      </c>
      <c r="L1186" t="str">
        <f>_xll.BDP("912827SP Govt","ID_ISIN")</f>
        <v>US912827SP81</v>
      </c>
      <c r="N1186">
        <v>0</v>
      </c>
      <c r="O1186" t="str">
        <f>_xll.BDP("912827SP Govt","ISSUE_DT")</f>
        <v>8/15/1985</v>
      </c>
      <c r="P1186" t="str">
        <f>_xll.BDP("912827SP Govt","SECURITY_NAME")</f>
        <v>T 10 1/2 08/15/95</v>
      </c>
      <c r="Q1186" t="str">
        <f>_xll.BDP("912827SP Govt","DAY_CNT_DES")</f>
        <v>ACT/ACT</v>
      </c>
      <c r="R1186">
        <v>100</v>
      </c>
      <c r="S1186" t="str">
        <f>_xll.BDP("912827SP Govt","ID_CUSIP")</f>
        <v>912827SP8</v>
      </c>
      <c r="T1186" t="str">
        <f>_xll.BDP("912827SP Govt","IDX_RATIO")</f>
        <v>#N/A Field Not Applicable</v>
      </c>
    </row>
    <row r="1187" spans="1:20" x14ac:dyDescent="0.25">
      <c r="A1187" t="s">
        <v>14</v>
      </c>
      <c r="B1187" t="str">
        <f>_xll.BDP("912827SQ Govt","TICKER")</f>
        <v>T</v>
      </c>
      <c r="C1187">
        <f>_xll.BDP("912827SQ Govt","CPN")</f>
        <v>8.875</v>
      </c>
      <c r="D1187" t="str">
        <f>_xll.BDP("912827SQ Govt","YLD_YTM_BID")</f>
        <v>#N/A N/A</v>
      </c>
      <c r="E1187" t="str">
        <f>_xll.BDP("912827SQ Govt","MATURITY")</f>
        <v>8/31/1987</v>
      </c>
      <c r="F1187" t="str">
        <f>_xll.BDP("912827SQ Govt","MTY_TYP")</f>
        <v>NORMAL</v>
      </c>
      <c r="G1187" t="str">
        <f>_xll.BDP("912827SQ Govt","CRNCY")</f>
        <v>USD</v>
      </c>
      <c r="H1187" t="str">
        <f>_xll.BDP("912827SQ Govt","COUNTRY_FULL_NAME")</f>
        <v>UNITED STATES</v>
      </c>
      <c r="I1187" t="str">
        <f>_xll.BDP("912827SQ Govt","FIRST_CPN_DT")</f>
        <v>2/28/1986</v>
      </c>
      <c r="J1187" t="str">
        <f>_xll.BDP("912827SQ Govt","COUPON_FREQUENCY_DESCRIPTION")</f>
        <v>S/A</v>
      </c>
      <c r="K1187" t="str">
        <f>_xll.BDP("912827SQ Govt","CPN_TYP")</f>
        <v>FIXED</v>
      </c>
      <c r="L1187" t="str">
        <f>_xll.BDP("912827SQ Govt","ID_ISIN")</f>
        <v>US912827SQ64</v>
      </c>
      <c r="N1187">
        <v>0</v>
      </c>
      <c r="O1187" t="str">
        <f>_xll.BDP("912827SQ Govt","ISSUE_DT")</f>
        <v>9/3/1985</v>
      </c>
      <c r="P1187" t="str">
        <f>_xll.BDP("912827SQ Govt","SECURITY_NAME")</f>
        <v>T 8 7/8 08/31/87</v>
      </c>
      <c r="Q1187" t="str">
        <f>_xll.BDP("912827SQ Govt","DAY_CNT_DES")</f>
        <v>ACT/ACT</v>
      </c>
      <c r="R1187">
        <v>100</v>
      </c>
      <c r="S1187" t="str">
        <f>_xll.BDP("912827SQ Govt","ID_CUSIP")</f>
        <v>912827SQ6</v>
      </c>
      <c r="T1187" t="str">
        <f>_xll.BDP("912827SQ Govt","IDX_RATIO")</f>
        <v>#N/A Field Not Applicable</v>
      </c>
    </row>
    <row r="1188" spans="1:20" x14ac:dyDescent="0.25">
      <c r="A1188" t="s">
        <v>14</v>
      </c>
      <c r="B1188" t="str">
        <f>_xll.BDP("912827SS Govt","TICKER")</f>
        <v>T</v>
      </c>
      <c r="C1188">
        <f>_xll.BDP("912827SS Govt","CPN")</f>
        <v>9</v>
      </c>
      <c r="D1188" t="str">
        <f>_xll.BDP("912827SS Govt","YLD_YTM_BID")</f>
        <v>#N/A N/A</v>
      </c>
      <c r="E1188" t="str">
        <f>_xll.BDP("912827SS Govt","MATURITY")</f>
        <v>9/30/1987</v>
      </c>
      <c r="F1188" t="str">
        <f>_xll.BDP("912827SS Govt","MTY_TYP")</f>
        <v>NORMAL</v>
      </c>
      <c r="G1188" t="str">
        <f>_xll.BDP("912827SS Govt","CRNCY")</f>
        <v>USD</v>
      </c>
      <c r="H1188" t="str">
        <f>_xll.BDP("912827SS Govt","COUNTRY_FULL_NAME")</f>
        <v>UNITED STATES</v>
      </c>
      <c r="I1188" t="str">
        <f>_xll.BDP("912827SS Govt","FIRST_CPN_DT")</f>
        <v>3/31/1986</v>
      </c>
      <c r="J1188" t="str">
        <f>_xll.BDP("912827SS Govt","COUPON_FREQUENCY_DESCRIPTION")</f>
        <v>S/A</v>
      </c>
      <c r="K1188" t="str">
        <f>_xll.BDP("912827SS Govt","CPN_TYP")</f>
        <v>FIXED</v>
      </c>
      <c r="L1188" t="str">
        <f>_xll.BDP("912827SS Govt","ID_ISIN")</f>
        <v>US912827SS21</v>
      </c>
      <c r="N1188">
        <v>0</v>
      </c>
      <c r="O1188" t="str">
        <f>_xll.BDP("912827SS Govt","ISSUE_DT")</f>
        <v>9/30/1985</v>
      </c>
      <c r="P1188" t="str">
        <f>_xll.BDP("912827SS Govt","SECURITY_NAME")</f>
        <v>T 9 09/30/87</v>
      </c>
      <c r="Q1188" t="str">
        <f>_xll.BDP("912827SS Govt","DAY_CNT_DES")</f>
        <v>ACT/ACT</v>
      </c>
      <c r="R1188">
        <v>100</v>
      </c>
      <c r="S1188" t="str">
        <f>_xll.BDP("912827SS Govt","ID_CUSIP")</f>
        <v>912827SS2</v>
      </c>
      <c r="T1188" t="str">
        <f>_xll.BDP("912827SS Govt","IDX_RATIO")</f>
        <v>#N/A Field Not Applicable</v>
      </c>
    </row>
    <row r="1189" spans="1:20" x14ac:dyDescent="0.25">
      <c r="A1189" t="s">
        <v>14</v>
      </c>
      <c r="B1189" t="str">
        <f>_xll.BDP("912827SW Govt","TICKER")</f>
        <v>T</v>
      </c>
      <c r="C1189">
        <f>_xll.BDP("912827SW Govt","CPN")</f>
        <v>8.5</v>
      </c>
      <c r="D1189" t="str">
        <f>_xll.BDP("912827SW Govt","YLD_YTM_BID")</f>
        <v>#N/A N/A</v>
      </c>
      <c r="E1189" t="str">
        <f>_xll.BDP("912827SW Govt","MATURITY")</f>
        <v>11/30/1987</v>
      </c>
      <c r="F1189" t="str">
        <f>_xll.BDP("912827SW Govt","MTY_TYP")</f>
        <v>NORMAL</v>
      </c>
      <c r="G1189" t="str">
        <f>_xll.BDP("912827SW Govt","CRNCY")</f>
        <v>USD</v>
      </c>
      <c r="H1189" t="str">
        <f>_xll.BDP("912827SW Govt","COUNTRY_FULL_NAME")</f>
        <v>UNITED STATES</v>
      </c>
      <c r="I1189" t="str">
        <f>_xll.BDP("912827SW Govt","FIRST_CPN_DT")</f>
        <v>5/31/1986</v>
      </c>
      <c r="J1189" t="str">
        <f>_xll.BDP("912827SW Govt","COUPON_FREQUENCY_DESCRIPTION")</f>
        <v>S/A</v>
      </c>
      <c r="K1189" t="str">
        <f>_xll.BDP("912827SW Govt","CPN_TYP")</f>
        <v>FIXED</v>
      </c>
      <c r="L1189" t="str">
        <f>_xll.BDP("912827SW Govt","ID_ISIN")</f>
        <v>US912827SW33</v>
      </c>
      <c r="N1189">
        <v>0</v>
      </c>
      <c r="O1189" t="str">
        <f>_xll.BDP("912827SW Govt","ISSUE_DT")</f>
        <v>12/2/1985</v>
      </c>
      <c r="P1189" t="str">
        <f>_xll.BDP("912827SW Govt","SECURITY_NAME")</f>
        <v>T 8 1/2 11/30/87</v>
      </c>
      <c r="Q1189" t="str">
        <f>_xll.BDP("912827SW Govt","DAY_CNT_DES")</f>
        <v>ACT/ACT</v>
      </c>
      <c r="R1189">
        <v>100</v>
      </c>
      <c r="S1189" t="str">
        <f>_xll.BDP("912827SW Govt","ID_CUSIP")</f>
        <v>912827SW3</v>
      </c>
      <c r="T1189" t="str">
        <f>_xll.BDP("912827SW Govt","IDX_RATIO")</f>
        <v>#N/A Field Not Applicable</v>
      </c>
    </row>
    <row r="1190" spans="1:20" x14ac:dyDescent="0.25">
      <c r="A1190" t="s">
        <v>14</v>
      </c>
      <c r="B1190" t="str">
        <f>_xll.BDP("912827SY Govt","TICKER")</f>
        <v>T</v>
      </c>
      <c r="C1190">
        <f>_xll.BDP("912827SY Govt","CPN")</f>
        <v>9.5</v>
      </c>
      <c r="D1190" t="str">
        <f>_xll.BDP("912827SY Govt","YLD_YTM_BID")</f>
        <v>#N/A N/A</v>
      </c>
      <c r="E1190" t="str">
        <f>_xll.BDP("912827SY Govt","MATURITY")</f>
        <v>11/15/1995</v>
      </c>
      <c r="F1190" t="str">
        <f>_xll.BDP("912827SY Govt","MTY_TYP")</f>
        <v>NORMAL</v>
      </c>
      <c r="G1190" t="str">
        <f>_xll.BDP("912827SY Govt","CRNCY")</f>
        <v>USD</v>
      </c>
      <c r="H1190" t="str">
        <f>_xll.BDP("912827SY Govt","COUNTRY_FULL_NAME")</f>
        <v>UNITED STATES</v>
      </c>
      <c r="I1190" t="str">
        <f>_xll.BDP("912827SY Govt","FIRST_CPN_DT")</f>
        <v>5/15/1986</v>
      </c>
      <c r="J1190" t="str">
        <f>_xll.BDP("912827SY Govt","COUPON_FREQUENCY_DESCRIPTION")</f>
        <v>S/A</v>
      </c>
      <c r="K1190" t="str">
        <f>_xll.BDP("912827SY Govt","CPN_TYP")</f>
        <v>FIXED</v>
      </c>
      <c r="L1190" t="str">
        <f>_xll.BDP("912827SY Govt","ID_ISIN")</f>
        <v>US912827SY98</v>
      </c>
      <c r="N1190">
        <v>0</v>
      </c>
      <c r="O1190" t="str">
        <f>_xll.BDP("912827SY Govt","ISSUE_DT")</f>
        <v>11/29/1985</v>
      </c>
      <c r="P1190" t="str">
        <f>_xll.BDP("912827SY Govt","SECURITY_NAME")</f>
        <v>T 9 1/2 11/15/95</v>
      </c>
      <c r="Q1190" t="str">
        <f>_xll.BDP("912827SY Govt","DAY_CNT_DES")</f>
        <v>ACT/ACT</v>
      </c>
      <c r="R1190">
        <v>100</v>
      </c>
      <c r="S1190" t="str">
        <f>_xll.BDP("912827SY Govt","ID_CUSIP")</f>
        <v>912827SY9</v>
      </c>
      <c r="T1190" t="str">
        <f>_xll.BDP("912827SY Govt","IDX_RATIO")</f>
        <v>#N/A Field Not Applicable</v>
      </c>
    </row>
    <row r="1191" spans="1:20" x14ac:dyDescent="0.25">
      <c r="A1191" t="s">
        <v>14</v>
      </c>
      <c r="B1191" t="str">
        <f>_xll.BDP("912827T6 Govt","TICKER")</f>
        <v>T</v>
      </c>
      <c r="C1191">
        <f>_xll.BDP("912827T6 Govt","CPN")</f>
        <v>6.75</v>
      </c>
      <c r="D1191" t="str">
        <f>_xll.BDP("912827T6 Govt","YLD_YTM_BID")</f>
        <v>#N/A N/A</v>
      </c>
      <c r="E1191" t="str">
        <f>_xll.BDP("912827T6 Govt","MATURITY")</f>
        <v>4/30/2000</v>
      </c>
      <c r="F1191" t="str">
        <f>_xll.BDP("912827T6 Govt","MTY_TYP")</f>
        <v>NORMAL</v>
      </c>
      <c r="G1191" t="str">
        <f>_xll.BDP("912827T6 Govt","CRNCY")</f>
        <v>USD</v>
      </c>
      <c r="H1191" t="str">
        <f>_xll.BDP("912827T6 Govt","COUNTRY_FULL_NAME")</f>
        <v>UNITED STATES</v>
      </c>
      <c r="I1191" t="str">
        <f>_xll.BDP("912827T6 Govt","FIRST_CPN_DT")</f>
        <v>10/31/1995</v>
      </c>
      <c r="J1191" t="str">
        <f>_xll.BDP("912827T6 Govt","COUPON_FREQUENCY_DESCRIPTION")</f>
        <v>S/A</v>
      </c>
      <c r="K1191" t="str">
        <f>_xll.BDP("912827T6 Govt","CPN_TYP")</f>
        <v>FIXED</v>
      </c>
      <c r="L1191" t="str">
        <f>_xll.BDP("912827T6 Govt","ID_ISIN")</f>
        <v>US912827T695</v>
      </c>
      <c r="M1191">
        <v>12433000000</v>
      </c>
      <c r="N1191">
        <v>0</v>
      </c>
      <c r="O1191" t="str">
        <f>_xll.BDP("912827T6 Govt","ISSUE_DT")</f>
        <v>5/1/1995</v>
      </c>
      <c r="P1191" t="str">
        <f>_xll.BDP("912827T6 Govt","SECURITY_NAME")</f>
        <v>T 6 3/4 04/30/00</v>
      </c>
      <c r="Q1191" t="str">
        <f>_xll.BDP("912827T6 Govt","DAY_CNT_DES")</f>
        <v>ACT/ACT</v>
      </c>
      <c r="R1191">
        <v>100</v>
      </c>
      <c r="S1191" t="str">
        <f>_xll.BDP("912827T6 Govt","ID_CUSIP")</f>
        <v>912827T69</v>
      </c>
      <c r="T1191" t="str">
        <f>_xll.BDP("912827T6 Govt","IDX_RATIO")</f>
        <v>#N/A Field Not Applicable</v>
      </c>
    </row>
    <row r="1192" spans="1:20" x14ac:dyDescent="0.25">
      <c r="A1192" t="s">
        <v>14</v>
      </c>
      <c r="B1192" t="str">
        <f>_xll.BDP("912827TH Govt","TICKER")</f>
        <v>T</v>
      </c>
      <c r="C1192">
        <f>_xll.BDP("912827TH Govt","CPN")</f>
        <v>8</v>
      </c>
      <c r="D1192" t="str">
        <f>_xll.BDP("912827TH Govt","YLD_YTM_BID")</f>
        <v>#N/A N/A</v>
      </c>
      <c r="E1192" t="str">
        <f>_xll.BDP("912827TH Govt","MATURITY")</f>
        <v>2/29/1988</v>
      </c>
      <c r="F1192" t="str">
        <f>_xll.BDP("912827TH Govt","MTY_TYP")</f>
        <v>NORMAL</v>
      </c>
      <c r="G1192" t="str">
        <f>_xll.BDP("912827TH Govt","CRNCY")</f>
        <v>USD</v>
      </c>
      <c r="H1192" t="str">
        <f>_xll.BDP("912827TH Govt","COUNTRY_FULL_NAME")</f>
        <v>UNITED STATES</v>
      </c>
      <c r="I1192" t="str">
        <f>_xll.BDP("912827TH Govt","FIRST_CPN_DT")</f>
        <v>8/31/1986</v>
      </c>
      <c r="J1192" t="str">
        <f>_xll.BDP("912827TH Govt","COUPON_FREQUENCY_DESCRIPTION")</f>
        <v>S/A</v>
      </c>
      <c r="K1192" t="str">
        <f>_xll.BDP("912827TH Govt","CPN_TYP")</f>
        <v>FIXED</v>
      </c>
      <c r="L1192" t="str">
        <f>_xll.BDP("912827TH Govt","ID_ISIN")</f>
        <v>US912827TH56</v>
      </c>
      <c r="N1192">
        <v>0</v>
      </c>
      <c r="O1192" t="str">
        <f>_xll.BDP("912827TH Govt","ISSUE_DT")</f>
        <v>2/28/1986</v>
      </c>
      <c r="P1192" t="str">
        <f>_xll.BDP("912827TH Govt","SECURITY_NAME")</f>
        <v>T 8 02/29/88</v>
      </c>
      <c r="Q1192" t="str">
        <f>_xll.BDP("912827TH Govt","DAY_CNT_DES")</f>
        <v>ACT/ACT</v>
      </c>
      <c r="R1192">
        <v>100</v>
      </c>
      <c r="S1192" t="str">
        <f>_xll.BDP("912827TH Govt","ID_CUSIP")</f>
        <v>912827TH5</v>
      </c>
      <c r="T1192" t="str">
        <f>_xll.BDP("912827TH Govt","IDX_RATIO")</f>
        <v>#N/A Field Not Applicable</v>
      </c>
    </row>
    <row r="1193" spans="1:20" x14ac:dyDescent="0.25">
      <c r="A1193" t="s">
        <v>14</v>
      </c>
      <c r="B1193" t="str">
        <f>_xll.BDP("912827TP Govt","TICKER")</f>
        <v>T</v>
      </c>
      <c r="C1193">
        <f>_xll.BDP("912827TP Govt","CPN")</f>
        <v>6.875</v>
      </c>
      <c r="D1193" t="str">
        <f>_xll.BDP("912827TP Govt","YLD_YTM_BID")</f>
        <v>#N/A N/A</v>
      </c>
      <c r="E1193" t="str">
        <f>_xll.BDP("912827TP Govt","MATURITY")</f>
        <v>5/15/1989</v>
      </c>
      <c r="F1193" t="str">
        <f>_xll.BDP("912827TP Govt","MTY_TYP")</f>
        <v>NORMAL</v>
      </c>
      <c r="G1193" t="str">
        <f>_xll.BDP("912827TP Govt","CRNCY")</f>
        <v>USD</v>
      </c>
      <c r="H1193" t="str">
        <f>_xll.BDP("912827TP Govt","COUNTRY_FULL_NAME")</f>
        <v>UNITED STATES</v>
      </c>
      <c r="I1193" t="str">
        <f>_xll.BDP("912827TP Govt","FIRST_CPN_DT")</f>
        <v>11/15/1986</v>
      </c>
      <c r="J1193" t="str">
        <f>_xll.BDP("912827TP Govt","COUPON_FREQUENCY_DESCRIPTION")</f>
        <v>S/A</v>
      </c>
      <c r="K1193" t="str">
        <f>_xll.BDP("912827TP Govt","CPN_TYP")</f>
        <v>FIXED</v>
      </c>
      <c r="L1193" t="str">
        <f>_xll.BDP("912827TP Govt","ID_ISIN")</f>
        <v>US912827TP72</v>
      </c>
      <c r="N1193">
        <v>0</v>
      </c>
      <c r="O1193" t="str">
        <f>_xll.BDP("912827TP Govt","ISSUE_DT")</f>
        <v>5/15/1986</v>
      </c>
      <c r="P1193" t="str">
        <f>_xll.BDP("912827TP Govt","SECURITY_NAME")</f>
        <v>T 6 7/8 05/15/89</v>
      </c>
      <c r="Q1193" t="str">
        <f>_xll.BDP("912827TP Govt","DAY_CNT_DES")</f>
        <v>ACT/ACT</v>
      </c>
      <c r="R1193">
        <v>100</v>
      </c>
      <c r="S1193" t="str">
        <f>_xll.BDP("912827TP Govt","ID_CUSIP")</f>
        <v>912827TP7</v>
      </c>
      <c r="T1193" t="str">
        <f>_xll.BDP("912827TP Govt","IDX_RATIO")</f>
        <v>#N/A Field Not Applicable</v>
      </c>
    </row>
    <row r="1194" spans="1:20" x14ac:dyDescent="0.25">
      <c r="A1194" t="s">
        <v>14</v>
      </c>
      <c r="B1194" t="str">
        <f>_xll.BDP("912827TR Govt","TICKER")</f>
        <v>T</v>
      </c>
      <c r="C1194">
        <f>_xll.BDP("912827TR Govt","CPN")</f>
        <v>7.125</v>
      </c>
      <c r="D1194" t="str">
        <f>_xll.BDP("912827TR Govt","YLD_YTM_BID")</f>
        <v>#N/A N/A</v>
      </c>
      <c r="E1194" t="str">
        <f>_xll.BDP("912827TR Govt","MATURITY")</f>
        <v>5/31/1988</v>
      </c>
      <c r="F1194" t="str">
        <f>_xll.BDP("912827TR Govt","MTY_TYP")</f>
        <v>NORMAL</v>
      </c>
      <c r="G1194" t="str">
        <f>_xll.BDP("912827TR Govt","CRNCY")</f>
        <v>USD</v>
      </c>
      <c r="H1194" t="str">
        <f>_xll.BDP("912827TR Govt","COUNTRY_FULL_NAME")</f>
        <v>UNITED STATES</v>
      </c>
      <c r="I1194" t="str">
        <f>_xll.BDP("912827TR Govt","FIRST_CPN_DT")</f>
        <v>11/30/1986</v>
      </c>
      <c r="J1194" t="str">
        <f>_xll.BDP("912827TR Govt","COUPON_FREQUENCY_DESCRIPTION")</f>
        <v>S/A</v>
      </c>
      <c r="K1194" t="str">
        <f>_xll.BDP("912827TR Govt","CPN_TYP")</f>
        <v>FIXED</v>
      </c>
      <c r="L1194" t="str">
        <f>_xll.BDP("912827TR Govt","ID_ISIN")</f>
        <v>US912827TR39</v>
      </c>
      <c r="N1194">
        <v>0</v>
      </c>
      <c r="O1194" t="str">
        <f>_xll.BDP("912827TR Govt","ISSUE_DT")</f>
        <v>6/2/1986</v>
      </c>
      <c r="P1194" t="str">
        <f>_xll.BDP("912827TR Govt","SECURITY_NAME")</f>
        <v>T 7 1/8 05/31/88</v>
      </c>
      <c r="Q1194" t="str">
        <f>_xll.BDP("912827TR Govt","DAY_CNT_DES")</f>
        <v>ACT/ACT</v>
      </c>
      <c r="R1194">
        <v>100</v>
      </c>
      <c r="S1194" t="str">
        <f>_xll.BDP("912827TR Govt","ID_CUSIP")</f>
        <v>912827TR3</v>
      </c>
      <c r="T1194" t="str">
        <f>_xll.BDP("912827TR Govt","IDX_RATIO")</f>
        <v>#N/A Field Not Applicable</v>
      </c>
    </row>
    <row r="1195" spans="1:20" x14ac:dyDescent="0.25">
      <c r="A1195" t="s">
        <v>14</v>
      </c>
      <c r="B1195" t="str">
        <f>_xll.BDP("912827TT Govt","TICKER")</f>
        <v>T</v>
      </c>
      <c r="C1195">
        <f>_xll.BDP("912827TT Govt","CPN")</f>
        <v>7</v>
      </c>
      <c r="D1195" t="str">
        <f>_xll.BDP("912827TT Govt","YLD_YTM_BID")</f>
        <v>#N/A N/A</v>
      </c>
      <c r="E1195" t="str">
        <f>_xll.BDP("912827TT Govt","MATURITY")</f>
        <v>6/30/1988</v>
      </c>
      <c r="F1195" t="str">
        <f>_xll.BDP("912827TT Govt","MTY_TYP")</f>
        <v>NORMAL</v>
      </c>
      <c r="G1195" t="str">
        <f>_xll.BDP("912827TT Govt","CRNCY")</f>
        <v>USD</v>
      </c>
      <c r="H1195" t="str">
        <f>_xll.BDP("912827TT Govt","COUNTRY_FULL_NAME")</f>
        <v>UNITED STATES</v>
      </c>
      <c r="I1195" t="str">
        <f>_xll.BDP("912827TT Govt","FIRST_CPN_DT")</f>
        <v>12/31/1986</v>
      </c>
      <c r="J1195" t="str">
        <f>_xll.BDP("912827TT Govt","COUPON_FREQUENCY_DESCRIPTION")</f>
        <v>S/A</v>
      </c>
      <c r="K1195" t="str">
        <f>_xll.BDP("912827TT Govt","CPN_TYP")</f>
        <v>FIXED</v>
      </c>
      <c r="L1195" t="str">
        <f>_xll.BDP("912827TT Govt","ID_ISIN")</f>
        <v>US912827TT94</v>
      </c>
      <c r="N1195">
        <v>0</v>
      </c>
      <c r="O1195" t="str">
        <f>_xll.BDP("912827TT Govt","ISSUE_DT")</f>
        <v>6/30/1986</v>
      </c>
      <c r="P1195" t="str">
        <f>_xll.BDP("912827TT Govt","SECURITY_NAME")</f>
        <v>T 7 06/30/88</v>
      </c>
      <c r="Q1195" t="str">
        <f>_xll.BDP("912827TT Govt","DAY_CNT_DES")</f>
        <v>ACT/ACT</v>
      </c>
      <c r="R1195">
        <v>100</v>
      </c>
      <c r="S1195" t="str">
        <f>_xll.BDP("912827TT Govt","ID_CUSIP")</f>
        <v>912827TT9</v>
      </c>
      <c r="T1195" t="str">
        <f>_xll.BDP("912827TT Govt","IDX_RATIO")</f>
        <v>#N/A Field Not Applicable</v>
      </c>
    </row>
    <row r="1196" spans="1:20" x14ac:dyDescent="0.25">
      <c r="A1196" t="s">
        <v>14</v>
      </c>
      <c r="B1196" t="str">
        <f>_xll.BDP("912827TX Govt","TICKER")</f>
        <v>T</v>
      </c>
      <c r="C1196">
        <f>_xll.BDP("912827TX Govt","CPN")</f>
        <v>6.625</v>
      </c>
      <c r="D1196" t="str">
        <f>_xll.BDP("912827TX Govt","YLD_YTM_BID")</f>
        <v>#N/A N/A</v>
      </c>
      <c r="E1196" t="str">
        <f>_xll.BDP("912827TX Govt","MATURITY")</f>
        <v>8/15/1989</v>
      </c>
      <c r="F1196" t="str">
        <f>_xll.BDP("912827TX Govt","MTY_TYP")</f>
        <v>NORMAL</v>
      </c>
      <c r="G1196" t="str">
        <f>_xll.BDP("912827TX Govt","CRNCY")</f>
        <v>USD</v>
      </c>
      <c r="H1196" t="str">
        <f>_xll.BDP("912827TX Govt","COUNTRY_FULL_NAME")</f>
        <v>UNITED STATES</v>
      </c>
      <c r="I1196" t="str">
        <f>_xll.BDP("912827TX Govt","FIRST_CPN_DT")</f>
        <v>2/15/1987</v>
      </c>
      <c r="J1196" t="str">
        <f>_xll.BDP("912827TX Govt","COUPON_FREQUENCY_DESCRIPTION")</f>
        <v>S/A</v>
      </c>
      <c r="K1196" t="str">
        <f>_xll.BDP("912827TX Govt","CPN_TYP")</f>
        <v>FIXED</v>
      </c>
      <c r="L1196" t="str">
        <f>_xll.BDP("912827TX Govt","ID_ISIN")</f>
        <v>US912827TX07</v>
      </c>
      <c r="N1196">
        <v>0</v>
      </c>
      <c r="O1196" t="str">
        <f>_xll.BDP("912827TX Govt","ISSUE_DT")</f>
        <v>8/15/1986</v>
      </c>
      <c r="P1196" t="str">
        <f>_xll.BDP("912827TX Govt","SECURITY_NAME")</f>
        <v>T 6 5/8 08/15/89</v>
      </c>
      <c r="Q1196" t="str">
        <f>_xll.BDP("912827TX Govt","DAY_CNT_DES")</f>
        <v>ACT/ACT</v>
      </c>
      <c r="R1196">
        <v>100</v>
      </c>
      <c r="S1196" t="str">
        <f>_xll.BDP("912827TX Govt","ID_CUSIP")</f>
        <v>912827TX0</v>
      </c>
      <c r="T1196" t="str">
        <f>_xll.BDP("912827TX Govt","IDX_RATIO")</f>
        <v>#N/A Field Not Applicable</v>
      </c>
    </row>
    <row r="1197" spans="1:20" x14ac:dyDescent="0.25">
      <c r="A1197" t="s">
        <v>14</v>
      </c>
      <c r="B1197" t="str">
        <f>_xll.BDP("912827U5 Govt","TICKER")</f>
        <v>T</v>
      </c>
      <c r="C1197">
        <f>_xll.BDP("912827U5 Govt","CPN")</f>
        <v>5.875</v>
      </c>
      <c r="D1197" t="str">
        <f>_xll.BDP("912827U5 Govt","YLD_YTM_BID")</f>
        <v>#N/A N/A</v>
      </c>
      <c r="E1197" t="str">
        <f>_xll.BDP("912827U5 Govt","MATURITY")</f>
        <v>7/31/1997</v>
      </c>
      <c r="F1197" t="str">
        <f>_xll.BDP("912827U5 Govt","MTY_TYP")</f>
        <v>NORMAL</v>
      </c>
      <c r="G1197" t="str">
        <f>_xll.BDP("912827U5 Govt","CRNCY")</f>
        <v>USD</v>
      </c>
      <c r="H1197" t="str">
        <f>_xll.BDP("912827U5 Govt","COUNTRY_FULL_NAME")</f>
        <v>UNITED STATES</v>
      </c>
      <c r="I1197" t="str">
        <f>_xll.BDP("912827U5 Govt","FIRST_CPN_DT")</f>
        <v>1/31/1996</v>
      </c>
      <c r="J1197" t="str">
        <f>_xll.BDP("912827U5 Govt","COUPON_FREQUENCY_DESCRIPTION")</f>
        <v>S/A</v>
      </c>
      <c r="K1197" t="str">
        <f>_xll.BDP("912827U5 Govt","CPN_TYP")</f>
        <v>FIXED</v>
      </c>
      <c r="L1197" t="str">
        <f>_xll.BDP("912827U5 Govt","ID_ISIN")</f>
        <v>US912827U594</v>
      </c>
      <c r="N1197">
        <v>0</v>
      </c>
      <c r="O1197" t="str">
        <f>_xll.BDP("912827U5 Govt","ISSUE_DT")</f>
        <v>7/31/1995</v>
      </c>
      <c r="P1197" t="str">
        <f>_xll.BDP("912827U5 Govt","SECURITY_NAME")</f>
        <v>T 5 7/8 07/31/97</v>
      </c>
      <c r="Q1197" t="str">
        <f>_xll.BDP("912827U5 Govt","DAY_CNT_DES")</f>
        <v>ACT/ACT</v>
      </c>
      <c r="R1197">
        <v>100</v>
      </c>
      <c r="S1197" t="str">
        <f>_xll.BDP("912827U5 Govt","ID_CUSIP")</f>
        <v>912827U59</v>
      </c>
      <c r="T1197" t="str">
        <f>_xll.BDP("912827U5 Govt","IDX_RATIO")</f>
        <v>#N/A Field Not Applicable</v>
      </c>
    </row>
    <row r="1198" spans="1:20" x14ac:dyDescent="0.25">
      <c r="A1198" t="s">
        <v>14</v>
      </c>
      <c r="B1198" t="str">
        <f>_xll.BDP("912827U8 Govt","TICKER")</f>
        <v>T</v>
      </c>
      <c r="C1198">
        <f>_xll.BDP("912827U8 Govt","CPN")</f>
        <v>6.5</v>
      </c>
      <c r="D1198" t="str">
        <f>_xll.BDP("912827U8 Govt","YLD_YTM_BID")</f>
        <v>#N/A N/A</v>
      </c>
      <c r="E1198" t="str">
        <f>_xll.BDP("912827U8 Govt","MATURITY")</f>
        <v>8/15/2005</v>
      </c>
      <c r="F1198" t="str">
        <f>_xll.BDP("912827U8 Govt","MTY_TYP")</f>
        <v>NORMAL</v>
      </c>
      <c r="G1198" t="str">
        <f>_xll.BDP("912827U8 Govt","CRNCY")</f>
        <v>USD</v>
      </c>
      <c r="H1198" t="str">
        <f>_xll.BDP("912827U8 Govt","COUNTRY_FULL_NAME")</f>
        <v>UNITED STATES</v>
      </c>
      <c r="I1198" t="str">
        <f>_xll.BDP("912827U8 Govt","FIRST_CPN_DT")</f>
        <v>2/15/1996</v>
      </c>
      <c r="J1198" t="str">
        <f>_xll.BDP("912827U8 Govt","COUPON_FREQUENCY_DESCRIPTION")</f>
        <v>S/A</v>
      </c>
      <c r="K1198" t="str">
        <f>_xll.BDP("912827U8 Govt","CPN_TYP")</f>
        <v>FIXED</v>
      </c>
      <c r="L1198" t="str">
        <f>_xll.BDP("912827U8 Govt","ID_ISIN")</f>
        <v>US912827U834</v>
      </c>
      <c r="M1198">
        <v>15003000000</v>
      </c>
      <c r="N1198">
        <v>0</v>
      </c>
      <c r="O1198" t="str">
        <f>_xll.BDP("912827U8 Govt","ISSUE_DT")</f>
        <v>8/15/1995</v>
      </c>
      <c r="P1198" t="str">
        <f>_xll.BDP("912827U8 Govt","SECURITY_NAME")</f>
        <v>T 6 1/2 08/15/05</v>
      </c>
      <c r="Q1198" t="str">
        <f>_xll.BDP("912827U8 Govt","DAY_CNT_DES")</f>
        <v>ACT/ACT</v>
      </c>
      <c r="R1198">
        <v>100</v>
      </c>
      <c r="S1198" t="str">
        <f>_xll.BDP("912827U8 Govt","ID_CUSIP")</f>
        <v>912827U83</v>
      </c>
      <c r="T1198" t="str">
        <f>_xll.BDP("912827U8 Govt","IDX_RATIO")</f>
        <v>#N/A Field Not Applicable</v>
      </c>
    </row>
    <row r="1199" spans="1:20" x14ac:dyDescent="0.25">
      <c r="A1199" t="s">
        <v>14</v>
      </c>
      <c r="B1199" t="str">
        <f>_xll.BDP("912827UG Govt","TICKER")</f>
        <v>T</v>
      </c>
      <c r="C1199">
        <f>_xll.BDP("912827UG Govt","CPN")</f>
        <v>6.25</v>
      </c>
      <c r="D1199" t="str">
        <f>_xll.BDP("912827UG Govt","YLD_YTM_BID")</f>
        <v>#N/A N/A</v>
      </c>
      <c r="E1199" t="str">
        <f>_xll.BDP("912827UG Govt","MATURITY")</f>
        <v>11/30/1988</v>
      </c>
      <c r="F1199" t="str">
        <f>_xll.BDP("912827UG Govt","MTY_TYP")</f>
        <v>NORMAL</v>
      </c>
      <c r="G1199" t="str">
        <f>_xll.BDP("912827UG Govt","CRNCY")</f>
        <v>USD</v>
      </c>
      <c r="H1199" t="str">
        <f>_xll.BDP("912827UG Govt","COUNTRY_FULL_NAME")</f>
        <v>UNITED STATES</v>
      </c>
      <c r="I1199" t="str">
        <f>_xll.BDP("912827UG Govt","FIRST_CPN_DT")</f>
        <v>5/31/1987</v>
      </c>
      <c r="J1199" t="str">
        <f>_xll.BDP("912827UG Govt","COUPON_FREQUENCY_DESCRIPTION")</f>
        <v>S/A</v>
      </c>
      <c r="K1199" t="str">
        <f>_xll.BDP("912827UG Govt","CPN_TYP")</f>
        <v>FIXED</v>
      </c>
      <c r="L1199" t="str">
        <f>_xll.BDP("912827UG Govt","ID_ISIN")</f>
        <v>US912827UG54</v>
      </c>
      <c r="N1199">
        <v>0</v>
      </c>
      <c r="O1199" t="str">
        <f>_xll.BDP("912827UG Govt","ISSUE_DT")</f>
        <v>12/1/1986</v>
      </c>
      <c r="P1199" t="str">
        <f>_xll.BDP("912827UG Govt","SECURITY_NAME")</f>
        <v>T 6 1/4 11/30/88</v>
      </c>
      <c r="Q1199" t="str">
        <f>_xll.BDP("912827UG Govt","DAY_CNT_DES")</f>
        <v>ACT/ACT</v>
      </c>
      <c r="R1199">
        <v>100</v>
      </c>
      <c r="S1199" t="str">
        <f>_xll.BDP("912827UG Govt","ID_CUSIP")</f>
        <v>912827UG5</v>
      </c>
      <c r="T1199" t="str">
        <f>_xll.BDP("912827UG Govt","IDX_RATIO")</f>
        <v>#N/A Field Not Applicable</v>
      </c>
    </row>
    <row r="1200" spans="1:20" x14ac:dyDescent="0.25">
      <c r="A1200" t="s">
        <v>14</v>
      </c>
      <c r="B1200" t="str">
        <f>_xll.BDP("912827UK Govt","TICKER")</f>
        <v>T</v>
      </c>
      <c r="C1200">
        <f>_xll.BDP("912827UK Govt","CPN")</f>
        <v>6.625</v>
      </c>
      <c r="D1200" t="str">
        <f>_xll.BDP("912827UK Govt","YLD_YTM_BID")</f>
        <v>#N/A N/A</v>
      </c>
      <c r="E1200" t="str">
        <f>_xll.BDP("912827UK Govt","MATURITY")</f>
        <v>12/31/1990</v>
      </c>
      <c r="F1200" t="str">
        <f>_xll.BDP("912827UK Govt","MTY_TYP")</f>
        <v>NORMAL</v>
      </c>
      <c r="G1200" t="str">
        <f>_xll.BDP("912827UK Govt","CRNCY")</f>
        <v>USD</v>
      </c>
      <c r="H1200" t="str">
        <f>_xll.BDP("912827UK Govt","COUNTRY_FULL_NAME")</f>
        <v>UNITED STATES</v>
      </c>
      <c r="I1200" t="str">
        <f>_xll.BDP("912827UK Govt","FIRST_CPN_DT")</f>
        <v>6/30/1987</v>
      </c>
      <c r="J1200" t="str">
        <f>_xll.BDP("912827UK Govt","COUPON_FREQUENCY_DESCRIPTION")</f>
        <v>S/A</v>
      </c>
      <c r="K1200" t="str">
        <f>_xll.BDP("912827UK Govt","CPN_TYP")</f>
        <v>FIXED</v>
      </c>
      <c r="L1200" t="str">
        <f>_xll.BDP("912827UK Govt","ID_ISIN")</f>
        <v>US912827UK66</v>
      </c>
      <c r="N1200">
        <v>0</v>
      </c>
      <c r="O1200" t="str">
        <f>_xll.BDP("912827UK Govt","ISSUE_DT")</f>
        <v>12/31/1986</v>
      </c>
      <c r="P1200" t="str">
        <f>_xll.BDP("912827UK Govt","SECURITY_NAME")</f>
        <v>T 6 5/8 12/31/90</v>
      </c>
      <c r="Q1200" t="str">
        <f>_xll.BDP("912827UK Govt","DAY_CNT_DES")</f>
        <v>ACT/ACT</v>
      </c>
      <c r="R1200">
        <v>100</v>
      </c>
      <c r="S1200" t="str">
        <f>_xll.BDP("912827UK Govt","ID_CUSIP")</f>
        <v>912827UK6</v>
      </c>
      <c r="T1200" t="str">
        <f>_xll.BDP("912827UK Govt","IDX_RATIO")</f>
        <v>#N/A Field Not Applicable</v>
      </c>
    </row>
    <row r="1201" spans="1:20" x14ac:dyDescent="0.25">
      <c r="A1201" t="s">
        <v>14</v>
      </c>
      <c r="B1201" t="str">
        <f>_xll.BDP("912827UL Govt","TICKER")</f>
        <v>T</v>
      </c>
      <c r="C1201">
        <f>_xll.BDP("912827UL Govt","CPN")</f>
        <v>7</v>
      </c>
      <c r="D1201" t="str">
        <f>_xll.BDP("912827UL Govt","YLD_YTM_BID")</f>
        <v>#N/A N/A</v>
      </c>
      <c r="E1201" t="str">
        <f>_xll.BDP("912827UL Govt","MATURITY")</f>
        <v>1/15/1994</v>
      </c>
      <c r="F1201" t="str">
        <f>_xll.BDP("912827UL Govt","MTY_TYP")</f>
        <v>NORMAL</v>
      </c>
      <c r="G1201" t="str">
        <f>_xll.BDP("912827UL Govt","CRNCY")</f>
        <v>USD</v>
      </c>
      <c r="H1201" t="str">
        <f>_xll.BDP("912827UL Govt","COUNTRY_FULL_NAME")</f>
        <v>UNITED STATES</v>
      </c>
      <c r="I1201" t="str">
        <f>_xll.BDP("912827UL Govt","FIRST_CPN_DT")</f>
        <v>7/15/1987</v>
      </c>
      <c r="J1201" t="str">
        <f>_xll.BDP("912827UL Govt","COUPON_FREQUENCY_DESCRIPTION")</f>
        <v>S/A</v>
      </c>
      <c r="K1201" t="str">
        <f>_xll.BDP("912827UL Govt","CPN_TYP")</f>
        <v>FIXED</v>
      </c>
      <c r="L1201" t="str">
        <f>_xll.BDP("912827UL Govt","ID_ISIN")</f>
        <v>US912827UL40</v>
      </c>
      <c r="N1201">
        <v>0</v>
      </c>
      <c r="O1201" t="str">
        <f>_xll.BDP("912827UL Govt","ISSUE_DT")</f>
        <v>1/5/1987</v>
      </c>
      <c r="P1201" t="str">
        <f>_xll.BDP("912827UL Govt","SECURITY_NAME")</f>
        <v>T 7 01/15/94</v>
      </c>
      <c r="Q1201" t="str">
        <f>_xll.BDP("912827UL Govt","DAY_CNT_DES")</f>
        <v>ACT/ACT</v>
      </c>
      <c r="R1201">
        <v>100</v>
      </c>
      <c r="S1201" t="str">
        <f>_xll.BDP("912827UL Govt","ID_CUSIP")</f>
        <v>912827UL4</v>
      </c>
      <c r="T1201" t="str">
        <f>_xll.BDP("912827UL Govt","IDX_RATIO")</f>
        <v>#N/A Field Not Applicable</v>
      </c>
    </row>
    <row r="1202" spans="1:20" x14ac:dyDescent="0.25">
      <c r="A1202" t="s">
        <v>14</v>
      </c>
      <c r="B1202" t="str">
        <f>_xll.BDP("912827UP Govt","TICKER")</f>
        <v>T</v>
      </c>
      <c r="C1202">
        <f>_xll.BDP("912827UP Govt","CPN")</f>
        <v>6.25</v>
      </c>
      <c r="D1202" t="str">
        <f>_xll.BDP("912827UP Govt","YLD_YTM_BID")</f>
        <v>#N/A N/A</v>
      </c>
      <c r="E1202" t="str">
        <f>_xll.BDP("912827UP Govt","MATURITY")</f>
        <v>2/28/1989</v>
      </c>
      <c r="F1202" t="str">
        <f>_xll.BDP("912827UP Govt","MTY_TYP")</f>
        <v>NORMAL</v>
      </c>
      <c r="G1202" t="str">
        <f>_xll.BDP("912827UP Govt","CRNCY")</f>
        <v>USD</v>
      </c>
      <c r="H1202" t="str">
        <f>_xll.BDP("912827UP Govt","COUNTRY_FULL_NAME")</f>
        <v>UNITED STATES</v>
      </c>
      <c r="I1202" t="str">
        <f>_xll.BDP("912827UP Govt","FIRST_CPN_DT")</f>
        <v>8/31/1987</v>
      </c>
      <c r="J1202" t="str">
        <f>_xll.BDP("912827UP Govt","COUPON_FREQUENCY_DESCRIPTION")</f>
        <v>S/A</v>
      </c>
      <c r="K1202" t="str">
        <f>_xll.BDP("912827UP Govt","CPN_TYP")</f>
        <v>FIXED</v>
      </c>
      <c r="L1202" t="str">
        <f>_xll.BDP("912827UP Govt","ID_ISIN")</f>
        <v>US912827UP53</v>
      </c>
      <c r="N1202">
        <v>0</v>
      </c>
      <c r="O1202" t="str">
        <f>_xll.BDP("912827UP Govt","ISSUE_DT")</f>
        <v>3/2/1987</v>
      </c>
      <c r="P1202" t="str">
        <f>_xll.BDP("912827UP Govt","SECURITY_NAME")</f>
        <v>T 6 1/4 02/28/89</v>
      </c>
      <c r="Q1202" t="str">
        <f>_xll.BDP("912827UP Govt","DAY_CNT_DES")</f>
        <v>ACT/ACT</v>
      </c>
      <c r="R1202">
        <v>100</v>
      </c>
      <c r="S1202" t="str">
        <f>_xll.BDP("912827UP Govt","ID_CUSIP")</f>
        <v>912827UP5</v>
      </c>
      <c r="T1202" t="str">
        <f>_xll.BDP("912827UP Govt","IDX_RATIO")</f>
        <v>#N/A Field Not Applicable</v>
      </c>
    </row>
    <row r="1203" spans="1:20" x14ac:dyDescent="0.25">
      <c r="A1203" t="s">
        <v>14</v>
      </c>
      <c r="B1203" t="str">
        <f>_xll.BDP("912827VJ Govt","TICKER")</f>
        <v>T</v>
      </c>
      <c r="C1203">
        <f>_xll.BDP("912827VJ Govt","CPN")</f>
        <v>9.125</v>
      </c>
      <c r="D1203" t="str">
        <f>_xll.BDP("912827VJ Govt","YLD_YTM_BID")</f>
        <v>#N/A N/A</v>
      </c>
      <c r="E1203" t="str">
        <f>_xll.BDP("912827VJ Govt","MATURITY")</f>
        <v>9/30/1991</v>
      </c>
      <c r="F1203" t="str">
        <f>_xll.BDP("912827VJ Govt","MTY_TYP")</f>
        <v>NORMAL</v>
      </c>
      <c r="G1203" t="str">
        <f>_xll.BDP("912827VJ Govt","CRNCY")</f>
        <v>USD</v>
      </c>
      <c r="H1203" t="str">
        <f>_xll.BDP("912827VJ Govt","COUNTRY_FULL_NAME")</f>
        <v>UNITED STATES</v>
      </c>
      <c r="I1203" t="str">
        <f>_xll.BDP("912827VJ Govt","FIRST_CPN_DT")</f>
        <v>3/31/1988</v>
      </c>
      <c r="J1203" t="str">
        <f>_xll.BDP("912827VJ Govt","COUPON_FREQUENCY_DESCRIPTION")</f>
        <v>S/A</v>
      </c>
      <c r="K1203" t="str">
        <f>_xll.BDP("912827VJ Govt","CPN_TYP")</f>
        <v>FIXED</v>
      </c>
      <c r="L1203" t="str">
        <f>_xll.BDP("912827VJ Govt","ID_ISIN")</f>
        <v>US912827VJ84</v>
      </c>
      <c r="N1203">
        <v>0</v>
      </c>
      <c r="O1203" t="str">
        <f>_xll.BDP("912827VJ Govt","ISSUE_DT")</f>
        <v>10/15/1987</v>
      </c>
      <c r="P1203" t="str">
        <f>_xll.BDP("912827VJ Govt","SECURITY_NAME")</f>
        <v>T 9 1/8 09/30/91</v>
      </c>
      <c r="Q1203" t="str">
        <f>_xll.BDP("912827VJ Govt","DAY_CNT_DES")</f>
        <v>ACT/ACT</v>
      </c>
      <c r="R1203">
        <v>100</v>
      </c>
      <c r="S1203" t="str">
        <f>_xll.BDP("912827VJ Govt","ID_CUSIP")</f>
        <v>912827VJ8</v>
      </c>
      <c r="T1203" t="str">
        <f>_xll.BDP("912827VJ Govt","IDX_RATIO")</f>
        <v>#N/A Field Not Applicable</v>
      </c>
    </row>
    <row r="1204" spans="1:20" x14ac:dyDescent="0.25">
      <c r="A1204" t="s">
        <v>14</v>
      </c>
      <c r="B1204" t="str">
        <f>_xll.BDP("912827VP Govt","TICKER")</f>
        <v>T</v>
      </c>
      <c r="C1204">
        <f>_xll.BDP("912827VP Govt","CPN")</f>
        <v>7.75</v>
      </c>
      <c r="D1204" t="str">
        <f>_xll.BDP("912827VP Govt","YLD_YTM_BID")</f>
        <v>#N/A N/A</v>
      </c>
      <c r="E1204" t="str">
        <f>_xll.BDP("912827VP Govt","MATURITY")</f>
        <v>11/30/1989</v>
      </c>
      <c r="F1204" t="str">
        <f>_xll.BDP("912827VP Govt","MTY_TYP")</f>
        <v>NORMAL</v>
      </c>
      <c r="G1204" t="str">
        <f>_xll.BDP("912827VP Govt","CRNCY")</f>
        <v>USD</v>
      </c>
      <c r="H1204" t="str">
        <f>_xll.BDP("912827VP Govt","COUNTRY_FULL_NAME")</f>
        <v>UNITED STATES</v>
      </c>
      <c r="I1204" t="str">
        <f>_xll.BDP("912827VP Govt","FIRST_CPN_DT")</f>
        <v>5/31/1988</v>
      </c>
      <c r="J1204" t="str">
        <f>_xll.BDP("912827VP Govt","COUPON_FREQUENCY_DESCRIPTION")</f>
        <v>S/A</v>
      </c>
      <c r="K1204" t="str">
        <f>_xll.BDP("912827VP Govt","CPN_TYP")</f>
        <v>FIXED</v>
      </c>
      <c r="L1204" t="str">
        <f>_xll.BDP("912827VP Govt","ID_ISIN")</f>
        <v>US912827VP45</v>
      </c>
      <c r="N1204">
        <v>0</v>
      </c>
      <c r="O1204" t="str">
        <f>_xll.BDP("912827VP Govt","ISSUE_DT")</f>
        <v>11/30/1987</v>
      </c>
      <c r="P1204" t="str">
        <f>_xll.BDP("912827VP Govt","SECURITY_NAME")</f>
        <v>T 7 3/4 11/30/89</v>
      </c>
      <c r="Q1204" t="str">
        <f>_xll.BDP("912827VP Govt","DAY_CNT_DES")</f>
        <v>ACT/ACT</v>
      </c>
      <c r="R1204">
        <v>100</v>
      </c>
      <c r="S1204" t="str">
        <f>_xll.BDP("912827VP Govt","ID_CUSIP")</f>
        <v>912827VP4</v>
      </c>
      <c r="T1204" t="str">
        <f>_xll.BDP("912827VP Govt","IDX_RATIO")</f>
        <v>#N/A Field Not Applicable</v>
      </c>
    </row>
    <row r="1205" spans="1:20" x14ac:dyDescent="0.25">
      <c r="A1205" t="s">
        <v>14</v>
      </c>
      <c r="B1205" t="str">
        <f>_xll.BDP("912827VS Govt","TICKER")</f>
        <v>T</v>
      </c>
      <c r="C1205">
        <f>_xll.BDP("912827VS Govt","CPN")</f>
        <v>8.25</v>
      </c>
      <c r="D1205" t="str">
        <f>_xll.BDP("912827VS Govt","YLD_YTM_BID")</f>
        <v>#N/A N/A</v>
      </c>
      <c r="E1205" t="str">
        <f>_xll.BDP("912827VS Govt","MATURITY")</f>
        <v>12/31/1991</v>
      </c>
      <c r="F1205" t="str">
        <f>_xll.BDP("912827VS Govt","MTY_TYP")</f>
        <v>NORMAL</v>
      </c>
      <c r="G1205" t="str">
        <f>_xll.BDP("912827VS Govt","CRNCY")</f>
        <v>USD</v>
      </c>
      <c r="H1205" t="str">
        <f>_xll.BDP("912827VS Govt","COUNTRY_FULL_NAME")</f>
        <v>UNITED STATES</v>
      </c>
      <c r="I1205" t="str">
        <f>_xll.BDP("912827VS Govt","FIRST_CPN_DT")</f>
        <v>6/30/1988</v>
      </c>
      <c r="J1205" t="str">
        <f>_xll.BDP("912827VS Govt","COUPON_FREQUENCY_DESCRIPTION")</f>
        <v>S/A</v>
      </c>
      <c r="K1205" t="str">
        <f>_xll.BDP("912827VS Govt","CPN_TYP")</f>
        <v>FIXED</v>
      </c>
      <c r="L1205" t="str">
        <f>_xll.BDP("912827VS Govt","ID_ISIN")</f>
        <v>US912827VS83</v>
      </c>
      <c r="N1205">
        <v>0</v>
      </c>
      <c r="O1205" t="str">
        <f>_xll.BDP("912827VS Govt","ISSUE_DT")</f>
        <v>12/31/1987</v>
      </c>
      <c r="P1205" t="str">
        <f>_xll.BDP("912827VS Govt","SECURITY_NAME")</f>
        <v>T 8 1/4 12/31/91</v>
      </c>
      <c r="Q1205" t="str">
        <f>_xll.BDP("912827VS Govt","DAY_CNT_DES")</f>
        <v>ACT/ACT</v>
      </c>
      <c r="R1205">
        <v>100</v>
      </c>
      <c r="S1205" t="str">
        <f>_xll.BDP("912827VS Govt","ID_CUSIP")</f>
        <v>912827VS8</v>
      </c>
      <c r="T1205" t="str">
        <f>_xll.BDP("912827VS Govt","IDX_RATIO")</f>
        <v>#N/A Field Not Applicable</v>
      </c>
    </row>
    <row r="1206" spans="1:20" x14ac:dyDescent="0.25">
      <c r="A1206" t="s">
        <v>14</v>
      </c>
      <c r="B1206" t="str">
        <f>_xll.BDP("912827WA Govt","TICKER")</f>
        <v>T</v>
      </c>
      <c r="C1206">
        <f>_xll.BDP("912827WA Govt","CPN")</f>
        <v>7.875</v>
      </c>
      <c r="D1206" t="str">
        <f>_xll.BDP("912827WA Govt","YLD_YTM_BID")</f>
        <v>#N/A N/A</v>
      </c>
      <c r="E1206" t="str">
        <f>_xll.BDP("912827WA Govt","MATURITY")</f>
        <v>3/31/1992</v>
      </c>
      <c r="F1206" t="str">
        <f>_xll.BDP("912827WA Govt","MTY_TYP")</f>
        <v>NORMAL</v>
      </c>
      <c r="G1206" t="str">
        <f>_xll.BDP("912827WA Govt","CRNCY")</f>
        <v>USD</v>
      </c>
      <c r="H1206" t="str">
        <f>_xll.BDP("912827WA Govt","COUNTRY_FULL_NAME")</f>
        <v>UNITED STATES</v>
      </c>
      <c r="I1206" t="str">
        <f>_xll.BDP("912827WA Govt","FIRST_CPN_DT")</f>
        <v>9/30/1988</v>
      </c>
      <c r="J1206" t="str">
        <f>_xll.BDP("912827WA Govt","COUPON_FREQUENCY_DESCRIPTION")</f>
        <v>S/A</v>
      </c>
      <c r="K1206" t="str">
        <f>_xll.BDP("912827WA Govt","CPN_TYP")</f>
        <v>FIXED</v>
      </c>
      <c r="L1206" t="str">
        <f>_xll.BDP("912827WA Govt","ID_ISIN")</f>
        <v>US912827WA66</v>
      </c>
      <c r="N1206">
        <v>0</v>
      </c>
      <c r="O1206" t="str">
        <f>_xll.BDP("912827WA Govt","ISSUE_DT")</f>
        <v>3/31/1988</v>
      </c>
      <c r="P1206" t="str">
        <f>_xll.BDP("912827WA Govt","SECURITY_NAME")</f>
        <v>T 7 7/8 03/31/92</v>
      </c>
      <c r="Q1206" t="str">
        <f>_xll.BDP("912827WA Govt","DAY_CNT_DES")</f>
        <v>ACT/ACT</v>
      </c>
      <c r="R1206">
        <v>100</v>
      </c>
      <c r="S1206" t="str">
        <f>_xll.BDP("912827WA Govt","ID_CUSIP")</f>
        <v>912827WA6</v>
      </c>
      <c r="T1206" t="str">
        <f>_xll.BDP("912827WA Govt","IDX_RATIO")</f>
        <v>#N/A Field Not Applicable</v>
      </c>
    </row>
    <row r="1207" spans="1:20" x14ac:dyDescent="0.25">
      <c r="A1207" t="s">
        <v>14</v>
      </c>
      <c r="B1207" t="str">
        <f>_xll.BDP("912827WJ Govt","TICKER")</f>
        <v>T</v>
      </c>
      <c r="C1207">
        <f>_xll.BDP("912827WJ Govt","CPN")</f>
        <v>8.25</v>
      </c>
      <c r="D1207" t="str">
        <f>_xll.BDP("912827WJ Govt","YLD_YTM_BID")</f>
        <v>#N/A N/A</v>
      </c>
      <c r="E1207" t="str">
        <f>_xll.BDP("912827WJ Govt","MATURITY")</f>
        <v>6/30/1992</v>
      </c>
      <c r="F1207" t="str">
        <f>_xll.BDP("912827WJ Govt","MTY_TYP")</f>
        <v>NORMAL</v>
      </c>
      <c r="G1207" t="str">
        <f>_xll.BDP("912827WJ Govt","CRNCY")</f>
        <v>USD</v>
      </c>
      <c r="H1207" t="str">
        <f>_xll.BDP("912827WJ Govt","COUNTRY_FULL_NAME")</f>
        <v>UNITED STATES</v>
      </c>
      <c r="I1207" t="str">
        <f>_xll.BDP("912827WJ Govt","FIRST_CPN_DT")</f>
        <v>12/31/1988</v>
      </c>
      <c r="J1207" t="str">
        <f>_xll.BDP("912827WJ Govt","COUPON_FREQUENCY_DESCRIPTION")</f>
        <v>S/A</v>
      </c>
      <c r="K1207" t="str">
        <f>_xll.BDP("912827WJ Govt","CPN_TYP")</f>
        <v>FIXED</v>
      </c>
      <c r="L1207" t="str">
        <f>_xll.BDP("912827WJ Govt","ID_ISIN")</f>
        <v>US912827WJ75</v>
      </c>
      <c r="N1207">
        <v>0</v>
      </c>
      <c r="O1207" t="str">
        <f>_xll.BDP("912827WJ Govt","ISSUE_DT")</f>
        <v>6/30/1988</v>
      </c>
      <c r="P1207" t="str">
        <f>_xll.BDP("912827WJ Govt","SECURITY_NAME")</f>
        <v>T 8 1/4 06/30/92</v>
      </c>
      <c r="Q1207" t="str">
        <f>_xll.BDP("912827WJ Govt","DAY_CNT_DES")</f>
        <v>ACT/ACT</v>
      </c>
      <c r="R1207">
        <v>100</v>
      </c>
      <c r="S1207" t="str">
        <f>_xll.BDP("912827WJ Govt","ID_CUSIP")</f>
        <v>912827WJ7</v>
      </c>
      <c r="T1207" t="str">
        <f>_xll.BDP("912827WJ Govt","IDX_RATIO")</f>
        <v>#N/A Field Not Applicable</v>
      </c>
    </row>
    <row r="1208" spans="1:20" x14ac:dyDescent="0.25">
      <c r="A1208" t="s">
        <v>14</v>
      </c>
      <c r="B1208" t="str">
        <f>_xll.BDP("912827WL Govt","TICKER")</f>
        <v>T</v>
      </c>
      <c r="C1208">
        <f>_xll.BDP("912827WL Govt","CPN")</f>
        <v>8.375</v>
      </c>
      <c r="D1208" t="str">
        <f>_xll.BDP("912827WL Govt","YLD_YTM_BID")</f>
        <v>#N/A N/A</v>
      </c>
      <c r="E1208" t="str">
        <f>_xll.BDP("912827WL Govt","MATURITY")</f>
        <v>7/31/1990</v>
      </c>
      <c r="F1208" t="str">
        <f>_xll.BDP("912827WL Govt","MTY_TYP")</f>
        <v>NORMAL</v>
      </c>
      <c r="G1208" t="str">
        <f>_xll.BDP("912827WL Govt","CRNCY")</f>
        <v>USD</v>
      </c>
      <c r="H1208" t="str">
        <f>_xll.BDP("912827WL Govt","COUNTRY_FULL_NAME")</f>
        <v>UNITED STATES</v>
      </c>
      <c r="I1208" t="str">
        <f>_xll.BDP("912827WL Govt","FIRST_CPN_DT")</f>
        <v>1/31/1989</v>
      </c>
      <c r="J1208" t="str">
        <f>_xll.BDP("912827WL Govt","COUPON_FREQUENCY_DESCRIPTION")</f>
        <v>S/A</v>
      </c>
      <c r="K1208" t="str">
        <f>_xll.BDP("912827WL Govt","CPN_TYP")</f>
        <v>FIXED</v>
      </c>
      <c r="L1208" t="str">
        <f>_xll.BDP("912827WL Govt","ID_ISIN")</f>
        <v>US912827WL22</v>
      </c>
      <c r="N1208">
        <v>0</v>
      </c>
      <c r="O1208" t="str">
        <f>_xll.BDP("912827WL Govt","ISSUE_DT")</f>
        <v>8/1/1988</v>
      </c>
      <c r="P1208" t="str">
        <f>_xll.BDP("912827WL Govt","SECURITY_NAME")</f>
        <v>T 8 3/8 07/31/90</v>
      </c>
      <c r="Q1208" t="str">
        <f>_xll.BDP("912827WL Govt","DAY_CNT_DES")</f>
        <v>ACT/ACT</v>
      </c>
      <c r="R1208">
        <v>100</v>
      </c>
      <c r="S1208" t="str">
        <f>_xll.BDP("912827WL Govt","ID_CUSIP")</f>
        <v>912827WL2</v>
      </c>
      <c r="T1208" t="str">
        <f>_xll.BDP("912827WL Govt","IDX_RATIO")</f>
        <v>#N/A Field Not Applicable</v>
      </c>
    </row>
    <row r="1209" spans="1:20" x14ac:dyDescent="0.25">
      <c r="A1209" t="s">
        <v>14</v>
      </c>
      <c r="B1209" t="str">
        <f>_xll.BDP("912827WV Govt","TICKER")</f>
        <v>T</v>
      </c>
      <c r="C1209">
        <f>_xll.BDP("912827WV Govt","CPN")</f>
        <v>8.5</v>
      </c>
      <c r="D1209" t="str">
        <f>_xll.BDP("912827WV Govt","YLD_YTM_BID")</f>
        <v>#N/A N/A</v>
      </c>
      <c r="E1209" t="str">
        <f>_xll.BDP("912827WV Govt","MATURITY")</f>
        <v>11/15/1991</v>
      </c>
      <c r="F1209" t="str">
        <f>_xll.BDP("912827WV Govt","MTY_TYP")</f>
        <v>NORMAL</v>
      </c>
      <c r="G1209" t="str">
        <f>_xll.BDP("912827WV Govt","CRNCY")</f>
        <v>USD</v>
      </c>
      <c r="H1209" t="str">
        <f>_xll.BDP("912827WV Govt","COUNTRY_FULL_NAME")</f>
        <v>UNITED STATES</v>
      </c>
      <c r="I1209" t="str">
        <f>_xll.BDP("912827WV Govt","FIRST_CPN_DT")</f>
        <v>5/15/1989</v>
      </c>
      <c r="J1209" t="str">
        <f>_xll.BDP("912827WV Govt","COUPON_FREQUENCY_DESCRIPTION")</f>
        <v>S/A</v>
      </c>
      <c r="K1209" t="str">
        <f>_xll.BDP("912827WV Govt","CPN_TYP")</f>
        <v>FIXED</v>
      </c>
      <c r="L1209" t="str">
        <f>_xll.BDP("912827WV Govt","ID_ISIN")</f>
        <v>US912827WV04</v>
      </c>
      <c r="N1209">
        <v>0</v>
      </c>
      <c r="O1209" t="str">
        <f>_xll.BDP("912827WV Govt","ISSUE_DT")</f>
        <v>11/15/1988</v>
      </c>
      <c r="P1209" t="str">
        <f>_xll.BDP("912827WV Govt","SECURITY_NAME")</f>
        <v>T 8 1/2 11/15/91</v>
      </c>
      <c r="Q1209" t="str">
        <f>_xll.BDP("912827WV Govt","DAY_CNT_DES")</f>
        <v>ACT/ACT</v>
      </c>
      <c r="R1209">
        <v>100</v>
      </c>
      <c r="S1209" t="str">
        <f>_xll.BDP("912827WV Govt","ID_CUSIP")</f>
        <v>912827WV0</v>
      </c>
      <c r="T1209" t="str">
        <f>_xll.BDP("912827WV Govt","IDX_RATIO")</f>
        <v>#N/A Field Not Applicable</v>
      </c>
    </row>
    <row r="1210" spans="1:20" x14ac:dyDescent="0.25">
      <c r="A1210" t="s">
        <v>14</v>
      </c>
      <c r="B1210" t="str">
        <f>_xll.BDP("912827WY Govt","TICKER")</f>
        <v>T</v>
      </c>
      <c r="C1210">
        <f>_xll.BDP("912827WY Govt","CPN")</f>
        <v>8.875</v>
      </c>
      <c r="D1210" t="str">
        <f>_xll.BDP("912827WY Govt","YLD_YTM_BID")</f>
        <v>#N/A N/A</v>
      </c>
      <c r="E1210" t="str">
        <f>_xll.BDP("912827WY Govt","MATURITY")</f>
        <v>2/15/1994</v>
      </c>
      <c r="F1210" t="str">
        <f>_xll.BDP("912827WY Govt","MTY_TYP")</f>
        <v>NORMAL</v>
      </c>
      <c r="G1210" t="str">
        <f>_xll.BDP("912827WY Govt","CRNCY")</f>
        <v>USD</v>
      </c>
      <c r="H1210" t="str">
        <f>_xll.BDP("912827WY Govt","COUNTRY_FULL_NAME")</f>
        <v>UNITED STATES</v>
      </c>
      <c r="I1210" t="str">
        <f>_xll.BDP("912827WY Govt","FIRST_CPN_DT")</f>
        <v>8/15/1989</v>
      </c>
      <c r="J1210" t="str">
        <f>_xll.BDP("912827WY Govt","COUPON_FREQUENCY_DESCRIPTION")</f>
        <v>S/A</v>
      </c>
      <c r="K1210" t="str">
        <f>_xll.BDP("912827WY Govt","CPN_TYP")</f>
        <v>FIXED</v>
      </c>
      <c r="L1210" t="str">
        <f>_xll.BDP("912827WY Govt","ID_ISIN")</f>
        <v>US912827WY43</v>
      </c>
      <c r="N1210">
        <v>0</v>
      </c>
      <c r="O1210" t="str">
        <f>_xll.BDP("912827WY Govt","ISSUE_DT")</f>
        <v>12/1/1988</v>
      </c>
      <c r="P1210" t="str">
        <f>_xll.BDP("912827WY Govt","SECURITY_NAME")</f>
        <v>T 8 7/8 02/15/94</v>
      </c>
      <c r="Q1210" t="str">
        <f>_xll.BDP("912827WY Govt","DAY_CNT_DES")</f>
        <v>ACT/ACT</v>
      </c>
      <c r="R1210">
        <v>100</v>
      </c>
      <c r="S1210" t="str">
        <f>_xll.BDP("912827WY Govt","ID_CUSIP")</f>
        <v>912827WY4</v>
      </c>
      <c r="T1210" t="str">
        <f>_xll.BDP("912827WY Govt","IDX_RATIO")</f>
        <v>#N/A Field Not Applicable</v>
      </c>
    </row>
    <row r="1211" spans="1:20" x14ac:dyDescent="0.25">
      <c r="A1211" t="s">
        <v>14</v>
      </c>
      <c r="B1211" t="str">
        <f>_xll.BDP("912827X2 Govt","TICKER")</f>
        <v>T</v>
      </c>
      <c r="C1211">
        <f>_xll.BDP("912827X2 Govt","CPN")</f>
        <v>5.625</v>
      </c>
      <c r="D1211" t="str">
        <f>_xll.BDP("912827X2 Govt","YLD_YTM_BID")</f>
        <v>#N/A N/A</v>
      </c>
      <c r="E1211" t="str">
        <f>_xll.BDP("912827X2 Govt","MATURITY")</f>
        <v>2/28/2001</v>
      </c>
      <c r="F1211" t="str">
        <f>_xll.BDP("912827X2 Govt","MTY_TYP")</f>
        <v>NORMAL</v>
      </c>
      <c r="G1211" t="str">
        <f>_xll.BDP("912827X2 Govt","CRNCY")</f>
        <v>USD</v>
      </c>
      <c r="H1211" t="str">
        <f>_xll.BDP("912827X2 Govt","COUNTRY_FULL_NAME")</f>
        <v>UNITED STATES</v>
      </c>
      <c r="I1211" t="str">
        <f>_xll.BDP("912827X2 Govt","FIRST_CPN_DT")</f>
        <v>8/31/1996</v>
      </c>
      <c r="J1211" t="str">
        <f>_xll.BDP("912827X2 Govt","COUPON_FREQUENCY_DESCRIPTION")</f>
        <v>S/A</v>
      </c>
      <c r="K1211" t="str">
        <f>_xll.BDP("912827X2 Govt","CPN_TYP")</f>
        <v>FIXED</v>
      </c>
      <c r="L1211" t="str">
        <f>_xll.BDP("912827X2 Govt","ID_ISIN")</f>
        <v>US912827X234</v>
      </c>
      <c r="M1211">
        <v>12820000000</v>
      </c>
      <c r="N1211">
        <v>0</v>
      </c>
      <c r="O1211" t="str">
        <f>_xll.BDP("912827X2 Govt","ISSUE_DT")</f>
        <v>2/29/1996</v>
      </c>
      <c r="P1211" t="str">
        <f>_xll.BDP("912827X2 Govt","SECURITY_NAME")</f>
        <v>T 5 5/8 02/28/01</v>
      </c>
      <c r="Q1211" t="str">
        <f>_xll.BDP("912827X2 Govt","DAY_CNT_DES")</f>
        <v>ACT/ACT</v>
      </c>
      <c r="R1211">
        <v>100</v>
      </c>
      <c r="S1211" t="str">
        <f>_xll.BDP("912827X2 Govt","ID_CUSIP")</f>
        <v>912827X23</v>
      </c>
      <c r="T1211" t="str">
        <f>_xll.BDP("912827X2 Govt","IDX_RATIO")</f>
        <v>#N/A Field Not Applicable</v>
      </c>
    </row>
    <row r="1212" spans="1:20" x14ac:dyDescent="0.25">
      <c r="A1212" t="s">
        <v>14</v>
      </c>
      <c r="B1212" t="str">
        <f>_xll.BDP("912827X6 Govt","TICKER")</f>
        <v>T</v>
      </c>
      <c r="C1212">
        <f>_xll.BDP("912827X6 Govt","CPN")</f>
        <v>6.25</v>
      </c>
      <c r="D1212" t="str">
        <f>_xll.BDP("912827X6 Govt","YLD_YTM_BID")</f>
        <v>#N/A N/A</v>
      </c>
      <c r="E1212" t="str">
        <f>_xll.BDP("912827X6 Govt","MATURITY")</f>
        <v>4/30/2001</v>
      </c>
      <c r="F1212" t="str">
        <f>_xll.BDP("912827X6 Govt","MTY_TYP")</f>
        <v>NORMAL</v>
      </c>
      <c r="G1212" t="str">
        <f>_xll.BDP("912827X6 Govt","CRNCY")</f>
        <v>USD</v>
      </c>
      <c r="H1212" t="str">
        <f>_xll.BDP("912827X6 Govt","COUNTRY_FULL_NAME")</f>
        <v>UNITED STATES</v>
      </c>
      <c r="I1212" t="str">
        <f>_xll.BDP("912827X6 Govt","FIRST_CPN_DT")</f>
        <v>10/31/1996</v>
      </c>
      <c r="J1212" t="str">
        <f>_xll.BDP("912827X6 Govt","COUPON_FREQUENCY_DESCRIPTION")</f>
        <v>S/A</v>
      </c>
      <c r="K1212" t="str">
        <f>_xll.BDP("912827X6 Govt","CPN_TYP")</f>
        <v>FIXED</v>
      </c>
      <c r="L1212" t="str">
        <f>_xll.BDP("912827X6 Govt","ID_ISIN")</f>
        <v>US912827X648</v>
      </c>
      <c r="M1212">
        <v>13780000000</v>
      </c>
      <c r="N1212">
        <v>0</v>
      </c>
      <c r="O1212" t="str">
        <f>_xll.BDP("912827X6 Govt","ISSUE_DT")</f>
        <v>4/30/1996</v>
      </c>
      <c r="P1212" t="str">
        <f>_xll.BDP("912827X6 Govt","SECURITY_NAME")</f>
        <v>T 6 1/4 04/30/01</v>
      </c>
      <c r="Q1212" t="str">
        <f>_xll.BDP("912827X6 Govt","DAY_CNT_DES")</f>
        <v>ACT/ACT</v>
      </c>
      <c r="R1212">
        <v>100</v>
      </c>
      <c r="S1212" t="str">
        <f>_xll.BDP("912827X6 Govt","ID_CUSIP")</f>
        <v>912827X64</v>
      </c>
      <c r="T1212" t="str">
        <f>_xll.BDP("912827X6 Govt","IDX_RATIO")</f>
        <v>#N/A Field Not Applicable</v>
      </c>
    </row>
    <row r="1213" spans="1:20" x14ac:dyDescent="0.25">
      <c r="A1213" t="s">
        <v>14</v>
      </c>
      <c r="B1213" t="str">
        <f>_xll.BDP("912827X8 Govt","TICKER")</f>
        <v>T</v>
      </c>
      <c r="C1213">
        <f>_xll.BDP("912827X8 Govt","CPN")</f>
        <v>6.875</v>
      </c>
      <c r="D1213" t="str">
        <f>_xll.BDP("912827X8 Govt","YLD_YTM_BID")</f>
        <v>#N/A N/A</v>
      </c>
      <c r="E1213" t="str">
        <f>_xll.BDP("912827X8 Govt","MATURITY")</f>
        <v>5/15/2006</v>
      </c>
      <c r="F1213" t="str">
        <f>_xll.BDP("912827X8 Govt","MTY_TYP")</f>
        <v>NORMAL</v>
      </c>
      <c r="G1213" t="str">
        <f>_xll.BDP("912827X8 Govt","CRNCY")</f>
        <v>USD</v>
      </c>
      <c r="H1213" t="str">
        <f>_xll.BDP("912827X8 Govt","COUNTRY_FULL_NAME")</f>
        <v>UNITED STATES</v>
      </c>
      <c r="I1213" t="str">
        <f>_xll.BDP("912827X8 Govt","FIRST_CPN_DT")</f>
        <v>11/15/1996</v>
      </c>
      <c r="J1213" t="str">
        <f>_xll.BDP("912827X8 Govt","COUPON_FREQUENCY_DESCRIPTION")</f>
        <v>S/A</v>
      </c>
      <c r="K1213" t="str">
        <f>_xll.BDP("912827X8 Govt","CPN_TYP")</f>
        <v>FIXED</v>
      </c>
      <c r="L1213" t="str">
        <f>_xll.BDP("912827X8 Govt","ID_ISIN")</f>
        <v>US912827X804</v>
      </c>
      <c r="M1213">
        <v>16015000000</v>
      </c>
      <c r="N1213">
        <v>0</v>
      </c>
      <c r="O1213" t="str">
        <f>_xll.BDP("912827X8 Govt","ISSUE_DT")</f>
        <v>5/15/1996</v>
      </c>
      <c r="P1213" t="str">
        <f>_xll.BDP("912827X8 Govt","SECURITY_NAME")</f>
        <v>T 6 7/8 05/15/06</v>
      </c>
      <c r="Q1213" t="str">
        <f>_xll.BDP("912827X8 Govt","DAY_CNT_DES")</f>
        <v>ACT/ACT</v>
      </c>
      <c r="R1213">
        <v>100</v>
      </c>
      <c r="S1213" t="str">
        <f>_xll.BDP("912827X8 Govt","ID_CUSIP")</f>
        <v>912827X80</v>
      </c>
      <c r="T1213" t="str">
        <f>_xll.BDP("912827X8 Govt","IDX_RATIO")</f>
        <v>#N/A Field Not Applicable</v>
      </c>
    </row>
    <row r="1214" spans="1:20" x14ac:dyDescent="0.25">
      <c r="A1214" t="s">
        <v>14</v>
      </c>
      <c r="B1214" t="str">
        <f>_xll.BDP("912827XL Govt","TICKER")</f>
        <v>T</v>
      </c>
      <c r="C1214">
        <f>_xll.BDP("912827XL Govt","CPN")</f>
        <v>9.25</v>
      </c>
      <c r="D1214" t="str">
        <f>_xll.BDP("912827XL Govt","YLD_YTM_BID")</f>
        <v>#N/A N/A</v>
      </c>
      <c r="E1214" t="str">
        <f>_xll.BDP("912827XL Govt","MATURITY")</f>
        <v>4/30/1991</v>
      </c>
      <c r="F1214" t="str">
        <f>_xll.BDP("912827XL Govt","MTY_TYP")</f>
        <v>NORMAL</v>
      </c>
      <c r="G1214" t="str">
        <f>_xll.BDP("912827XL Govt","CRNCY")</f>
        <v>USD</v>
      </c>
      <c r="H1214" t="str">
        <f>_xll.BDP("912827XL Govt","COUNTRY_FULL_NAME")</f>
        <v>UNITED STATES</v>
      </c>
      <c r="I1214" t="str">
        <f>_xll.BDP("912827XL Govt","FIRST_CPN_DT")</f>
        <v>10/31/1989</v>
      </c>
      <c r="J1214" t="str">
        <f>_xll.BDP("912827XL Govt","COUPON_FREQUENCY_DESCRIPTION")</f>
        <v>S/A</v>
      </c>
      <c r="K1214" t="str">
        <f>_xll.BDP("912827XL Govt","CPN_TYP")</f>
        <v>FIXED</v>
      </c>
      <c r="L1214" t="str">
        <f>_xll.BDP("912827XL Govt","ID_ISIN")</f>
        <v>US912827XL13</v>
      </c>
      <c r="N1214">
        <v>0</v>
      </c>
      <c r="O1214" t="str">
        <f>_xll.BDP("912827XL Govt","ISSUE_DT")</f>
        <v>5/1/1989</v>
      </c>
      <c r="P1214" t="str">
        <f>_xll.BDP("912827XL Govt","SECURITY_NAME")</f>
        <v>T 9 1/4 04/30/91</v>
      </c>
      <c r="Q1214" t="str">
        <f>_xll.BDP("912827XL Govt","DAY_CNT_DES")</f>
        <v>ACT/ACT</v>
      </c>
      <c r="R1214">
        <v>100</v>
      </c>
      <c r="S1214" t="str">
        <f>_xll.BDP("912827XL Govt","ID_CUSIP")</f>
        <v>912827XL1</v>
      </c>
      <c r="T1214" t="str">
        <f>_xll.BDP("912827XL Govt","IDX_RATIO")</f>
        <v>#N/A Field Not Applicable</v>
      </c>
    </row>
    <row r="1215" spans="1:20" x14ac:dyDescent="0.25">
      <c r="A1215" t="s">
        <v>14</v>
      </c>
      <c r="B1215" t="str">
        <f>_xll.BDP("912827XM Govt","TICKER")</f>
        <v>T</v>
      </c>
      <c r="C1215">
        <f>_xll.BDP("912827XM Govt","CPN")</f>
        <v>9</v>
      </c>
      <c r="D1215" t="str">
        <f>_xll.BDP("912827XM Govt","YLD_YTM_BID")</f>
        <v>#N/A N/A</v>
      </c>
      <c r="E1215" t="str">
        <f>_xll.BDP("912827XM Govt","MATURITY")</f>
        <v>5/15/1992</v>
      </c>
      <c r="F1215" t="str">
        <f>_xll.BDP("912827XM Govt","MTY_TYP")</f>
        <v>NORMAL</v>
      </c>
      <c r="G1215" t="str">
        <f>_xll.BDP("912827XM Govt","CRNCY")</f>
        <v>USD</v>
      </c>
      <c r="H1215" t="str">
        <f>_xll.BDP("912827XM Govt","COUNTRY_FULL_NAME")</f>
        <v>UNITED STATES</v>
      </c>
      <c r="I1215" t="str">
        <f>_xll.BDP("912827XM Govt","FIRST_CPN_DT")</f>
        <v>11/15/1989</v>
      </c>
      <c r="J1215" t="str">
        <f>_xll.BDP("912827XM Govt","COUPON_FREQUENCY_DESCRIPTION")</f>
        <v>S/A</v>
      </c>
      <c r="K1215" t="str">
        <f>_xll.BDP("912827XM Govt","CPN_TYP")</f>
        <v>FIXED</v>
      </c>
      <c r="L1215" t="str">
        <f>_xll.BDP("912827XM Govt","ID_ISIN")</f>
        <v>US912827XM95</v>
      </c>
      <c r="N1215">
        <v>0</v>
      </c>
      <c r="O1215" t="str">
        <f>_xll.BDP("912827XM Govt","ISSUE_DT")</f>
        <v>5/15/1989</v>
      </c>
      <c r="P1215" t="str">
        <f>_xll.BDP("912827XM Govt","SECURITY_NAME")</f>
        <v>T 9 05/15/92</v>
      </c>
      <c r="Q1215" t="str">
        <f>_xll.BDP("912827XM Govt","DAY_CNT_DES")</f>
        <v>ACT/ACT</v>
      </c>
      <c r="R1215">
        <v>100</v>
      </c>
      <c r="S1215" t="str">
        <f>_xll.BDP("912827XM Govt","ID_CUSIP")</f>
        <v>912827XM9</v>
      </c>
      <c r="T1215" t="str">
        <f>_xll.BDP("912827XM Govt","IDX_RATIO")</f>
        <v>#N/A Field Not Applicable</v>
      </c>
    </row>
    <row r="1216" spans="1:20" x14ac:dyDescent="0.25">
      <c r="A1216" t="s">
        <v>14</v>
      </c>
      <c r="B1216" t="str">
        <f>_xll.BDP("912827XR Govt","TICKER")</f>
        <v>T</v>
      </c>
      <c r="C1216">
        <f>_xll.BDP("912827XR Govt","CPN")</f>
        <v>8.25</v>
      </c>
      <c r="D1216" t="str">
        <f>_xll.BDP("912827XR Govt","YLD_YTM_BID")</f>
        <v>#N/A N/A</v>
      </c>
      <c r="E1216" t="str">
        <f>_xll.BDP("912827XR Govt","MATURITY")</f>
        <v>6/30/1991</v>
      </c>
      <c r="F1216" t="str">
        <f>_xll.BDP("912827XR Govt","MTY_TYP")</f>
        <v>NORMAL</v>
      </c>
      <c r="G1216" t="str">
        <f>_xll.BDP("912827XR Govt","CRNCY")</f>
        <v>USD</v>
      </c>
      <c r="H1216" t="str">
        <f>_xll.BDP("912827XR Govt","COUNTRY_FULL_NAME")</f>
        <v>UNITED STATES</v>
      </c>
      <c r="I1216" t="str">
        <f>_xll.BDP("912827XR Govt","FIRST_CPN_DT")</f>
        <v>12/31/1989</v>
      </c>
      <c r="J1216" t="str">
        <f>_xll.BDP("912827XR Govt","COUPON_FREQUENCY_DESCRIPTION")</f>
        <v>S/A</v>
      </c>
      <c r="K1216" t="str">
        <f>_xll.BDP("912827XR Govt","CPN_TYP")</f>
        <v>FIXED</v>
      </c>
      <c r="L1216" t="str">
        <f>_xll.BDP("912827XR Govt","ID_ISIN")</f>
        <v>US912827XR82</v>
      </c>
      <c r="N1216">
        <v>0</v>
      </c>
      <c r="O1216" t="str">
        <f>_xll.BDP("912827XR Govt","ISSUE_DT")</f>
        <v>6/30/1989</v>
      </c>
      <c r="P1216" t="str">
        <f>_xll.BDP("912827XR Govt","SECURITY_NAME")</f>
        <v>T 8 1/4 06/30/91</v>
      </c>
      <c r="Q1216" t="str">
        <f>_xll.BDP("912827XR Govt","DAY_CNT_DES")</f>
        <v>ACT/ACT</v>
      </c>
      <c r="R1216">
        <v>100</v>
      </c>
      <c r="S1216" t="str">
        <f>_xll.BDP("912827XR Govt","ID_CUSIP")</f>
        <v>912827XR8</v>
      </c>
      <c r="T1216" t="str">
        <f>_xll.BDP("912827XR Govt","IDX_RATIO")</f>
        <v>#N/A Field Not Applicable</v>
      </c>
    </row>
    <row r="1217" spans="1:20" x14ac:dyDescent="0.25">
      <c r="A1217" t="s">
        <v>14</v>
      </c>
      <c r="B1217" t="str">
        <f>_xll.BDP("912827XU Govt","TICKER")</f>
        <v>T</v>
      </c>
      <c r="C1217">
        <f>_xll.BDP("912827XU Govt","CPN")</f>
        <v>7.75</v>
      </c>
      <c r="D1217" t="str">
        <f>_xll.BDP("912827XU Govt","YLD_YTM_BID")</f>
        <v>#N/A N/A</v>
      </c>
      <c r="E1217" t="str">
        <f>_xll.BDP("912827XU Govt","MATURITY")</f>
        <v>7/31/1991</v>
      </c>
      <c r="F1217" t="str">
        <f>_xll.BDP("912827XU Govt","MTY_TYP")</f>
        <v>NORMAL</v>
      </c>
      <c r="G1217" t="str">
        <f>_xll.BDP("912827XU Govt","CRNCY")</f>
        <v>USD</v>
      </c>
      <c r="H1217" t="str">
        <f>_xll.BDP("912827XU Govt","COUNTRY_FULL_NAME")</f>
        <v>UNITED STATES</v>
      </c>
      <c r="I1217" t="str">
        <f>_xll.BDP("912827XU Govt","FIRST_CPN_DT")</f>
        <v>1/31/1990</v>
      </c>
      <c r="J1217" t="str">
        <f>_xll.BDP("912827XU Govt","COUPON_FREQUENCY_DESCRIPTION")</f>
        <v>S/A</v>
      </c>
      <c r="K1217" t="str">
        <f>_xll.BDP("912827XU Govt","CPN_TYP")</f>
        <v>FIXED</v>
      </c>
      <c r="L1217" t="str">
        <f>_xll.BDP("912827XU Govt","ID_ISIN")</f>
        <v>US912827XU12</v>
      </c>
      <c r="N1217">
        <v>0</v>
      </c>
      <c r="O1217" t="str">
        <f>_xll.BDP("912827XU Govt","ISSUE_DT")</f>
        <v>7/31/1989</v>
      </c>
      <c r="P1217" t="str">
        <f>_xll.BDP("912827XU Govt","SECURITY_NAME")</f>
        <v>T 7 3/4 07/31/91</v>
      </c>
      <c r="Q1217" t="str">
        <f>_xll.BDP("912827XU Govt","DAY_CNT_DES")</f>
        <v>ACT/ACT</v>
      </c>
      <c r="R1217">
        <v>100</v>
      </c>
      <c r="S1217" t="str">
        <f>_xll.BDP("912827XU Govt","ID_CUSIP")</f>
        <v>912827XU1</v>
      </c>
      <c r="T1217" t="str">
        <f>_xll.BDP("912827XU Govt","IDX_RATIO")</f>
        <v>#N/A Field Not Applicable</v>
      </c>
    </row>
    <row r="1218" spans="1:20" x14ac:dyDescent="0.25">
      <c r="A1218" t="s">
        <v>14</v>
      </c>
      <c r="B1218" t="str">
        <f>_xll.BDP("912827XW Govt","TICKER")</f>
        <v>T</v>
      </c>
      <c r="C1218">
        <f>_xll.BDP("912827XW Govt","CPN")</f>
        <v>8</v>
      </c>
      <c r="D1218" t="str">
        <f>_xll.BDP("912827XW Govt","YLD_YTM_BID")</f>
        <v>#N/A N/A</v>
      </c>
      <c r="E1218" t="str">
        <f>_xll.BDP("912827XW Govt","MATURITY")</f>
        <v>8/15/1999</v>
      </c>
      <c r="F1218" t="str">
        <f>_xll.BDP("912827XW Govt","MTY_TYP")</f>
        <v>NORMAL</v>
      </c>
      <c r="G1218" t="str">
        <f>_xll.BDP("912827XW Govt","CRNCY")</f>
        <v>USD</v>
      </c>
      <c r="H1218" t="str">
        <f>_xll.BDP("912827XW Govt","COUNTRY_FULL_NAME")</f>
        <v>UNITED STATES</v>
      </c>
      <c r="I1218" t="str">
        <f>_xll.BDP("912827XW Govt","FIRST_CPN_DT")</f>
        <v>2/15/1990</v>
      </c>
      <c r="J1218" t="str">
        <f>_xll.BDP("912827XW Govt","COUPON_FREQUENCY_DESCRIPTION")</f>
        <v>S/A</v>
      </c>
      <c r="K1218" t="str">
        <f>_xll.BDP("912827XW Govt","CPN_TYP")</f>
        <v>FIXED</v>
      </c>
      <c r="L1218" t="str">
        <f>_xll.BDP("912827XW Govt","ID_ISIN")</f>
        <v>US912827XW77</v>
      </c>
      <c r="M1218">
        <v>10164000000</v>
      </c>
      <c r="N1218">
        <v>0</v>
      </c>
      <c r="O1218" t="str">
        <f>_xll.BDP("912827XW Govt","ISSUE_DT")</f>
        <v>8/15/1989</v>
      </c>
      <c r="P1218" t="str">
        <f>_xll.BDP("912827XW Govt","SECURITY_NAME")</f>
        <v>T 8 08/15/99</v>
      </c>
      <c r="Q1218" t="str">
        <f>_xll.BDP("912827XW Govt","DAY_CNT_DES")</f>
        <v>ACT/ACT</v>
      </c>
      <c r="R1218">
        <v>100</v>
      </c>
      <c r="S1218" t="str">
        <f>_xll.BDP("912827XW Govt","ID_CUSIP")</f>
        <v>912827XW7</v>
      </c>
      <c r="T1218" t="str">
        <f>_xll.BDP("912827XW Govt","IDX_RATIO")</f>
        <v>#N/A Field Not Applicable</v>
      </c>
    </row>
    <row r="1219" spans="1:20" x14ac:dyDescent="0.25">
      <c r="A1219" t="s">
        <v>14</v>
      </c>
      <c r="B1219" t="str">
        <f>_xll.BDP("912827Y7 Govt","TICKER")</f>
        <v>T</v>
      </c>
      <c r="C1219">
        <f>_xll.BDP("912827Y7 Govt","CPN")</f>
        <v>6.625</v>
      </c>
      <c r="D1219" t="str">
        <f>_xll.BDP("912827Y7 Govt","YLD_YTM_BID")</f>
        <v>#N/A N/A</v>
      </c>
      <c r="E1219" t="str">
        <f>_xll.BDP("912827Y7 Govt","MATURITY")</f>
        <v>7/31/2001</v>
      </c>
      <c r="F1219" t="str">
        <f>_xll.BDP("912827Y7 Govt","MTY_TYP")</f>
        <v>NORMAL</v>
      </c>
      <c r="G1219" t="str">
        <f>_xll.BDP("912827Y7 Govt","CRNCY")</f>
        <v>USD</v>
      </c>
      <c r="H1219" t="str">
        <f>_xll.BDP("912827Y7 Govt","COUNTRY_FULL_NAME")</f>
        <v>UNITED STATES</v>
      </c>
      <c r="I1219" t="str">
        <f>_xll.BDP("912827Y7 Govt","FIRST_CPN_DT")</f>
        <v>1/31/1997</v>
      </c>
      <c r="J1219" t="str">
        <f>_xll.BDP("912827Y7 Govt","COUPON_FREQUENCY_DESCRIPTION")</f>
        <v>S/A</v>
      </c>
      <c r="K1219" t="str">
        <f>_xll.BDP("912827Y7 Govt","CPN_TYP")</f>
        <v>FIXED</v>
      </c>
      <c r="L1219" t="str">
        <f>_xll.BDP("912827Y7 Govt","ID_ISIN")</f>
        <v>US912827Y711</v>
      </c>
      <c r="M1219">
        <v>14137000000</v>
      </c>
      <c r="N1219">
        <v>0</v>
      </c>
      <c r="O1219" t="str">
        <f>_xll.BDP("912827Y7 Govt","ISSUE_DT")</f>
        <v>7/31/1996</v>
      </c>
      <c r="P1219" t="str">
        <f>_xll.BDP("912827Y7 Govt","SECURITY_NAME")</f>
        <v>T 6 5/8 07/31/01</v>
      </c>
      <c r="Q1219" t="str">
        <f>_xll.BDP("912827Y7 Govt","DAY_CNT_DES")</f>
        <v>ACT/ACT</v>
      </c>
      <c r="R1219">
        <v>100</v>
      </c>
      <c r="S1219" t="str">
        <f>_xll.BDP("912827Y7 Govt","ID_CUSIP")</f>
        <v>912827Y71</v>
      </c>
      <c r="T1219" t="str">
        <f>_xll.BDP("912827Y7 Govt","IDX_RATIO")</f>
        <v>#N/A Field Not Applicable</v>
      </c>
    </row>
    <row r="1220" spans="1:20" x14ac:dyDescent="0.25">
      <c r="A1220" t="s">
        <v>14</v>
      </c>
      <c r="B1220" t="str">
        <f>_xll.BDP("912827YC Govt","TICKER")</f>
        <v>T</v>
      </c>
      <c r="C1220">
        <f>_xll.BDP("912827YC Govt","CPN")</f>
        <v>7.625</v>
      </c>
      <c r="D1220" t="str">
        <f>_xll.BDP("912827YC Govt","YLD_YTM_BID")</f>
        <v>#N/A N/A</v>
      </c>
      <c r="E1220" t="str">
        <f>_xll.BDP("912827YC Govt","MATURITY")</f>
        <v>10/31/1991</v>
      </c>
      <c r="F1220" t="str">
        <f>_xll.BDP("912827YC Govt","MTY_TYP")</f>
        <v>NORMAL</v>
      </c>
      <c r="G1220" t="str">
        <f>_xll.BDP("912827YC Govt","CRNCY")</f>
        <v>USD</v>
      </c>
      <c r="H1220" t="str">
        <f>_xll.BDP("912827YC Govt","COUNTRY_FULL_NAME")</f>
        <v>UNITED STATES</v>
      </c>
      <c r="I1220" t="str">
        <f>_xll.BDP("912827YC Govt","FIRST_CPN_DT")</f>
        <v>4/30/1990</v>
      </c>
      <c r="J1220" t="str">
        <f>_xll.BDP("912827YC Govt","COUPON_FREQUENCY_DESCRIPTION")</f>
        <v>S/A</v>
      </c>
      <c r="K1220" t="str">
        <f>_xll.BDP("912827YC Govt","CPN_TYP")</f>
        <v>FIXED</v>
      </c>
      <c r="L1220" t="str">
        <f>_xll.BDP("912827YC Govt","ID_ISIN")</f>
        <v>US912827YC05</v>
      </c>
      <c r="N1220">
        <v>0</v>
      </c>
      <c r="O1220" t="str">
        <f>_xll.BDP("912827YC Govt","ISSUE_DT")</f>
        <v>10/31/1989</v>
      </c>
      <c r="P1220" t="str">
        <f>_xll.BDP("912827YC Govt","SECURITY_NAME")</f>
        <v>T 7 5/8 10/31/91</v>
      </c>
      <c r="Q1220" t="str">
        <f>_xll.BDP("912827YC Govt","DAY_CNT_DES")</f>
        <v>ACT/ACT</v>
      </c>
      <c r="R1220">
        <v>100</v>
      </c>
      <c r="S1220" t="str">
        <f>_xll.BDP("912827YC Govt","ID_CUSIP")</f>
        <v>912827YC0</v>
      </c>
      <c r="T1220" t="str">
        <f>_xll.BDP("912827YC Govt","IDX_RATIO")</f>
        <v>#N/A Field Not Applicable</v>
      </c>
    </row>
    <row r="1221" spans="1:20" x14ac:dyDescent="0.25">
      <c r="A1221" t="s">
        <v>14</v>
      </c>
      <c r="B1221" t="str">
        <f>_xll.BDP("912827YH Govt","TICKER")</f>
        <v>T</v>
      </c>
      <c r="C1221">
        <f>_xll.BDP("912827YH Govt","CPN")</f>
        <v>7.625</v>
      </c>
      <c r="D1221" t="str">
        <f>_xll.BDP("912827YH Govt","YLD_YTM_BID")</f>
        <v>#N/A N/A</v>
      </c>
      <c r="E1221" t="str">
        <f>_xll.BDP("912827YH Govt","MATURITY")</f>
        <v>12/31/1991</v>
      </c>
      <c r="F1221" t="str">
        <f>_xll.BDP("912827YH Govt","MTY_TYP")</f>
        <v>NORMAL</v>
      </c>
      <c r="G1221" t="str">
        <f>_xll.BDP("912827YH Govt","CRNCY")</f>
        <v>USD</v>
      </c>
      <c r="H1221" t="str">
        <f>_xll.BDP("912827YH Govt","COUNTRY_FULL_NAME")</f>
        <v>UNITED STATES</v>
      </c>
      <c r="I1221" t="str">
        <f>_xll.BDP("912827YH Govt","FIRST_CPN_DT")</f>
        <v>6/30/1990</v>
      </c>
      <c r="J1221" t="str">
        <f>_xll.BDP("912827YH Govt","COUPON_FREQUENCY_DESCRIPTION")</f>
        <v>S/A</v>
      </c>
      <c r="K1221" t="str">
        <f>_xll.BDP("912827YH Govt","CPN_TYP")</f>
        <v>FIXED</v>
      </c>
      <c r="L1221" t="str">
        <f>_xll.BDP("912827YH Govt","ID_ISIN")</f>
        <v>US912827YH91</v>
      </c>
      <c r="N1221">
        <v>0</v>
      </c>
      <c r="O1221" t="str">
        <f>_xll.BDP("912827YH Govt","ISSUE_DT")</f>
        <v>1/2/1990</v>
      </c>
      <c r="P1221" t="str">
        <f>_xll.BDP("912827YH Govt","SECURITY_NAME")</f>
        <v>T 7 5/8 12/31/91</v>
      </c>
      <c r="Q1221" t="str">
        <f>_xll.BDP("912827YH Govt","DAY_CNT_DES")</f>
        <v>ACT/ACT</v>
      </c>
      <c r="R1221">
        <v>100</v>
      </c>
      <c r="S1221" t="str">
        <f>_xll.BDP("912827YH Govt","ID_CUSIP")</f>
        <v>912827YH9</v>
      </c>
      <c r="T1221" t="str">
        <f>_xll.BDP("912827YH Govt","IDX_RATIO")</f>
        <v>#N/A Field Not Applicable</v>
      </c>
    </row>
    <row r="1222" spans="1:20" x14ac:dyDescent="0.25">
      <c r="A1222" t="s">
        <v>14</v>
      </c>
      <c r="B1222" t="str">
        <f>_xll.BDP("912827YK Govt","TICKER")</f>
        <v>T</v>
      </c>
      <c r="C1222">
        <f>_xll.BDP("912827YK Govt","CPN")</f>
        <v>8</v>
      </c>
      <c r="D1222" t="str">
        <f>_xll.BDP("912827YK Govt","YLD_YTM_BID")</f>
        <v>#N/A N/A</v>
      </c>
      <c r="E1222" t="str">
        <f>_xll.BDP("912827YK Govt","MATURITY")</f>
        <v>1/15/1997</v>
      </c>
      <c r="F1222" t="str">
        <f>_xll.BDP("912827YK Govt","MTY_TYP")</f>
        <v>NORMAL</v>
      </c>
      <c r="G1222" t="str">
        <f>_xll.BDP("912827YK Govt","CRNCY")</f>
        <v>USD</v>
      </c>
      <c r="H1222" t="str">
        <f>_xll.BDP("912827YK Govt","COUNTRY_FULL_NAME")</f>
        <v>UNITED STATES</v>
      </c>
      <c r="I1222" t="str">
        <f>_xll.BDP("912827YK Govt","FIRST_CPN_DT")</f>
        <v>7/15/1990</v>
      </c>
      <c r="J1222" t="str">
        <f>_xll.BDP("912827YK Govt","COUPON_FREQUENCY_DESCRIPTION")</f>
        <v>S/A</v>
      </c>
      <c r="K1222" t="str">
        <f>_xll.BDP("912827YK Govt","CPN_TYP")</f>
        <v>FIXED</v>
      </c>
      <c r="L1222" t="str">
        <f>_xll.BDP("912827YK Govt","ID_ISIN")</f>
        <v>US912827YK21</v>
      </c>
      <c r="N1222">
        <v>0</v>
      </c>
      <c r="O1222" t="str">
        <f>_xll.BDP("912827YK Govt","ISSUE_DT")</f>
        <v>1/16/1990</v>
      </c>
      <c r="P1222" t="str">
        <f>_xll.BDP("912827YK Govt","SECURITY_NAME")</f>
        <v>T 8 01/15/97</v>
      </c>
      <c r="Q1222" t="str">
        <f>_xll.BDP("912827YK Govt","DAY_CNT_DES")</f>
        <v>ACT/ACT</v>
      </c>
      <c r="R1222">
        <v>100</v>
      </c>
      <c r="S1222" t="str">
        <f>_xll.BDP("912827YK Govt","ID_CUSIP")</f>
        <v>912827YK2</v>
      </c>
      <c r="T1222" t="str">
        <f>_xll.BDP("912827YK Govt","IDX_RATIO")</f>
        <v>#N/A Field Not Applicable</v>
      </c>
    </row>
    <row r="1223" spans="1:20" x14ac:dyDescent="0.25">
      <c r="A1223" t="s">
        <v>14</v>
      </c>
      <c r="B1223" t="str">
        <f>_xll.BDP("912827YQ Govt","TICKER")</f>
        <v>T</v>
      </c>
      <c r="C1223">
        <f>_xll.BDP("912827YQ Govt","CPN")</f>
        <v>8.5</v>
      </c>
      <c r="D1223" t="str">
        <f>_xll.BDP("912827YQ Govt","YLD_YTM_BID")</f>
        <v>#N/A N/A</v>
      </c>
      <c r="E1223" t="str">
        <f>_xll.BDP("912827YQ Govt","MATURITY")</f>
        <v>5/15/1995</v>
      </c>
      <c r="F1223" t="str">
        <f>_xll.BDP("912827YQ Govt","MTY_TYP")</f>
        <v>NORMAL</v>
      </c>
      <c r="G1223" t="str">
        <f>_xll.BDP("912827YQ Govt","CRNCY")</f>
        <v>USD</v>
      </c>
      <c r="H1223" t="str">
        <f>_xll.BDP("912827YQ Govt","COUNTRY_FULL_NAME")</f>
        <v>UNITED STATES</v>
      </c>
      <c r="I1223" t="str">
        <f>_xll.BDP("912827YQ Govt","FIRST_CPN_DT")</f>
        <v>11/15/1990</v>
      </c>
      <c r="J1223" t="str">
        <f>_xll.BDP("912827YQ Govt","COUPON_FREQUENCY_DESCRIPTION")</f>
        <v>S/A</v>
      </c>
      <c r="K1223" t="str">
        <f>_xll.BDP("912827YQ Govt","CPN_TYP")</f>
        <v>FIXED</v>
      </c>
      <c r="L1223" t="str">
        <f>_xll.BDP("912827YQ Govt","ID_ISIN")</f>
        <v>US912827YQ90</v>
      </c>
      <c r="N1223">
        <v>0</v>
      </c>
      <c r="O1223" t="str">
        <f>_xll.BDP("912827YQ Govt","ISSUE_DT")</f>
        <v>3/1/1990</v>
      </c>
      <c r="P1223" t="str">
        <f>_xll.BDP("912827YQ Govt","SECURITY_NAME")</f>
        <v>T 8 1/2 05/15/95</v>
      </c>
      <c r="Q1223" t="str">
        <f>_xll.BDP("912827YQ Govt","DAY_CNT_DES")</f>
        <v>ACT/ACT</v>
      </c>
      <c r="R1223">
        <v>100</v>
      </c>
      <c r="S1223" t="str">
        <f>_xll.BDP("912827YQ Govt","ID_CUSIP")</f>
        <v>912827YQ9</v>
      </c>
      <c r="T1223" t="str">
        <f>_xll.BDP("912827YQ Govt","IDX_RATIO")</f>
        <v>#N/A Field Not Applicable</v>
      </c>
    </row>
    <row r="1224" spans="1:20" x14ac:dyDescent="0.25">
      <c r="A1224" t="s">
        <v>14</v>
      </c>
      <c r="B1224" t="str">
        <f>_xll.BDP("912827YU Govt","TICKER")</f>
        <v>T</v>
      </c>
      <c r="C1224">
        <f>_xll.BDP("912827YU Govt","CPN")</f>
        <v>8.875</v>
      </c>
      <c r="D1224" t="str">
        <f>_xll.BDP("912827YU Govt","YLD_YTM_BID")</f>
        <v>#N/A N/A</v>
      </c>
      <c r="E1224" t="str">
        <f>_xll.BDP("912827YU Govt","MATURITY")</f>
        <v>4/30/1992</v>
      </c>
      <c r="F1224" t="str">
        <f>_xll.BDP("912827YU Govt","MTY_TYP")</f>
        <v>NORMAL</v>
      </c>
      <c r="G1224" t="str">
        <f>_xll.BDP("912827YU Govt","CRNCY")</f>
        <v>USD</v>
      </c>
      <c r="H1224" t="str">
        <f>_xll.BDP("912827YU Govt","COUNTRY_FULL_NAME")</f>
        <v>UNITED STATES</v>
      </c>
      <c r="I1224" t="str">
        <f>_xll.BDP("912827YU Govt","FIRST_CPN_DT")</f>
        <v>10/31/1990</v>
      </c>
      <c r="J1224" t="str">
        <f>_xll.BDP("912827YU Govt","COUPON_FREQUENCY_DESCRIPTION")</f>
        <v>S/A</v>
      </c>
      <c r="K1224" t="str">
        <f>_xll.BDP("912827YU Govt","CPN_TYP")</f>
        <v>FIXED</v>
      </c>
      <c r="L1224" t="str">
        <f>_xll.BDP("912827YU Govt","ID_ISIN")</f>
        <v>US912827YU03</v>
      </c>
      <c r="N1224">
        <v>0</v>
      </c>
      <c r="O1224" t="str">
        <f>_xll.BDP("912827YU Govt","ISSUE_DT")</f>
        <v>4/30/1990</v>
      </c>
      <c r="P1224" t="str">
        <f>_xll.BDP("912827YU Govt","SECURITY_NAME")</f>
        <v>T 8 7/8 04/30/92</v>
      </c>
      <c r="Q1224" t="str">
        <f>_xll.BDP("912827YU Govt","DAY_CNT_DES")</f>
        <v>ACT/ACT</v>
      </c>
      <c r="R1224">
        <v>100</v>
      </c>
      <c r="S1224" t="str">
        <f>_xll.BDP("912827YU Govt","ID_CUSIP")</f>
        <v>912827YU0</v>
      </c>
      <c r="T1224" t="str">
        <f>_xll.BDP("912827YU Govt","IDX_RATIO")</f>
        <v>#N/A Field Not Applicable</v>
      </c>
    </row>
    <row r="1225" spans="1:20" x14ac:dyDescent="0.25">
      <c r="A1225" t="s">
        <v>14</v>
      </c>
      <c r="B1225" t="str">
        <f>_xll.BDP("912827Z4 Govt","TICKER")</f>
        <v>T</v>
      </c>
      <c r="C1225">
        <f>_xll.BDP("912827Z4 Govt","CPN")</f>
        <v>6</v>
      </c>
      <c r="D1225" t="str">
        <f>_xll.BDP("912827Z4 Govt","YLD_YTM_BID")</f>
        <v>#N/A N/A</v>
      </c>
      <c r="E1225" t="str">
        <f>_xll.BDP("912827Z4 Govt","MATURITY")</f>
        <v>9/30/1998</v>
      </c>
      <c r="F1225" t="str">
        <f>_xll.BDP("912827Z4 Govt","MTY_TYP")</f>
        <v>NORMAL</v>
      </c>
      <c r="G1225" t="str">
        <f>_xll.BDP("912827Z4 Govt","CRNCY")</f>
        <v>USD</v>
      </c>
      <c r="H1225" t="str">
        <f>_xll.BDP("912827Z4 Govt","COUNTRY_FULL_NAME")</f>
        <v>UNITED STATES</v>
      </c>
      <c r="I1225" t="str">
        <f>_xll.BDP("912827Z4 Govt","FIRST_CPN_DT")</f>
        <v>3/31/1997</v>
      </c>
      <c r="J1225" t="str">
        <f>_xll.BDP("912827Z4 Govt","COUPON_FREQUENCY_DESCRIPTION")</f>
        <v>S/A</v>
      </c>
      <c r="K1225" t="str">
        <f>_xll.BDP("912827Z4 Govt","CPN_TYP")</f>
        <v>FIXED</v>
      </c>
      <c r="L1225" t="str">
        <f>_xll.BDP("912827Z4 Govt","ID_ISIN")</f>
        <v>US912827Z478</v>
      </c>
      <c r="M1225">
        <v>21486000000</v>
      </c>
      <c r="N1225">
        <v>0</v>
      </c>
      <c r="O1225" t="str">
        <f>_xll.BDP("912827Z4 Govt","ISSUE_DT")</f>
        <v>9/30/1996</v>
      </c>
      <c r="P1225" t="str">
        <f>_xll.BDP("912827Z4 Govt","SECURITY_NAME")</f>
        <v>T 6 09/30/98</v>
      </c>
      <c r="Q1225" t="str">
        <f>_xll.BDP("912827Z4 Govt","DAY_CNT_DES")</f>
        <v>ACT/ACT</v>
      </c>
      <c r="R1225">
        <v>100</v>
      </c>
      <c r="S1225" t="str">
        <f>_xll.BDP("912827Z4 Govt","ID_CUSIP")</f>
        <v>912827Z47</v>
      </c>
      <c r="T1225" t="str">
        <f>_xll.BDP("912827Z4 Govt","IDX_RATIO")</f>
        <v>#N/A Field Not Applicable</v>
      </c>
    </row>
    <row r="1226" spans="1:20" x14ac:dyDescent="0.25">
      <c r="A1226" t="s">
        <v>14</v>
      </c>
      <c r="B1226" t="str">
        <f>_xll.BDP("912827Z6 Govt","TICKER")</f>
        <v>T</v>
      </c>
      <c r="C1226">
        <f>_xll.BDP("912827Z6 Govt","CPN")</f>
        <v>6.5</v>
      </c>
      <c r="D1226" t="str">
        <f>_xll.BDP("912827Z6 Govt","YLD_YTM_BID")</f>
        <v>#N/A N/A</v>
      </c>
      <c r="E1226" t="str">
        <f>_xll.BDP("912827Z6 Govt","MATURITY")</f>
        <v>10/15/2006</v>
      </c>
      <c r="F1226" t="str">
        <f>_xll.BDP("912827Z6 Govt","MTY_TYP")</f>
        <v>NORMAL</v>
      </c>
      <c r="G1226" t="str">
        <f>_xll.BDP("912827Z6 Govt","CRNCY")</f>
        <v>USD</v>
      </c>
      <c r="H1226" t="str">
        <f>_xll.BDP("912827Z6 Govt","COUNTRY_FULL_NAME")</f>
        <v>UNITED STATES</v>
      </c>
      <c r="I1226" t="str">
        <f>_xll.BDP("912827Z6 Govt","FIRST_CPN_DT")</f>
        <v>4/15/1997</v>
      </c>
      <c r="J1226" t="str">
        <f>_xll.BDP("912827Z6 Govt","COUPON_FREQUENCY_DESCRIPTION")</f>
        <v>S/A</v>
      </c>
      <c r="K1226" t="str">
        <f>_xll.BDP("912827Z6 Govt","CPN_TYP")</f>
        <v>FIXED</v>
      </c>
      <c r="L1226" t="str">
        <f>_xll.BDP("912827Z6 Govt","ID_ISIN")</f>
        <v>US912827Z627</v>
      </c>
      <c r="M1226">
        <v>22460000000</v>
      </c>
      <c r="N1226">
        <v>0</v>
      </c>
      <c r="O1226" t="str">
        <f>_xll.BDP("912827Z6 Govt","ISSUE_DT")</f>
        <v>10/15/1996</v>
      </c>
      <c r="P1226" t="str">
        <f>_xll.BDP("912827Z6 Govt","SECURITY_NAME")</f>
        <v>T 6 1/2 10/15/06</v>
      </c>
      <c r="Q1226" t="str">
        <f>_xll.BDP("912827Z6 Govt","DAY_CNT_DES")</f>
        <v>ACT/ACT</v>
      </c>
      <c r="R1226">
        <v>100</v>
      </c>
      <c r="S1226" t="str">
        <f>_xll.BDP("912827Z6 Govt","ID_CUSIP")</f>
        <v>912827Z62</v>
      </c>
      <c r="T1226" t="str">
        <f>_xll.BDP("912827Z6 Govt","IDX_RATIO")</f>
        <v>#N/A Field Not Applicable</v>
      </c>
    </row>
    <row r="1227" spans="1:20" x14ac:dyDescent="0.25">
      <c r="A1227" t="s">
        <v>14</v>
      </c>
      <c r="B1227" t="str">
        <f>_xll.BDP("912827ZA Govt","TICKER")</f>
        <v>T</v>
      </c>
      <c r="C1227">
        <f>_xll.BDP("912827ZA Govt","CPN")</f>
        <v>8.5</v>
      </c>
      <c r="D1227" t="str">
        <f>_xll.BDP("912827ZA Govt","YLD_YTM_BID")</f>
        <v>#N/A N/A</v>
      </c>
      <c r="E1227" t="str">
        <f>_xll.BDP("912827ZA Govt","MATURITY")</f>
        <v>6/30/1994</v>
      </c>
      <c r="F1227" t="str">
        <f>_xll.BDP("912827ZA Govt","MTY_TYP")</f>
        <v>NORMAL</v>
      </c>
      <c r="G1227" t="str">
        <f>_xll.BDP("912827ZA Govt","CRNCY")</f>
        <v>USD</v>
      </c>
      <c r="H1227" t="str">
        <f>_xll.BDP("912827ZA Govt","COUNTRY_FULL_NAME")</f>
        <v>UNITED STATES</v>
      </c>
      <c r="I1227" t="str">
        <f>_xll.BDP("912827ZA Govt","FIRST_CPN_DT")</f>
        <v>12/31/1990</v>
      </c>
      <c r="J1227" t="str">
        <f>_xll.BDP("912827ZA Govt","COUPON_FREQUENCY_DESCRIPTION")</f>
        <v>S/A</v>
      </c>
      <c r="K1227" t="str">
        <f>_xll.BDP("912827ZA Govt","CPN_TYP")</f>
        <v>FIXED</v>
      </c>
      <c r="L1227" t="str">
        <f>_xll.BDP("912827ZA Govt","ID_ISIN")</f>
        <v>US912827ZA30</v>
      </c>
      <c r="N1227">
        <v>0</v>
      </c>
      <c r="O1227" t="str">
        <f>_xll.BDP("912827ZA Govt","ISSUE_DT")</f>
        <v>7/2/1990</v>
      </c>
      <c r="P1227" t="str">
        <f>_xll.BDP("912827ZA Govt","SECURITY_NAME")</f>
        <v>T 8 1/2 06/30/94</v>
      </c>
      <c r="Q1227" t="str">
        <f>_xll.BDP("912827ZA Govt","DAY_CNT_DES")</f>
        <v>ACT/ACT</v>
      </c>
      <c r="R1227">
        <v>100</v>
      </c>
      <c r="S1227" t="str">
        <f>_xll.BDP("912827ZA Govt","ID_CUSIP")</f>
        <v>912827ZA3</v>
      </c>
      <c r="T1227" t="str">
        <f>_xll.BDP("912827ZA Govt","IDX_RATIO")</f>
        <v>#N/A Field Not Applicable</v>
      </c>
    </row>
    <row r="1228" spans="1:20" x14ac:dyDescent="0.25">
      <c r="A1228" t="s">
        <v>14</v>
      </c>
      <c r="B1228" t="str">
        <f>_xll.BDP("912827ZB Govt","TICKER")</f>
        <v>T</v>
      </c>
      <c r="C1228">
        <f>_xll.BDP("912827ZB Govt","CPN")</f>
        <v>8.5</v>
      </c>
      <c r="D1228" t="str">
        <f>_xll.BDP("912827ZB Govt","YLD_YTM_BID")</f>
        <v>#N/A N/A</v>
      </c>
      <c r="E1228" t="str">
        <f>_xll.BDP("912827ZB Govt","MATURITY")</f>
        <v>7/15/1997</v>
      </c>
      <c r="F1228" t="str">
        <f>_xll.BDP("912827ZB Govt","MTY_TYP")</f>
        <v>NORMAL</v>
      </c>
      <c r="G1228" t="str">
        <f>_xll.BDP("912827ZB Govt","CRNCY")</f>
        <v>USD</v>
      </c>
      <c r="H1228" t="str">
        <f>_xll.BDP("912827ZB Govt","COUNTRY_FULL_NAME")</f>
        <v>UNITED STATES</v>
      </c>
      <c r="I1228" t="str">
        <f>_xll.BDP("912827ZB Govt","FIRST_CPN_DT")</f>
        <v>1/15/1991</v>
      </c>
      <c r="J1228" t="str">
        <f>_xll.BDP("912827ZB Govt","COUPON_FREQUENCY_DESCRIPTION")</f>
        <v>S/A</v>
      </c>
      <c r="K1228" t="str">
        <f>_xll.BDP("912827ZB Govt","CPN_TYP")</f>
        <v>FIXED</v>
      </c>
      <c r="L1228" t="str">
        <f>_xll.BDP("912827ZB Govt","ID_ISIN")</f>
        <v>US912827ZB13</v>
      </c>
      <c r="N1228">
        <v>0</v>
      </c>
      <c r="O1228" t="str">
        <f>_xll.BDP("912827ZB Govt","ISSUE_DT")</f>
        <v>7/16/1990</v>
      </c>
      <c r="P1228" t="str">
        <f>_xll.BDP("912827ZB Govt","SECURITY_NAME")</f>
        <v>T 8 1/2 07/15/97</v>
      </c>
      <c r="Q1228" t="str">
        <f>_xll.BDP("912827ZB Govt","DAY_CNT_DES")</f>
        <v>ACT/ACT</v>
      </c>
      <c r="R1228">
        <v>100</v>
      </c>
      <c r="S1228" t="str">
        <f>_xll.BDP("912827ZB Govt","ID_CUSIP")</f>
        <v>912827ZB1</v>
      </c>
      <c r="T1228" t="str">
        <f>_xll.BDP("912827ZB Govt","IDX_RATIO")</f>
        <v>#N/A Field Not Applicable</v>
      </c>
    </row>
    <row r="1229" spans="1:20" x14ac:dyDescent="0.25">
      <c r="A1229" t="s">
        <v>14</v>
      </c>
      <c r="B1229" t="str">
        <f>_xll.BDP("912827ZF Govt","TICKER")</f>
        <v>T</v>
      </c>
      <c r="C1229">
        <f>_xll.BDP("912827ZF Govt","CPN")</f>
        <v>8.125</v>
      </c>
      <c r="D1229" t="str">
        <f>_xll.BDP("912827ZF Govt","YLD_YTM_BID")</f>
        <v>#N/A N/A</v>
      </c>
      <c r="E1229" t="str">
        <f>_xll.BDP("912827ZF Govt","MATURITY")</f>
        <v>8/31/1992</v>
      </c>
      <c r="F1229" t="str">
        <f>_xll.BDP("912827ZF Govt","MTY_TYP")</f>
        <v>NORMAL</v>
      </c>
      <c r="G1229" t="str">
        <f>_xll.BDP("912827ZF Govt","CRNCY")</f>
        <v>USD</v>
      </c>
      <c r="H1229" t="str">
        <f>_xll.BDP("912827ZF Govt","COUNTRY_FULL_NAME")</f>
        <v>UNITED STATES</v>
      </c>
      <c r="I1229" t="str">
        <f>_xll.BDP("912827ZF Govt","FIRST_CPN_DT")</f>
        <v>2/28/1991</v>
      </c>
      <c r="J1229" t="str">
        <f>_xll.BDP("912827ZF Govt","COUPON_FREQUENCY_DESCRIPTION")</f>
        <v>S/A</v>
      </c>
      <c r="K1229" t="str">
        <f>_xll.BDP("912827ZF Govt","CPN_TYP")</f>
        <v>FIXED</v>
      </c>
      <c r="L1229" t="str">
        <f>_xll.BDP("912827ZF Govt","ID_ISIN")</f>
        <v>US912827ZF27</v>
      </c>
      <c r="N1229">
        <v>0</v>
      </c>
      <c r="O1229" t="str">
        <f>_xll.BDP("912827ZF Govt","ISSUE_DT")</f>
        <v>8/31/1990</v>
      </c>
      <c r="P1229" t="str">
        <f>_xll.BDP("912827ZF Govt","SECURITY_NAME")</f>
        <v>T 8 1/8 08/31/92</v>
      </c>
      <c r="Q1229" t="str">
        <f>_xll.BDP("912827ZF Govt","DAY_CNT_DES")</f>
        <v>ACT/ACT</v>
      </c>
      <c r="R1229">
        <v>100</v>
      </c>
      <c r="S1229" t="str">
        <f>_xll.BDP("912827ZF Govt","ID_CUSIP")</f>
        <v>912827ZF2</v>
      </c>
      <c r="T1229" t="str">
        <f>_xll.BDP("912827ZF Govt","IDX_RATIO")</f>
        <v>#N/A Field Not Applicable</v>
      </c>
    </row>
    <row r="1230" spans="1:20" x14ac:dyDescent="0.25">
      <c r="A1230" t="s">
        <v>14</v>
      </c>
      <c r="B1230" t="str">
        <f>_xll.BDP("912827ZM Govt","TICKER")</f>
        <v>T</v>
      </c>
      <c r="C1230">
        <f>_xll.BDP("912827ZM Govt","CPN")</f>
        <v>7.75</v>
      </c>
      <c r="D1230" t="str">
        <f>_xll.BDP("912827ZM Govt","YLD_YTM_BID")</f>
        <v>#N/A N/A</v>
      </c>
      <c r="E1230" t="str">
        <f>_xll.BDP("912827ZM Govt","MATURITY")</f>
        <v>11/15/1993</v>
      </c>
      <c r="F1230" t="str">
        <f>_xll.BDP("912827ZM Govt","MTY_TYP")</f>
        <v>NORMAL</v>
      </c>
      <c r="G1230" t="str">
        <f>_xll.BDP("912827ZM Govt","CRNCY")</f>
        <v>USD</v>
      </c>
      <c r="H1230" t="str">
        <f>_xll.BDP("912827ZM Govt","COUNTRY_FULL_NAME")</f>
        <v>UNITED STATES</v>
      </c>
      <c r="I1230" t="str">
        <f>_xll.BDP("912827ZM Govt","FIRST_CPN_DT")</f>
        <v>5/15/1991</v>
      </c>
      <c r="J1230" t="str">
        <f>_xll.BDP("912827ZM Govt","COUPON_FREQUENCY_DESCRIPTION")</f>
        <v>S/A</v>
      </c>
      <c r="K1230" t="str">
        <f>_xll.BDP("912827ZM Govt","CPN_TYP")</f>
        <v>FIXED</v>
      </c>
      <c r="L1230" t="str">
        <f>_xll.BDP("912827ZM Govt","ID_ISIN")</f>
        <v>US912827ZM77</v>
      </c>
      <c r="N1230">
        <v>0</v>
      </c>
      <c r="O1230" t="str">
        <f>_xll.BDP("912827ZM Govt","ISSUE_DT")</f>
        <v>11/15/1990</v>
      </c>
      <c r="P1230" t="str">
        <f>_xll.BDP("912827ZM Govt","SECURITY_NAME")</f>
        <v>T 7 3/4 11/15/93</v>
      </c>
      <c r="Q1230" t="str">
        <f>_xll.BDP("912827ZM Govt","DAY_CNT_DES")</f>
        <v>ACT/ACT</v>
      </c>
      <c r="R1230">
        <v>100</v>
      </c>
      <c r="S1230" t="str">
        <f>_xll.BDP("912827ZM Govt","ID_CUSIP")</f>
        <v>912827ZM7</v>
      </c>
      <c r="T1230" t="str">
        <f>_xll.BDP("912827ZM Govt","IDX_RATIO")</f>
        <v>#N/A Field Not Applicable</v>
      </c>
    </row>
    <row r="1231" spans="1:20" x14ac:dyDescent="0.25">
      <c r="A1231" t="s">
        <v>14</v>
      </c>
      <c r="B1231" t="str">
        <f>_xll.BDP("912827ZV Govt","TICKER")</f>
        <v>T</v>
      </c>
      <c r="C1231">
        <f>_xll.BDP("912827ZV Govt","CPN")</f>
        <v>7.5</v>
      </c>
      <c r="D1231" t="str">
        <f>_xll.BDP("912827ZV Govt","YLD_YTM_BID")</f>
        <v>#N/A N/A</v>
      </c>
      <c r="E1231" t="str">
        <f>_xll.BDP("912827ZV Govt","MATURITY")</f>
        <v>1/31/1996</v>
      </c>
      <c r="F1231" t="str">
        <f>_xll.BDP("912827ZV Govt","MTY_TYP")</f>
        <v>NORMAL</v>
      </c>
      <c r="G1231" t="str">
        <f>_xll.BDP("912827ZV Govt","CRNCY")</f>
        <v>USD</v>
      </c>
      <c r="H1231" t="str">
        <f>_xll.BDP("912827ZV Govt","COUNTRY_FULL_NAME")</f>
        <v>UNITED STATES</v>
      </c>
      <c r="I1231" t="str">
        <f>_xll.BDP("912827ZV Govt","FIRST_CPN_DT")</f>
        <v>7/31/1991</v>
      </c>
      <c r="J1231" t="str">
        <f>_xll.BDP("912827ZV Govt","COUPON_FREQUENCY_DESCRIPTION")</f>
        <v>S/A</v>
      </c>
      <c r="K1231" t="str">
        <f>_xll.BDP("912827ZV Govt","CPN_TYP")</f>
        <v>FIXED</v>
      </c>
      <c r="L1231" t="str">
        <f>_xll.BDP("912827ZV Govt","ID_ISIN")</f>
        <v>US912827ZV76</v>
      </c>
      <c r="N1231">
        <v>0</v>
      </c>
      <c r="O1231" t="str">
        <f>_xll.BDP("912827ZV Govt","ISSUE_DT")</f>
        <v>1/31/1991</v>
      </c>
      <c r="P1231" t="str">
        <f>_xll.BDP("912827ZV Govt","SECURITY_NAME")</f>
        <v>T 7 1/2 01/31/96</v>
      </c>
      <c r="Q1231" t="str">
        <f>_xll.BDP("912827ZV Govt","DAY_CNT_DES")</f>
        <v>ACT/ACT</v>
      </c>
      <c r="R1231">
        <v>100</v>
      </c>
      <c r="S1231" t="str">
        <f>_xll.BDP("912827ZV Govt","ID_CUSIP")</f>
        <v>912827ZV7</v>
      </c>
      <c r="T1231" t="str">
        <f>_xll.BDP("912827ZV Govt","IDX_RATIO")</f>
        <v>#N/A Field Not Applicable</v>
      </c>
    </row>
    <row r="1232" spans="1:20" x14ac:dyDescent="0.25">
      <c r="A1232" t="s">
        <v>14</v>
      </c>
      <c r="B1232" t="str">
        <f>_xll.BDP("912828A2 Govt","TICKER")</f>
        <v>T</v>
      </c>
      <c r="C1232">
        <f>_xll.BDP("912828A2 Govt","CPN")</f>
        <v>0.25</v>
      </c>
      <c r="D1232" t="str">
        <f>_xll.BDP("912828A2 Govt","YLD_YTM_BID")</f>
        <v>#N/A N/A</v>
      </c>
      <c r="E1232" t="str">
        <f>_xll.BDP("912828A2 Govt","MATURITY")</f>
        <v>11/30/2015</v>
      </c>
      <c r="F1232" t="str">
        <f>_xll.BDP("912828A2 Govt","MTY_TYP")</f>
        <v>NORMAL</v>
      </c>
      <c r="G1232" t="str">
        <f>_xll.BDP("912828A2 Govt","CRNCY")</f>
        <v>USD</v>
      </c>
      <c r="H1232" t="str">
        <f>_xll.BDP("912828A2 Govt","COUNTRY_FULL_NAME")</f>
        <v>UNITED STATES</v>
      </c>
      <c r="I1232" t="str">
        <f>_xll.BDP("912828A2 Govt","FIRST_CPN_DT")</f>
        <v>5/31/2014</v>
      </c>
      <c r="J1232" t="str">
        <f>_xll.BDP("912828A2 Govt","COUPON_FREQUENCY_DESCRIPTION")</f>
        <v>S/A</v>
      </c>
      <c r="K1232" t="str">
        <f>_xll.BDP("912828A2 Govt","CPN_TYP")</f>
        <v>FIXED</v>
      </c>
      <c r="L1232" t="str">
        <f>_xll.BDP("912828A2 Govt","ID_ISIN")</f>
        <v>US912828A263</v>
      </c>
      <c r="M1232">
        <v>32000000000</v>
      </c>
      <c r="N1232">
        <v>0</v>
      </c>
      <c r="O1232" t="str">
        <f>_xll.BDP("912828A2 Govt","ISSUE_DT")</f>
        <v>12/2/2013</v>
      </c>
      <c r="P1232" t="str">
        <f>_xll.BDP("912828A2 Govt","SECURITY_NAME")</f>
        <v>T 0 1/4 11/30/15</v>
      </c>
      <c r="Q1232" t="str">
        <f>_xll.BDP("912828A2 Govt","DAY_CNT_DES")</f>
        <v>ACT/ACT</v>
      </c>
      <c r="R1232">
        <v>100</v>
      </c>
      <c r="S1232" t="str">
        <f>_xll.BDP("912828A2 Govt","ID_CUSIP")</f>
        <v>912828A26</v>
      </c>
      <c r="T1232" t="str">
        <f>_xll.BDP("912828A2 Govt","IDX_RATIO")</f>
        <v>#N/A Field Not Applicable</v>
      </c>
    </row>
    <row r="1233" spans="1:20" x14ac:dyDescent="0.25">
      <c r="A1233" t="s">
        <v>14</v>
      </c>
      <c r="B1233" t="str">
        <f>_xll.BDP("912828A5 Govt","TICKER")</f>
        <v>T</v>
      </c>
      <c r="C1233">
        <f>_xll.BDP("912828A5 Govt","CPN")</f>
        <v>0.625</v>
      </c>
      <c r="D1233" t="str">
        <f>_xll.BDP("912828A5 Govt","YLD_YTM_BID")</f>
        <v>#N/A N/A</v>
      </c>
      <c r="E1233" t="str">
        <f>_xll.BDP("912828A5 Govt","MATURITY")</f>
        <v>12/15/2016</v>
      </c>
      <c r="F1233" t="str">
        <f>_xll.BDP("912828A5 Govt","MTY_TYP")</f>
        <v>NORMAL</v>
      </c>
      <c r="G1233" t="str">
        <f>_xll.BDP("912828A5 Govt","CRNCY")</f>
        <v>USD</v>
      </c>
      <c r="H1233" t="str">
        <f>_xll.BDP("912828A5 Govt","COUNTRY_FULL_NAME")</f>
        <v>UNITED STATES</v>
      </c>
      <c r="I1233" t="str">
        <f>_xll.BDP("912828A5 Govt","FIRST_CPN_DT")</f>
        <v>6/15/2014</v>
      </c>
      <c r="J1233" t="str">
        <f>_xll.BDP("912828A5 Govt","COUPON_FREQUENCY_DESCRIPTION")</f>
        <v>S/A</v>
      </c>
      <c r="K1233" t="str">
        <f>_xll.BDP("912828A5 Govt","CPN_TYP")</f>
        <v>FIXED</v>
      </c>
      <c r="L1233" t="str">
        <f>_xll.BDP("912828A5 Govt","ID_ISIN")</f>
        <v>US912828A594</v>
      </c>
      <c r="M1233">
        <v>30000000000</v>
      </c>
      <c r="N1233">
        <v>0</v>
      </c>
      <c r="O1233" t="str">
        <f>_xll.BDP("912828A5 Govt","ISSUE_DT")</f>
        <v>12/16/2013</v>
      </c>
      <c r="P1233" t="str">
        <f>_xll.BDP("912828A5 Govt","SECURITY_NAME")</f>
        <v>T 0 5/8 12/15/16</v>
      </c>
      <c r="Q1233" t="str">
        <f>_xll.BDP("912828A5 Govt","DAY_CNT_DES")</f>
        <v>ACT/ACT</v>
      </c>
      <c r="R1233">
        <v>100</v>
      </c>
      <c r="S1233" t="str">
        <f>_xll.BDP("912828A5 Govt","ID_CUSIP")</f>
        <v>912828A59</v>
      </c>
      <c r="T1233" t="str">
        <f>_xll.BDP("912828A5 Govt","IDX_RATIO")</f>
        <v>#N/A Field Not Applicable</v>
      </c>
    </row>
    <row r="1234" spans="1:20" x14ac:dyDescent="0.25">
      <c r="A1234" t="s">
        <v>14</v>
      </c>
      <c r="B1234" t="str">
        <f>_xll.BDP("912828AC Govt","TICKER")</f>
        <v>T</v>
      </c>
      <c r="C1234">
        <f>_xll.BDP("912828AC Govt","CPN")</f>
        <v>4.375</v>
      </c>
      <c r="D1234" t="str">
        <f>_xll.BDP("912828AC Govt","YLD_YTM_BID")</f>
        <v>#N/A N/A</v>
      </c>
      <c r="E1234" t="str">
        <f>_xll.BDP("912828AC Govt","MATURITY")</f>
        <v>5/15/2007</v>
      </c>
      <c r="F1234" t="str">
        <f>_xll.BDP("912828AC Govt","MTY_TYP")</f>
        <v>NORMAL</v>
      </c>
      <c r="G1234" t="str">
        <f>_xll.BDP("912828AC Govt","CRNCY")</f>
        <v>USD</v>
      </c>
      <c r="H1234" t="str">
        <f>_xll.BDP("912828AC Govt","COUNTRY_FULL_NAME")</f>
        <v>UNITED STATES</v>
      </c>
      <c r="I1234" t="str">
        <f>_xll.BDP("912828AC Govt","FIRST_CPN_DT")</f>
        <v>11/15/2002</v>
      </c>
      <c r="J1234" t="str">
        <f>_xll.BDP("912828AC Govt","COUPON_FREQUENCY_DESCRIPTION")</f>
        <v>S/A</v>
      </c>
      <c r="K1234" t="str">
        <f>_xll.BDP("912828AC Govt","CPN_TYP")</f>
        <v>FIXED</v>
      </c>
      <c r="L1234" t="str">
        <f>_xll.BDP("912828AC Govt","ID_ISIN")</f>
        <v>US912828AC44</v>
      </c>
      <c r="M1234">
        <v>24351000000</v>
      </c>
      <c r="N1234">
        <v>0</v>
      </c>
      <c r="O1234" t="str">
        <f>_xll.BDP("912828AC Govt","ISSUE_DT")</f>
        <v>5/15/2002</v>
      </c>
      <c r="P1234" t="str">
        <f>_xll.BDP("912828AC Govt","SECURITY_NAME")</f>
        <v>T 4 3/8 05/15/07</v>
      </c>
      <c r="Q1234" t="str">
        <f>_xll.BDP("912828AC Govt","DAY_CNT_DES")</f>
        <v>ACT/ACT</v>
      </c>
      <c r="R1234">
        <v>100</v>
      </c>
      <c r="S1234" t="str">
        <f>_xll.BDP("912828AC Govt","ID_CUSIP")</f>
        <v>912828AC4</v>
      </c>
      <c r="T1234" t="str">
        <f>_xll.BDP("912828AC Govt","IDX_RATIO")</f>
        <v>#N/A Field Not Applicable</v>
      </c>
    </row>
    <row r="1235" spans="1:20" x14ac:dyDescent="0.25">
      <c r="A1235" t="s">
        <v>14</v>
      </c>
      <c r="B1235" t="str">
        <f>_xll.BDP("912828BF Govt","TICKER")</f>
        <v>T</v>
      </c>
      <c r="C1235">
        <f>_xll.BDP("912828BF Govt","CPN")</f>
        <v>2.375</v>
      </c>
      <c r="D1235" t="str">
        <f>_xll.BDP("912828BF Govt","YLD_YTM_BID")</f>
        <v>#N/A N/A</v>
      </c>
      <c r="E1235" t="str">
        <f>_xll.BDP("912828BF Govt","MATURITY")</f>
        <v>8/15/2006</v>
      </c>
      <c r="F1235" t="str">
        <f>_xll.BDP("912828BF Govt","MTY_TYP")</f>
        <v>NORMAL</v>
      </c>
      <c r="G1235" t="str">
        <f>_xll.BDP("912828BF Govt","CRNCY")</f>
        <v>USD</v>
      </c>
      <c r="H1235" t="str">
        <f>_xll.BDP("912828BF Govt","COUNTRY_FULL_NAME")</f>
        <v>UNITED STATES</v>
      </c>
      <c r="I1235" t="str">
        <f>_xll.BDP("912828BF Govt","FIRST_CPN_DT")</f>
        <v>2/15/2004</v>
      </c>
      <c r="J1235" t="str">
        <f>_xll.BDP("912828BF Govt","COUPON_FREQUENCY_DESCRIPTION")</f>
        <v>S/A</v>
      </c>
      <c r="K1235" t="str">
        <f>_xll.BDP("912828BF Govt","CPN_TYP")</f>
        <v>FIXED</v>
      </c>
      <c r="L1235" t="str">
        <f>_xll.BDP("912828BF Govt","ID_ISIN")</f>
        <v>US912828BF65</v>
      </c>
      <c r="M1235">
        <v>27909000000</v>
      </c>
      <c r="N1235">
        <v>0</v>
      </c>
      <c r="O1235" t="str">
        <f>_xll.BDP("912828BF Govt","ISSUE_DT")</f>
        <v>8/15/2003</v>
      </c>
      <c r="P1235" t="str">
        <f>_xll.BDP("912828BF Govt","SECURITY_NAME")</f>
        <v>T 2 3/8 08/15/06</v>
      </c>
      <c r="Q1235" t="str">
        <f>_xll.BDP("912828BF Govt","DAY_CNT_DES")</f>
        <v>ACT/ACT</v>
      </c>
      <c r="R1235">
        <v>100</v>
      </c>
      <c r="S1235" t="str">
        <f>_xll.BDP("912828BF Govt","ID_CUSIP")</f>
        <v>912828BF6</v>
      </c>
      <c r="T1235" t="str">
        <f>_xll.BDP("912828BF Govt","IDX_RATIO")</f>
        <v>#N/A Field Not Applicable</v>
      </c>
    </row>
    <row r="1236" spans="1:20" x14ac:dyDescent="0.25">
      <c r="A1236" t="s">
        <v>14</v>
      </c>
      <c r="B1236" t="str">
        <f>_xll.BDP("912828CQ Govt","TICKER")</f>
        <v>T</v>
      </c>
      <c r="C1236">
        <f>_xll.BDP("912828CQ Govt","CPN")</f>
        <v>2.75</v>
      </c>
      <c r="D1236" t="str">
        <f>_xll.BDP("912828CQ Govt","YLD_YTM_BID")</f>
        <v>#N/A N/A</v>
      </c>
      <c r="E1236" t="str">
        <f>_xll.BDP("912828CQ Govt","MATURITY")</f>
        <v>7/31/2006</v>
      </c>
      <c r="F1236" t="str">
        <f>_xll.BDP("912828CQ Govt","MTY_TYP")</f>
        <v>NORMAL</v>
      </c>
      <c r="G1236" t="str">
        <f>_xll.BDP("912828CQ Govt","CRNCY")</f>
        <v>USD</v>
      </c>
      <c r="H1236" t="str">
        <f>_xll.BDP("912828CQ Govt","COUNTRY_FULL_NAME")</f>
        <v>UNITED STATES</v>
      </c>
      <c r="I1236" t="str">
        <f>_xll.BDP("912828CQ Govt","FIRST_CPN_DT")</f>
        <v>1/31/2005</v>
      </c>
      <c r="J1236" t="str">
        <f>_xll.BDP("912828CQ Govt","COUPON_FREQUENCY_DESCRIPTION")</f>
        <v>S/A</v>
      </c>
      <c r="K1236" t="str">
        <f>_xll.BDP("912828CQ Govt","CPN_TYP")</f>
        <v>FIXED</v>
      </c>
      <c r="L1236" t="str">
        <f>_xll.BDP("912828CQ Govt","ID_ISIN")</f>
        <v>US912828CQ12</v>
      </c>
      <c r="M1236">
        <v>31011000000</v>
      </c>
      <c r="N1236">
        <v>0</v>
      </c>
      <c r="O1236" t="str">
        <f>_xll.BDP("912828CQ Govt","ISSUE_DT")</f>
        <v>8/2/2004</v>
      </c>
      <c r="P1236" t="str">
        <f>_xll.BDP("912828CQ Govt","SECURITY_NAME")</f>
        <v>T 2 3/4 07/31/06</v>
      </c>
      <c r="Q1236" t="str">
        <f>_xll.BDP("912828CQ Govt","DAY_CNT_DES")</f>
        <v>ACT/ACT</v>
      </c>
      <c r="R1236">
        <v>100</v>
      </c>
      <c r="S1236" t="str">
        <f>_xll.BDP("912828CQ Govt","ID_CUSIP")</f>
        <v>912828CQ1</v>
      </c>
      <c r="T1236" t="str">
        <f>_xll.BDP("912828CQ Govt","IDX_RATIO")</f>
        <v>#N/A Field Not Applicable</v>
      </c>
    </row>
    <row r="1237" spans="1:20" x14ac:dyDescent="0.25">
      <c r="A1237" t="s">
        <v>14</v>
      </c>
      <c r="B1237" t="str">
        <f>_xll.BDP("912828DU Govt","TICKER")</f>
        <v>T</v>
      </c>
      <c r="C1237">
        <f>_xll.BDP("912828DU Govt","CPN")</f>
        <v>3.875</v>
      </c>
      <c r="D1237" t="str">
        <f>_xll.BDP("912828DU Govt","YLD_YTM_BID")</f>
        <v>#N/A N/A</v>
      </c>
      <c r="E1237" t="str">
        <f>_xll.BDP("912828DU Govt","MATURITY")</f>
        <v>5/15/2010</v>
      </c>
      <c r="F1237" t="str">
        <f>_xll.BDP("912828DU Govt","MTY_TYP")</f>
        <v>NORMAL</v>
      </c>
      <c r="G1237" t="str">
        <f>_xll.BDP("912828DU Govt","CRNCY")</f>
        <v>USD</v>
      </c>
      <c r="H1237" t="str">
        <f>_xll.BDP("912828DU Govt","COUNTRY_FULL_NAME")</f>
        <v>UNITED STATES</v>
      </c>
      <c r="I1237" t="str">
        <f>_xll.BDP("912828DU Govt","FIRST_CPN_DT")</f>
        <v>11/15/2005</v>
      </c>
      <c r="J1237" t="str">
        <f>_xll.BDP("912828DU Govt","COUPON_FREQUENCY_DESCRIPTION")</f>
        <v>S/A</v>
      </c>
      <c r="K1237" t="str">
        <f>_xll.BDP("912828DU Govt","CPN_TYP")</f>
        <v>FIXED</v>
      </c>
      <c r="L1237" t="str">
        <f>_xll.BDP("912828DU Govt","ID_ISIN")</f>
        <v>US912828DU15</v>
      </c>
      <c r="M1237">
        <v>18749000000</v>
      </c>
      <c r="N1237">
        <v>0</v>
      </c>
      <c r="O1237" t="str">
        <f>_xll.BDP("912828DU Govt","ISSUE_DT")</f>
        <v>5/16/2005</v>
      </c>
      <c r="P1237" t="str">
        <f>_xll.BDP("912828DU Govt","SECURITY_NAME")</f>
        <v>T 3 7/8 05/15/10</v>
      </c>
      <c r="Q1237" t="str">
        <f>_xll.BDP("912828DU Govt","DAY_CNT_DES")</f>
        <v>ACT/ACT</v>
      </c>
      <c r="R1237">
        <v>100</v>
      </c>
      <c r="S1237" t="str">
        <f>_xll.BDP("912828DU Govt","ID_CUSIP")</f>
        <v>912828DU1</v>
      </c>
      <c r="T1237" t="str">
        <f>_xll.BDP("912828DU Govt","IDX_RATIO")</f>
        <v>#N/A Field Not Applicable</v>
      </c>
    </row>
    <row r="1238" spans="1:20" x14ac:dyDescent="0.25">
      <c r="A1238" t="s">
        <v>14</v>
      </c>
      <c r="B1238" t="str">
        <f>_xll.BDP("912828EJ Govt","TICKER")</f>
        <v>T</v>
      </c>
      <c r="C1238">
        <f>_xll.BDP("912828EJ Govt","CPN")</f>
        <v>4.25</v>
      </c>
      <c r="D1238" t="str">
        <f>_xll.BDP("912828EJ Govt","YLD_YTM_BID")</f>
        <v>#N/A N/A</v>
      </c>
      <c r="E1238" t="str">
        <f>_xll.BDP("912828EJ Govt","MATURITY")</f>
        <v>10/15/2010</v>
      </c>
      <c r="F1238" t="str">
        <f>_xll.BDP("912828EJ Govt","MTY_TYP")</f>
        <v>NORMAL</v>
      </c>
      <c r="G1238" t="str">
        <f>_xll.BDP("912828EJ Govt","CRNCY")</f>
        <v>USD</v>
      </c>
      <c r="H1238" t="str">
        <f>_xll.BDP("912828EJ Govt","COUNTRY_FULL_NAME")</f>
        <v>UNITED STATES</v>
      </c>
      <c r="I1238" t="str">
        <f>_xll.BDP("912828EJ Govt","FIRST_CPN_DT")</f>
        <v>4/15/2006</v>
      </c>
      <c r="J1238" t="str">
        <f>_xll.BDP("912828EJ Govt","COUPON_FREQUENCY_DESCRIPTION")</f>
        <v>S/A</v>
      </c>
      <c r="K1238" t="str">
        <f>_xll.BDP("912828EJ Govt","CPN_TYP")</f>
        <v>FIXED</v>
      </c>
      <c r="L1238" t="str">
        <f>_xll.BDP("912828EJ Govt","ID_ISIN")</f>
        <v>US912828EJ50</v>
      </c>
      <c r="M1238">
        <v>13001000000</v>
      </c>
      <c r="N1238">
        <v>0</v>
      </c>
      <c r="O1238" t="str">
        <f>_xll.BDP("912828EJ Govt","ISSUE_DT")</f>
        <v>10/17/2005</v>
      </c>
      <c r="P1238" t="str">
        <f>_xll.BDP("912828EJ Govt","SECURITY_NAME")</f>
        <v>T 4 1/4 10/15/10</v>
      </c>
      <c r="Q1238" t="str">
        <f>_xll.BDP("912828EJ Govt","DAY_CNT_DES")</f>
        <v>ACT/ACT</v>
      </c>
      <c r="R1238">
        <v>100</v>
      </c>
      <c r="S1238" t="str">
        <f>_xll.BDP("912828EJ Govt","ID_CUSIP")</f>
        <v>912828EJ5</v>
      </c>
      <c r="T1238" t="str">
        <f>_xll.BDP("912828EJ Govt","IDX_RATIO")</f>
        <v>#N/A Field Not Applicable</v>
      </c>
    </row>
    <row r="1239" spans="1:20" x14ac:dyDescent="0.25">
      <c r="A1239" t="s">
        <v>14</v>
      </c>
      <c r="B1239" t="str">
        <f>_xll.BDP("912828EY Govt","TICKER")</f>
        <v>T</v>
      </c>
      <c r="C1239">
        <f>_xll.BDP("912828EY Govt","CPN")</f>
        <v>4.625</v>
      </c>
      <c r="D1239" t="str">
        <f>_xll.BDP("912828EY Govt","YLD_YTM_BID")</f>
        <v>#N/A N/A</v>
      </c>
      <c r="E1239" t="str">
        <f>_xll.BDP("912828EY Govt","MATURITY")</f>
        <v>2/29/2008</v>
      </c>
      <c r="F1239" t="str">
        <f>_xll.BDP("912828EY Govt","MTY_TYP")</f>
        <v>NORMAL</v>
      </c>
      <c r="G1239" t="str">
        <f>_xll.BDP("912828EY Govt","CRNCY")</f>
        <v>USD</v>
      </c>
      <c r="H1239" t="str">
        <f>_xll.BDP("912828EY Govt","COUNTRY_FULL_NAME")</f>
        <v>UNITED STATES</v>
      </c>
      <c r="I1239" t="str">
        <f>_xll.BDP("912828EY Govt","FIRST_CPN_DT")</f>
        <v>8/31/2006</v>
      </c>
      <c r="J1239" t="str">
        <f>_xll.BDP("912828EY Govt","COUPON_FREQUENCY_DESCRIPTION")</f>
        <v>S/A</v>
      </c>
      <c r="K1239" t="str">
        <f>_xll.BDP("912828EY Govt","CPN_TYP")</f>
        <v>FIXED</v>
      </c>
      <c r="L1239" t="str">
        <f>_xll.BDP("912828EY Govt","ID_ISIN")</f>
        <v>US912828EY28</v>
      </c>
      <c r="M1239">
        <v>26504000000</v>
      </c>
      <c r="N1239">
        <v>0</v>
      </c>
      <c r="O1239" t="str">
        <f>_xll.BDP("912828EY Govt","ISSUE_DT")</f>
        <v>2/28/2006</v>
      </c>
      <c r="P1239" t="str">
        <f>_xll.BDP("912828EY Govt","SECURITY_NAME")</f>
        <v>T 4 5/8 02/29/08</v>
      </c>
      <c r="Q1239" t="str">
        <f>_xll.BDP("912828EY Govt","DAY_CNT_DES")</f>
        <v>ACT/ACT</v>
      </c>
      <c r="R1239">
        <v>100</v>
      </c>
      <c r="S1239" t="str">
        <f>_xll.BDP("912828EY Govt","ID_CUSIP")</f>
        <v>912828EY2</v>
      </c>
      <c r="T1239" t="str">
        <f>_xll.BDP("912828EY Govt","IDX_RATIO")</f>
        <v>#N/A Field Not Applicable</v>
      </c>
    </row>
    <row r="1240" spans="1:20" x14ac:dyDescent="0.25">
      <c r="A1240" t="s">
        <v>14</v>
      </c>
      <c r="B1240" t="str">
        <f>_xll.BDP("912828F5 Govt","TICKER")</f>
        <v>T</v>
      </c>
      <c r="C1240">
        <f>_xll.BDP("912828F5 Govt","CPN")</f>
        <v>0.875</v>
      </c>
      <c r="D1240" t="str">
        <f>_xll.BDP("912828F5 Govt","YLD_YTM_BID")</f>
        <v>#N/A N/A</v>
      </c>
      <c r="E1240" t="str">
        <f>_xll.BDP("912828F5 Govt","MATURITY")</f>
        <v>10/15/2017</v>
      </c>
      <c r="F1240" t="str">
        <f>_xll.BDP("912828F5 Govt","MTY_TYP")</f>
        <v>NORMAL</v>
      </c>
      <c r="G1240" t="str">
        <f>_xll.BDP("912828F5 Govt","CRNCY")</f>
        <v>USD</v>
      </c>
      <c r="H1240" t="str">
        <f>_xll.BDP("912828F5 Govt","COUNTRY_FULL_NAME")</f>
        <v>UNITED STATES</v>
      </c>
      <c r="I1240" t="str">
        <f>_xll.BDP("912828F5 Govt","FIRST_CPN_DT")</f>
        <v>4/15/2015</v>
      </c>
      <c r="J1240" t="str">
        <f>_xll.BDP("912828F5 Govt","COUPON_FREQUENCY_DESCRIPTION")</f>
        <v>S/A</v>
      </c>
      <c r="K1240" t="str">
        <f>_xll.BDP("912828F5 Govt","CPN_TYP")</f>
        <v>FIXED</v>
      </c>
      <c r="L1240" t="str">
        <f>_xll.BDP("912828F5 Govt","ID_ISIN")</f>
        <v>US912828F544</v>
      </c>
      <c r="M1240">
        <v>27000000000</v>
      </c>
      <c r="N1240">
        <v>0</v>
      </c>
      <c r="O1240" t="str">
        <f>_xll.BDP("912828F5 Govt","ISSUE_DT")</f>
        <v>10/15/2014</v>
      </c>
      <c r="P1240" t="str">
        <f>_xll.BDP("912828F5 Govt","SECURITY_NAME")</f>
        <v>T 0 7/8 10/15/17</v>
      </c>
      <c r="Q1240" t="str">
        <f>_xll.BDP("912828F5 Govt","DAY_CNT_DES")</f>
        <v>ACT/ACT</v>
      </c>
      <c r="R1240">
        <v>100</v>
      </c>
      <c r="S1240" t="str">
        <f>_xll.BDP("912828F5 Govt","ID_CUSIP")</f>
        <v>912828F54</v>
      </c>
      <c r="T1240" t="str">
        <f>_xll.BDP("912828F5 Govt","IDX_RATIO")</f>
        <v>#N/A Field Not Applicable</v>
      </c>
    </row>
    <row r="1241" spans="1:20" x14ac:dyDescent="0.25">
      <c r="A1241" t="s">
        <v>14</v>
      </c>
      <c r="B1241" t="str">
        <f>_xll.BDP("912828FG Govt","TICKER")</f>
        <v>T</v>
      </c>
      <c r="C1241">
        <f>_xll.BDP("912828FG Govt","CPN")</f>
        <v>4.875</v>
      </c>
      <c r="D1241" t="str">
        <f>_xll.BDP("912828FG Govt","YLD_YTM_BID")</f>
        <v>#N/A N/A</v>
      </c>
      <c r="E1241" t="str">
        <f>_xll.BDP("912828FG Govt","MATURITY")</f>
        <v>5/31/2008</v>
      </c>
      <c r="F1241" t="str">
        <f>_xll.BDP("912828FG Govt","MTY_TYP")</f>
        <v>NORMAL</v>
      </c>
      <c r="G1241" t="str">
        <f>_xll.BDP("912828FG Govt","CRNCY")</f>
        <v>USD</v>
      </c>
      <c r="H1241" t="str">
        <f>_xll.BDP("912828FG Govt","COUNTRY_FULL_NAME")</f>
        <v>UNITED STATES</v>
      </c>
      <c r="I1241" t="str">
        <f>_xll.BDP("912828FG Govt","FIRST_CPN_DT")</f>
        <v>11/30/2006</v>
      </c>
      <c r="J1241" t="str">
        <f>_xll.BDP("912828FG Govt","COUPON_FREQUENCY_DESCRIPTION")</f>
        <v>S/A</v>
      </c>
      <c r="K1241" t="str">
        <f>_xll.BDP("912828FG Govt","CPN_TYP")</f>
        <v>FIXED</v>
      </c>
      <c r="L1241" t="str">
        <f>_xll.BDP("912828FG Govt","ID_ISIN")</f>
        <v>US912828FG03</v>
      </c>
      <c r="M1241">
        <v>25933000000</v>
      </c>
      <c r="N1241">
        <v>0</v>
      </c>
      <c r="O1241" t="str">
        <f>_xll.BDP("912828FG Govt","ISSUE_DT")</f>
        <v>5/31/2006</v>
      </c>
      <c r="P1241" t="str">
        <f>_xll.BDP("912828FG Govt","SECURITY_NAME")</f>
        <v>T 4 7/8 05/31/08</v>
      </c>
      <c r="Q1241" t="str">
        <f>_xll.BDP("912828FG Govt","DAY_CNT_DES")</f>
        <v>ACT/ACT</v>
      </c>
      <c r="R1241">
        <v>100</v>
      </c>
      <c r="S1241" t="str">
        <f>_xll.BDP("912828FG Govt","ID_CUSIP")</f>
        <v>912828FG0</v>
      </c>
      <c r="T1241" t="str">
        <f>_xll.BDP("912828FG Govt","IDX_RATIO")</f>
        <v>#N/A Field Not Applicable</v>
      </c>
    </row>
    <row r="1242" spans="1:20" x14ac:dyDescent="0.25">
      <c r="A1242" t="s">
        <v>14</v>
      </c>
      <c r="B1242" t="str">
        <f>_xll.BDP("912828GE Govt","TICKER")</f>
        <v>T</v>
      </c>
      <c r="C1242">
        <f>_xll.BDP("912828GE Govt","CPN")</f>
        <v>4.875</v>
      </c>
      <c r="D1242" t="str">
        <f>_xll.BDP("912828GE Govt","YLD_YTM_BID")</f>
        <v>#N/A N/A</v>
      </c>
      <c r="E1242" t="str">
        <f>_xll.BDP("912828GE Govt","MATURITY")</f>
        <v>1/31/2009</v>
      </c>
      <c r="F1242" t="str">
        <f>_xll.BDP("912828GE Govt","MTY_TYP")</f>
        <v>NORMAL</v>
      </c>
      <c r="G1242" t="str">
        <f>_xll.BDP("912828GE Govt","CRNCY")</f>
        <v>USD</v>
      </c>
      <c r="H1242" t="str">
        <f>_xll.BDP("912828GE Govt","COUNTRY_FULL_NAME")</f>
        <v>UNITED STATES</v>
      </c>
      <c r="I1242" t="str">
        <f>_xll.BDP("912828GE Govt","FIRST_CPN_DT")</f>
        <v>7/31/2007</v>
      </c>
      <c r="J1242" t="str">
        <f>_xll.BDP("912828GE Govt","COUPON_FREQUENCY_DESCRIPTION")</f>
        <v>S/A</v>
      </c>
      <c r="K1242" t="str">
        <f>_xll.BDP("912828GE Govt","CPN_TYP")</f>
        <v>FIXED</v>
      </c>
      <c r="L1242" t="str">
        <f>_xll.BDP("912828GE Govt","ID_ISIN")</f>
        <v>US912828GE46</v>
      </c>
      <c r="M1242">
        <v>22976000000</v>
      </c>
      <c r="N1242">
        <v>0</v>
      </c>
      <c r="O1242" t="str">
        <f>_xll.BDP("912828GE Govt","ISSUE_DT")</f>
        <v>1/31/2007</v>
      </c>
      <c r="P1242" t="str">
        <f>_xll.BDP("912828GE Govt","SECURITY_NAME")</f>
        <v>T 4 7/8 01/31/09</v>
      </c>
      <c r="Q1242" t="str">
        <f>_xll.BDP("912828GE Govt","DAY_CNT_DES")</f>
        <v>ACT/ACT</v>
      </c>
      <c r="R1242">
        <v>100</v>
      </c>
      <c r="S1242" t="str">
        <f>_xll.BDP("912828GE Govt","ID_CUSIP")</f>
        <v>912828GE4</v>
      </c>
      <c r="T1242" t="str">
        <f>_xll.BDP("912828GE Govt","IDX_RATIO")</f>
        <v>#N/A Field Not Applicable</v>
      </c>
    </row>
    <row r="1243" spans="1:20" x14ac:dyDescent="0.25">
      <c r="A1243" t="s">
        <v>14</v>
      </c>
      <c r="B1243" t="str">
        <f>_xll.BDP("912828H9 Govt","TICKER")</f>
        <v>T</v>
      </c>
      <c r="C1243">
        <f>_xll.BDP("912828H9 Govt","CPN")</f>
        <v>1</v>
      </c>
      <c r="D1243" t="str">
        <f>_xll.BDP("912828H9 Govt","YLD_YTM_BID")</f>
        <v>#N/A N/A</v>
      </c>
      <c r="E1243" t="str">
        <f>_xll.BDP("912828H9 Govt","MATURITY")</f>
        <v>2/15/2018</v>
      </c>
      <c r="F1243" t="str">
        <f>_xll.BDP("912828H9 Govt","MTY_TYP")</f>
        <v>NORMAL</v>
      </c>
      <c r="G1243" t="str">
        <f>_xll.BDP("912828H9 Govt","CRNCY")</f>
        <v>USD</v>
      </c>
      <c r="H1243" t="str">
        <f>_xll.BDP("912828H9 Govt","COUNTRY_FULL_NAME")</f>
        <v>UNITED STATES</v>
      </c>
      <c r="I1243" t="str">
        <f>_xll.BDP("912828H9 Govt","FIRST_CPN_DT")</f>
        <v>8/15/2015</v>
      </c>
      <c r="J1243" t="str">
        <f>_xll.BDP("912828H9 Govt","COUPON_FREQUENCY_DESCRIPTION")</f>
        <v>S/A</v>
      </c>
      <c r="K1243" t="str">
        <f>_xll.BDP("912828H9 Govt","CPN_TYP")</f>
        <v>FIXED</v>
      </c>
      <c r="L1243" t="str">
        <f>_xll.BDP("912828H9 Govt","ID_ISIN")</f>
        <v>US912828H946</v>
      </c>
      <c r="M1243">
        <v>24001000000</v>
      </c>
      <c r="N1243">
        <v>0</v>
      </c>
      <c r="O1243" t="str">
        <f>_xll.BDP("912828H9 Govt","ISSUE_DT")</f>
        <v>2/17/2015</v>
      </c>
      <c r="P1243" t="str">
        <f>_xll.BDP("912828H9 Govt","SECURITY_NAME")</f>
        <v>T 1 02/15/18</v>
      </c>
      <c r="Q1243" t="str">
        <f>_xll.BDP("912828H9 Govt","DAY_CNT_DES")</f>
        <v>ACT/ACT</v>
      </c>
      <c r="R1243">
        <v>100</v>
      </c>
      <c r="S1243" t="str">
        <f>_xll.BDP("912828H9 Govt","ID_CUSIP")</f>
        <v>912828H94</v>
      </c>
      <c r="T1243" t="str">
        <f>_xll.BDP("912828H9 Govt","IDX_RATIO")</f>
        <v>#N/A Field Not Applicable</v>
      </c>
    </row>
    <row r="1244" spans="1:20" x14ac:dyDescent="0.25">
      <c r="A1244" t="s">
        <v>14</v>
      </c>
      <c r="B1244" t="str">
        <f>_xll.BDP("912828HQ Govt","TICKER")</f>
        <v>T</v>
      </c>
      <c r="C1244">
        <f>_xll.BDP("912828HQ Govt","CPN")</f>
        <v>2.875</v>
      </c>
      <c r="D1244" t="str">
        <f>_xll.BDP("912828HQ Govt","YLD_YTM_BID")</f>
        <v>#N/A N/A</v>
      </c>
      <c r="E1244" t="str">
        <f>_xll.BDP("912828HQ Govt","MATURITY")</f>
        <v>1/31/2013</v>
      </c>
      <c r="F1244" t="str">
        <f>_xll.BDP("912828HQ Govt","MTY_TYP")</f>
        <v>NORMAL</v>
      </c>
      <c r="G1244" t="str">
        <f>_xll.BDP("912828HQ Govt","CRNCY")</f>
        <v>USD</v>
      </c>
      <c r="H1244" t="str">
        <f>_xll.BDP("912828HQ Govt","COUNTRY_FULL_NAME")</f>
        <v>UNITED STATES</v>
      </c>
      <c r="I1244" t="str">
        <f>_xll.BDP("912828HQ Govt","FIRST_CPN_DT")</f>
        <v>7/31/2008</v>
      </c>
      <c r="J1244" t="str">
        <f>_xll.BDP("912828HQ Govt","COUPON_FREQUENCY_DESCRIPTION")</f>
        <v>S/A</v>
      </c>
      <c r="K1244" t="str">
        <f>_xll.BDP("912828HQ Govt","CPN_TYP")</f>
        <v>FIXED</v>
      </c>
      <c r="L1244" t="str">
        <f>_xll.BDP("912828HQ Govt","ID_ISIN")</f>
        <v>US912828HQ66</v>
      </c>
      <c r="M1244">
        <v>15700000000</v>
      </c>
      <c r="N1244">
        <v>0</v>
      </c>
      <c r="O1244" t="str">
        <f>_xll.BDP("912828HQ Govt","ISSUE_DT")</f>
        <v>1/31/2008</v>
      </c>
      <c r="P1244" t="str">
        <f>_xll.BDP("912828HQ Govt","SECURITY_NAME")</f>
        <v>T 2 7/8 01/31/13</v>
      </c>
      <c r="Q1244" t="str">
        <f>_xll.BDP("912828HQ Govt","DAY_CNT_DES")</f>
        <v>ACT/ACT</v>
      </c>
      <c r="R1244">
        <v>100</v>
      </c>
      <c r="S1244" t="str">
        <f>_xll.BDP("912828HQ Govt","ID_CUSIP")</f>
        <v>912828HQ6</v>
      </c>
      <c r="T1244" t="str">
        <f>_xll.BDP("912828HQ Govt","IDX_RATIO")</f>
        <v>#N/A Field Not Applicable</v>
      </c>
    </row>
    <row r="1245" spans="1:20" x14ac:dyDescent="0.25">
      <c r="A1245" t="s">
        <v>14</v>
      </c>
      <c r="B1245" t="str">
        <f>_xll.BDP("912828HS Govt","TICKER")</f>
        <v>T</v>
      </c>
      <c r="C1245">
        <f>_xll.BDP("912828HS Govt","CPN")</f>
        <v>2</v>
      </c>
      <c r="D1245" t="str">
        <f>_xll.BDP("912828HS Govt","YLD_YTM_BID")</f>
        <v>#N/A N/A</v>
      </c>
      <c r="E1245" t="str">
        <f>_xll.BDP("912828HS Govt","MATURITY")</f>
        <v>2/28/2010</v>
      </c>
      <c r="F1245" t="str">
        <f>_xll.BDP("912828HS Govt","MTY_TYP")</f>
        <v>NORMAL</v>
      </c>
      <c r="G1245" t="str">
        <f>_xll.BDP("912828HS Govt","CRNCY")</f>
        <v>USD</v>
      </c>
      <c r="H1245" t="str">
        <f>_xll.BDP("912828HS Govt","COUNTRY_FULL_NAME")</f>
        <v>UNITED STATES</v>
      </c>
      <c r="I1245" t="str">
        <f>_xll.BDP("912828HS Govt","FIRST_CPN_DT")</f>
        <v>8/31/2008</v>
      </c>
      <c r="J1245" t="str">
        <f>_xll.BDP("912828HS Govt","COUPON_FREQUENCY_DESCRIPTION")</f>
        <v>S/A</v>
      </c>
      <c r="K1245" t="str">
        <f>_xll.BDP("912828HS Govt","CPN_TYP")</f>
        <v>FIXED</v>
      </c>
      <c r="L1245" t="str">
        <f>_xll.BDP("912828HS Govt","ID_ISIN")</f>
        <v>US912828HS23</v>
      </c>
      <c r="M1245">
        <v>28900000000</v>
      </c>
      <c r="N1245">
        <v>0</v>
      </c>
      <c r="O1245" t="str">
        <f>_xll.BDP("912828HS Govt","ISSUE_DT")</f>
        <v>2/29/2008</v>
      </c>
      <c r="P1245" t="str">
        <f>_xll.BDP("912828HS Govt","SECURITY_NAME")</f>
        <v>T 2 02/28/10</v>
      </c>
      <c r="Q1245" t="str">
        <f>_xll.BDP("912828HS Govt","DAY_CNT_DES")</f>
        <v>ACT/ACT</v>
      </c>
      <c r="R1245">
        <v>100</v>
      </c>
      <c r="S1245" t="str">
        <f>_xll.BDP("912828HS Govt","ID_CUSIP")</f>
        <v>912828HS2</v>
      </c>
      <c r="T1245" t="str">
        <f>_xll.BDP("912828HS Govt","IDX_RATIO")</f>
        <v>#N/A Field Not Applicable</v>
      </c>
    </row>
    <row r="1246" spans="1:20" x14ac:dyDescent="0.25">
      <c r="A1246" t="s">
        <v>14</v>
      </c>
      <c r="B1246" t="str">
        <f>_xll.BDP("912828J3 Govt","TICKER")</f>
        <v>T</v>
      </c>
      <c r="C1246">
        <f>_xll.BDP("912828J3 Govt","CPN")</f>
        <v>0.5</v>
      </c>
      <c r="D1246" t="str">
        <f>_xll.BDP("912828J3 Govt","YLD_YTM_BID")</f>
        <v>#N/A N/A</v>
      </c>
      <c r="E1246" t="str">
        <f>_xll.BDP("912828J3 Govt","MATURITY")</f>
        <v>2/28/2017</v>
      </c>
      <c r="F1246" t="str">
        <f>_xll.BDP("912828J3 Govt","MTY_TYP")</f>
        <v>NORMAL</v>
      </c>
      <c r="G1246" t="str">
        <f>_xll.BDP("912828J3 Govt","CRNCY")</f>
        <v>USD</v>
      </c>
      <c r="H1246" t="str">
        <f>_xll.BDP("912828J3 Govt","COUNTRY_FULL_NAME")</f>
        <v>UNITED STATES</v>
      </c>
      <c r="I1246" t="str">
        <f>_xll.BDP("912828J3 Govt","FIRST_CPN_DT")</f>
        <v>8/31/2015</v>
      </c>
      <c r="J1246" t="str">
        <f>_xll.BDP("912828J3 Govt","COUPON_FREQUENCY_DESCRIPTION")</f>
        <v>S/A</v>
      </c>
      <c r="K1246" t="str">
        <f>_xll.BDP("912828J3 Govt","CPN_TYP")</f>
        <v>FIXED</v>
      </c>
      <c r="L1246" t="str">
        <f>_xll.BDP("912828J3 Govt","ID_ISIN")</f>
        <v>US912828J355</v>
      </c>
      <c r="M1246">
        <v>26000000000</v>
      </c>
      <c r="N1246">
        <v>0</v>
      </c>
      <c r="O1246" t="str">
        <f>_xll.BDP("912828J3 Govt","ISSUE_DT")</f>
        <v>3/2/2015</v>
      </c>
      <c r="P1246" t="str">
        <f>_xll.BDP("912828J3 Govt","SECURITY_NAME")</f>
        <v>T 0 1/2 02/28/17</v>
      </c>
      <c r="Q1246" t="str">
        <f>_xll.BDP("912828J3 Govt","DAY_CNT_DES")</f>
        <v>ACT/ACT</v>
      </c>
      <c r="R1246">
        <v>100</v>
      </c>
      <c r="S1246" t="str">
        <f>_xll.BDP("912828J3 Govt","ID_CUSIP")</f>
        <v>912828J35</v>
      </c>
      <c r="T1246" t="str">
        <f>_xll.BDP("912828J3 Govt","IDX_RATIO")</f>
        <v>#N/A Field Not Applicable</v>
      </c>
    </row>
    <row r="1247" spans="1:20" x14ac:dyDescent="0.25">
      <c r="A1247" t="s">
        <v>14</v>
      </c>
      <c r="B1247" t="str">
        <f>_xll.BDP("912828JS Govt","TICKER")</f>
        <v>T</v>
      </c>
      <c r="C1247">
        <f>_xll.BDP("912828JS Govt","CPN")</f>
        <v>1.25</v>
      </c>
      <c r="D1247" t="str">
        <f>_xll.BDP("912828JS Govt","YLD_YTM_BID")</f>
        <v>#N/A N/A</v>
      </c>
      <c r="E1247" t="str">
        <f>_xll.BDP("912828JS Govt","MATURITY")</f>
        <v>11/30/2010</v>
      </c>
      <c r="F1247" t="str">
        <f>_xll.BDP("912828JS Govt","MTY_TYP")</f>
        <v>NORMAL</v>
      </c>
      <c r="G1247" t="str">
        <f>_xll.BDP("912828JS Govt","CRNCY")</f>
        <v>USD</v>
      </c>
      <c r="H1247" t="str">
        <f>_xll.BDP("912828JS Govt","COUNTRY_FULL_NAME")</f>
        <v>UNITED STATES</v>
      </c>
      <c r="I1247" t="str">
        <f>_xll.BDP("912828JS Govt","FIRST_CPN_DT")</f>
        <v>5/31/2009</v>
      </c>
      <c r="J1247" t="str">
        <f>_xll.BDP("912828JS Govt","COUPON_FREQUENCY_DESCRIPTION")</f>
        <v>S/A</v>
      </c>
      <c r="K1247" t="str">
        <f>_xll.BDP("912828JS Govt","CPN_TYP")</f>
        <v>FIXED</v>
      </c>
      <c r="L1247" t="str">
        <f>_xll.BDP("912828JS Govt","ID_ISIN")</f>
        <v>US912828JS05</v>
      </c>
      <c r="M1247">
        <v>38520000000</v>
      </c>
      <c r="N1247">
        <v>0</v>
      </c>
      <c r="O1247" t="str">
        <f>_xll.BDP("912828JS Govt","ISSUE_DT")</f>
        <v>12/1/2008</v>
      </c>
      <c r="P1247" t="str">
        <f>_xll.BDP("912828JS Govt","SECURITY_NAME")</f>
        <v>T 1 1/4 11/30/10</v>
      </c>
      <c r="Q1247" t="str">
        <f>_xll.BDP("912828JS Govt","DAY_CNT_DES")</f>
        <v>ACT/ACT</v>
      </c>
      <c r="R1247">
        <v>100</v>
      </c>
      <c r="S1247" t="str">
        <f>_xll.BDP("912828JS Govt","ID_CUSIP")</f>
        <v>912828JS0</v>
      </c>
      <c r="T1247" t="str">
        <f>_xll.BDP("912828JS Govt","IDX_RATIO")</f>
        <v>#N/A Field Not Applicable</v>
      </c>
    </row>
    <row r="1248" spans="1:20" x14ac:dyDescent="0.25">
      <c r="A1248" t="s">
        <v>14</v>
      </c>
      <c r="B1248" t="str">
        <f>_xll.BDP("912828K6 Govt","TICKER")</f>
        <v>T</v>
      </c>
      <c r="C1248">
        <f>_xll.BDP("912828K6 Govt","CPN")</f>
        <v>0.5</v>
      </c>
      <c r="D1248" t="str">
        <f>_xll.BDP("912828K6 Govt","YLD_YTM_BID")</f>
        <v>#N/A N/A</v>
      </c>
      <c r="E1248" t="str">
        <f>_xll.BDP("912828K6 Govt","MATURITY")</f>
        <v>4/30/2017</v>
      </c>
      <c r="F1248" t="str">
        <f>_xll.BDP("912828K6 Govt","MTY_TYP")</f>
        <v>NORMAL</v>
      </c>
      <c r="G1248" t="str">
        <f>_xll.BDP("912828K6 Govt","CRNCY")</f>
        <v>USD</v>
      </c>
      <c r="H1248" t="str">
        <f>_xll.BDP("912828K6 Govt","COUNTRY_FULL_NAME")</f>
        <v>UNITED STATES</v>
      </c>
      <c r="I1248" t="str">
        <f>_xll.BDP("912828K6 Govt","FIRST_CPN_DT")</f>
        <v>10/31/2015</v>
      </c>
      <c r="J1248" t="str">
        <f>_xll.BDP("912828K6 Govt","COUPON_FREQUENCY_DESCRIPTION")</f>
        <v>S/A</v>
      </c>
      <c r="K1248" t="str">
        <f>_xll.BDP("912828K6 Govt","CPN_TYP")</f>
        <v>FIXED</v>
      </c>
      <c r="L1248" t="str">
        <f>_xll.BDP("912828K6 Govt","ID_ISIN")</f>
        <v>US912828K668</v>
      </c>
      <c r="M1248">
        <v>26095000000</v>
      </c>
      <c r="N1248">
        <v>0</v>
      </c>
      <c r="O1248" t="str">
        <f>_xll.BDP("912828K6 Govt","ISSUE_DT")</f>
        <v>4/30/2015</v>
      </c>
      <c r="P1248" t="str">
        <f>_xll.BDP("912828K6 Govt","SECURITY_NAME")</f>
        <v>T 0 1/2 04/30/17</v>
      </c>
      <c r="Q1248" t="str">
        <f>_xll.BDP("912828K6 Govt","DAY_CNT_DES")</f>
        <v>ACT/ACT</v>
      </c>
      <c r="R1248">
        <v>100</v>
      </c>
      <c r="S1248" t="str">
        <f>_xll.BDP("912828K6 Govt","ID_CUSIP")</f>
        <v>912828K66</v>
      </c>
      <c r="T1248" t="str">
        <f>_xll.BDP("912828K6 Govt","IDX_RATIO")</f>
        <v>#N/A Field Not Applicable</v>
      </c>
    </row>
    <row r="1249" spans="1:20" x14ac:dyDescent="0.25">
      <c r="A1249" t="s">
        <v>14</v>
      </c>
      <c r="B1249" t="str">
        <f>_xll.BDP("912828KC Govt","TICKER")</f>
        <v>T</v>
      </c>
      <c r="C1249">
        <f>_xll.BDP("912828KC Govt","CPN")</f>
        <v>1.375</v>
      </c>
      <c r="D1249" t="str">
        <f>_xll.BDP("912828KC Govt","YLD_YTM_BID")</f>
        <v>#N/A N/A</v>
      </c>
      <c r="E1249" t="str">
        <f>_xll.BDP("912828KC Govt","MATURITY")</f>
        <v>2/15/2012</v>
      </c>
      <c r="F1249" t="str">
        <f>_xll.BDP("912828KC Govt","MTY_TYP")</f>
        <v>NORMAL</v>
      </c>
      <c r="G1249" t="str">
        <f>_xll.BDP("912828KC Govt","CRNCY")</f>
        <v>USD</v>
      </c>
      <c r="H1249" t="str">
        <f>_xll.BDP("912828KC Govt","COUNTRY_FULL_NAME")</f>
        <v>UNITED STATES</v>
      </c>
      <c r="I1249" t="str">
        <f>_xll.BDP("912828KC Govt","FIRST_CPN_DT")</f>
        <v>8/15/2009</v>
      </c>
      <c r="J1249" t="str">
        <f>_xll.BDP("912828KC Govt","COUPON_FREQUENCY_DESCRIPTION")</f>
        <v>S/A</v>
      </c>
      <c r="K1249" t="str">
        <f>_xll.BDP("912828KC Govt","CPN_TYP")</f>
        <v>FIXED</v>
      </c>
      <c r="L1249" t="str">
        <f>_xll.BDP("912828KC Govt","ID_ISIN")</f>
        <v>US912828KC34</v>
      </c>
      <c r="M1249">
        <v>33630000000</v>
      </c>
      <c r="N1249">
        <v>0</v>
      </c>
      <c r="O1249" t="str">
        <f>_xll.BDP("912828KC Govt","ISSUE_DT")</f>
        <v>2/17/2009</v>
      </c>
      <c r="P1249" t="str">
        <f>_xll.BDP("912828KC Govt","SECURITY_NAME")</f>
        <v>T 1 3/8 02/15/12</v>
      </c>
      <c r="Q1249" t="str">
        <f>_xll.BDP("912828KC Govt","DAY_CNT_DES")</f>
        <v>ACT/ACT</v>
      </c>
      <c r="R1249">
        <v>100</v>
      </c>
      <c r="S1249" t="str">
        <f>_xll.BDP("912828KC Govt","ID_CUSIP")</f>
        <v>912828KC3</v>
      </c>
      <c r="T1249" t="str">
        <f>_xll.BDP("912828KC Govt","IDX_RATIO")</f>
        <v>#N/A Field Not Applicable</v>
      </c>
    </row>
    <row r="1250" spans="1:20" x14ac:dyDescent="0.25">
      <c r="A1250" t="s">
        <v>14</v>
      </c>
      <c r="B1250" t="str">
        <f>_xll.BDP("912828KN Govt","TICKER")</f>
        <v>T</v>
      </c>
      <c r="C1250">
        <f>_xll.BDP("912828KN Govt","CPN")</f>
        <v>1.875</v>
      </c>
      <c r="D1250" t="str">
        <f>_xll.BDP("912828KN Govt","YLD_YTM_BID")</f>
        <v>#N/A N/A</v>
      </c>
      <c r="E1250" t="str">
        <f>_xll.BDP("912828KN Govt","MATURITY")</f>
        <v>4/30/2014</v>
      </c>
      <c r="F1250" t="str">
        <f>_xll.BDP("912828KN Govt","MTY_TYP")</f>
        <v>NORMAL</v>
      </c>
      <c r="G1250" t="str">
        <f>_xll.BDP("912828KN Govt","CRNCY")</f>
        <v>USD</v>
      </c>
      <c r="H1250" t="str">
        <f>_xll.BDP("912828KN Govt","COUNTRY_FULL_NAME")</f>
        <v>UNITED STATES</v>
      </c>
      <c r="I1250" t="str">
        <f>_xll.BDP("912828KN Govt","FIRST_CPN_DT")</f>
        <v>10/31/2009</v>
      </c>
      <c r="J1250" t="str">
        <f>_xll.BDP("912828KN Govt","COUPON_FREQUENCY_DESCRIPTION")</f>
        <v>S/A</v>
      </c>
      <c r="K1250" t="str">
        <f>_xll.BDP("912828KN Govt","CPN_TYP")</f>
        <v>FIXED</v>
      </c>
      <c r="L1250" t="str">
        <f>_xll.BDP("912828KN Govt","ID_ISIN")</f>
        <v>US912828KN98</v>
      </c>
      <c r="M1250">
        <v>36213000000</v>
      </c>
      <c r="N1250">
        <v>0</v>
      </c>
      <c r="O1250" t="str">
        <f>_xll.BDP("912828KN Govt","ISSUE_DT")</f>
        <v>4/30/2009</v>
      </c>
      <c r="P1250" t="str">
        <f>_xll.BDP("912828KN Govt","SECURITY_NAME")</f>
        <v>T 1 7/8 04/30/14</v>
      </c>
      <c r="Q1250" t="str">
        <f>_xll.BDP("912828KN Govt","DAY_CNT_DES")</f>
        <v>ACT/ACT</v>
      </c>
      <c r="R1250">
        <v>100</v>
      </c>
      <c r="S1250" t="str">
        <f>_xll.BDP("912828KN Govt","ID_CUSIP")</f>
        <v>912828KN9</v>
      </c>
      <c r="T1250" t="str">
        <f>_xll.BDP("912828KN Govt","IDX_RATIO")</f>
        <v>#N/A Field Not Applicable</v>
      </c>
    </row>
    <row r="1251" spans="1:20" x14ac:dyDescent="0.25">
      <c r="A1251" t="s">
        <v>14</v>
      </c>
      <c r="B1251" t="str">
        <f>_xll.BDP("912828M6 Govt","TICKER")</f>
        <v>T</v>
      </c>
      <c r="C1251">
        <f>_xll.BDP("912828M6 Govt","CPN")</f>
        <v>1.25</v>
      </c>
      <c r="D1251" t="str">
        <f>_xll.BDP("912828M6 Govt","YLD_YTM_BID")</f>
        <v>#N/A N/A</v>
      </c>
      <c r="E1251" t="str">
        <f>_xll.BDP("912828M6 Govt","MATURITY")</f>
        <v>11/15/2018</v>
      </c>
      <c r="F1251" t="str">
        <f>_xll.BDP("912828M6 Govt","MTY_TYP")</f>
        <v>NORMAL</v>
      </c>
      <c r="G1251" t="str">
        <f>_xll.BDP("912828M6 Govt","CRNCY")</f>
        <v>USD</v>
      </c>
      <c r="H1251" t="str">
        <f>_xll.BDP("912828M6 Govt","COUNTRY_FULL_NAME")</f>
        <v>UNITED STATES</v>
      </c>
      <c r="I1251" t="str">
        <f>_xll.BDP("912828M6 Govt","FIRST_CPN_DT")</f>
        <v>5/15/2016</v>
      </c>
      <c r="J1251" t="str">
        <f>_xll.BDP("912828M6 Govt","COUPON_FREQUENCY_DESCRIPTION")</f>
        <v>S/A</v>
      </c>
      <c r="K1251" t="str">
        <f>_xll.BDP("912828M6 Govt","CPN_TYP")</f>
        <v>FIXED</v>
      </c>
      <c r="L1251" t="str">
        <f>_xll.BDP("912828M6 Govt","ID_ISIN")</f>
        <v>US912828M649</v>
      </c>
      <c r="M1251">
        <v>24122000000</v>
      </c>
      <c r="N1251">
        <v>0</v>
      </c>
      <c r="O1251" t="str">
        <f>_xll.BDP("912828M6 Govt","ISSUE_DT")</f>
        <v>11/16/2015</v>
      </c>
      <c r="P1251" t="str">
        <f>_xll.BDP("912828M6 Govt","SECURITY_NAME")</f>
        <v>T 1 1/4 11/15/18</v>
      </c>
      <c r="Q1251" t="str">
        <f>_xll.BDP("912828M6 Govt","DAY_CNT_DES")</f>
        <v>ACT/ACT</v>
      </c>
      <c r="R1251">
        <v>100</v>
      </c>
      <c r="S1251" t="str">
        <f>_xll.BDP("912828M6 Govt","ID_CUSIP")</f>
        <v>912828M64</v>
      </c>
      <c r="T1251" t="str">
        <f>_xll.BDP("912828M6 Govt","IDX_RATIO")</f>
        <v>#N/A Field Not Applicable</v>
      </c>
    </row>
    <row r="1252" spans="1:20" x14ac:dyDescent="0.25">
      <c r="A1252" t="s">
        <v>14</v>
      </c>
      <c r="B1252" t="str">
        <f>_xll.BDP("912828MA Govt","TICKER")</f>
        <v>T</v>
      </c>
      <c r="C1252">
        <f>_xll.BDP("912828MA Govt","CPN")</f>
        <v>2.75</v>
      </c>
      <c r="D1252" t="str">
        <f>_xll.BDP("912828MA Govt","YLD_YTM_BID")</f>
        <v>#N/A N/A</v>
      </c>
      <c r="E1252" t="str">
        <f>_xll.BDP("912828MA Govt","MATURITY")</f>
        <v>11/30/2016</v>
      </c>
      <c r="F1252" t="str">
        <f>_xll.BDP("912828MA Govt","MTY_TYP")</f>
        <v>NORMAL</v>
      </c>
      <c r="G1252" t="str">
        <f>_xll.BDP("912828MA Govt","CRNCY")</f>
        <v>USD</v>
      </c>
      <c r="H1252" t="str">
        <f>_xll.BDP("912828MA Govt","COUNTRY_FULL_NAME")</f>
        <v>UNITED STATES</v>
      </c>
      <c r="I1252" t="str">
        <f>_xll.BDP("912828MA Govt","FIRST_CPN_DT")</f>
        <v>5/31/2010</v>
      </c>
      <c r="J1252" t="str">
        <f>_xll.BDP("912828MA Govt","COUPON_FREQUENCY_DESCRIPTION")</f>
        <v>S/A</v>
      </c>
      <c r="K1252" t="str">
        <f>_xll.BDP("912828MA Govt","CPN_TYP")</f>
        <v>FIXED</v>
      </c>
      <c r="L1252" t="str">
        <f>_xll.BDP("912828MA Govt","ID_ISIN")</f>
        <v>US912828MA59</v>
      </c>
      <c r="M1252">
        <v>32961000000</v>
      </c>
      <c r="N1252">
        <v>0</v>
      </c>
      <c r="O1252" t="str">
        <f>_xll.BDP("912828MA Govt","ISSUE_DT")</f>
        <v>11/30/2009</v>
      </c>
      <c r="P1252" t="str">
        <f>_xll.BDP("912828MA Govt","SECURITY_NAME")</f>
        <v>T 2 3/4 11/30/16</v>
      </c>
      <c r="Q1252" t="str">
        <f>_xll.BDP("912828MA Govt","DAY_CNT_DES")</f>
        <v>ACT/ACT</v>
      </c>
      <c r="R1252">
        <v>100</v>
      </c>
      <c r="S1252" t="str">
        <f>_xll.BDP("912828MA Govt","ID_CUSIP")</f>
        <v>912828MA5</v>
      </c>
      <c r="T1252" t="str">
        <f>_xll.BDP("912828MA Govt","IDX_RATIO")</f>
        <v>#N/A Field Not Applicable</v>
      </c>
    </row>
    <row r="1253" spans="1:20" x14ac:dyDescent="0.25">
      <c r="A1253" t="s">
        <v>14</v>
      </c>
      <c r="B1253" t="str">
        <f>_xll.BDP("912828ML Govt","TICKER")</f>
        <v>T</v>
      </c>
      <c r="C1253">
        <f>_xll.BDP("912828ML Govt","CPN")</f>
        <v>1</v>
      </c>
      <c r="D1253" t="str">
        <f>_xll.BDP("912828ML Govt","YLD_YTM_BID")</f>
        <v>#N/A N/A</v>
      </c>
      <c r="E1253" t="str">
        <f>_xll.BDP("912828ML Govt","MATURITY")</f>
        <v>12/31/2011</v>
      </c>
      <c r="F1253" t="str">
        <f>_xll.BDP("912828ML Govt","MTY_TYP")</f>
        <v>NORMAL</v>
      </c>
      <c r="G1253" t="str">
        <f>_xll.BDP("912828ML Govt","CRNCY")</f>
        <v>USD</v>
      </c>
      <c r="H1253" t="str">
        <f>_xll.BDP("912828ML Govt","COUNTRY_FULL_NAME")</f>
        <v>UNITED STATES</v>
      </c>
      <c r="I1253" t="str">
        <f>_xll.BDP("912828ML Govt","FIRST_CPN_DT")</f>
        <v>6/30/2010</v>
      </c>
      <c r="J1253" t="str">
        <f>_xll.BDP("912828ML Govt","COUPON_FREQUENCY_DESCRIPTION")</f>
        <v>S/A</v>
      </c>
      <c r="K1253" t="str">
        <f>_xll.BDP("912828ML Govt","CPN_TYP")</f>
        <v>FIXED</v>
      </c>
      <c r="L1253" t="str">
        <f>_xll.BDP("912828ML Govt","ID_ISIN")</f>
        <v>US912828ML15</v>
      </c>
      <c r="M1253">
        <v>45309000000</v>
      </c>
      <c r="N1253">
        <v>0</v>
      </c>
      <c r="O1253" t="str">
        <f>_xll.BDP("912828ML Govt","ISSUE_DT")</f>
        <v>12/31/2009</v>
      </c>
      <c r="P1253" t="str">
        <f>_xll.BDP("912828ML Govt","SECURITY_NAME")</f>
        <v>T 1 12/31/11</v>
      </c>
      <c r="Q1253" t="str">
        <f>_xll.BDP("912828ML Govt","DAY_CNT_DES")</f>
        <v>ACT/ACT</v>
      </c>
      <c r="R1253">
        <v>100</v>
      </c>
      <c r="S1253" t="str">
        <f>_xll.BDP("912828ML Govt","ID_CUSIP")</f>
        <v>912828ML1</v>
      </c>
      <c r="T1253" t="str">
        <f>_xll.BDP("912828ML Govt","IDX_RATIO")</f>
        <v>#N/A Field Not Applicable</v>
      </c>
    </row>
    <row r="1254" spans="1:20" x14ac:dyDescent="0.25">
      <c r="A1254" t="s">
        <v>14</v>
      </c>
      <c r="B1254" t="str">
        <f>_xll.BDP("912828MT Govt","TICKER")</f>
        <v>T</v>
      </c>
      <c r="C1254">
        <f>_xll.BDP("912828MT Govt","CPN")</f>
        <v>1.375</v>
      </c>
      <c r="D1254" t="str">
        <f>_xll.BDP("912828MT Govt","YLD_YTM_BID")</f>
        <v>#N/A N/A</v>
      </c>
      <c r="E1254" t="str">
        <f>_xll.BDP("912828MT Govt","MATURITY")</f>
        <v>3/15/2013</v>
      </c>
      <c r="F1254" t="str">
        <f>_xll.BDP("912828MT Govt","MTY_TYP")</f>
        <v>NORMAL</v>
      </c>
      <c r="G1254" t="str">
        <f>_xll.BDP("912828MT Govt","CRNCY")</f>
        <v>USD</v>
      </c>
      <c r="H1254" t="str">
        <f>_xll.BDP("912828MT Govt","COUNTRY_FULL_NAME")</f>
        <v>UNITED STATES</v>
      </c>
      <c r="I1254" t="str">
        <f>_xll.BDP("912828MT Govt","FIRST_CPN_DT")</f>
        <v>9/15/2010</v>
      </c>
      <c r="J1254" t="str">
        <f>_xll.BDP("912828MT Govt","COUPON_FREQUENCY_DESCRIPTION")</f>
        <v>S/A</v>
      </c>
      <c r="K1254" t="str">
        <f>_xll.BDP("912828MT Govt","CPN_TYP")</f>
        <v>FIXED</v>
      </c>
      <c r="L1254" t="str">
        <f>_xll.BDP("912828MT Govt","ID_ISIN")</f>
        <v>US912828MT41</v>
      </c>
      <c r="M1254">
        <v>40473000000</v>
      </c>
      <c r="N1254">
        <v>0</v>
      </c>
      <c r="O1254" t="str">
        <f>_xll.BDP("912828MT Govt","ISSUE_DT")</f>
        <v>3/15/2010</v>
      </c>
      <c r="P1254" t="str">
        <f>_xll.BDP("912828MT Govt","SECURITY_NAME")</f>
        <v>T 1 3/8 03/15/13</v>
      </c>
      <c r="Q1254" t="str">
        <f>_xll.BDP("912828MT Govt","DAY_CNT_DES")</f>
        <v>ACT/ACT</v>
      </c>
      <c r="R1254">
        <v>100</v>
      </c>
      <c r="S1254" t="str">
        <f>_xll.BDP("912828MT Govt","ID_CUSIP")</f>
        <v>912828MT4</v>
      </c>
      <c r="T1254" t="str">
        <f>_xll.BDP("912828MT Govt","IDX_RATIO")</f>
        <v>#N/A Field Not Applicable</v>
      </c>
    </row>
    <row r="1255" spans="1:20" x14ac:dyDescent="0.25">
      <c r="A1255" t="s">
        <v>14</v>
      </c>
      <c r="B1255" t="str">
        <f>_xll.BDP("912828MZ Govt","TICKER")</f>
        <v>T</v>
      </c>
      <c r="C1255">
        <f>_xll.BDP("912828MZ Govt","CPN")</f>
        <v>2.5</v>
      </c>
      <c r="D1255" t="str">
        <f>_xll.BDP("912828MZ Govt","YLD_YTM_BID")</f>
        <v>#N/A N/A</v>
      </c>
      <c r="E1255" t="str">
        <f>_xll.BDP("912828MZ Govt","MATURITY")</f>
        <v>4/30/2015</v>
      </c>
      <c r="F1255" t="str">
        <f>_xll.BDP("912828MZ Govt","MTY_TYP")</f>
        <v>NORMAL</v>
      </c>
      <c r="G1255" t="str">
        <f>_xll.BDP("912828MZ Govt","CRNCY")</f>
        <v>USD</v>
      </c>
      <c r="H1255" t="str">
        <f>_xll.BDP("912828MZ Govt","COUNTRY_FULL_NAME")</f>
        <v>UNITED STATES</v>
      </c>
      <c r="I1255" t="str">
        <f>_xll.BDP("912828MZ Govt","FIRST_CPN_DT")</f>
        <v>10/31/2010</v>
      </c>
      <c r="J1255" t="str">
        <f>_xll.BDP("912828MZ Govt","COUPON_FREQUENCY_DESCRIPTION")</f>
        <v>S/A</v>
      </c>
      <c r="K1255" t="str">
        <f>_xll.BDP("912828MZ Govt","CPN_TYP")</f>
        <v>FIXED</v>
      </c>
      <c r="L1255" t="str">
        <f>_xll.BDP("912828MZ Govt","ID_ISIN")</f>
        <v>US912828MZ01</v>
      </c>
      <c r="M1255">
        <v>42892000000</v>
      </c>
      <c r="N1255">
        <v>0</v>
      </c>
      <c r="O1255" t="str">
        <f>_xll.BDP("912828MZ Govt","ISSUE_DT")</f>
        <v>4/30/2010</v>
      </c>
      <c r="P1255" t="str">
        <f>_xll.BDP("912828MZ Govt","SECURITY_NAME")</f>
        <v>T 2 1/2 04/30/15</v>
      </c>
      <c r="Q1255" t="str">
        <f>_xll.BDP("912828MZ Govt","DAY_CNT_DES")</f>
        <v>ACT/ACT</v>
      </c>
      <c r="R1255">
        <v>100</v>
      </c>
      <c r="S1255" t="str">
        <f>_xll.BDP("912828MZ Govt","ID_CUSIP")</f>
        <v>912828MZ0</v>
      </c>
      <c r="T1255" t="str">
        <f>_xll.BDP("912828MZ Govt","IDX_RATIO")</f>
        <v>#N/A Field Not Applicable</v>
      </c>
    </row>
    <row r="1256" spans="1:20" x14ac:dyDescent="0.25">
      <c r="A1256" t="s">
        <v>14</v>
      </c>
      <c r="B1256" t="str">
        <f>_xll.BDP("912828NF Govt","TICKER")</f>
        <v>T</v>
      </c>
      <c r="C1256">
        <f>_xll.BDP("912828NF Govt","CPN")</f>
        <v>2.125</v>
      </c>
      <c r="D1256" t="str">
        <f>_xll.BDP("912828NF Govt","YLD_YTM_BID")</f>
        <v>#N/A N/A</v>
      </c>
      <c r="E1256" t="str">
        <f>_xll.BDP("912828NF Govt","MATURITY")</f>
        <v>5/31/2015</v>
      </c>
      <c r="F1256" t="str">
        <f>_xll.BDP("912828NF Govt","MTY_TYP")</f>
        <v>NORMAL</v>
      </c>
      <c r="G1256" t="str">
        <f>_xll.BDP("912828NF Govt","CRNCY")</f>
        <v>USD</v>
      </c>
      <c r="H1256" t="str">
        <f>_xll.BDP("912828NF Govt","COUNTRY_FULL_NAME")</f>
        <v>UNITED STATES</v>
      </c>
      <c r="I1256" t="str">
        <f>_xll.BDP("912828NF Govt","FIRST_CPN_DT")</f>
        <v>11/30/2010</v>
      </c>
      <c r="J1256" t="str">
        <f>_xll.BDP("912828NF Govt","COUPON_FREQUENCY_DESCRIPTION")</f>
        <v>S/A</v>
      </c>
      <c r="K1256" t="str">
        <f>_xll.BDP("912828NF Govt","CPN_TYP")</f>
        <v>FIXED</v>
      </c>
      <c r="L1256" t="str">
        <f>_xll.BDP("912828NF Govt","ID_ISIN")</f>
        <v>US912828NF38</v>
      </c>
      <c r="M1256">
        <v>40866000000</v>
      </c>
      <c r="N1256">
        <v>0</v>
      </c>
      <c r="O1256" t="str">
        <f>_xll.BDP("912828NF Govt","ISSUE_DT")</f>
        <v>6/1/2010</v>
      </c>
      <c r="P1256" t="str">
        <f>_xll.BDP("912828NF Govt","SECURITY_NAME")</f>
        <v>T 2 1/8 05/31/15</v>
      </c>
      <c r="Q1256" t="str">
        <f>_xll.BDP("912828NF Govt","DAY_CNT_DES")</f>
        <v>ACT/ACT</v>
      </c>
      <c r="R1256">
        <v>100</v>
      </c>
      <c r="S1256" t="str">
        <f>_xll.BDP("912828NF Govt","ID_CUSIP")</f>
        <v>912828NF3</v>
      </c>
      <c r="T1256" t="str">
        <f>_xll.BDP("912828NF Govt","IDX_RATIO")</f>
        <v>#N/A Field Not Applicable</v>
      </c>
    </row>
    <row r="1257" spans="1:20" x14ac:dyDescent="0.25">
      <c r="A1257" t="s">
        <v>14</v>
      </c>
      <c r="B1257" t="str">
        <f>_xll.BDP("912828NR Govt","TICKER")</f>
        <v>T</v>
      </c>
      <c r="C1257">
        <f>_xll.BDP("912828NR Govt","CPN")</f>
        <v>2.375</v>
      </c>
      <c r="D1257" t="str">
        <f>_xll.BDP("912828NR Govt","YLD_YTM_BID")</f>
        <v>#N/A N/A</v>
      </c>
      <c r="E1257" t="str">
        <f>_xll.BDP("912828NR Govt","MATURITY")</f>
        <v>7/31/2017</v>
      </c>
      <c r="F1257" t="str">
        <f>_xll.BDP("912828NR Govt","MTY_TYP")</f>
        <v>NORMAL</v>
      </c>
      <c r="G1257" t="str">
        <f>_xll.BDP("912828NR Govt","CRNCY")</f>
        <v>USD</v>
      </c>
      <c r="H1257" t="str">
        <f>_xll.BDP("912828NR Govt","COUNTRY_FULL_NAME")</f>
        <v>UNITED STATES</v>
      </c>
      <c r="I1257" t="str">
        <f>_xll.BDP("912828NR Govt","FIRST_CPN_DT")</f>
        <v>1/31/2011</v>
      </c>
      <c r="J1257" t="str">
        <f>_xll.BDP("912828NR Govt","COUPON_FREQUENCY_DESCRIPTION")</f>
        <v>S/A</v>
      </c>
      <c r="K1257" t="str">
        <f>_xll.BDP("912828NR Govt","CPN_TYP")</f>
        <v>FIXED</v>
      </c>
      <c r="L1257" t="str">
        <f>_xll.BDP("912828NR Govt","ID_ISIN")</f>
        <v>US912828NR75</v>
      </c>
      <c r="M1257">
        <v>29952000000</v>
      </c>
      <c r="N1257">
        <v>0</v>
      </c>
      <c r="O1257" t="str">
        <f>_xll.BDP("912828NR Govt","ISSUE_DT")</f>
        <v>8/2/2010</v>
      </c>
      <c r="P1257" t="str">
        <f>_xll.BDP("912828NR Govt","SECURITY_NAME")</f>
        <v>T 2 3/8 07/31/17</v>
      </c>
      <c r="Q1257" t="str">
        <f>_xll.BDP("912828NR Govt","DAY_CNT_DES")</f>
        <v>ACT/ACT</v>
      </c>
      <c r="R1257">
        <v>100</v>
      </c>
      <c r="S1257" t="str">
        <f>_xll.BDP("912828NR Govt","ID_CUSIP")</f>
        <v>912828NR7</v>
      </c>
      <c r="T1257" t="str">
        <f>_xll.BDP("912828NR Govt","IDX_RATIO")</f>
        <v>#N/A Field Not Applicable</v>
      </c>
    </row>
    <row r="1258" spans="1:20" x14ac:dyDescent="0.25">
      <c r="A1258" t="s">
        <v>14</v>
      </c>
      <c r="B1258" t="str">
        <f>_xll.BDP("912828NY Govt","TICKER")</f>
        <v>T</v>
      </c>
      <c r="C1258">
        <f>_xll.BDP("912828NY Govt","CPN")</f>
        <v>0.75</v>
      </c>
      <c r="D1258" t="str">
        <f>_xll.BDP("912828NY Govt","YLD_YTM_BID")</f>
        <v>#N/A N/A</v>
      </c>
      <c r="E1258" t="str">
        <f>_xll.BDP("912828NY Govt","MATURITY")</f>
        <v>9/15/2013</v>
      </c>
      <c r="F1258" t="str">
        <f>_xll.BDP("912828NY Govt","MTY_TYP")</f>
        <v>NORMAL</v>
      </c>
      <c r="G1258" t="str">
        <f>_xll.BDP("912828NY Govt","CRNCY")</f>
        <v>USD</v>
      </c>
      <c r="H1258" t="str">
        <f>_xll.BDP("912828NY Govt","COUNTRY_FULL_NAME")</f>
        <v>UNITED STATES</v>
      </c>
      <c r="I1258" t="str">
        <f>_xll.BDP("912828NY Govt","FIRST_CPN_DT")</f>
        <v>3/15/2011</v>
      </c>
      <c r="J1258" t="str">
        <f>_xll.BDP("912828NY Govt","COUPON_FREQUENCY_DESCRIPTION")</f>
        <v>S/A</v>
      </c>
      <c r="K1258" t="str">
        <f>_xll.BDP("912828NY Govt","CPN_TYP")</f>
        <v>FIXED</v>
      </c>
      <c r="L1258" t="str">
        <f>_xll.BDP("912828NY Govt","ID_ISIN")</f>
        <v>US912828NY27</v>
      </c>
      <c r="M1258">
        <v>33357000000</v>
      </c>
      <c r="N1258">
        <v>0</v>
      </c>
      <c r="O1258" t="str">
        <f>_xll.BDP("912828NY Govt","ISSUE_DT")</f>
        <v>9/15/2010</v>
      </c>
      <c r="P1258" t="str">
        <f>_xll.BDP("912828NY Govt","SECURITY_NAME")</f>
        <v>T 0 3/4 09/15/13</v>
      </c>
      <c r="Q1258" t="str">
        <f>_xll.BDP("912828NY Govt","DAY_CNT_DES")</f>
        <v>ACT/ACT</v>
      </c>
      <c r="R1258">
        <v>100</v>
      </c>
      <c r="S1258" t="str">
        <f>_xll.BDP("912828NY Govt","ID_CUSIP")</f>
        <v>912828NY2</v>
      </c>
      <c r="T1258" t="str">
        <f>_xll.BDP("912828NY Govt","IDX_RATIO")</f>
        <v>#N/A Field Not Applicable</v>
      </c>
    </row>
    <row r="1259" spans="1:20" x14ac:dyDescent="0.25">
      <c r="A1259" t="s">
        <v>14</v>
      </c>
      <c r="B1259" t="str">
        <f>_xll.BDP("912828P5 Govt","TICKER")</f>
        <v>T</v>
      </c>
      <c r="C1259">
        <f>_xll.BDP("912828P5 Govt","CPN")</f>
        <v>0.75</v>
      </c>
      <c r="D1259" t="str">
        <f>_xll.BDP("912828P5 Govt","YLD_YTM_BID")</f>
        <v>#N/A N/A</v>
      </c>
      <c r="E1259" t="str">
        <f>_xll.BDP("912828P5 Govt","MATURITY")</f>
        <v>2/15/2019</v>
      </c>
      <c r="F1259" t="str">
        <f>_xll.BDP("912828P5 Govt","MTY_TYP")</f>
        <v>NORMAL</v>
      </c>
      <c r="G1259" t="str">
        <f>_xll.BDP("912828P5 Govt","CRNCY")</f>
        <v>USD</v>
      </c>
      <c r="H1259" t="str">
        <f>_xll.BDP("912828P5 Govt","COUNTRY_FULL_NAME")</f>
        <v>UNITED STATES</v>
      </c>
      <c r="I1259" t="str">
        <f>_xll.BDP("912828P5 Govt","FIRST_CPN_DT")</f>
        <v>8/15/2016</v>
      </c>
      <c r="J1259" t="str">
        <f>_xll.BDP("912828P5 Govt","COUPON_FREQUENCY_DESCRIPTION")</f>
        <v>S/A</v>
      </c>
      <c r="K1259" t="str">
        <f>_xll.BDP("912828P5 Govt","CPN_TYP")</f>
        <v>FIXED</v>
      </c>
      <c r="L1259" t="str">
        <f>_xll.BDP("912828P5 Govt","ID_ISIN")</f>
        <v>US912828P535</v>
      </c>
      <c r="M1259">
        <v>25884000000</v>
      </c>
      <c r="N1259">
        <v>0</v>
      </c>
      <c r="O1259" t="str">
        <f>_xll.BDP("912828P5 Govt","ISSUE_DT")</f>
        <v>2/16/2016</v>
      </c>
      <c r="P1259" t="str">
        <f>_xll.BDP("912828P5 Govt","SECURITY_NAME")</f>
        <v>T 0 3/4 02/15/19</v>
      </c>
      <c r="Q1259" t="str">
        <f>_xll.BDP("912828P5 Govt","DAY_CNT_DES")</f>
        <v>ACT/ACT</v>
      </c>
      <c r="R1259">
        <v>100</v>
      </c>
      <c r="S1259" t="str">
        <f>_xll.BDP("912828P5 Govt","ID_CUSIP")</f>
        <v>912828P53</v>
      </c>
      <c r="T1259" t="str">
        <f>_xll.BDP("912828P5 Govt","IDX_RATIO")</f>
        <v>#N/A Field Not Applicable</v>
      </c>
    </row>
    <row r="1260" spans="1:20" x14ac:dyDescent="0.25">
      <c r="A1260" t="s">
        <v>14</v>
      </c>
      <c r="B1260" t="str">
        <f>_xll.BDP("912828PR Govt","TICKER")</f>
        <v>T</v>
      </c>
      <c r="C1260">
        <f>_xll.BDP("912828PR Govt","CPN")</f>
        <v>0.625</v>
      </c>
      <c r="D1260" t="str">
        <f>_xll.BDP("912828PR Govt","YLD_YTM_BID")</f>
        <v>#N/A N/A</v>
      </c>
      <c r="E1260" t="str">
        <f>_xll.BDP("912828PR Govt","MATURITY")</f>
        <v>1/31/2013</v>
      </c>
      <c r="F1260" t="str">
        <f>_xll.BDP("912828PR Govt","MTY_TYP")</f>
        <v>NORMAL</v>
      </c>
      <c r="G1260" t="str">
        <f>_xll.BDP("912828PR Govt","CRNCY")</f>
        <v>USD</v>
      </c>
      <c r="H1260" t="str">
        <f>_xll.BDP("912828PR Govt","COUNTRY_FULL_NAME")</f>
        <v>UNITED STATES</v>
      </c>
      <c r="I1260" t="str">
        <f>_xll.BDP("912828PR Govt","FIRST_CPN_DT")</f>
        <v>7/31/2011</v>
      </c>
      <c r="J1260" t="str">
        <f>_xll.BDP("912828PR Govt","COUPON_FREQUENCY_DESCRIPTION")</f>
        <v>S/A</v>
      </c>
      <c r="K1260" t="str">
        <f>_xll.BDP("912828PR Govt","CPN_TYP")</f>
        <v>FIXED</v>
      </c>
      <c r="L1260" t="str">
        <f>_xll.BDP("912828PR Govt","ID_ISIN")</f>
        <v>US912828PR57</v>
      </c>
      <c r="M1260">
        <v>35698000000</v>
      </c>
      <c r="N1260">
        <v>0</v>
      </c>
      <c r="O1260" t="str">
        <f>_xll.BDP("912828PR Govt","ISSUE_DT")</f>
        <v>1/31/2011</v>
      </c>
      <c r="P1260" t="str">
        <f>_xll.BDP("912828PR Govt","SECURITY_NAME")</f>
        <v>T 0 5/8 01/31/13</v>
      </c>
      <c r="Q1260" t="str">
        <f>_xll.BDP("912828PR Govt","DAY_CNT_DES")</f>
        <v>ACT/ACT</v>
      </c>
      <c r="R1260">
        <v>100</v>
      </c>
      <c r="S1260" t="str">
        <f>_xll.BDP("912828PR Govt","ID_CUSIP")</f>
        <v>912828PR5</v>
      </c>
      <c r="T1260" t="str">
        <f>_xll.BDP("912828PR Govt","IDX_RATIO")</f>
        <v>#N/A Field Not Applicable</v>
      </c>
    </row>
    <row r="1261" spans="1:20" x14ac:dyDescent="0.25">
      <c r="A1261" t="s">
        <v>14</v>
      </c>
      <c r="B1261" t="str">
        <f>_xll.BDP("912828PU Govt","TICKER")</f>
        <v>T</v>
      </c>
      <c r="C1261">
        <f>_xll.BDP("912828PU Govt","CPN")</f>
        <v>0.5</v>
      </c>
      <c r="D1261" t="str">
        <f>_xll.BDP("912828PU Govt","YLD_YTM_BID")</f>
        <v>#N/A N/A</v>
      </c>
      <c r="E1261" t="str">
        <f>_xll.BDP("912828PU Govt","MATURITY")</f>
        <v>11/15/2013</v>
      </c>
      <c r="F1261" t="str">
        <f>_xll.BDP("912828PU Govt","MTY_TYP")</f>
        <v>NORMAL</v>
      </c>
      <c r="G1261" t="str">
        <f>_xll.BDP("912828PU Govt","CRNCY")</f>
        <v>USD</v>
      </c>
      <c r="H1261" t="str">
        <f>_xll.BDP("912828PU Govt","COUNTRY_FULL_NAME")</f>
        <v>UNITED STATES</v>
      </c>
      <c r="I1261" t="str">
        <f>_xll.BDP("912828PU Govt","FIRST_CPN_DT")</f>
        <v>5/15/2011</v>
      </c>
      <c r="J1261" t="str">
        <f>_xll.BDP("912828PU Govt","COUPON_FREQUENCY_DESCRIPTION")</f>
        <v>S/A</v>
      </c>
      <c r="K1261" t="str">
        <f>_xll.BDP("912828PU Govt","CPN_TYP")</f>
        <v>FIXED</v>
      </c>
      <c r="L1261" t="str">
        <f>_xll.BDP("912828PU Govt","ID_ISIN")</f>
        <v>US912828PU86</v>
      </c>
      <c r="M1261">
        <v>32853000000</v>
      </c>
      <c r="N1261">
        <v>0</v>
      </c>
      <c r="O1261" t="str">
        <f>_xll.BDP("912828PU Govt","ISSUE_DT")</f>
        <v>11/15/2010</v>
      </c>
      <c r="P1261" t="str">
        <f>_xll.BDP("912828PU Govt","SECURITY_NAME")</f>
        <v>T 0 1/2 11/15/13</v>
      </c>
      <c r="Q1261" t="str">
        <f>_xll.BDP("912828PU Govt","DAY_CNT_DES")</f>
        <v>ACT/ACT</v>
      </c>
      <c r="R1261">
        <v>100</v>
      </c>
      <c r="S1261" t="str">
        <f>_xll.BDP("912828PU Govt","ID_CUSIP")</f>
        <v>912828PU8</v>
      </c>
      <c r="T1261" t="str">
        <f>_xll.BDP("912828PU Govt","IDX_RATIO")</f>
        <v>#N/A Field Not Applicable</v>
      </c>
    </row>
    <row r="1262" spans="1:20" x14ac:dyDescent="0.25">
      <c r="A1262" t="s">
        <v>14</v>
      </c>
      <c r="B1262" t="str">
        <f>_xll.BDP("912828Q5 Govt","TICKER")</f>
        <v>T</v>
      </c>
      <c r="C1262">
        <f>_xll.BDP("912828Q5 Govt","CPN")</f>
        <v>0.875</v>
      </c>
      <c r="D1262" t="str">
        <f>_xll.BDP("912828Q5 Govt","YLD_YTM_BID")</f>
        <v>#N/A N/A</v>
      </c>
      <c r="E1262" t="str">
        <f>_xll.BDP("912828Q5 Govt","MATURITY")</f>
        <v>4/15/2019</v>
      </c>
      <c r="F1262" t="str">
        <f>_xll.BDP("912828Q5 Govt","MTY_TYP")</f>
        <v>NORMAL</v>
      </c>
      <c r="G1262" t="str">
        <f>_xll.BDP("912828Q5 Govt","CRNCY")</f>
        <v>USD</v>
      </c>
      <c r="H1262" t="str">
        <f>_xll.BDP("912828Q5 Govt","COUNTRY_FULL_NAME")</f>
        <v>UNITED STATES</v>
      </c>
      <c r="I1262" t="str">
        <f>_xll.BDP("912828Q5 Govt","FIRST_CPN_DT")</f>
        <v>10/15/2016</v>
      </c>
      <c r="J1262" t="str">
        <f>_xll.BDP("912828Q5 Govt","COUPON_FREQUENCY_DESCRIPTION")</f>
        <v>S/A</v>
      </c>
      <c r="K1262" t="str">
        <f>_xll.BDP("912828Q5 Govt","CPN_TYP")</f>
        <v>FIXED</v>
      </c>
      <c r="L1262" t="str">
        <f>_xll.BDP("912828Q5 Govt","ID_ISIN")</f>
        <v>US912828Q525</v>
      </c>
      <c r="M1262">
        <v>24168000000</v>
      </c>
      <c r="N1262">
        <v>0</v>
      </c>
      <c r="O1262" t="str">
        <f>_xll.BDP("912828Q5 Govt","ISSUE_DT")</f>
        <v>4/15/2016</v>
      </c>
      <c r="P1262" t="str">
        <f>_xll.BDP("912828Q5 Govt","SECURITY_NAME")</f>
        <v>T 0 7/8 04/15/19</v>
      </c>
      <c r="Q1262" t="str">
        <f>_xll.BDP("912828Q5 Govt","DAY_CNT_DES")</f>
        <v>ACT/ACT</v>
      </c>
      <c r="R1262">
        <v>100</v>
      </c>
      <c r="S1262" t="str">
        <f>_xll.BDP("912828Q5 Govt","ID_CUSIP")</f>
        <v>912828Q52</v>
      </c>
      <c r="T1262" t="str">
        <f>_xll.BDP("912828Q5 Govt","IDX_RATIO")</f>
        <v>#N/A Field Not Applicable</v>
      </c>
    </row>
    <row r="1263" spans="1:20" x14ac:dyDescent="0.25">
      <c r="A1263" t="s">
        <v>14</v>
      </c>
      <c r="B1263" t="str">
        <f>_xll.BDP("912828QK Govt","TICKER")</f>
        <v>T</v>
      </c>
      <c r="C1263">
        <f>_xll.BDP("912828QK Govt","CPN")</f>
        <v>0.625</v>
      </c>
      <c r="D1263" t="str">
        <f>_xll.BDP("912828QK Govt","YLD_YTM_BID")</f>
        <v>#N/A N/A</v>
      </c>
      <c r="E1263" t="str">
        <f>_xll.BDP("912828QK Govt","MATURITY")</f>
        <v>2/28/2013</v>
      </c>
      <c r="F1263" t="str">
        <f>_xll.BDP("912828QK Govt","MTY_TYP")</f>
        <v>NORMAL</v>
      </c>
      <c r="G1263" t="str">
        <f>_xll.BDP("912828QK Govt","CRNCY")</f>
        <v>USD</v>
      </c>
      <c r="H1263" t="str">
        <f>_xll.BDP("912828QK Govt","COUNTRY_FULL_NAME")</f>
        <v>UNITED STATES</v>
      </c>
      <c r="I1263" t="str">
        <f>_xll.BDP("912828QK Govt","FIRST_CPN_DT")</f>
        <v>8/31/2011</v>
      </c>
      <c r="J1263" t="str">
        <f>_xll.BDP("912828QK Govt","COUPON_FREQUENCY_DESCRIPTION")</f>
        <v>S/A</v>
      </c>
      <c r="K1263" t="str">
        <f>_xll.BDP("912828QK Govt","CPN_TYP")</f>
        <v>FIXED</v>
      </c>
      <c r="L1263" t="str">
        <f>_xll.BDP("912828QK Govt","ID_ISIN")</f>
        <v>US912828QK95</v>
      </c>
      <c r="M1263">
        <v>36923000000</v>
      </c>
      <c r="N1263">
        <v>0</v>
      </c>
      <c r="O1263" t="str">
        <f>_xll.BDP("912828QK Govt","ISSUE_DT")</f>
        <v>2/28/2011</v>
      </c>
      <c r="P1263" t="str">
        <f>_xll.BDP("912828QK Govt","SECURITY_NAME")</f>
        <v>T 0 5/8 02/28/13</v>
      </c>
      <c r="Q1263" t="str">
        <f>_xll.BDP("912828QK Govt","DAY_CNT_DES")</f>
        <v>ACT/ACT</v>
      </c>
      <c r="R1263">
        <v>100</v>
      </c>
      <c r="S1263" t="str">
        <f>_xll.BDP("912828QK Govt","ID_CUSIP")</f>
        <v>912828QK9</v>
      </c>
      <c r="T1263" t="str">
        <f>_xll.BDP("912828QK Govt","IDX_RATIO")</f>
        <v>#N/A Field Not Applicable</v>
      </c>
    </row>
    <row r="1264" spans="1:20" x14ac:dyDescent="0.25">
      <c r="A1264" t="s">
        <v>14</v>
      </c>
      <c r="B1264" t="str">
        <f>_xll.BDP("912828R4 Govt","TICKER")</f>
        <v>T</v>
      </c>
      <c r="C1264">
        <f>_xll.BDP("912828R4 Govt","CPN")</f>
        <v>0.875</v>
      </c>
      <c r="D1264" t="str">
        <f>_xll.BDP("912828R4 Govt","YLD_YTM_BID")</f>
        <v>#N/A N/A</v>
      </c>
      <c r="E1264" t="str">
        <f>_xll.BDP("912828R4 Govt","MATURITY")</f>
        <v>5/15/2019</v>
      </c>
      <c r="F1264" t="str">
        <f>_xll.BDP("912828R4 Govt","MTY_TYP")</f>
        <v>NORMAL</v>
      </c>
      <c r="G1264" t="str">
        <f>_xll.BDP("912828R4 Govt","CRNCY")</f>
        <v>USD</v>
      </c>
      <c r="H1264" t="str">
        <f>_xll.BDP("912828R4 Govt","COUNTRY_FULL_NAME")</f>
        <v>UNITED STATES</v>
      </c>
      <c r="I1264" t="str">
        <f>_xll.BDP("912828R4 Govt","FIRST_CPN_DT")</f>
        <v>11/15/2016</v>
      </c>
      <c r="J1264" t="str">
        <f>_xll.BDP("912828R4 Govt","COUPON_FREQUENCY_DESCRIPTION")</f>
        <v>S/A</v>
      </c>
      <c r="K1264" t="str">
        <f>_xll.BDP("912828R4 Govt","CPN_TYP")</f>
        <v>FIXED</v>
      </c>
      <c r="L1264" t="str">
        <f>_xll.BDP("912828R4 Govt","ID_ISIN")</f>
        <v>US912828R440</v>
      </c>
      <c r="M1264">
        <v>29428000000</v>
      </c>
      <c r="N1264">
        <v>0</v>
      </c>
      <c r="O1264" t="str">
        <f>_xll.BDP("912828R4 Govt","ISSUE_DT")</f>
        <v>5/16/2016</v>
      </c>
      <c r="P1264" t="str">
        <f>_xll.BDP("912828R4 Govt","SECURITY_NAME")</f>
        <v>T 0 7/8 05/15/19</v>
      </c>
      <c r="Q1264" t="str">
        <f>_xll.BDP("912828R4 Govt","DAY_CNT_DES")</f>
        <v>ACT/ACT</v>
      </c>
      <c r="R1264">
        <v>100</v>
      </c>
      <c r="S1264" t="str">
        <f>_xll.BDP("912828R4 Govt","ID_CUSIP")</f>
        <v>912828R44</v>
      </c>
      <c r="T1264" t="str">
        <f>_xll.BDP("912828R4 Govt","IDX_RATIO")</f>
        <v>#N/A Field Not Applicable</v>
      </c>
    </row>
    <row r="1265" spans="1:20" x14ac:dyDescent="0.25">
      <c r="A1265" t="s">
        <v>14</v>
      </c>
      <c r="B1265" t="str">
        <f>_xll.BDP("912828RD Govt","TICKER")</f>
        <v>T</v>
      </c>
      <c r="C1265">
        <f>_xll.BDP("912828RD Govt","CPN")</f>
        <v>0.125</v>
      </c>
      <c r="D1265" t="str">
        <f>_xll.BDP("912828RD Govt","YLD_YTM_BID")</f>
        <v>#N/A N/A</v>
      </c>
      <c r="E1265" t="str">
        <f>_xll.BDP("912828RD Govt","MATURITY")</f>
        <v>8/31/2013</v>
      </c>
      <c r="F1265" t="str">
        <f>_xll.BDP("912828RD Govt","MTY_TYP")</f>
        <v>NORMAL</v>
      </c>
      <c r="G1265" t="str">
        <f>_xll.BDP("912828RD Govt","CRNCY")</f>
        <v>USD</v>
      </c>
      <c r="H1265" t="str">
        <f>_xll.BDP("912828RD Govt","COUNTRY_FULL_NAME")</f>
        <v>UNITED STATES</v>
      </c>
      <c r="I1265" t="str">
        <f>_xll.BDP("912828RD Govt","FIRST_CPN_DT")</f>
        <v>2/29/2012</v>
      </c>
      <c r="J1265" t="str">
        <f>_xll.BDP("912828RD Govt","COUPON_FREQUENCY_DESCRIPTION")</f>
        <v>S/A</v>
      </c>
      <c r="K1265" t="str">
        <f>_xll.BDP("912828RD Govt","CPN_TYP")</f>
        <v>FIXED</v>
      </c>
      <c r="L1265" t="str">
        <f>_xll.BDP("912828RD Govt","ID_ISIN")</f>
        <v>US912828RD44</v>
      </c>
      <c r="M1265">
        <v>36071000000</v>
      </c>
      <c r="N1265">
        <v>0</v>
      </c>
      <c r="O1265" t="str">
        <f>_xll.BDP("912828RD Govt","ISSUE_DT")</f>
        <v>8/31/2011</v>
      </c>
      <c r="P1265" t="str">
        <f>_xll.BDP("912828RD Govt","SECURITY_NAME")</f>
        <v>T 0 1/8 08/31/13</v>
      </c>
      <c r="Q1265" t="str">
        <f>_xll.BDP("912828RD Govt","DAY_CNT_DES")</f>
        <v>ACT/ACT</v>
      </c>
      <c r="R1265">
        <v>100</v>
      </c>
      <c r="S1265" t="str">
        <f>_xll.BDP("912828RD Govt","ID_CUSIP")</f>
        <v>912828RD4</v>
      </c>
      <c r="T1265" t="str">
        <f>_xll.BDP("912828RD Govt","IDX_RATIO")</f>
        <v>#N/A Field Not Applicable</v>
      </c>
    </row>
    <row r="1266" spans="1:20" x14ac:dyDescent="0.25">
      <c r="A1266" t="s">
        <v>14</v>
      </c>
      <c r="B1266" t="str">
        <f>_xll.BDP("912828RK Govt","TICKER")</f>
        <v>T</v>
      </c>
      <c r="C1266">
        <f>_xll.BDP("912828RK Govt","CPN")</f>
        <v>0.125</v>
      </c>
      <c r="D1266" t="str">
        <f>_xll.BDP("912828RK Govt","YLD_YTM_BID")</f>
        <v>#N/A N/A</v>
      </c>
      <c r="E1266" t="str">
        <f>_xll.BDP("912828RK Govt","MATURITY")</f>
        <v>9/30/2013</v>
      </c>
      <c r="F1266" t="str">
        <f>_xll.BDP("912828RK Govt","MTY_TYP")</f>
        <v>NORMAL</v>
      </c>
      <c r="G1266" t="str">
        <f>_xll.BDP("912828RK Govt","CRNCY")</f>
        <v>USD</v>
      </c>
      <c r="H1266" t="str">
        <f>_xll.BDP("912828RK Govt","COUNTRY_FULL_NAME")</f>
        <v>UNITED STATES</v>
      </c>
      <c r="I1266" t="str">
        <f>_xll.BDP("912828RK Govt","FIRST_CPN_DT")</f>
        <v>3/31/2012</v>
      </c>
      <c r="J1266" t="str">
        <f>_xll.BDP("912828RK Govt","COUPON_FREQUENCY_DESCRIPTION")</f>
        <v>S/A</v>
      </c>
      <c r="K1266" t="str">
        <f>_xll.BDP("912828RK Govt","CPN_TYP")</f>
        <v>FIXED</v>
      </c>
      <c r="L1266" t="str">
        <f>_xll.BDP("912828RK Govt","ID_ISIN")</f>
        <v>US912828RK86</v>
      </c>
      <c r="M1266">
        <v>36090000000</v>
      </c>
      <c r="N1266">
        <v>0</v>
      </c>
      <c r="O1266" t="str">
        <f>_xll.BDP("912828RK Govt","ISSUE_DT")</f>
        <v>9/30/2011</v>
      </c>
      <c r="P1266" t="str">
        <f>_xll.BDP("912828RK Govt","SECURITY_NAME")</f>
        <v>T 0 1/8 09/30/13</v>
      </c>
      <c r="Q1266" t="str">
        <f>_xll.BDP("912828RK Govt","DAY_CNT_DES")</f>
        <v>ACT/ACT</v>
      </c>
      <c r="R1266">
        <v>100</v>
      </c>
      <c r="S1266" t="str">
        <f>_xll.BDP("912828RK Govt","ID_CUSIP")</f>
        <v>912828RK8</v>
      </c>
      <c r="T1266" t="str">
        <f>_xll.BDP("912828RK Govt","IDX_RATIO")</f>
        <v>#N/A Field Not Applicable</v>
      </c>
    </row>
    <row r="1267" spans="1:20" x14ac:dyDescent="0.25">
      <c r="A1267" t="s">
        <v>14</v>
      </c>
      <c r="B1267" t="str">
        <f>_xll.BDP("912828RY Govt","TICKER")</f>
        <v>T</v>
      </c>
      <c r="C1267">
        <f>_xll.BDP("912828RY Govt","CPN")</f>
        <v>1.375</v>
      </c>
      <c r="D1267" t="str">
        <f>_xll.BDP("912828RY Govt","YLD_YTM_BID")</f>
        <v>#N/A N/A</v>
      </c>
      <c r="E1267" t="str">
        <f>_xll.BDP("912828RY Govt","MATURITY")</f>
        <v>12/31/2018</v>
      </c>
      <c r="F1267" t="str">
        <f>_xll.BDP("912828RY Govt","MTY_TYP")</f>
        <v>NORMAL</v>
      </c>
      <c r="G1267" t="str">
        <f>_xll.BDP("912828RY Govt","CRNCY")</f>
        <v>USD</v>
      </c>
      <c r="H1267" t="str">
        <f>_xll.BDP("912828RY Govt","COUNTRY_FULL_NAME")</f>
        <v>UNITED STATES</v>
      </c>
      <c r="I1267" t="str">
        <f>_xll.BDP("912828RY Govt","FIRST_CPN_DT")</f>
        <v>6/30/2012</v>
      </c>
      <c r="J1267" t="str">
        <f>_xll.BDP("912828RY Govt","COUPON_FREQUENCY_DESCRIPTION")</f>
        <v>S/A</v>
      </c>
      <c r="K1267" t="str">
        <f>_xll.BDP("912828RY Govt","CPN_TYP")</f>
        <v>FIXED</v>
      </c>
      <c r="L1267" t="str">
        <f>_xll.BDP("912828RY Govt","ID_ISIN")</f>
        <v>US912828RY80</v>
      </c>
      <c r="M1267">
        <v>29939000000</v>
      </c>
      <c r="N1267">
        <v>0</v>
      </c>
      <c r="O1267" t="str">
        <f>_xll.BDP("912828RY Govt","ISSUE_DT")</f>
        <v>1/3/2012</v>
      </c>
      <c r="P1267" t="str">
        <f>_xll.BDP("912828RY Govt","SECURITY_NAME")</f>
        <v>T 1 3/8 12/31/18</v>
      </c>
      <c r="Q1267" t="str">
        <f>_xll.BDP("912828RY Govt","DAY_CNT_DES")</f>
        <v>ACT/ACT</v>
      </c>
      <c r="R1267">
        <v>100</v>
      </c>
      <c r="S1267" t="str">
        <f>_xll.BDP("912828RY Govt","ID_CUSIP")</f>
        <v>912828RY8</v>
      </c>
      <c r="T1267" t="str">
        <f>_xll.BDP("912828RY Govt","IDX_RATIO")</f>
        <v>#N/A Field Not Applicable</v>
      </c>
    </row>
    <row r="1268" spans="1:20" x14ac:dyDescent="0.25">
      <c r="A1268" t="s">
        <v>14</v>
      </c>
      <c r="B1268" t="str">
        <f>_xll.BDP("912828RZ Govt","TICKER")</f>
        <v>T</v>
      </c>
      <c r="C1268">
        <f>_xll.BDP("912828RZ Govt","CPN")</f>
        <v>0.25</v>
      </c>
      <c r="D1268" t="str">
        <f>_xll.BDP("912828RZ Govt","YLD_YTM_BID")</f>
        <v>#N/A N/A</v>
      </c>
      <c r="E1268" t="str">
        <f>_xll.BDP("912828RZ Govt","MATURITY")</f>
        <v>1/15/2015</v>
      </c>
      <c r="F1268" t="str">
        <f>_xll.BDP("912828RZ Govt","MTY_TYP")</f>
        <v>NORMAL</v>
      </c>
      <c r="G1268" t="str">
        <f>_xll.BDP("912828RZ Govt","CRNCY")</f>
        <v>USD</v>
      </c>
      <c r="H1268" t="str">
        <f>_xll.BDP("912828RZ Govt","COUNTRY_FULL_NAME")</f>
        <v>UNITED STATES</v>
      </c>
      <c r="I1268" t="str">
        <f>_xll.BDP("912828RZ Govt","FIRST_CPN_DT")</f>
        <v>7/15/2012</v>
      </c>
      <c r="J1268" t="str">
        <f>_xll.BDP("912828RZ Govt","COUPON_FREQUENCY_DESCRIPTION")</f>
        <v>S/A</v>
      </c>
      <c r="K1268" t="str">
        <f>_xll.BDP("912828RZ Govt","CPN_TYP")</f>
        <v>FIXED</v>
      </c>
      <c r="L1268" t="str">
        <f>_xll.BDP("912828RZ Govt","ID_ISIN")</f>
        <v>US912828RZ55</v>
      </c>
      <c r="M1268">
        <v>34271000000</v>
      </c>
      <c r="N1268">
        <v>0</v>
      </c>
      <c r="O1268" t="str">
        <f>_xll.BDP("912828RZ Govt","ISSUE_DT")</f>
        <v>1/17/2012</v>
      </c>
      <c r="P1268" t="str">
        <f>_xll.BDP("912828RZ Govt","SECURITY_NAME")</f>
        <v>T 0 1/4 01/15/15</v>
      </c>
      <c r="Q1268" t="str">
        <f>_xll.BDP("912828RZ Govt","DAY_CNT_DES")</f>
        <v>ACT/ACT</v>
      </c>
      <c r="R1268">
        <v>100</v>
      </c>
      <c r="S1268" t="str">
        <f>_xll.BDP("912828RZ Govt","ID_CUSIP")</f>
        <v>912828RZ5</v>
      </c>
      <c r="T1268" t="str">
        <f>_xll.BDP("912828RZ Govt","IDX_RATIO")</f>
        <v>#N/A Field Not Applicable</v>
      </c>
    </row>
    <row r="1269" spans="1:20" x14ac:dyDescent="0.25">
      <c r="A1269" t="s">
        <v>14</v>
      </c>
      <c r="B1269" t="str">
        <f>_xll.BDP("9128283X Govt","TICKER")</f>
        <v>T</v>
      </c>
      <c r="C1269">
        <f>_xll.BDP("9128283X Govt","CPN")</f>
        <v>2.25</v>
      </c>
      <c r="D1269" t="str">
        <f>_xll.BDP("9128283X Govt","YLD_YTM_BID")</f>
        <v>#N/A N/A</v>
      </c>
      <c r="E1269" t="str">
        <f>_xll.BDP("9128283X Govt","MATURITY")</f>
        <v>2/15/2021</v>
      </c>
      <c r="F1269" t="str">
        <f>_xll.BDP("9128283X Govt","MTY_TYP")</f>
        <v>NORMAL</v>
      </c>
      <c r="G1269" t="str">
        <f>_xll.BDP("9128283X Govt","CRNCY")</f>
        <v>USD</v>
      </c>
      <c r="H1269" t="str">
        <f>_xll.BDP("9128283X Govt","COUNTRY_FULL_NAME")</f>
        <v>UNITED STATES</v>
      </c>
      <c r="I1269" t="str">
        <f>_xll.BDP("9128283X Govt","FIRST_CPN_DT")</f>
        <v>8/15/2018</v>
      </c>
      <c r="J1269" t="str">
        <f>_xll.BDP("9128283X Govt","COUPON_FREQUENCY_DESCRIPTION")</f>
        <v>S/A</v>
      </c>
      <c r="K1269" t="str">
        <f>_xll.BDP("9128283X Govt","CPN_TYP")</f>
        <v>FIXED</v>
      </c>
      <c r="L1269" t="str">
        <f>_xll.BDP("9128283X Govt","ID_ISIN")</f>
        <v>US9128283X64</v>
      </c>
      <c r="M1269">
        <v>30914000000</v>
      </c>
      <c r="N1269">
        <v>0</v>
      </c>
      <c r="O1269" t="str">
        <f>_xll.BDP("9128283X Govt","ISSUE_DT")</f>
        <v>2/15/2018</v>
      </c>
      <c r="P1269" t="str">
        <f>_xll.BDP("9128283X Govt","SECURITY_NAME")</f>
        <v>T 2 1/4 02/15/21</v>
      </c>
      <c r="Q1269" t="str">
        <f>_xll.BDP("9128283X Govt","DAY_CNT_DES")</f>
        <v>ACT/ACT</v>
      </c>
      <c r="R1269">
        <v>100</v>
      </c>
      <c r="S1269" t="str">
        <f>_xll.BDP("9128283X Govt","ID_CUSIP")</f>
        <v>9128283X6</v>
      </c>
      <c r="T1269" t="str">
        <f>_xll.BDP("9128283X Govt","IDX_RATIO")</f>
        <v>#N/A Field Not Applicable</v>
      </c>
    </row>
    <row r="1270" spans="1:20" x14ac:dyDescent="0.25">
      <c r="A1270" t="s">
        <v>14</v>
      </c>
      <c r="B1270" t="str">
        <f>_xll.BDP("912828B7 Govt","TICKER")</f>
        <v>T</v>
      </c>
      <c r="C1270">
        <f>_xll.BDP("912828B7 Govt","CPN")</f>
        <v>0.625</v>
      </c>
      <c r="D1270" t="str">
        <f>_xll.BDP("912828B7 Govt","YLD_YTM_BID")</f>
        <v>#N/A N/A</v>
      </c>
      <c r="E1270" t="str">
        <f>_xll.BDP("912828B7 Govt","MATURITY")</f>
        <v>2/15/2017</v>
      </c>
      <c r="F1270" t="str">
        <f>_xll.BDP("912828B7 Govt","MTY_TYP")</f>
        <v>NORMAL</v>
      </c>
      <c r="G1270" t="str">
        <f>_xll.BDP("912828B7 Govt","CRNCY")</f>
        <v>USD</v>
      </c>
      <c r="H1270" t="str">
        <f>_xll.BDP("912828B7 Govt","COUNTRY_FULL_NAME")</f>
        <v>UNITED STATES</v>
      </c>
      <c r="I1270" t="str">
        <f>_xll.BDP("912828B7 Govt","FIRST_CPN_DT")</f>
        <v>8/15/2014</v>
      </c>
      <c r="J1270" t="str">
        <f>_xll.BDP("912828B7 Govt","COUPON_FREQUENCY_DESCRIPTION")</f>
        <v>S/A</v>
      </c>
      <c r="K1270" t="str">
        <f>_xll.BDP("912828B7 Govt","CPN_TYP")</f>
        <v>FIXED</v>
      </c>
      <c r="L1270" t="str">
        <f>_xll.BDP("912828B7 Govt","ID_ISIN")</f>
        <v>US912828B741</v>
      </c>
      <c r="M1270">
        <v>30000000000</v>
      </c>
      <c r="N1270">
        <v>0</v>
      </c>
      <c r="O1270" t="str">
        <f>_xll.BDP("912828B7 Govt","ISSUE_DT")</f>
        <v>2/18/2014</v>
      </c>
      <c r="P1270" t="str">
        <f>_xll.BDP("912828B7 Govt","SECURITY_NAME")</f>
        <v>T 0 5/8 02/15/17</v>
      </c>
      <c r="Q1270" t="str">
        <f>_xll.BDP("912828B7 Govt","DAY_CNT_DES")</f>
        <v>ACT/ACT</v>
      </c>
      <c r="R1270">
        <v>100</v>
      </c>
      <c r="S1270" t="str">
        <f>_xll.BDP("912828B7 Govt","ID_CUSIP")</f>
        <v>912828B74</v>
      </c>
      <c r="T1270" t="str">
        <f>_xll.BDP("912828B7 Govt","IDX_RATIO")</f>
        <v>#N/A Field Not Applicable</v>
      </c>
    </row>
    <row r="1271" spans="1:20" x14ac:dyDescent="0.25">
      <c r="A1271" t="s">
        <v>14</v>
      </c>
      <c r="B1271" t="str">
        <f>_xll.BDP("912828DK Govt","TICKER")</f>
        <v>T</v>
      </c>
      <c r="C1271">
        <f>_xll.BDP("912828DK Govt","CPN")</f>
        <v>3.375</v>
      </c>
      <c r="D1271" t="str">
        <f>_xll.BDP("912828DK Govt","YLD_YTM_BID")</f>
        <v>#N/A N/A</v>
      </c>
      <c r="E1271" t="str">
        <f>_xll.BDP("912828DK Govt","MATURITY")</f>
        <v>2/15/2008</v>
      </c>
      <c r="F1271" t="str">
        <f>_xll.BDP("912828DK Govt","MTY_TYP")</f>
        <v>NORMAL</v>
      </c>
      <c r="G1271" t="str">
        <f>_xll.BDP("912828DK Govt","CRNCY")</f>
        <v>USD</v>
      </c>
      <c r="H1271" t="str">
        <f>_xll.BDP("912828DK Govt","COUNTRY_FULL_NAME")</f>
        <v>UNITED STATES</v>
      </c>
      <c r="I1271" t="str">
        <f>_xll.BDP("912828DK Govt","FIRST_CPN_DT")</f>
        <v>8/15/2005</v>
      </c>
      <c r="J1271" t="str">
        <f>_xll.BDP("912828DK Govt","COUPON_FREQUENCY_DESCRIPTION")</f>
        <v>S/A</v>
      </c>
      <c r="K1271" t="str">
        <f>_xll.BDP("912828DK Govt","CPN_TYP")</f>
        <v>FIXED</v>
      </c>
      <c r="L1271" t="str">
        <f>_xll.BDP("912828DK Govt","ID_ISIN")</f>
        <v>US912828DK33</v>
      </c>
      <c r="M1271">
        <v>23885000000</v>
      </c>
      <c r="N1271">
        <v>0</v>
      </c>
      <c r="O1271" t="str">
        <f>_xll.BDP("912828DK Govt","ISSUE_DT")</f>
        <v>2/15/2005</v>
      </c>
      <c r="P1271" t="str">
        <f>_xll.BDP("912828DK Govt","SECURITY_NAME")</f>
        <v>T 3 3/8 02/15/08</v>
      </c>
      <c r="Q1271" t="str">
        <f>_xll.BDP("912828DK Govt","DAY_CNT_DES")</f>
        <v>ACT/ACT</v>
      </c>
      <c r="R1271">
        <v>100</v>
      </c>
      <c r="S1271" t="str">
        <f>_xll.BDP("912828DK Govt","ID_CUSIP")</f>
        <v>912828DK3</v>
      </c>
      <c r="T1271" t="str">
        <f>_xll.BDP("912828DK Govt","IDX_RATIO")</f>
        <v>#N/A Field Not Applicable</v>
      </c>
    </row>
    <row r="1272" spans="1:20" x14ac:dyDescent="0.25">
      <c r="A1272" t="s">
        <v>14</v>
      </c>
      <c r="B1272" t="str">
        <f>_xll.BDP("912828DT Govt","TICKER")</f>
        <v>T</v>
      </c>
      <c r="C1272">
        <f>_xll.BDP("912828DT Govt","CPN")</f>
        <v>3.75</v>
      </c>
      <c r="D1272" t="str">
        <f>_xll.BDP("912828DT Govt","YLD_YTM_BID")</f>
        <v>#N/A N/A</v>
      </c>
      <c r="E1272" t="str">
        <f>_xll.BDP("912828DT Govt","MATURITY")</f>
        <v>5/15/2008</v>
      </c>
      <c r="F1272" t="str">
        <f>_xll.BDP("912828DT Govt","MTY_TYP")</f>
        <v>NORMAL</v>
      </c>
      <c r="G1272" t="str">
        <f>_xll.BDP("912828DT Govt","CRNCY")</f>
        <v>USD</v>
      </c>
      <c r="H1272" t="str">
        <f>_xll.BDP("912828DT Govt","COUNTRY_FULL_NAME")</f>
        <v>UNITED STATES</v>
      </c>
      <c r="I1272" t="str">
        <f>_xll.BDP("912828DT Govt","FIRST_CPN_DT")</f>
        <v>11/15/2005</v>
      </c>
      <c r="J1272" t="str">
        <f>_xll.BDP("912828DT Govt","COUPON_FREQUENCY_DESCRIPTION")</f>
        <v>S/A</v>
      </c>
      <c r="K1272" t="str">
        <f>_xll.BDP("912828DT Govt","CPN_TYP")</f>
        <v>FIXED</v>
      </c>
      <c r="L1272" t="str">
        <f>_xll.BDP("912828DT Govt","ID_ISIN")</f>
        <v>US912828DT42</v>
      </c>
      <c r="M1272">
        <v>26708000000</v>
      </c>
      <c r="N1272">
        <v>0</v>
      </c>
      <c r="O1272" t="str">
        <f>_xll.BDP("912828DT Govt","ISSUE_DT")</f>
        <v>5/16/2005</v>
      </c>
      <c r="P1272" t="str">
        <f>_xll.BDP("912828DT Govt","SECURITY_NAME")</f>
        <v>T 3 3/4 05/15/08</v>
      </c>
      <c r="Q1272" t="str">
        <f>_xll.BDP("912828DT Govt","DAY_CNT_DES")</f>
        <v>ACT/ACT</v>
      </c>
      <c r="R1272">
        <v>100</v>
      </c>
      <c r="S1272" t="str">
        <f>_xll.BDP("912828DT Govt","ID_CUSIP")</f>
        <v>912828DT4</v>
      </c>
      <c r="T1272" t="str">
        <f>_xll.BDP("912828DT Govt","IDX_RATIO")</f>
        <v>#N/A Field Not Applicable</v>
      </c>
    </row>
    <row r="1273" spans="1:20" x14ac:dyDescent="0.25">
      <c r="A1273" t="s">
        <v>14</v>
      </c>
      <c r="B1273" t="str">
        <f>_xll.BDP("912828DZ Govt","TICKER")</f>
        <v>T</v>
      </c>
      <c r="C1273">
        <f>_xll.BDP("912828DZ Govt","CPN")</f>
        <v>3.875</v>
      </c>
      <c r="D1273" t="str">
        <f>_xll.BDP("912828DZ Govt","YLD_YTM_BID")</f>
        <v>#N/A N/A</v>
      </c>
      <c r="E1273" t="str">
        <f>_xll.BDP("912828DZ Govt","MATURITY")</f>
        <v>7/15/2010</v>
      </c>
      <c r="F1273" t="str">
        <f>_xll.BDP("912828DZ Govt","MTY_TYP")</f>
        <v>NORMAL</v>
      </c>
      <c r="G1273" t="str">
        <f>_xll.BDP("912828DZ Govt","CRNCY")</f>
        <v>USD</v>
      </c>
      <c r="H1273" t="str">
        <f>_xll.BDP("912828DZ Govt","COUNTRY_FULL_NAME")</f>
        <v>UNITED STATES</v>
      </c>
      <c r="I1273" t="str">
        <f>_xll.BDP("912828DZ Govt","FIRST_CPN_DT")</f>
        <v>1/15/2006</v>
      </c>
      <c r="J1273" t="str">
        <f>_xll.BDP("912828DZ Govt","COUPON_FREQUENCY_DESCRIPTION")</f>
        <v>S/A</v>
      </c>
      <c r="K1273" t="str">
        <f>_xll.BDP("912828DZ Govt","CPN_TYP")</f>
        <v>FIXED</v>
      </c>
      <c r="L1273" t="str">
        <f>_xll.BDP("912828DZ Govt","ID_ISIN")</f>
        <v>US912828DZ02</v>
      </c>
      <c r="M1273">
        <v>13001000000</v>
      </c>
      <c r="N1273">
        <v>0</v>
      </c>
      <c r="O1273" t="str">
        <f>_xll.BDP("912828DZ Govt","ISSUE_DT")</f>
        <v>7/15/2005</v>
      </c>
      <c r="P1273" t="str">
        <f>_xll.BDP("912828DZ Govt","SECURITY_NAME")</f>
        <v>T 3 7/8 07/15/10</v>
      </c>
      <c r="Q1273" t="str">
        <f>_xll.BDP("912828DZ Govt","DAY_CNT_DES")</f>
        <v>ACT/ACT</v>
      </c>
      <c r="R1273">
        <v>100</v>
      </c>
      <c r="S1273" t="str">
        <f>_xll.BDP("912828DZ Govt","ID_CUSIP")</f>
        <v>912828DZ0</v>
      </c>
      <c r="T1273" t="str">
        <f>_xll.BDP("912828DZ Govt","IDX_RATIO")</f>
        <v>#N/A Field Not Applicable</v>
      </c>
    </row>
    <row r="1274" spans="1:20" x14ac:dyDescent="0.25">
      <c r="A1274" t="s">
        <v>14</v>
      </c>
      <c r="B1274" t="str">
        <f>_xll.BDP("912828FE Govt","TICKER")</f>
        <v>T</v>
      </c>
      <c r="C1274">
        <f>_xll.BDP("912828FE Govt","CPN")</f>
        <v>4.875</v>
      </c>
      <c r="D1274" t="str">
        <f>_xll.BDP("912828FE Govt","YLD_YTM_BID")</f>
        <v>#N/A N/A</v>
      </c>
      <c r="E1274" t="str">
        <f>_xll.BDP("912828FE Govt","MATURITY")</f>
        <v>5/15/2009</v>
      </c>
      <c r="F1274" t="str">
        <f>_xll.BDP("912828FE Govt","MTY_TYP")</f>
        <v>NORMAL</v>
      </c>
      <c r="G1274" t="str">
        <f>_xll.BDP("912828FE Govt","CRNCY")</f>
        <v>USD</v>
      </c>
      <c r="H1274" t="str">
        <f>_xll.BDP("912828FE Govt","COUNTRY_FULL_NAME")</f>
        <v>UNITED STATES</v>
      </c>
      <c r="I1274" t="str">
        <f>_xll.BDP("912828FE Govt","FIRST_CPN_DT")</f>
        <v>11/15/2006</v>
      </c>
      <c r="J1274" t="str">
        <f>_xll.BDP("912828FE Govt","COUPON_FREQUENCY_DESCRIPTION")</f>
        <v>S/A</v>
      </c>
      <c r="K1274" t="str">
        <f>_xll.BDP("912828FE Govt","CPN_TYP")</f>
        <v>FIXED</v>
      </c>
      <c r="L1274" t="str">
        <f>_xll.BDP("912828FE Govt","ID_ISIN")</f>
        <v>US912828FE54</v>
      </c>
      <c r="M1274">
        <v>27380000000</v>
      </c>
      <c r="N1274">
        <v>0</v>
      </c>
      <c r="O1274" t="str">
        <f>_xll.BDP("912828FE Govt","ISSUE_DT")</f>
        <v>5/15/2006</v>
      </c>
      <c r="P1274" t="str">
        <f>_xll.BDP("912828FE Govt","SECURITY_NAME")</f>
        <v>T 4 7/8 05/15/09</v>
      </c>
      <c r="Q1274" t="str">
        <f>_xll.BDP("912828FE Govt","DAY_CNT_DES")</f>
        <v>ACT/ACT</v>
      </c>
      <c r="R1274">
        <v>100</v>
      </c>
      <c r="S1274" t="str">
        <f>_xll.BDP("912828FE Govt","ID_CUSIP")</f>
        <v>912828FE5</v>
      </c>
      <c r="T1274" t="str">
        <f>_xll.BDP("912828FE Govt","IDX_RATIO")</f>
        <v>#N/A Field Not Applicable</v>
      </c>
    </row>
    <row r="1275" spans="1:20" x14ac:dyDescent="0.25">
      <c r="A1275" t="s">
        <v>14</v>
      </c>
      <c r="B1275" t="str">
        <f>_xll.BDP("912828FN Govt","TICKER")</f>
        <v>T</v>
      </c>
      <c r="C1275">
        <f>_xll.BDP("912828FN Govt","CPN")</f>
        <v>4.875</v>
      </c>
      <c r="D1275" t="str">
        <f>_xll.BDP("912828FN Govt","YLD_YTM_BID")</f>
        <v>#N/A N/A</v>
      </c>
      <c r="E1275" t="str">
        <f>_xll.BDP("912828FN Govt","MATURITY")</f>
        <v>7/31/2011</v>
      </c>
      <c r="F1275" t="str">
        <f>_xll.BDP("912828FN Govt","MTY_TYP")</f>
        <v>NORMAL</v>
      </c>
      <c r="G1275" t="str">
        <f>_xll.BDP("912828FN Govt","CRNCY")</f>
        <v>USD</v>
      </c>
      <c r="H1275" t="str">
        <f>_xll.BDP("912828FN Govt","COUNTRY_FULL_NAME")</f>
        <v>UNITED STATES</v>
      </c>
      <c r="I1275" t="str">
        <f>_xll.BDP("912828FN Govt","FIRST_CPN_DT")</f>
        <v>1/31/2007</v>
      </c>
      <c r="J1275" t="str">
        <f>_xll.BDP("912828FN Govt","COUPON_FREQUENCY_DESCRIPTION")</f>
        <v>S/A</v>
      </c>
      <c r="K1275" t="str">
        <f>_xll.BDP("912828FN Govt","CPN_TYP")</f>
        <v>FIXED</v>
      </c>
      <c r="L1275" t="str">
        <f>_xll.BDP("912828FN Govt","ID_ISIN")</f>
        <v>US912828FN53</v>
      </c>
      <c r="M1275">
        <v>16831000000</v>
      </c>
      <c r="N1275">
        <v>0</v>
      </c>
      <c r="O1275" t="str">
        <f>_xll.BDP("912828FN Govt","ISSUE_DT")</f>
        <v>7/31/2006</v>
      </c>
      <c r="P1275" t="str">
        <f>_xll.BDP("912828FN Govt","SECURITY_NAME")</f>
        <v>T 4 7/8 07/31/11</v>
      </c>
      <c r="Q1275" t="str">
        <f>_xll.BDP("912828FN Govt","DAY_CNT_DES")</f>
        <v>ACT/ACT</v>
      </c>
      <c r="R1275">
        <v>100</v>
      </c>
      <c r="S1275" t="str">
        <f>_xll.BDP("912828FN Govt","ID_CUSIP")</f>
        <v>912828FN5</v>
      </c>
      <c r="T1275" t="str">
        <f>_xll.BDP("912828FN Govt","IDX_RATIO")</f>
        <v>#N/A Field Not Applicable</v>
      </c>
    </row>
    <row r="1276" spans="1:20" x14ac:dyDescent="0.25">
      <c r="A1276" t="s">
        <v>14</v>
      </c>
      <c r="B1276" t="str">
        <f>_xll.BDP("912828FP Govt","TICKER")</f>
        <v>T</v>
      </c>
      <c r="C1276">
        <f>_xll.BDP("912828FP Govt","CPN")</f>
        <v>4.875</v>
      </c>
      <c r="D1276" t="str">
        <f>_xll.BDP("912828FP Govt","YLD_YTM_BID")</f>
        <v>#N/A N/A</v>
      </c>
      <c r="E1276" t="str">
        <f>_xll.BDP("912828FP Govt","MATURITY")</f>
        <v>8/15/2009</v>
      </c>
      <c r="F1276" t="str">
        <f>_xll.BDP("912828FP Govt","MTY_TYP")</f>
        <v>NORMAL</v>
      </c>
      <c r="G1276" t="str">
        <f>_xll.BDP("912828FP Govt","CRNCY")</f>
        <v>USD</v>
      </c>
      <c r="H1276" t="str">
        <f>_xll.BDP("912828FP Govt","COUNTRY_FULL_NAME")</f>
        <v>UNITED STATES</v>
      </c>
      <c r="I1276" t="str">
        <f>_xll.BDP("912828FP Govt","FIRST_CPN_DT")</f>
        <v>2/15/2007</v>
      </c>
      <c r="J1276" t="str">
        <f>_xll.BDP("912828FP Govt","COUPON_FREQUENCY_DESCRIPTION")</f>
        <v>S/A</v>
      </c>
      <c r="K1276" t="str">
        <f>_xll.BDP("912828FP Govt","CPN_TYP")</f>
        <v>FIXED</v>
      </c>
      <c r="L1276" t="str">
        <f>_xll.BDP("912828FP Govt","ID_ISIN")</f>
        <v>US912828FP02</v>
      </c>
      <c r="M1276">
        <v>23420000000</v>
      </c>
      <c r="N1276">
        <v>0</v>
      </c>
      <c r="O1276" t="str">
        <f>_xll.BDP("912828FP Govt","ISSUE_DT")</f>
        <v>8/15/2006</v>
      </c>
      <c r="P1276" t="str">
        <f>_xll.BDP("912828FP Govt","SECURITY_NAME")</f>
        <v>T 4 7/8 08/15/09</v>
      </c>
      <c r="Q1276" t="str">
        <f>_xll.BDP("912828FP Govt","DAY_CNT_DES")</f>
        <v>ACT/ACT</v>
      </c>
      <c r="R1276">
        <v>100</v>
      </c>
      <c r="S1276" t="str">
        <f>_xll.BDP("912828FP Govt","ID_CUSIP")</f>
        <v>912828FP0</v>
      </c>
      <c r="T1276" t="str">
        <f>_xll.BDP("912828FP Govt","IDX_RATIO")</f>
        <v>#N/A Field Not Applicable</v>
      </c>
    </row>
    <row r="1277" spans="1:20" x14ac:dyDescent="0.25">
      <c r="A1277" t="s">
        <v>14</v>
      </c>
      <c r="B1277" t="str">
        <f>_xll.BDP("912828FR Govt","TICKER")</f>
        <v>T</v>
      </c>
      <c r="C1277">
        <f>_xll.BDP("912828FR Govt","CPN")</f>
        <v>4.875</v>
      </c>
      <c r="D1277" t="str">
        <f>_xll.BDP("912828FR Govt","YLD_YTM_BID")</f>
        <v>#N/A N/A</v>
      </c>
      <c r="E1277" t="str">
        <f>_xll.BDP("912828FR Govt","MATURITY")</f>
        <v>8/31/2008</v>
      </c>
      <c r="F1277" t="str">
        <f>_xll.BDP("912828FR Govt","MTY_TYP")</f>
        <v>NORMAL</v>
      </c>
      <c r="G1277" t="str">
        <f>_xll.BDP("912828FR Govt","CRNCY")</f>
        <v>USD</v>
      </c>
      <c r="H1277" t="str">
        <f>_xll.BDP("912828FR Govt","COUNTRY_FULL_NAME")</f>
        <v>UNITED STATES</v>
      </c>
      <c r="I1277" t="str">
        <f>_xll.BDP("912828FR Govt","FIRST_CPN_DT")</f>
        <v>2/28/2007</v>
      </c>
      <c r="J1277" t="str">
        <f>_xll.BDP("912828FR Govt","COUPON_FREQUENCY_DESCRIPTION")</f>
        <v>S/A</v>
      </c>
      <c r="K1277" t="str">
        <f>_xll.BDP("912828FR Govt","CPN_TYP")</f>
        <v>FIXED</v>
      </c>
      <c r="L1277" t="str">
        <f>_xll.BDP("912828FR Govt","ID_ISIN")</f>
        <v>US912828FR67</v>
      </c>
      <c r="M1277">
        <v>26504000000</v>
      </c>
      <c r="N1277">
        <v>0</v>
      </c>
      <c r="O1277" t="str">
        <f>_xll.BDP("912828FR Govt","ISSUE_DT")</f>
        <v>8/31/2006</v>
      </c>
      <c r="P1277" t="str">
        <f>_xll.BDP("912828FR Govt","SECURITY_NAME")</f>
        <v>T 4 7/8 08/31/08</v>
      </c>
      <c r="Q1277" t="str">
        <f>_xll.BDP("912828FR Govt","DAY_CNT_DES")</f>
        <v>ACT/ACT</v>
      </c>
      <c r="R1277">
        <v>100</v>
      </c>
      <c r="S1277" t="str">
        <f>_xll.BDP("912828FR Govt","ID_CUSIP")</f>
        <v>912828FR6</v>
      </c>
      <c r="T1277" t="str">
        <f>_xll.BDP("912828FR Govt","IDX_RATIO")</f>
        <v>#N/A Field Not Applicable</v>
      </c>
    </row>
    <row r="1278" spans="1:20" x14ac:dyDescent="0.25">
      <c r="A1278" t="s">
        <v>14</v>
      </c>
      <c r="B1278" t="str">
        <f>_xll.BDP("912828FX Govt","TICKER")</f>
        <v>T</v>
      </c>
      <c r="C1278">
        <f>_xll.BDP("912828FX Govt","CPN")</f>
        <v>4.625</v>
      </c>
      <c r="D1278" t="str">
        <f>_xll.BDP("912828FX Govt","YLD_YTM_BID")</f>
        <v>#N/A N/A</v>
      </c>
      <c r="E1278" t="str">
        <f>_xll.BDP("912828FX Govt","MATURITY")</f>
        <v>11/15/2009</v>
      </c>
      <c r="F1278" t="str">
        <f>_xll.BDP("912828FX Govt","MTY_TYP")</f>
        <v>NORMAL</v>
      </c>
      <c r="G1278" t="str">
        <f>_xll.BDP("912828FX Govt","CRNCY")</f>
        <v>USD</v>
      </c>
      <c r="H1278" t="str">
        <f>_xll.BDP("912828FX Govt","COUNTRY_FULL_NAME")</f>
        <v>UNITED STATES</v>
      </c>
      <c r="I1278" t="str">
        <f>_xll.BDP("912828FX Govt","FIRST_CPN_DT")</f>
        <v>5/15/2007</v>
      </c>
      <c r="J1278" t="str">
        <f>_xll.BDP("912828FX Govt","COUPON_FREQUENCY_DESCRIPTION")</f>
        <v>S/A</v>
      </c>
      <c r="K1278" t="str">
        <f>_xll.BDP("912828FX Govt","CPN_TYP")</f>
        <v>FIXED</v>
      </c>
      <c r="L1278" t="str">
        <f>_xll.BDP("912828FX Govt","ID_ISIN")</f>
        <v>US912828FX36</v>
      </c>
      <c r="M1278">
        <v>24773000000</v>
      </c>
      <c r="N1278">
        <v>0</v>
      </c>
      <c r="O1278" t="str">
        <f>_xll.BDP("912828FX Govt","ISSUE_DT")</f>
        <v>11/15/2006</v>
      </c>
      <c r="P1278" t="str">
        <f>_xll.BDP("912828FX Govt","SECURITY_NAME")</f>
        <v>T 4 5/8 11/15/09</v>
      </c>
      <c r="Q1278" t="str">
        <f>_xll.BDP("912828FX Govt","DAY_CNT_DES")</f>
        <v>ACT/ACT</v>
      </c>
      <c r="R1278">
        <v>100</v>
      </c>
      <c r="S1278" t="str">
        <f>_xll.BDP("912828FX Govt","ID_CUSIP")</f>
        <v>912828FX3</v>
      </c>
      <c r="T1278" t="str">
        <f>_xll.BDP("912828FX Govt","IDX_RATIO")</f>
        <v>#N/A Field Not Applicable</v>
      </c>
    </row>
    <row r="1279" spans="1:20" x14ac:dyDescent="0.25">
      <c r="A1279" t="s">
        <v>14</v>
      </c>
      <c r="B1279" t="str">
        <f>_xll.BDP("912828FZ Govt","TICKER")</f>
        <v>T</v>
      </c>
      <c r="C1279">
        <f>_xll.BDP("912828FZ Govt","CPN")</f>
        <v>4.625</v>
      </c>
      <c r="D1279" t="str">
        <f>_xll.BDP("912828FZ Govt","YLD_YTM_BID")</f>
        <v>#N/A N/A</v>
      </c>
      <c r="E1279" t="str">
        <f>_xll.BDP("912828FZ Govt","MATURITY")</f>
        <v>11/30/2008</v>
      </c>
      <c r="F1279" t="str">
        <f>_xll.BDP("912828FZ Govt","MTY_TYP")</f>
        <v>NORMAL</v>
      </c>
      <c r="G1279" t="str">
        <f>_xll.BDP("912828FZ Govt","CRNCY")</f>
        <v>USD</v>
      </c>
      <c r="H1279" t="str">
        <f>_xll.BDP("912828FZ Govt","COUNTRY_FULL_NAME")</f>
        <v>UNITED STATES</v>
      </c>
      <c r="I1279" t="str">
        <f>_xll.BDP("912828FZ Govt","FIRST_CPN_DT")</f>
        <v>5/31/2007</v>
      </c>
      <c r="J1279" t="str">
        <f>_xll.BDP("912828FZ Govt","COUPON_FREQUENCY_DESCRIPTION")</f>
        <v>S/A</v>
      </c>
      <c r="K1279" t="str">
        <f>_xll.BDP("912828FZ Govt","CPN_TYP")</f>
        <v>FIXED</v>
      </c>
      <c r="L1279" t="str">
        <f>_xll.BDP("912828FZ Govt","ID_ISIN")</f>
        <v>US912828FZ83</v>
      </c>
      <c r="M1279">
        <v>24338000000</v>
      </c>
      <c r="N1279">
        <v>0</v>
      </c>
      <c r="O1279" t="str">
        <f>_xll.BDP("912828FZ Govt","ISSUE_DT")</f>
        <v>11/30/2006</v>
      </c>
      <c r="P1279" t="str">
        <f>_xll.BDP("912828FZ Govt","SECURITY_NAME")</f>
        <v>T 4 5/8 11/30/08</v>
      </c>
      <c r="Q1279" t="str">
        <f>_xll.BDP("912828FZ Govt","DAY_CNT_DES")</f>
        <v>ACT/ACT</v>
      </c>
      <c r="R1279">
        <v>100</v>
      </c>
      <c r="S1279" t="str">
        <f>_xll.BDP("912828FZ Govt","ID_CUSIP")</f>
        <v>912828FZ8</v>
      </c>
      <c r="T1279" t="str">
        <f>_xll.BDP("912828FZ Govt","IDX_RATIO")</f>
        <v>#N/A Field Not Applicable</v>
      </c>
    </row>
    <row r="1280" spans="1:20" x14ac:dyDescent="0.25">
      <c r="A1280" t="s">
        <v>14</v>
      </c>
      <c r="B1280" t="str">
        <f>_xll.BDP("912828G2 Govt","TICKER")</f>
        <v>T</v>
      </c>
      <c r="C1280">
        <f>_xll.BDP("912828G2 Govt","CPN")</f>
        <v>0.875</v>
      </c>
      <c r="D1280" t="str">
        <f>_xll.BDP("912828G2 Govt","YLD_YTM_BID")</f>
        <v>#N/A N/A</v>
      </c>
      <c r="E1280" t="str">
        <f>_xll.BDP("912828G2 Govt","MATURITY")</f>
        <v>11/15/2017</v>
      </c>
      <c r="F1280" t="str">
        <f>_xll.BDP("912828G2 Govt","MTY_TYP")</f>
        <v>NORMAL</v>
      </c>
      <c r="G1280" t="str">
        <f>_xll.BDP("912828G2 Govt","CRNCY")</f>
        <v>USD</v>
      </c>
      <c r="H1280" t="str">
        <f>_xll.BDP("912828G2 Govt","COUNTRY_FULL_NAME")</f>
        <v>UNITED STATES</v>
      </c>
      <c r="I1280" t="str">
        <f>_xll.BDP("912828G2 Govt","FIRST_CPN_DT")</f>
        <v>5/15/2015</v>
      </c>
      <c r="J1280" t="str">
        <f>_xll.BDP("912828G2 Govt","COUPON_FREQUENCY_DESCRIPTION")</f>
        <v>S/A</v>
      </c>
      <c r="K1280" t="str">
        <f>_xll.BDP("912828G2 Govt","CPN_TYP")</f>
        <v>FIXED</v>
      </c>
      <c r="L1280" t="str">
        <f>_xll.BDP("912828G2 Govt","ID_ISIN")</f>
        <v>US912828G203</v>
      </c>
      <c r="M1280">
        <v>26035000000</v>
      </c>
      <c r="N1280">
        <v>0</v>
      </c>
      <c r="O1280" t="str">
        <f>_xll.BDP("912828G2 Govt","ISSUE_DT")</f>
        <v>11/17/2014</v>
      </c>
      <c r="P1280" t="str">
        <f>_xll.BDP("912828G2 Govt","SECURITY_NAME")</f>
        <v>T 0 7/8 11/15/17</v>
      </c>
      <c r="Q1280" t="str">
        <f>_xll.BDP("912828G2 Govt","DAY_CNT_DES")</f>
        <v>ACT/ACT</v>
      </c>
      <c r="R1280">
        <v>100</v>
      </c>
      <c r="S1280" t="str">
        <f>_xll.BDP("912828G2 Govt","ID_CUSIP")</f>
        <v>912828G20</v>
      </c>
      <c r="T1280" t="str">
        <f>_xll.BDP("912828G2 Govt","IDX_RATIO")</f>
        <v>#N/A Field Not Applicable</v>
      </c>
    </row>
    <row r="1281" spans="1:20" x14ac:dyDescent="0.25">
      <c r="A1281" t="s">
        <v>14</v>
      </c>
      <c r="B1281" t="str">
        <f>_xll.BDP("912828G4 Govt","TICKER")</f>
        <v>T</v>
      </c>
      <c r="C1281">
        <f>_xll.BDP("912828G4 Govt","CPN")</f>
        <v>0.5</v>
      </c>
      <c r="D1281" t="str">
        <f>_xll.BDP("912828G4 Govt","YLD_YTM_BID")</f>
        <v>#N/A N/A</v>
      </c>
      <c r="E1281" t="str">
        <f>_xll.BDP("912828G4 Govt","MATURITY")</f>
        <v>11/30/2016</v>
      </c>
      <c r="F1281" t="str">
        <f>_xll.BDP("912828G4 Govt","MTY_TYP")</f>
        <v>NORMAL</v>
      </c>
      <c r="G1281" t="str">
        <f>_xll.BDP("912828G4 Govt","CRNCY")</f>
        <v>USD</v>
      </c>
      <c r="H1281" t="str">
        <f>_xll.BDP("912828G4 Govt","COUNTRY_FULL_NAME")</f>
        <v>UNITED STATES</v>
      </c>
      <c r="I1281" t="str">
        <f>_xll.BDP("912828G4 Govt","FIRST_CPN_DT")</f>
        <v>5/31/2015</v>
      </c>
      <c r="J1281" t="str">
        <f>_xll.BDP("912828G4 Govt","COUPON_FREQUENCY_DESCRIPTION")</f>
        <v>S/A</v>
      </c>
      <c r="K1281" t="str">
        <f>_xll.BDP("912828G4 Govt","CPN_TYP")</f>
        <v>FIXED</v>
      </c>
      <c r="L1281" t="str">
        <f>_xll.BDP("912828G4 Govt","ID_ISIN")</f>
        <v>US912828G468</v>
      </c>
      <c r="M1281">
        <v>28000000000</v>
      </c>
      <c r="N1281">
        <v>0</v>
      </c>
      <c r="O1281" t="str">
        <f>_xll.BDP("912828G4 Govt","ISSUE_DT")</f>
        <v>12/1/2014</v>
      </c>
      <c r="P1281" t="str">
        <f>_xll.BDP("912828G4 Govt","SECURITY_NAME")</f>
        <v>T 0 1/2 11/30/16</v>
      </c>
      <c r="Q1281" t="str">
        <f>_xll.BDP("912828G4 Govt","DAY_CNT_DES")</f>
        <v>ACT/ACT</v>
      </c>
      <c r="R1281">
        <v>100</v>
      </c>
      <c r="S1281" t="str">
        <f>_xll.BDP("912828G4 Govt","ID_CUSIP")</f>
        <v>912828G46</v>
      </c>
      <c r="T1281" t="str">
        <f>_xll.BDP("912828G4 Govt","IDX_RATIO")</f>
        <v>#N/A Field Not Applicable</v>
      </c>
    </row>
    <row r="1282" spans="1:20" x14ac:dyDescent="0.25">
      <c r="A1282" t="s">
        <v>14</v>
      </c>
      <c r="B1282" t="str">
        <f>_xll.BDP("912828GC Govt","TICKER")</f>
        <v>T</v>
      </c>
      <c r="C1282">
        <f>_xll.BDP("912828GC Govt","CPN")</f>
        <v>4.625</v>
      </c>
      <c r="D1282" t="str">
        <f>_xll.BDP("912828GC Govt","YLD_YTM_BID")</f>
        <v>#N/A N/A</v>
      </c>
      <c r="E1282" t="str">
        <f>_xll.BDP("912828GC Govt","MATURITY")</f>
        <v>12/31/2011</v>
      </c>
      <c r="F1282" t="str">
        <f>_xll.BDP("912828GC Govt","MTY_TYP")</f>
        <v>NORMAL</v>
      </c>
      <c r="G1282" t="str">
        <f>_xll.BDP("912828GC Govt","CRNCY")</f>
        <v>USD</v>
      </c>
      <c r="H1282" t="str">
        <f>_xll.BDP("912828GC Govt","COUNTRY_FULL_NAME")</f>
        <v>UNITED STATES</v>
      </c>
      <c r="I1282" t="str">
        <f>_xll.BDP("912828GC Govt","FIRST_CPN_DT")</f>
        <v>6/30/2007</v>
      </c>
      <c r="J1282" t="str">
        <f>_xll.BDP("912828GC Govt","COUPON_FREQUENCY_DESCRIPTION")</f>
        <v>S/A</v>
      </c>
      <c r="K1282" t="str">
        <f>_xll.BDP("912828GC Govt","CPN_TYP")</f>
        <v>FIXED</v>
      </c>
      <c r="L1282" t="str">
        <f>_xll.BDP("912828GC Govt","ID_ISIN")</f>
        <v>US912828GC89</v>
      </c>
      <c r="M1282">
        <v>16131000000</v>
      </c>
      <c r="N1282">
        <v>0</v>
      </c>
      <c r="O1282" t="str">
        <f>_xll.BDP("912828GC Govt","ISSUE_DT")</f>
        <v>1/2/2007</v>
      </c>
      <c r="P1282" t="str">
        <f>_xll.BDP("912828GC Govt","SECURITY_NAME")</f>
        <v>T 4 5/8 12/31/11</v>
      </c>
      <c r="Q1282" t="str">
        <f>_xll.BDP("912828GC Govt","DAY_CNT_DES")</f>
        <v>ACT/ACT</v>
      </c>
      <c r="R1282">
        <v>100</v>
      </c>
      <c r="S1282" t="str">
        <f>_xll.BDP("912828GC Govt","ID_CUSIP")</f>
        <v>912828GC8</v>
      </c>
      <c r="T1282" t="str">
        <f>_xll.BDP("912828GC Govt","IDX_RATIO")</f>
        <v>#N/A Field Not Applicable</v>
      </c>
    </row>
    <row r="1283" spans="1:20" x14ac:dyDescent="0.25">
      <c r="A1283" t="s">
        <v>14</v>
      </c>
      <c r="B1283" t="str">
        <f>_xll.BDP("912828HC Govt","TICKER")</f>
        <v>T</v>
      </c>
      <c r="C1283">
        <f>_xll.BDP("912828HC Govt","CPN")</f>
        <v>4.125</v>
      </c>
      <c r="D1283" t="str">
        <f>_xll.BDP("912828HC Govt","YLD_YTM_BID")</f>
        <v>#N/A N/A</v>
      </c>
      <c r="E1283" t="str">
        <f>_xll.BDP("912828HC Govt","MATURITY")</f>
        <v>8/31/2012</v>
      </c>
      <c r="F1283" t="str">
        <f>_xll.BDP("912828HC Govt","MTY_TYP")</f>
        <v>NORMAL</v>
      </c>
      <c r="G1283" t="str">
        <f>_xll.BDP("912828HC Govt","CRNCY")</f>
        <v>USD</v>
      </c>
      <c r="H1283" t="str">
        <f>_xll.BDP("912828HC Govt","COUNTRY_FULL_NAME")</f>
        <v>UNITED STATES</v>
      </c>
      <c r="I1283" t="str">
        <f>_xll.BDP("912828HC Govt","FIRST_CPN_DT")</f>
        <v>2/29/2008</v>
      </c>
      <c r="J1283" t="str">
        <f>_xll.BDP("912828HC Govt","COUPON_FREQUENCY_DESCRIPTION")</f>
        <v>S/A</v>
      </c>
      <c r="K1283" t="str">
        <f>_xll.BDP("912828HC Govt","CPN_TYP")</f>
        <v>FIXED</v>
      </c>
      <c r="L1283" t="str">
        <f>_xll.BDP("912828HC Govt","ID_ISIN")</f>
        <v>US912828HC70</v>
      </c>
      <c r="M1283">
        <v>16091000000</v>
      </c>
      <c r="N1283">
        <v>0</v>
      </c>
      <c r="O1283" t="str">
        <f>_xll.BDP("912828HC Govt","ISSUE_DT")</f>
        <v>8/31/2007</v>
      </c>
      <c r="P1283" t="str">
        <f>_xll.BDP("912828HC Govt","SECURITY_NAME")</f>
        <v>T 4 1/8 08/31/12</v>
      </c>
      <c r="Q1283" t="str">
        <f>_xll.BDP("912828HC Govt","DAY_CNT_DES")</f>
        <v>ACT/ACT</v>
      </c>
      <c r="R1283">
        <v>100</v>
      </c>
      <c r="S1283" t="str">
        <f>_xll.BDP("912828HC Govt","ID_CUSIP")</f>
        <v>912828HC7</v>
      </c>
      <c r="T1283" t="str">
        <f>_xll.BDP("912828HC Govt","IDX_RATIO")</f>
        <v>#N/A Field Not Applicable</v>
      </c>
    </row>
    <row r="1284" spans="1:20" x14ac:dyDescent="0.25">
      <c r="A1284" t="s">
        <v>14</v>
      </c>
      <c r="B1284" t="str">
        <f>_xll.BDP("912828R5 Govt","TICKER")</f>
        <v>T</v>
      </c>
      <c r="C1284">
        <f>_xll.BDP("912828R5 Govt","CPN")</f>
        <v>0.875</v>
      </c>
      <c r="D1284" t="str">
        <f>_xll.BDP("912828R5 Govt","YLD_YTM_BID")</f>
        <v>#N/A N/A</v>
      </c>
      <c r="E1284" t="str">
        <f>_xll.BDP("912828R5 Govt","MATURITY")</f>
        <v>5/31/2018</v>
      </c>
      <c r="F1284" t="str">
        <f>_xll.BDP("912828R5 Govt","MTY_TYP")</f>
        <v>NORMAL</v>
      </c>
      <c r="G1284" t="str">
        <f>_xll.BDP("912828R5 Govt","CRNCY")</f>
        <v>USD</v>
      </c>
      <c r="H1284" t="str">
        <f>_xll.BDP("912828R5 Govt","COUNTRY_FULL_NAME")</f>
        <v>UNITED STATES</v>
      </c>
      <c r="I1284" t="str">
        <f>_xll.BDP("912828R5 Govt","FIRST_CPN_DT")</f>
        <v>11/30/2016</v>
      </c>
      <c r="J1284" t="str">
        <f>_xll.BDP("912828R5 Govt","COUPON_FREQUENCY_DESCRIPTION")</f>
        <v>S/A</v>
      </c>
      <c r="K1284" t="str">
        <f>_xll.BDP("912828R5 Govt","CPN_TYP")</f>
        <v>FIXED</v>
      </c>
      <c r="L1284" t="str">
        <f>_xll.BDP("912828R5 Govt","ID_ISIN")</f>
        <v>US912828R515</v>
      </c>
      <c r="M1284">
        <v>32631000000</v>
      </c>
      <c r="N1284">
        <v>0</v>
      </c>
      <c r="O1284" t="str">
        <f>_xll.BDP("912828R5 Govt","ISSUE_DT")</f>
        <v>5/31/2016</v>
      </c>
      <c r="P1284" t="str">
        <f>_xll.BDP("912828R5 Govt","SECURITY_NAME")</f>
        <v>T 0 7/8 05/31/18</v>
      </c>
      <c r="Q1284" t="str">
        <f>_xll.BDP("912828R5 Govt","DAY_CNT_DES")</f>
        <v>ACT/ACT</v>
      </c>
      <c r="R1284">
        <v>100</v>
      </c>
      <c r="S1284" t="str">
        <f>_xll.BDP("912828R5 Govt","ID_CUSIP")</f>
        <v>912828R51</v>
      </c>
      <c r="T1284" t="str">
        <f>_xll.BDP("912828R5 Govt","IDX_RATIO")</f>
        <v>#N/A Field Not Applicable</v>
      </c>
    </row>
    <row r="1285" spans="1:20" x14ac:dyDescent="0.25">
      <c r="A1285" t="s">
        <v>14</v>
      </c>
      <c r="B1285" t="str">
        <f>_xll.BDP("912828JA Govt","TICKER")</f>
        <v>T</v>
      </c>
      <c r="C1285">
        <f>_xll.BDP("912828JA Govt","CPN")</f>
        <v>2.625</v>
      </c>
      <c r="D1285" t="str">
        <f>_xll.BDP("912828JA Govt","YLD_YTM_BID")</f>
        <v>#N/A N/A</v>
      </c>
      <c r="E1285" t="str">
        <f>_xll.BDP("912828JA Govt","MATURITY")</f>
        <v>5/31/2010</v>
      </c>
      <c r="F1285" t="str">
        <f>_xll.BDP("912828JA Govt","MTY_TYP")</f>
        <v>NORMAL</v>
      </c>
      <c r="G1285" t="str">
        <f>_xll.BDP("912828JA Govt","CRNCY")</f>
        <v>USD</v>
      </c>
      <c r="H1285" t="str">
        <f>_xll.BDP("912828JA Govt","COUNTRY_FULL_NAME")</f>
        <v>UNITED STATES</v>
      </c>
      <c r="I1285" t="str">
        <f>_xll.BDP("912828JA Govt","FIRST_CPN_DT")</f>
        <v>11/30/2008</v>
      </c>
      <c r="J1285" t="str">
        <f>_xll.BDP("912828JA Govt","COUPON_FREQUENCY_DESCRIPTION")</f>
        <v>S/A</v>
      </c>
      <c r="K1285" t="str">
        <f>_xll.BDP("912828JA Govt","CPN_TYP")</f>
        <v>FIXED</v>
      </c>
      <c r="L1285" t="str">
        <f>_xll.BDP("912828JA Govt","ID_ISIN")</f>
        <v>US912828JA96</v>
      </c>
      <c r="M1285">
        <v>32407000000</v>
      </c>
      <c r="N1285">
        <v>0</v>
      </c>
      <c r="O1285" t="str">
        <f>_xll.BDP("912828JA Govt","ISSUE_DT")</f>
        <v>6/2/2008</v>
      </c>
      <c r="P1285" t="str">
        <f>_xll.BDP("912828JA Govt","SECURITY_NAME")</f>
        <v>T 2 5/8 05/31/10</v>
      </c>
      <c r="Q1285" t="str">
        <f>_xll.BDP("912828JA Govt","DAY_CNT_DES")</f>
        <v>ACT/ACT</v>
      </c>
      <c r="R1285">
        <v>100</v>
      </c>
      <c r="S1285" t="str">
        <f>_xll.BDP("912828JA Govt","ID_CUSIP")</f>
        <v>912828JA9</v>
      </c>
      <c r="T1285" t="str">
        <f>_xll.BDP("912828JA Govt","IDX_RATIO")</f>
        <v>#N/A Field Not Applicable</v>
      </c>
    </row>
    <row r="1286" spans="1:20" x14ac:dyDescent="0.25">
      <c r="A1286" t="s">
        <v>14</v>
      </c>
      <c r="B1286" t="str">
        <f>_xll.BDP("912828JP Govt","TICKER")</f>
        <v>T</v>
      </c>
      <c r="C1286">
        <f>_xll.BDP("912828JP Govt","CPN")</f>
        <v>1.5</v>
      </c>
      <c r="D1286" t="str">
        <f>_xll.BDP("912828JP Govt","YLD_YTM_BID")</f>
        <v>#N/A N/A</v>
      </c>
      <c r="E1286" t="str">
        <f>_xll.BDP("912828JP Govt","MATURITY")</f>
        <v>10/31/2010</v>
      </c>
      <c r="F1286" t="str">
        <f>_xll.BDP("912828JP Govt","MTY_TYP")</f>
        <v>NORMAL</v>
      </c>
      <c r="G1286" t="str">
        <f>_xll.BDP("912828JP Govt","CRNCY")</f>
        <v>USD</v>
      </c>
      <c r="H1286" t="str">
        <f>_xll.BDP("912828JP Govt","COUNTRY_FULL_NAME")</f>
        <v>UNITED STATES</v>
      </c>
      <c r="I1286" t="str">
        <f>_xll.BDP("912828JP Govt","FIRST_CPN_DT")</f>
        <v>4/30/2009</v>
      </c>
      <c r="J1286" t="str">
        <f>_xll.BDP("912828JP Govt","COUPON_FREQUENCY_DESCRIPTION")</f>
        <v>S/A</v>
      </c>
      <c r="K1286" t="str">
        <f>_xll.BDP("912828JP Govt","CPN_TYP")</f>
        <v>FIXED</v>
      </c>
      <c r="L1286" t="str">
        <f>_xll.BDP("912828JP Govt","ID_ISIN")</f>
        <v>US912828JP65</v>
      </c>
      <c r="M1286">
        <v>35507000000</v>
      </c>
      <c r="N1286">
        <v>0</v>
      </c>
      <c r="O1286" t="str">
        <f>_xll.BDP("912828JP Govt","ISSUE_DT")</f>
        <v>10/31/2008</v>
      </c>
      <c r="P1286" t="str">
        <f>_xll.BDP("912828JP Govt","SECURITY_NAME")</f>
        <v>T 1 1/2 10/31/10</v>
      </c>
      <c r="Q1286" t="str">
        <f>_xll.BDP("912828JP Govt","DAY_CNT_DES")</f>
        <v>ACT/ACT</v>
      </c>
      <c r="R1286">
        <v>100</v>
      </c>
      <c r="S1286" t="str">
        <f>_xll.BDP("912828JP Govt","ID_CUSIP")</f>
        <v>912828JP6</v>
      </c>
      <c r="T1286" t="str">
        <f>_xll.BDP("912828JP Govt","IDX_RATIO")</f>
        <v>#N/A Field Not Applicable</v>
      </c>
    </row>
    <row r="1287" spans="1:20" x14ac:dyDescent="0.25">
      <c r="A1287" t="s">
        <v>14</v>
      </c>
      <c r="B1287" t="str">
        <f>_xll.BDP("912828K2 Govt","TICKER")</f>
        <v>T</v>
      </c>
      <c r="C1287">
        <f>_xll.BDP("912828K2 Govt","CPN")</f>
        <v>0.75</v>
      </c>
      <c r="D1287" t="str">
        <f>_xll.BDP("912828K2 Govt","YLD_YTM_BID")</f>
        <v>#N/A N/A</v>
      </c>
      <c r="E1287" t="str">
        <f>_xll.BDP("912828K2 Govt","MATURITY")</f>
        <v>4/15/2018</v>
      </c>
      <c r="F1287" t="str">
        <f>_xll.BDP("912828K2 Govt","MTY_TYP")</f>
        <v>NORMAL</v>
      </c>
      <c r="G1287" t="str">
        <f>_xll.BDP("912828K2 Govt","CRNCY")</f>
        <v>USD</v>
      </c>
      <c r="H1287" t="str">
        <f>_xll.BDP("912828K2 Govt","COUNTRY_FULL_NAME")</f>
        <v>UNITED STATES</v>
      </c>
      <c r="I1287" t="str">
        <f>_xll.BDP("912828K2 Govt","FIRST_CPN_DT")</f>
        <v>10/15/2015</v>
      </c>
      <c r="J1287" t="str">
        <f>_xll.BDP("912828K2 Govt","COUPON_FREQUENCY_DESCRIPTION")</f>
        <v>S/A</v>
      </c>
      <c r="K1287" t="str">
        <f>_xll.BDP("912828K2 Govt","CPN_TYP")</f>
        <v>FIXED</v>
      </c>
      <c r="L1287" t="str">
        <f>_xll.BDP("912828K2 Govt","ID_ISIN")</f>
        <v>US912828K254</v>
      </c>
      <c r="M1287">
        <v>24000000000</v>
      </c>
      <c r="N1287">
        <v>0</v>
      </c>
      <c r="O1287" t="str">
        <f>_xll.BDP("912828K2 Govt","ISSUE_DT")</f>
        <v>4/15/2015</v>
      </c>
      <c r="P1287" t="str">
        <f>_xll.BDP("912828K2 Govt","SECURITY_NAME")</f>
        <v>T 0 3/4 04/15/18</v>
      </c>
      <c r="Q1287" t="str">
        <f>_xll.BDP("912828K2 Govt","DAY_CNT_DES")</f>
        <v>ACT/ACT</v>
      </c>
      <c r="R1287">
        <v>100</v>
      </c>
      <c r="S1287" t="str">
        <f>_xll.BDP("912828K2 Govt","ID_CUSIP")</f>
        <v>912828K25</v>
      </c>
      <c r="T1287" t="str">
        <f>_xll.BDP("912828K2 Govt","IDX_RATIO")</f>
        <v>#N/A Field Not Applicable</v>
      </c>
    </row>
    <row r="1288" spans="1:20" x14ac:dyDescent="0.25">
      <c r="A1288" t="s">
        <v>14</v>
      </c>
      <c r="B1288" t="str">
        <f>_xll.BDP("912828KG Govt","TICKER")</f>
        <v>T</v>
      </c>
      <c r="C1288">
        <f>_xll.BDP("912828KG Govt","CPN")</f>
        <v>1.375</v>
      </c>
      <c r="D1288" t="str">
        <f>_xll.BDP("912828KG Govt","YLD_YTM_BID")</f>
        <v>#N/A N/A</v>
      </c>
      <c r="E1288" t="str">
        <f>_xll.BDP("912828KG Govt","MATURITY")</f>
        <v>3/15/2012</v>
      </c>
      <c r="F1288" t="str">
        <f>_xll.BDP("912828KG Govt","MTY_TYP")</f>
        <v>NORMAL</v>
      </c>
      <c r="G1288" t="str">
        <f>_xll.BDP("912828KG Govt","CRNCY")</f>
        <v>USD</v>
      </c>
      <c r="H1288" t="str">
        <f>_xll.BDP("912828KG Govt","COUNTRY_FULL_NAME")</f>
        <v>UNITED STATES</v>
      </c>
      <c r="I1288" t="str">
        <f>_xll.BDP("912828KG Govt","FIRST_CPN_DT")</f>
        <v>9/15/2009</v>
      </c>
      <c r="J1288" t="str">
        <f>_xll.BDP("912828KG Govt","COUPON_FREQUENCY_DESCRIPTION")</f>
        <v>S/A</v>
      </c>
      <c r="K1288" t="str">
        <f>_xll.BDP("912828KG Govt","CPN_TYP")</f>
        <v>FIXED</v>
      </c>
      <c r="L1288" t="str">
        <f>_xll.BDP("912828KG Govt","ID_ISIN")</f>
        <v>US912828KG48</v>
      </c>
      <c r="M1288">
        <v>34605000000</v>
      </c>
      <c r="N1288">
        <v>0</v>
      </c>
      <c r="O1288" t="str">
        <f>_xll.BDP("912828KG Govt","ISSUE_DT")</f>
        <v>3/16/2009</v>
      </c>
      <c r="P1288" t="str">
        <f>_xll.BDP("912828KG Govt","SECURITY_NAME")</f>
        <v>T 1 3/8 03/15/12</v>
      </c>
      <c r="Q1288" t="str">
        <f>_xll.BDP("912828KG Govt","DAY_CNT_DES")</f>
        <v>ACT/ACT</v>
      </c>
      <c r="R1288">
        <v>100</v>
      </c>
      <c r="S1288" t="str">
        <f>_xll.BDP("912828KG Govt","ID_CUSIP")</f>
        <v>912828KG4</v>
      </c>
      <c r="T1288" t="str">
        <f>_xll.BDP("912828KG Govt","IDX_RATIO")</f>
        <v>#N/A Field Not Applicable</v>
      </c>
    </row>
    <row r="1289" spans="1:20" x14ac:dyDescent="0.25">
      <c r="A1289" t="s">
        <v>14</v>
      </c>
      <c r="B1289" t="str">
        <f>_xll.BDP("912828LC Govt","TICKER")</f>
        <v>T</v>
      </c>
      <c r="C1289">
        <f>_xll.BDP("912828LC Govt","CPN")</f>
        <v>2.625</v>
      </c>
      <c r="D1289" t="str">
        <f>_xll.BDP("912828LC Govt","YLD_YTM_BID")</f>
        <v>#N/A N/A</v>
      </c>
      <c r="E1289" t="str">
        <f>_xll.BDP("912828LC Govt","MATURITY")</f>
        <v>7/31/2014</v>
      </c>
      <c r="F1289" t="str">
        <f>_xll.BDP("912828LC Govt","MTY_TYP")</f>
        <v>NORMAL</v>
      </c>
      <c r="G1289" t="str">
        <f>_xll.BDP("912828LC Govt","CRNCY")</f>
        <v>USD</v>
      </c>
      <c r="H1289" t="str">
        <f>_xll.BDP("912828LC Govt","COUNTRY_FULL_NAME")</f>
        <v>UNITED STATES</v>
      </c>
      <c r="I1289" t="str">
        <f>_xll.BDP("912828LC Govt","FIRST_CPN_DT")</f>
        <v>1/31/2010</v>
      </c>
      <c r="J1289" t="str">
        <f>_xll.BDP("912828LC Govt","COUPON_FREQUENCY_DESCRIPTION")</f>
        <v>S/A</v>
      </c>
      <c r="K1289" t="str">
        <f>_xll.BDP("912828LC Govt","CPN_TYP")</f>
        <v>FIXED</v>
      </c>
      <c r="L1289" t="str">
        <f>_xll.BDP("912828LC Govt","ID_ISIN")</f>
        <v>US912828LC25</v>
      </c>
      <c r="M1289">
        <v>39976000000</v>
      </c>
      <c r="N1289">
        <v>0</v>
      </c>
      <c r="O1289" t="str">
        <f>_xll.BDP("912828LC Govt","ISSUE_DT")</f>
        <v>7/31/2009</v>
      </c>
      <c r="P1289" t="str">
        <f>_xll.BDP("912828LC Govt","SECURITY_NAME")</f>
        <v>T 2 5/8 07/31/14</v>
      </c>
      <c r="Q1289" t="str">
        <f>_xll.BDP("912828LC Govt","DAY_CNT_DES")</f>
        <v>ACT/ACT</v>
      </c>
      <c r="R1289">
        <v>100</v>
      </c>
      <c r="S1289" t="str">
        <f>_xll.BDP("912828LC Govt","ID_CUSIP")</f>
        <v>912828LC2</v>
      </c>
      <c r="T1289" t="str">
        <f>_xll.BDP("912828LC Govt","IDX_RATIO")</f>
        <v>#N/A Field Not Applicable</v>
      </c>
    </row>
    <row r="1290" spans="1:20" x14ac:dyDescent="0.25">
      <c r="A1290" t="s">
        <v>14</v>
      </c>
      <c r="B1290" t="str">
        <f>_xll.BDP("912828LL Govt","TICKER")</f>
        <v>T</v>
      </c>
      <c r="C1290">
        <f>_xll.BDP("912828LL Govt","CPN")</f>
        <v>3</v>
      </c>
      <c r="D1290" t="str">
        <f>_xll.BDP("912828LL Govt","YLD_YTM_BID")</f>
        <v>#N/A N/A</v>
      </c>
      <c r="E1290" t="str">
        <f>_xll.BDP("912828LL Govt","MATURITY")</f>
        <v>8/31/2016</v>
      </c>
      <c r="F1290" t="str">
        <f>_xll.BDP("912828LL Govt","MTY_TYP")</f>
        <v>NORMAL</v>
      </c>
      <c r="G1290" t="str">
        <f>_xll.BDP("912828LL Govt","CRNCY")</f>
        <v>USD</v>
      </c>
      <c r="H1290" t="str">
        <f>_xll.BDP("912828LL Govt","COUNTRY_FULL_NAME")</f>
        <v>UNITED STATES</v>
      </c>
      <c r="I1290" t="str">
        <f>_xll.BDP("912828LL Govt","FIRST_CPN_DT")</f>
        <v>2/28/2010</v>
      </c>
      <c r="J1290" t="str">
        <f>_xll.BDP("912828LL Govt","COUPON_FREQUENCY_DESCRIPTION")</f>
        <v>S/A</v>
      </c>
      <c r="K1290" t="str">
        <f>_xll.BDP("912828LL Govt","CPN_TYP")</f>
        <v>FIXED</v>
      </c>
      <c r="L1290" t="str">
        <f>_xll.BDP("912828LL Govt","ID_ISIN")</f>
        <v>US912828LL24</v>
      </c>
      <c r="M1290">
        <v>28843000000</v>
      </c>
      <c r="N1290">
        <v>0</v>
      </c>
      <c r="O1290" t="str">
        <f>_xll.BDP("912828LL Govt","ISSUE_DT")</f>
        <v>8/31/2009</v>
      </c>
      <c r="P1290" t="str">
        <f>_xll.BDP("912828LL Govt","SECURITY_NAME")</f>
        <v>T 3 08/31/16</v>
      </c>
      <c r="Q1290" t="str">
        <f>_xll.BDP("912828LL Govt","DAY_CNT_DES")</f>
        <v>ACT/ACT</v>
      </c>
      <c r="R1290">
        <v>100</v>
      </c>
      <c r="S1290" t="str">
        <f>_xll.BDP("912828LL Govt","ID_CUSIP")</f>
        <v>912828LL2</v>
      </c>
      <c r="T1290" t="str">
        <f>_xll.BDP("912828LL Govt","IDX_RATIO")</f>
        <v>#N/A Field Not Applicable</v>
      </c>
    </row>
    <row r="1291" spans="1:20" x14ac:dyDescent="0.25">
      <c r="A1291" t="s">
        <v>14</v>
      </c>
      <c r="B1291" t="str">
        <f>_xll.BDP("912828LV Govt","TICKER")</f>
        <v>T</v>
      </c>
      <c r="C1291">
        <f>_xll.BDP("912828LV Govt","CPN")</f>
        <v>1</v>
      </c>
      <c r="D1291" t="str">
        <f>_xll.BDP("912828LV Govt","YLD_YTM_BID")</f>
        <v>#N/A N/A</v>
      </c>
      <c r="E1291" t="str">
        <f>_xll.BDP("912828LV Govt","MATURITY")</f>
        <v>8/31/2011</v>
      </c>
      <c r="F1291" t="str">
        <f>_xll.BDP("912828LV Govt","MTY_TYP")</f>
        <v>NORMAL</v>
      </c>
      <c r="G1291" t="str">
        <f>_xll.BDP("912828LV Govt","CRNCY")</f>
        <v>USD</v>
      </c>
      <c r="H1291" t="str">
        <f>_xll.BDP("912828LV Govt","COUNTRY_FULL_NAME")</f>
        <v>UNITED STATES</v>
      </c>
      <c r="I1291" t="str">
        <f>_xll.BDP("912828LV Govt","FIRST_CPN_DT")</f>
        <v>2/28/2010</v>
      </c>
      <c r="J1291" t="str">
        <f>_xll.BDP("912828LV Govt","COUPON_FREQUENCY_DESCRIPTION")</f>
        <v>S/A</v>
      </c>
      <c r="K1291" t="str">
        <f>_xll.BDP("912828LV Govt","CPN_TYP")</f>
        <v>FIXED</v>
      </c>
      <c r="L1291" t="str">
        <f>_xll.BDP("912828LV Govt","ID_ISIN")</f>
        <v>US912828LV06</v>
      </c>
      <c r="M1291">
        <v>43262000000</v>
      </c>
      <c r="N1291">
        <v>0</v>
      </c>
      <c r="O1291" t="str">
        <f>_xll.BDP("912828LV Govt","ISSUE_DT")</f>
        <v>8/31/2009</v>
      </c>
      <c r="P1291" t="str">
        <f>_xll.BDP("912828LV Govt","SECURITY_NAME")</f>
        <v>T 1 08/31/11</v>
      </c>
      <c r="Q1291" t="str">
        <f>_xll.BDP("912828LV Govt","DAY_CNT_DES")</f>
        <v>ACT/ACT</v>
      </c>
      <c r="R1291">
        <v>100</v>
      </c>
      <c r="S1291" t="str">
        <f>_xll.BDP("912828LV Govt","ID_CUSIP")</f>
        <v>912828LV0</v>
      </c>
      <c r="T1291" t="str">
        <f>_xll.BDP("912828LV Govt","IDX_RATIO")</f>
        <v>#N/A Field Not Applicable</v>
      </c>
    </row>
    <row r="1292" spans="1:20" x14ac:dyDescent="0.25">
      <c r="A1292" t="s">
        <v>14</v>
      </c>
      <c r="B1292" t="str">
        <f>_xll.BDP("912828NA Govt","TICKER")</f>
        <v>T</v>
      </c>
      <c r="C1292">
        <f>_xll.BDP("912828NA Govt","CPN")</f>
        <v>3.125</v>
      </c>
      <c r="D1292" t="str">
        <f>_xll.BDP("912828NA Govt","YLD_YTM_BID")</f>
        <v>#N/A N/A</v>
      </c>
      <c r="E1292" t="str">
        <f>_xll.BDP("912828NA Govt","MATURITY")</f>
        <v>4/30/2017</v>
      </c>
      <c r="F1292" t="str">
        <f>_xll.BDP("912828NA Govt","MTY_TYP")</f>
        <v>NORMAL</v>
      </c>
      <c r="G1292" t="str">
        <f>_xll.BDP("912828NA Govt","CRNCY")</f>
        <v>USD</v>
      </c>
      <c r="H1292" t="str">
        <f>_xll.BDP("912828NA Govt","COUNTRY_FULL_NAME")</f>
        <v>UNITED STATES</v>
      </c>
      <c r="I1292" t="str">
        <f>_xll.BDP("912828NA Govt","FIRST_CPN_DT")</f>
        <v>10/31/2010</v>
      </c>
      <c r="J1292" t="str">
        <f>_xll.BDP("912828NA Govt","COUPON_FREQUENCY_DESCRIPTION")</f>
        <v>S/A</v>
      </c>
      <c r="K1292" t="str">
        <f>_xll.BDP("912828NA Govt","CPN_TYP")</f>
        <v>FIXED</v>
      </c>
      <c r="L1292" t="str">
        <f>_xll.BDP("912828NA Govt","ID_ISIN")</f>
        <v>US912828NA41</v>
      </c>
      <c r="M1292">
        <v>32682000000</v>
      </c>
      <c r="N1292">
        <v>0</v>
      </c>
      <c r="O1292" t="str">
        <f>_xll.BDP("912828NA Govt","ISSUE_DT")</f>
        <v>4/30/2010</v>
      </c>
      <c r="P1292" t="str">
        <f>_xll.BDP("912828NA Govt","SECURITY_NAME")</f>
        <v>T 3 1/8 04/30/17</v>
      </c>
      <c r="Q1292" t="str">
        <f>_xll.BDP("912828NA Govt","DAY_CNT_DES")</f>
        <v>ACT/ACT</v>
      </c>
      <c r="R1292">
        <v>100</v>
      </c>
      <c r="S1292" t="str">
        <f>_xll.BDP("912828NA Govt","ID_CUSIP")</f>
        <v>912828NA4</v>
      </c>
      <c r="T1292" t="str">
        <f>_xll.BDP("912828NA Govt","IDX_RATIO")</f>
        <v>#N/A Field Not Applicable</v>
      </c>
    </row>
    <row r="1293" spans="1:20" x14ac:dyDescent="0.25">
      <c r="A1293" t="s">
        <v>14</v>
      </c>
      <c r="B1293" t="str">
        <f>_xll.BDP("912828NQ Govt","TICKER")</f>
        <v>T</v>
      </c>
      <c r="C1293">
        <f>_xll.BDP("912828NQ Govt","CPN")</f>
        <v>0.625</v>
      </c>
      <c r="D1293" t="str">
        <f>_xll.BDP("912828NQ Govt","YLD_YTM_BID")</f>
        <v>#N/A N/A</v>
      </c>
      <c r="E1293" t="str">
        <f>_xll.BDP("912828NQ Govt","MATURITY")</f>
        <v>7/31/2012</v>
      </c>
      <c r="F1293" t="str">
        <f>_xll.BDP("912828NQ Govt","MTY_TYP")</f>
        <v>NORMAL</v>
      </c>
      <c r="G1293" t="str">
        <f>_xll.BDP("912828NQ Govt","CRNCY")</f>
        <v>USD</v>
      </c>
      <c r="H1293" t="str">
        <f>_xll.BDP("912828NQ Govt","COUNTRY_FULL_NAME")</f>
        <v>UNITED STATES</v>
      </c>
      <c r="I1293" t="str">
        <f>_xll.BDP("912828NQ Govt","FIRST_CPN_DT")</f>
        <v>1/31/2011</v>
      </c>
      <c r="J1293" t="str">
        <f>_xll.BDP("912828NQ Govt","COUPON_FREQUENCY_DESCRIPTION")</f>
        <v>S/A</v>
      </c>
      <c r="K1293" t="str">
        <f>_xll.BDP("912828NQ Govt","CPN_TYP")</f>
        <v>FIXED</v>
      </c>
      <c r="L1293" t="str">
        <f>_xll.BDP("912828NQ Govt","ID_ISIN")</f>
        <v>US912828NQ92</v>
      </c>
      <c r="M1293">
        <v>39248000000</v>
      </c>
      <c r="N1293">
        <v>0</v>
      </c>
      <c r="O1293" t="str">
        <f>_xll.BDP("912828NQ Govt","ISSUE_DT")</f>
        <v>8/2/2010</v>
      </c>
      <c r="P1293" t="str">
        <f>_xll.BDP("912828NQ Govt","SECURITY_NAME")</f>
        <v>T 0 5/8 07/31/12</v>
      </c>
      <c r="Q1293" t="str">
        <f>_xll.BDP("912828NQ Govt","DAY_CNT_DES")</f>
        <v>ACT/ACT</v>
      </c>
      <c r="R1293">
        <v>100</v>
      </c>
      <c r="S1293" t="str">
        <f>_xll.BDP("912828NQ Govt","ID_CUSIP")</f>
        <v>912828NQ9</v>
      </c>
      <c r="T1293" t="str">
        <f>_xll.BDP("912828NQ Govt","IDX_RATIO")</f>
        <v>#N/A Field Not Applicable</v>
      </c>
    </row>
    <row r="1294" spans="1:20" x14ac:dyDescent="0.25">
      <c r="A1294" t="s">
        <v>14</v>
      </c>
      <c r="B1294" t="str">
        <f>_xll.BDP("912828NW Govt","TICKER")</f>
        <v>T</v>
      </c>
      <c r="C1294">
        <f>_xll.BDP("912828NW Govt","CPN")</f>
        <v>1.875</v>
      </c>
      <c r="D1294" t="str">
        <f>_xll.BDP("912828NW Govt","YLD_YTM_BID")</f>
        <v>#N/A N/A</v>
      </c>
      <c r="E1294" t="str">
        <f>_xll.BDP("912828NW Govt","MATURITY")</f>
        <v>8/31/2017</v>
      </c>
      <c r="F1294" t="str">
        <f>_xll.BDP("912828NW Govt","MTY_TYP")</f>
        <v>NORMAL</v>
      </c>
      <c r="G1294" t="str">
        <f>_xll.BDP("912828NW Govt","CRNCY")</f>
        <v>USD</v>
      </c>
      <c r="H1294" t="str">
        <f>_xll.BDP("912828NW Govt","COUNTRY_FULL_NAME")</f>
        <v>UNITED STATES</v>
      </c>
      <c r="I1294" t="str">
        <f>_xll.BDP("912828NW Govt","FIRST_CPN_DT")</f>
        <v>2/28/2011</v>
      </c>
      <c r="J1294" t="str">
        <f>_xll.BDP("912828NW Govt","COUPON_FREQUENCY_DESCRIPTION")</f>
        <v>S/A</v>
      </c>
      <c r="K1294" t="str">
        <f>_xll.BDP("912828NW Govt","CPN_TYP")</f>
        <v>FIXED</v>
      </c>
      <c r="L1294" t="str">
        <f>_xll.BDP("912828NW Govt","ID_ISIN")</f>
        <v>US912828NW60</v>
      </c>
      <c r="M1294">
        <v>29710000000</v>
      </c>
      <c r="N1294">
        <v>0</v>
      </c>
      <c r="O1294" t="str">
        <f>_xll.BDP("912828NW Govt","ISSUE_DT")</f>
        <v>8/31/2010</v>
      </c>
      <c r="P1294" t="str">
        <f>_xll.BDP("912828NW Govt","SECURITY_NAME")</f>
        <v>T 1 7/8 08/31/17</v>
      </c>
      <c r="Q1294" t="str">
        <f>_xll.BDP("912828NW Govt","DAY_CNT_DES")</f>
        <v>ACT/ACT</v>
      </c>
      <c r="R1294">
        <v>100</v>
      </c>
      <c r="S1294" t="str">
        <f>_xll.BDP("912828NW Govt","ID_CUSIP")</f>
        <v>912828NW6</v>
      </c>
      <c r="T1294" t="str">
        <f>_xll.BDP("912828NW Govt","IDX_RATIO")</f>
        <v>#N/A Field Not Applicable</v>
      </c>
    </row>
    <row r="1295" spans="1:20" x14ac:dyDescent="0.25">
      <c r="A1295" t="s">
        <v>14</v>
      </c>
      <c r="B1295" t="str">
        <f>_xll.BDP("912828NZ Govt","TICKER")</f>
        <v>T</v>
      </c>
      <c r="C1295">
        <f>_xll.BDP("912828NZ Govt","CPN")</f>
        <v>1.25</v>
      </c>
      <c r="D1295" t="str">
        <f>_xll.BDP("912828NZ Govt","YLD_YTM_BID")</f>
        <v>#N/A N/A</v>
      </c>
      <c r="E1295" t="str">
        <f>_xll.BDP("912828NZ Govt","MATURITY")</f>
        <v>9/30/2015</v>
      </c>
      <c r="F1295" t="str">
        <f>_xll.BDP("912828NZ Govt","MTY_TYP")</f>
        <v>NORMAL</v>
      </c>
      <c r="G1295" t="str">
        <f>_xll.BDP("912828NZ Govt","CRNCY")</f>
        <v>USD</v>
      </c>
      <c r="H1295" t="str">
        <f>_xll.BDP("912828NZ Govt","COUNTRY_FULL_NAME")</f>
        <v>UNITED STATES</v>
      </c>
      <c r="I1295" t="str">
        <f>_xll.BDP("912828NZ Govt","FIRST_CPN_DT")</f>
        <v>3/31/2011</v>
      </c>
      <c r="J1295" t="str">
        <f>_xll.BDP("912828NZ Govt","COUPON_FREQUENCY_DESCRIPTION")</f>
        <v>S/A</v>
      </c>
      <c r="K1295" t="str">
        <f>_xll.BDP("912828NZ Govt","CPN_TYP")</f>
        <v>FIXED</v>
      </c>
      <c r="L1295" t="str">
        <f>_xll.BDP("912828NZ Govt","ID_ISIN")</f>
        <v>US912828NZ91</v>
      </c>
      <c r="M1295">
        <v>36103000000</v>
      </c>
      <c r="N1295">
        <v>0</v>
      </c>
      <c r="O1295" t="str">
        <f>_xll.BDP("912828NZ Govt","ISSUE_DT")</f>
        <v>9/30/2010</v>
      </c>
      <c r="P1295" t="str">
        <f>_xll.BDP("912828NZ Govt","SECURITY_NAME")</f>
        <v>T 1 1/4 09/30/15</v>
      </c>
      <c r="Q1295" t="str">
        <f>_xll.BDP("912828NZ Govt","DAY_CNT_DES")</f>
        <v>ACT/ACT</v>
      </c>
      <c r="R1295">
        <v>100</v>
      </c>
      <c r="S1295" t="str">
        <f>_xll.BDP("912828NZ Govt","ID_CUSIP")</f>
        <v>912828NZ9</v>
      </c>
      <c r="T1295" t="str">
        <f>_xll.BDP("912828NZ Govt","IDX_RATIO")</f>
        <v>#N/A Field Not Applicable</v>
      </c>
    </row>
    <row r="1296" spans="1:20" x14ac:dyDescent="0.25">
      <c r="A1296" t="s">
        <v>14</v>
      </c>
      <c r="B1296" t="str">
        <f>_xll.BDP("912828PA Govt","TICKER")</f>
        <v>T</v>
      </c>
      <c r="C1296">
        <f>_xll.BDP("912828PA Govt","CPN")</f>
        <v>1.875</v>
      </c>
      <c r="D1296" t="str">
        <f>_xll.BDP("912828PA Govt","YLD_YTM_BID")</f>
        <v>#N/A N/A</v>
      </c>
      <c r="E1296" t="str">
        <f>_xll.BDP("912828PA Govt","MATURITY")</f>
        <v>9/30/2017</v>
      </c>
      <c r="F1296" t="str">
        <f>_xll.BDP("912828PA Govt","MTY_TYP")</f>
        <v>NORMAL</v>
      </c>
      <c r="G1296" t="str">
        <f>_xll.BDP("912828PA Govt","CRNCY")</f>
        <v>USD</v>
      </c>
      <c r="H1296" t="str">
        <f>_xll.BDP("912828PA Govt","COUNTRY_FULL_NAME")</f>
        <v>UNITED STATES</v>
      </c>
      <c r="I1296" t="str">
        <f>_xll.BDP("912828PA Govt","FIRST_CPN_DT")</f>
        <v>3/31/2011</v>
      </c>
      <c r="J1296" t="str">
        <f>_xll.BDP("912828PA Govt","COUPON_FREQUENCY_DESCRIPTION")</f>
        <v>S/A</v>
      </c>
      <c r="K1296" t="str">
        <f>_xll.BDP("912828PA Govt","CPN_TYP")</f>
        <v>FIXED</v>
      </c>
      <c r="L1296" t="str">
        <f>_xll.BDP("912828PA Govt","ID_ISIN")</f>
        <v>US912828PA23</v>
      </c>
      <c r="M1296">
        <v>29914000000</v>
      </c>
      <c r="N1296">
        <v>0</v>
      </c>
      <c r="O1296" t="str">
        <f>_xll.BDP("912828PA Govt","ISSUE_DT")</f>
        <v>9/30/2010</v>
      </c>
      <c r="P1296" t="str">
        <f>_xll.BDP("912828PA Govt","SECURITY_NAME")</f>
        <v>T 1 7/8 09/30/17</v>
      </c>
      <c r="Q1296" t="str">
        <f>_xll.BDP("912828PA Govt","DAY_CNT_DES")</f>
        <v>ACT/ACT</v>
      </c>
      <c r="R1296">
        <v>100</v>
      </c>
      <c r="S1296" t="str">
        <f>_xll.BDP("912828PA Govt","ID_CUSIP")</f>
        <v>912828PA2</v>
      </c>
      <c r="T1296" t="str">
        <f>_xll.BDP("912828PA Govt","IDX_RATIO")</f>
        <v>#N/A Field Not Applicable</v>
      </c>
    </row>
    <row r="1297" spans="1:20" x14ac:dyDescent="0.25">
      <c r="A1297" t="s">
        <v>14</v>
      </c>
      <c r="B1297" t="str">
        <f>_xll.BDP("912828PB Govt","TICKER")</f>
        <v>T</v>
      </c>
      <c r="C1297">
        <f>_xll.BDP("912828PB Govt","CPN")</f>
        <v>0.5</v>
      </c>
      <c r="D1297" t="str">
        <f>_xll.BDP("912828PB Govt","YLD_YTM_BID")</f>
        <v>#N/A N/A</v>
      </c>
      <c r="E1297" t="str">
        <f>_xll.BDP("912828PB Govt","MATURITY")</f>
        <v>10/15/2013</v>
      </c>
      <c r="F1297" t="str">
        <f>_xll.BDP("912828PB Govt","MTY_TYP")</f>
        <v>NORMAL</v>
      </c>
      <c r="G1297" t="str">
        <f>_xll.BDP("912828PB Govt","CRNCY")</f>
        <v>USD</v>
      </c>
      <c r="H1297" t="str">
        <f>_xll.BDP("912828PB Govt","COUNTRY_FULL_NAME")</f>
        <v>UNITED STATES</v>
      </c>
      <c r="I1297" t="str">
        <f>_xll.BDP("912828PB Govt","FIRST_CPN_DT")</f>
        <v>4/15/2011</v>
      </c>
      <c r="J1297" t="str">
        <f>_xll.BDP("912828PB Govt","COUPON_FREQUENCY_DESCRIPTION")</f>
        <v>S/A</v>
      </c>
      <c r="K1297" t="str">
        <f>_xll.BDP("912828PB Govt","CPN_TYP")</f>
        <v>FIXED</v>
      </c>
      <c r="L1297" t="str">
        <f>_xll.BDP("912828PB Govt","ID_ISIN")</f>
        <v>US912828PB06</v>
      </c>
      <c r="M1297">
        <v>32280000000</v>
      </c>
      <c r="N1297">
        <v>0</v>
      </c>
      <c r="O1297" t="str">
        <f>_xll.BDP("912828PB Govt","ISSUE_DT")</f>
        <v>10/15/2010</v>
      </c>
      <c r="P1297" t="str">
        <f>_xll.BDP("912828PB Govt","SECURITY_NAME")</f>
        <v>T 0 1/2 10/15/13</v>
      </c>
      <c r="Q1297" t="str">
        <f>_xll.BDP("912828PB Govt","DAY_CNT_DES")</f>
        <v>ACT/ACT</v>
      </c>
      <c r="R1297">
        <v>100</v>
      </c>
      <c r="S1297" t="str">
        <f>_xll.BDP("912828PB Govt","ID_CUSIP")</f>
        <v>912828PB0</v>
      </c>
      <c r="T1297" t="str">
        <f>_xll.BDP("912828PB Govt","IDX_RATIO")</f>
        <v>#N/A Field Not Applicable</v>
      </c>
    </row>
    <row r="1298" spans="1:20" x14ac:dyDescent="0.25">
      <c r="A1298" t="s">
        <v>14</v>
      </c>
      <c r="B1298" t="str">
        <f>_xll.BDP("912828PD Govt","TICKER")</f>
        <v>T</v>
      </c>
      <c r="C1298">
        <f>_xll.BDP("912828PD Govt","CPN")</f>
        <v>0.375</v>
      </c>
      <c r="D1298" t="str">
        <f>_xll.BDP("912828PD Govt","YLD_YTM_BID")</f>
        <v>#N/A N/A</v>
      </c>
      <c r="E1298" t="str">
        <f>_xll.BDP("912828PD Govt","MATURITY")</f>
        <v>10/31/2012</v>
      </c>
      <c r="F1298" t="str">
        <f>_xll.BDP("912828PD Govt","MTY_TYP")</f>
        <v>NORMAL</v>
      </c>
      <c r="G1298" t="str">
        <f>_xll.BDP("912828PD Govt","CRNCY")</f>
        <v>USD</v>
      </c>
      <c r="H1298" t="str">
        <f>_xll.BDP("912828PD Govt","COUNTRY_FULL_NAME")</f>
        <v>UNITED STATES</v>
      </c>
      <c r="I1298" t="str">
        <f>_xll.BDP("912828PD Govt","FIRST_CPN_DT")</f>
        <v>4/30/2011</v>
      </c>
      <c r="J1298" t="str">
        <f>_xll.BDP("912828PD Govt","COUPON_FREQUENCY_DESCRIPTION")</f>
        <v>S/A</v>
      </c>
      <c r="K1298" t="str">
        <f>_xll.BDP("912828PD Govt","CPN_TYP")</f>
        <v>FIXED</v>
      </c>
      <c r="L1298" t="str">
        <f>_xll.BDP("912828PD Govt","ID_ISIN")</f>
        <v>US912828PD61</v>
      </c>
      <c r="M1298">
        <v>35717000000</v>
      </c>
      <c r="N1298">
        <v>0</v>
      </c>
      <c r="O1298" t="str">
        <f>_xll.BDP("912828PD Govt","ISSUE_DT")</f>
        <v>11/1/2010</v>
      </c>
      <c r="P1298" t="str">
        <f>_xll.BDP("912828PD Govt","SECURITY_NAME")</f>
        <v>T 0 3/8 10/31/12</v>
      </c>
      <c r="Q1298" t="str">
        <f>_xll.BDP("912828PD Govt","DAY_CNT_DES")</f>
        <v>ACT/ACT</v>
      </c>
      <c r="R1298">
        <v>100</v>
      </c>
      <c r="S1298" t="str">
        <f>_xll.BDP("912828PD Govt","ID_CUSIP")</f>
        <v>912828PD6</v>
      </c>
      <c r="T1298" t="str">
        <f>_xll.BDP("912828PD Govt","IDX_RATIO")</f>
        <v>#N/A Field Not Applicable</v>
      </c>
    </row>
    <row r="1299" spans="1:20" x14ac:dyDescent="0.25">
      <c r="A1299" t="s">
        <v>14</v>
      </c>
      <c r="B1299" t="str">
        <f>_xll.BDP("912828PF Govt","TICKER")</f>
        <v>T</v>
      </c>
      <c r="C1299">
        <f>_xll.BDP("912828PF Govt","CPN")</f>
        <v>1.875</v>
      </c>
      <c r="D1299" t="str">
        <f>_xll.BDP("912828PF Govt","YLD_YTM_BID")</f>
        <v>#N/A N/A</v>
      </c>
      <c r="E1299" t="str">
        <f>_xll.BDP("912828PF Govt","MATURITY")</f>
        <v>10/31/2017</v>
      </c>
      <c r="F1299" t="str">
        <f>_xll.BDP("912828PF Govt","MTY_TYP")</f>
        <v>NORMAL</v>
      </c>
      <c r="G1299" t="str">
        <f>_xll.BDP("912828PF Govt","CRNCY")</f>
        <v>USD</v>
      </c>
      <c r="H1299" t="str">
        <f>_xll.BDP("912828PF Govt","COUNTRY_FULL_NAME")</f>
        <v>UNITED STATES</v>
      </c>
      <c r="I1299" t="str">
        <f>_xll.BDP("912828PF Govt","FIRST_CPN_DT")</f>
        <v>4/30/2011</v>
      </c>
      <c r="J1299" t="str">
        <f>_xll.BDP("912828PF Govt","COUPON_FREQUENCY_DESCRIPTION")</f>
        <v>S/A</v>
      </c>
      <c r="K1299" t="str">
        <f>_xll.BDP("912828PF Govt","CPN_TYP")</f>
        <v>FIXED</v>
      </c>
      <c r="L1299" t="str">
        <f>_xll.BDP("912828PF Govt","ID_ISIN")</f>
        <v>US912828PF10</v>
      </c>
      <c r="M1299">
        <v>29595000000</v>
      </c>
      <c r="N1299">
        <v>0</v>
      </c>
      <c r="O1299" t="str">
        <f>_xll.BDP("912828PF Govt","ISSUE_DT")</f>
        <v>11/1/2010</v>
      </c>
      <c r="P1299" t="str">
        <f>_xll.BDP("912828PF Govt","SECURITY_NAME")</f>
        <v>T 1 7/8 10/31/17</v>
      </c>
      <c r="Q1299" t="str">
        <f>_xll.BDP("912828PF Govt","DAY_CNT_DES")</f>
        <v>ACT/ACT</v>
      </c>
      <c r="R1299">
        <v>100</v>
      </c>
      <c r="S1299" t="str">
        <f>_xll.BDP("912828PF Govt","ID_CUSIP")</f>
        <v>912828PF1</v>
      </c>
      <c r="T1299" t="str">
        <f>_xll.BDP("912828PF Govt","IDX_RATIO")</f>
        <v>#N/A Field Not Applicable</v>
      </c>
    </row>
    <row r="1300" spans="1:20" x14ac:dyDescent="0.25">
      <c r="A1300" t="s">
        <v>14</v>
      </c>
      <c r="B1300" t="str">
        <f>_xll.BDP("912828PT Govt","TICKER")</f>
        <v>T</v>
      </c>
      <c r="C1300">
        <f>_xll.BDP("912828PT Govt","CPN")</f>
        <v>2.625</v>
      </c>
      <c r="D1300" t="str">
        <f>_xll.BDP("912828PT Govt","YLD_YTM_BID")</f>
        <v>#N/A N/A</v>
      </c>
      <c r="E1300" t="str">
        <f>_xll.BDP("912828PT Govt","MATURITY")</f>
        <v>1/31/2018</v>
      </c>
      <c r="F1300" t="str">
        <f>_xll.BDP("912828PT Govt","MTY_TYP")</f>
        <v>NORMAL</v>
      </c>
      <c r="G1300" t="str">
        <f>_xll.BDP("912828PT Govt","CRNCY")</f>
        <v>USD</v>
      </c>
      <c r="H1300" t="str">
        <f>_xll.BDP("912828PT Govt","COUNTRY_FULL_NAME")</f>
        <v>UNITED STATES</v>
      </c>
      <c r="I1300" t="str">
        <f>_xll.BDP("912828PT Govt","FIRST_CPN_DT")</f>
        <v>7/31/2011</v>
      </c>
      <c r="J1300" t="str">
        <f>_xll.BDP("912828PT Govt","COUPON_FREQUENCY_DESCRIPTION")</f>
        <v>S/A</v>
      </c>
      <c r="K1300" t="str">
        <f>_xll.BDP("912828PT Govt","CPN_TYP")</f>
        <v>FIXED</v>
      </c>
      <c r="L1300" t="str">
        <f>_xll.BDP("912828PT Govt","ID_ISIN")</f>
        <v>US912828PT14</v>
      </c>
      <c r="M1300">
        <v>29578000000</v>
      </c>
      <c r="N1300">
        <v>0</v>
      </c>
      <c r="O1300" t="str">
        <f>_xll.BDP("912828PT Govt","ISSUE_DT")</f>
        <v>1/31/2011</v>
      </c>
      <c r="P1300" t="str">
        <f>_xll.BDP("912828PT Govt","SECURITY_NAME")</f>
        <v>T 2 5/8 01/31/18</v>
      </c>
      <c r="Q1300" t="str">
        <f>_xll.BDP("912828PT Govt","DAY_CNT_DES")</f>
        <v>ACT/ACT</v>
      </c>
      <c r="R1300">
        <v>100</v>
      </c>
      <c r="S1300" t="str">
        <f>_xll.BDP("912828PT Govt","ID_CUSIP")</f>
        <v>912828PT1</v>
      </c>
      <c r="T1300" t="str">
        <f>_xll.BDP("912828PT Govt","IDX_RATIO")</f>
        <v>#N/A Field Not Applicable</v>
      </c>
    </row>
    <row r="1301" spans="1:20" x14ac:dyDescent="0.25">
      <c r="A1301" t="s">
        <v>14</v>
      </c>
      <c r="B1301" t="str">
        <f>_xll.BDP("912828QC Govt","TICKER")</f>
        <v>T</v>
      </c>
      <c r="C1301">
        <f>_xll.BDP("912828QC Govt","CPN")</f>
        <v>1.25</v>
      </c>
      <c r="D1301" t="str">
        <f>_xll.BDP("912828QC Govt","YLD_YTM_BID")</f>
        <v>#N/A N/A</v>
      </c>
      <c r="E1301" t="str">
        <f>_xll.BDP("912828QC Govt","MATURITY")</f>
        <v>4/15/2014</v>
      </c>
      <c r="F1301" t="str">
        <f>_xll.BDP("912828QC Govt","MTY_TYP")</f>
        <v>NORMAL</v>
      </c>
      <c r="G1301" t="str">
        <f>_xll.BDP("912828QC Govt","CRNCY")</f>
        <v>USD</v>
      </c>
      <c r="H1301" t="str">
        <f>_xll.BDP("912828QC Govt","COUNTRY_FULL_NAME")</f>
        <v>UNITED STATES</v>
      </c>
      <c r="I1301" t="str">
        <f>_xll.BDP("912828QC Govt","FIRST_CPN_DT")</f>
        <v>10/15/2011</v>
      </c>
      <c r="J1301" t="str">
        <f>_xll.BDP("912828QC Govt","COUPON_FREQUENCY_DESCRIPTION")</f>
        <v>S/A</v>
      </c>
      <c r="K1301" t="str">
        <f>_xll.BDP("912828QC Govt","CPN_TYP")</f>
        <v>FIXED</v>
      </c>
      <c r="L1301" t="str">
        <f>_xll.BDP("912828QC Govt","ID_ISIN")</f>
        <v>US912828QC79</v>
      </c>
      <c r="M1301">
        <v>33576000000</v>
      </c>
      <c r="N1301">
        <v>0</v>
      </c>
      <c r="O1301" t="str">
        <f>_xll.BDP("912828QC Govt","ISSUE_DT")</f>
        <v>4/15/2011</v>
      </c>
      <c r="P1301" t="str">
        <f>_xll.BDP("912828QC Govt","SECURITY_NAME")</f>
        <v>T 1 1/4 04/15/14</v>
      </c>
      <c r="Q1301" t="str">
        <f>_xll.BDP("912828QC Govt","DAY_CNT_DES")</f>
        <v>ACT/ACT</v>
      </c>
      <c r="R1301">
        <v>100</v>
      </c>
      <c r="S1301" t="str">
        <f>_xll.BDP("912828QC Govt","ID_CUSIP")</f>
        <v>912828QC7</v>
      </c>
      <c r="T1301" t="str">
        <f>_xll.BDP("912828QC Govt","IDX_RATIO")</f>
        <v>#N/A Field Not Applicable</v>
      </c>
    </row>
    <row r="1302" spans="1:20" x14ac:dyDescent="0.25">
      <c r="A1302" t="s">
        <v>14</v>
      </c>
      <c r="B1302" t="str">
        <f>_xll.BDP("912828RU Govt","TICKER")</f>
        <v>T</v>
      </c>
      <c r="C1302">
        <f>_xll.BDP("912828RU Govt","CPN")</f>
        <v>0.875</v>
      </c>
      <c r="D1302" t="str">
        <f>_xll.BDP("912828RU Govt","YLD_YTM_BID")</f>
        <v>#N/A N/A</v>
      </c>
      <c r="E1302" t="str">
        <f>_xll.BDP("912828RU Govt","MATURITY")</f>
        <v>11/30/2016</v>
      </c>
      <c r="F1302" t="str">
        <f>_xll.BDP("912828RU Govt","MTY_TYP")</f>
        <v>NORMAL</v>
      </c>
      <c r="G1302" t="str">
        <f>_xll.BDP("912828RU Govt","CRNCY")</f>
        <v>USD</v>
      </c>
      <c r="H1302" t="str">
        <f>_xll.BDP("912828RU Govt","COUNTRY_FULL_NAME")</f>
        <v>UNITED STATES</v>
      </c>
      <c r="I1302" t="str">
        <f>_xll.BDP("912828RU Govt","FIRST_CPN_DT")</f>
        <v>5/31/2012</v>
      </c>
      <c r="J1302" t="str">
        <f>_xll.BDP("912828RU Govt","COUPON_FREQUENCY_DESCRIPTION")</f>
        <v>S/A</v>
      </c>
      <c r="K1302" t="str">
        <f>_xll.BDP("912828RU Govt","CPN_TYP")</f>
        <v>FIXED</v>
      </c>
      <c r="L1302" t="str">
        <f>_xll.BDP("912828RU Govt","ID_ISIN")</f>
        <v>US912828RU68</v>
      </c>
      <c r="M1302">
        <v>36586000000</v>
      </c>
      <c r="N1302">
        <v>0</v>
      </c>
      <c r="O1302" t="str">
        <f>_xll.BDP("912828RU Govt","ISSUE_DT")</f>
        <v>11/30/2011</v>
      </c>
      <c r="P1302" t="str">
        <f>_xll.BDP("912828RU Govt","SECURITY_NAME")</f>
        <v>T 0 7/8 11/30/16</v>
      </c>
      <c r="Q1302" t="str">
        <f>_xll.BDP("912828RU Govt","DAY_CNT_DES")</f>
        <v>ACT/ACT</v>
      </c>
      <c r="R1302">
        <v>100</v>
      </c>
      <c r="S1302" t="str">
        <f>_xll.BDP("912828RU Govt","ID_CUSIP")</f>
        <v>912828RU6</v>
      </c>
      <c r="T1302" t="str">
        <f>_xll.BDP("912828RU Govt","IDX_RATIO")</f>
        <v>#N/A Field Not Applicable</v>
      </c>
    </row>
    <row r="1303" spans="1:20" x14ac:dyDescent="0.25">
      <c r="A1303" t="s">
        <v>14</v>
      </c>
      <c r="B1303" t="str">
        <f>_xll.BDP("912828RW Govt","TICKER")</f>
        <v>T</v>
      </c>
      <c r="C1303">
        <f>_xll.BDP("912828RW Govt","CPN")</f>
        <v>0.125</v>
      </c>
      <c r="D1303" t="str">
        <f>_xll.BDP("912828RW Govt","YLD_YTM_BID")</f>
        <v>#N/A N/A</v>
      </c>
      <c r="E1303" t="str">
        <f>_xll.BDP("912828RW Govt","MATURITY")</f>
        <v>12/31/2013</v>
      </c>
      <c r="F1303" t="str">
        <f>_xll.BDP("912828RW Govt","MTY_TYP")</f>
        <v>NORMAL</v>
      </c>
      <c r="G1303" t="str">
        <f>_xll.BDP("912828RW Govt","CRNCY")</f>
        <v>USD</v>
      </c>
      <c r="H1303" t="str">
        <f>_xll.BDP("912828RW Govt","COUNTRY_FULL_NAME")</f>
        <v>UNITED STATES</v>
      </c>
      <c r="I1303" t="str">
        <f>_xll.BDP("912828RW Govt","FIRST_CPN_DT")</f>
        <v>6/30/2012</v>
      </c>
      <c r="J1303" t="str">
        <f>_xll.BDP("912828RW Govt","COUPON_FREQUENCY_DESCRIPTION")</f>
        <v>S/A</v>
      </c>
      <c r="K1303" t="str">
        <f>_xll.BDP("912828RW Govt","CPN_TYP")</f>
        <v>FIXED</v>
      </c>
      <c r="L1303" t="str">
        <f>_xll.BDP("912828RW Govt","ID_ISIN")</f>
        <v>US912828RW25</v>
      </c>
      <c r="M1303">
        <v>36133000000</v>
      </c>
      <c r="N1303">
        <v>0</v>
      </c>
      <c r="O1303" t="str">
        <f>_xll.BDP("912828RW Govt","ISSUE_DT")</f>
        <v>1/3/2012</v>
      </c>
      <c r="P1303" t="str">
        <f>_xll.BDP("912828RW Govt","SECURITY_NAME")</f>
        <v>T 0 1/8 12/31/13</v>
      </c>
      <c r="Q1303" t="str">
        <f>_xll.BDP("912828RW Govt","DAY_CNT_DES")</f>
        <v>ACT/ACT</v>
      </c>
      <c r="R1303">
        <v>100</v>
      </c>
      <c r="S1303" t="str">
        <f>_xll.BDP("912828RW Govt","ID_CUSIP")</f>
        <v>912828RW2</v>
      </c>
      <c r="T1303" t="str">
        <f>_xll.BDP("912828RW Govt","IDX_RATIO")</f>
        <v>#N/A Field Not Applicable</v>
      </c>
    </row>
    <row r="1304" spans="1:20" x14ac:dyDescent="0.25">
      <c r="A1304" t="s">
        <v>14</v>
      </c>
      <c r="B1304" t="str">
        <f>_xll.BDP("912828T8 Govt","TICKER")</f>
        <v>T</v>
      </c>
      <c r="C1304">
        <f>_xll.BDP("912828T8 Govt","CPN")</f>
        <v>0.75</v>
      </c>
      <c r="D1304" t="str">
        <f>_xll.BDP("912828T8 Govt","YLD_YTM_BID")</f>
        <v>#N/A N/A</v>
      </c>
      <c r="E1304" t="str">
        <f>_xll.BDP("912828T8 Govt","MATURITY")</f>
        <v>10/31/2018</v>
      </c>
      <c r="F1304" t="str">
        <f>_xll.BDP("912828T8 Govt","MTY_TYP")</f>
        <v>NORMAL</v>
      </c>
      <c r="G1304" t="str">
        <f>_xll.BDP("912828T8 Govt","CRNCY")</f>
        <v>USD</v>
      </c>
      <c r="H1304" t="str">
        <f>_xll.BDP("912828T8 Govt","COUNTRY_FULL_NAME")</f>
        <v>UNITED STATES</v>
      </c>
      <c r="I1304" t="str">
        <f>_xll.BDP("912828T8 Govt","FIRST_CPN_DT")</f>
        <v>4/30/2017</v>
      </c>
      <c r="J1304" t="str">
        <f>_xll.BDP("912828T8 Govt","COUPON_FREQUENCY_DESCRIPTION")</f>
        <v>S/A</v>
      </c>
      <c r="K1304" t="str">
        <f>_xll.BDP("912828T8 Govt","CPN_TYP")</f>
        <v>FIXED</v>
      </c>
      <c r="L1304" t="str">
        <f>_xll.BDP("912828T8 Govt","ID_ISIN")</f>
        <v>US912828T834</v>
      </c>
      <c r="M1304">
        <v>27571000000</v>
      </c>
      <c r="N1304">
        <v>0</v>
      </c>
      <c r="O1304" t="str">
        <f>_xll.BDP("912828T8 Govt","ISSUE_DT")</f>
        <v>10/31/2016</v>
      </c>
      <c r="P1304" t="str">
        <f>_xll.BDP("912828T8 Govt","SECURITY_NAME")</f>
        <v>T 0 3/4 10/31/18</v>
      </c>
      <c r="Q1304" t="str">
        <f>_xll.BDP("912828T8 Govt","DAY_CNT_DES")</f>
        <v>ACT/ACT</v>
      </c>
      <c r="R1304">
        <v>100</v>
      </c>
      <c r="S1304" t="str">
        <f>_xll.BDP("912828T8 Govt","ID_CUSIP")</f>
        <v>912828T83</v>
      </c>
      <c r="T1304" t="str">
        <f>_xll.BDP("912828T8 Govt","IDX_RATIO")</f>
        <v>#N/A Field Not Applicable</v>
      </c>
    </row>
    <row r="1305" spans="1:20" x14ac:dyDescent="0.25">
      <c r="A1305" t="s">
        <v>14</v>
      </c>
      <c r="B1305" t="str">
        <f>_xll.BDP("912828VV Govt","TICKER")</f>
        <v>T</v>
      </c>
      <c r="C1305">
        <f>_xll.BDP("912828VV Govt","CPN")</f>
        <v>2.125</v>
      </c>
      <c r="D1305" t="str">
        <f>_xll.BDP("912828VV Govt","YLD_YTM_BID")</f>
        <v>#N/A N/A</v>
      </c>
      <c r="E1305" t="str">
        <f>_xll.BDP("912828VV Govt","MATURITY")</f>
        <v>8/31/2020</v>
      </c>
      <c r="F1305" t="str">
        <f>_xll.BDP("912828VV Govt","MTY_TYP")</f>
        <v>NORMAL</v>
      </c>
      <c r="G1305" t="str">
        <f>_xll.BDP("912828VV Govt","CRNCY")</f>
        <v>USD</v>
      </c>
      <c r="H1305" t="str">
        <f>_xll.BDP("912828VV Govt","COUNTRY_FULL_NAME")</f>
        <v>UNITED STATES</v>
      </c>
      <c r="I1305" t="str">
        <f>_xll.BDP("912828VV Govt","FIRST_CPN_DT")</f>
        <v>2/28/2014</v>
      </c>
      <c r="J1305" t="str">
        <f>_xll.BDP("912828VV Govt","COUPON_FREQUENCY_DESCRIPTION")</f>
        <v>S/A</v>
      </c>
      <c r="K1305" t="str">
        <f>_xll.BDP("912828VV Govt","CPN_TYP")</f>
        <v>FIXED</v>
      </c>
      <c r="L1305" t="str">
        <f>_xll.BDP("912828VV Govt","ID_ISIN")</f>
        <v>US912828VV95</v>
      </c>
      <c r="M1305">
        <v>29000000000</v>
      </c>
      <c r="N1305">
        <v>0</v>
      </c>
      <c r="O1305" t="str">
        <f>_xll.BDP("912828VV Govt","ISSUE_DT")</f>
        <v>9/3/2013</v>
      </c>
      <c r="P1305" t="str">
        <f>_xll.BDP("912828VV Govt","SECURITY_NAME")</f>
        <v>T 2 1/8 08/31/20</v>
      </c>
      <c r="Q1305" t="str">
        <f>_xll.BDP("912828VV Govt","DAY_CNT_DES")</f>
        <v>ACT/ACT</v>
      </c>
      <c r="R1305">
        <v>100</v>
      </c>
      <c r="S1305" t="str">
        <f>_xll.BDP("912828VV Govt","ID_CUSIP")</f>
        <v>912828VV9</v>
      </c>
      <c r="T1305" t="str">
        <f>_xll.BDP("912828VV Govt","IDX_RATIO")</f>
        <v>#N/A Field Not Applicable</v>
      </c>
    </row>
    <row r="1306" spans="1:20" x14ac:dyDescent="0.25">
      <c r="A1306" t="s">
        <v>14</v>
      </c>
      <c r="B1306" t="str">
        <f>_xll.BDP("912828WH Govt","TICKER")</f>
        <v>T</v>
      </c>
      <c r="C1306">
        <f>_xll.BDP("912828WH Govt","CPN")</f>
        <v>0.875</v>
      </c>
      <c r="D1306" t="str">
        <f>_xll.BDP("912828WH Govt","YLD_YTM_BID")</f>
        <v>#N/A N/A</v>
      </c>
      <c r="E1306" t="str">
        <f>_xll.BDP("912828WH Govt","MATURITY")</f>
        <v>5/15/2017</v>
      </c>
      <c r="F1306" t="str">
        <f>_xll.BDP("912828WH Govt","MTY_TYP")</f>
        <v>NORMAL</v>
      </c>
      <c r="G1306" t="str">
        <f>_xll.BDP("912828WH Govt","CRNCY")</f>
        <v>USD</v>
      </c>
      <c r="H1306" t="str">
        <f>_xll.BDP("912828WH Govt","COUNTRY_FULL_NAME")</f>
        <v>UNITED STATES</v>
      </c>
      <c r="I1306" t="str">
        <f>_xll.BDP("912828WH Govt","FIRST_CPN_DT")</f>
        <v>11/15/2014</v>
      </c>
      <c r="J1306" t="str">
        <f>_xll.BDP("912828WH Govt","COUPON_FREQUENCY_DESCRIPTION")</f>
        <v>S/A</v>
      </c>
      <c r="K1306" t="str">
        <f>_xll.BDP("912828WH Govt","CPN_TYP")</f>
        <v>FIXED</v>
      </c>
      <c r="L1306" t="str">
        <f>_xll.BDP("912828WH Govt","ID_ISIN")</f>
        <v>US912828WH92</v>
      </c>
      <c r="M1306">
        <v>29000000000</v>
      </c>
      <c r="N1306">
        <v>0</v>
      </c>
      <c r="O1306" t="str">
        <f>_xll.BDP("912828WH Govt","ISSUE_DT")</f>
        <v>5/15/2014</v>
      </c>
      <c r="P1306" t="str">
        <f>_xll.BDP("912828WH Govt","SECURITY_NAME")</f>
        <v>T 0 7/8 05/15/17</v>
      </c>
      <c r="Q1306" t="str">
        <f>_xll.BDP("912828WH Govt","DAY_CNT_DES")</f>
        <v>ACT/ACT</v>
      </c>
      <c r="R1306">
        <v>100</v>
      </c>
      <c r="S1306" t="str">
        <f>_xll.BDP("912828WH Govt","ID_CUSIP")</f>
        <v>912828WH9</v>
      </c>
      <c r="T1306" t="str">
        <f>_xll.BDP("912828WH Govt","IDX_RATIO")</f>
        <v>#N/A Field Not Applicable</v>
      </c>
    </row>
    <row r="1307" spans="1:20" x14ac:dyDescent="0.25">
      <c r="A1307" t="s">
        <v>14</v>
      </c>
      <c r="B1307" t="str">
        <f>_xll.BDP("912828XS Govt","TICKER")</f>
        <v>T</v>
      </c>
      <c r="C1307">
        <f>_xll.BDP("912828XS Govt","CPN")</f>
        <v>1.25</v>
      </c>
      <c r="D1307" t="str">
        <f>_xll.BDP("912828XS Govt","YLD_YTM_BID")</f>
        <v>#N/A N/A</v>
      </c>
      <c r="E1307" t="str">
        <f>_xll.BDP("912828XS Govt","MATURITY")</f>
        <v>5/31/2019</v>
      </c>
      <c r="F1307" t="str">
        <f>_xll.BDP("912828XS Govt","MTY_TYP")</f>
        <v>NORMAL</v>
      </c>
      <c r="G1307" t="str">
        <f>_xll.BDP("912828XS Govt","CRNCY")</f>
        <v>USD</v>
      </c>
      <c r="H1307" t="str">
        <f>_xll.BDP("912828XS Govt","COUNTRY_FULL_NAME")</f>
        <v>UNITED STATES</v>
      </c>
      <c r="I1307" t="str">
        <f>_xll.BDP("912828XS Govt","FIRST_CPN_DT")</f>
        <v>11/30/2017</v>
      </c>
      <c r="J1307" t="str">
        <f>_xll.BDP("912828XS Govt","COUPON_FREQUENCY_DESCRIPTION")</f>
        <v>S/A</v>
      </c>
      <c r="K1307" t="str">
        <f>_xll.BDP("912828XS Govt","CPN_TYP")</f>
        <v>FIXED</v>
      </c>
      <c r="L1307" t="str">
        <f>_xll.BDP("912828XS Govt","ID_ISIN")</f>
        <v>US912828XS49</v>
      </c>
      <c r="M1307">
        <v>29128000000</v>
      </c>
      <c r="N1307">
        <v>0</v>
      </c>
      <c r="O1307" t="str">
        <f>_xll.BDP("912828XS Govt","ISSUE_DT")</f>
        <v>5/31/2017</v>
      </c>
      <c r="P1307" t="str">
        <f>_xll.BDP("912828XS Govt","SECURITY_NAME")</f>
        <v>T 1 1/4 05/31/19</v>
      </c>
      <c r="Q1307" t="str">
        <f>_xll.BDP("912828XS Govt","DAY_CNT_DES")</f>
        <v>ACT/ACT</v>
      </c>
      <c r="R1307">
        <v>100</v>
      </c>
      <c r="S1307" t="str">
        <f>_xll.BDP("912828XS Govt","ID_CUSIP")</f>
        <v>912828XS4</v>
      </c>
      <c r="T1307" t="str">
        <f>_xll.BDP("912828XS Govt","IDX_RATIO")</f>
        <v>#N/A Field Not Applicable</v>
      </c>
    </row>
    <row r="1308" spans="1:20" x14ac:dyDescent="0.25">
      <c r="A1308" t="s">
        <v>14</v>
      </c>
      <c r="B1308" t="str">
        <f>_xll.BDP("912810CG Govt","TICKER")</f>
        <v>T</v>
      </c>
      <c r="C1308">
        <f>_xll.BDP("912810CG Govt","CPN")</f>
        <v>9.125</v>
      </c>
      <c r="D1308" t="str">
        <f>_xll.BDP("912810CG Govt","YLD_YTM_BID")</f>
        <v>#N/A N/A</v>
      </c>
      <c r="E1308" t="str">
        <f>_xll.BDP("912810CG Govt","MATURITY")</f>
        <v>5/15/2009</v>
      </c>
      <c r="F1308" t="str">
        <f>_xll.BDP("912810CG Govt","MTY_TYP")</f>
        <v>CALLABLE</v>
      </c>
      <c r="G1308" t="str">
        <f>_xll.BDP("912810CG Govt","CRNCY")</f>
        <v>USD</v>
      </c>
      <c r="H1308" t="str">
        <f>_xll.BDP("912810CG Govt","COUNTRY_FULL_NAME")</f>
        <v>UNITED STATES</v>
      </c>
      <c r="I1308" t="str">
        <f>_xll.BDP("912810CG Govt","FIRST_CPN_DT")</f>
        <v>11/15/1979</v>
      </c>
      <c r="J1308" t="str">
        <f>_xll.BDP("912810CG Govt","COUPON_FREQUENCY_DESCRIPTION")</f>
        <v>S/A</v>
      </c>
      <c r="K1308" t="str">
        <f>_xll.BDP("912810CG Govt","CPN_TYP")</f>
        <v>FIXED</v>
      </c>
      <c r="L1308" t="str">
        <f>_xll.BDP("912810CG Govt","ID_ISIN")</f>
        <v>US912810CG14</v>
      </c>
      <c r="M1308">
        <v>4606000000</v>
      </c>
      <c r="N1308">
        <v>0</v>
      </c>
      <c r="O1308" t="str">
        <f>_xll.BDP("912810CG Govt","ISSUE_DT")</f>
        <v>5/15/1979</v>
      </c>
      <c r="P1308" t="str">
        <f>_xll.BDP("912810CG Govt","SECURITY_NAME")</f>
        <v>T 9 1/8 05/15/09</v>
      </c>
      <c r="Q1308" t="str">
        <f>_xll.BDP("912810CG Govt","DAY_CNT_DES")</f>
        <v>ACT/ACT</v>
      </c>
      <c r="R1308">
        <v>100</v>
      </c>
      <c r="S1308" t="str">
        <f>_xll.BDP("912810CG Govt","ID_CUSIP")</f>
        <v>912810CG1</v>
      </c>
      <c r="T1308" t="str">
        <f>_xll.BDP("912810CG Govt","IDX_RATIO")</f>
        <v>#N/A Field Not Applicable</v>
      </c>
    </row>
    <row r="1309" spans="1:20" x14ac:dyDescent="0.25">
      <c r="A1309" t="s">
        <v>14</v>
      </c>
      <c r="B1309" t="str">
        <f>_xll.BDP("912810CK Govt","TICKER")</f>
        <v>T</v>
      </c>
      <c r="C1309">
        <f>_xll.BDP("912810CK Govt","CPN")</f>
        <v>10.375</v>
      </c>
      <c r="D1309" t="str">
        <f>_xll.BDP("912810CK Govt","YLD_YTM_BID")</f>
        <v>#N/A N/A</v>
      </c>
      <c r="E1309" t="str">
        <f>_xll.BDP("912810CK Govt","MATURITY")</f>
        <v>11/15/2009</v>
      </c>
      <c r="F1309" t="str">
        <f>_xll.BDP("912810CK Govt","MTY_TYP")</f>
        <v>CALLABLE</v>
      </c>
      <c r="G1309" t="str">
        <f>_xll.BDP("912810CK Govt","CRNCY")</f>
        <v>USD</v>
      </c>
      <c r="H1309" t="str">
        <f>_xll.BDP("912810CK Govt","COUNTRY_FULL_NAME")</f>
        <v>UNITED STATES</v>
      </c>
      <c r="I1309" t="str">
        <f>_xll.BDP("912810CK Govt","FIRST_CPN_DT")</f>
        <v>5/15/1980</v>
      </c>
      <c r="J1309" t="str">
        <f>_xll.BDP("912810CK Govt","COUPON_FREQUENCY_DESCRIPTION")</f>
        <v>S/A</v>
      </c>
      <c r="K1309" t="str">
        <f>_xll.BDP("912810CK Govt","CPN_TYP")</f>
        <v>FIXED</v>
      </c>
      <c r="L1309" t="str">
        <f>_xll.BDP("912810CK Govt","ID_ISIN")</f>
        <v>US912810CK26</v>
      </c>
      <c r="M1309">
        <v>4201000000</v>
      </c>
      <c r="N1309">
        <v>0</v>
      </c>
      <c r="O1309" t="str">
        <f>_xll.BDP("912810CK Govt","ISSUE_DT")</f>
        <v>11/15/1979</v>
      </c>
      <c r="P1309" t="str">
        <f>_xll.BDP("912810CK Govt","SECURITY_NAME")</f>
        <v>T 10 3/8 11/15/09</v>
      </c>
      <c r="Q1309" t="str">
        <f>_xll.BDP("912810CK Govt","DAY_CNT_DES")</f>
        <v>ACT/ACT</v>
      </c>
      <c r="R1309">
        <v>100</v>
      </c>
      <c r="S1309" t="str">
        <f>_xll.BDP("912810CK Govt","ID_CUSIP")</f>
        <v>912810CK2</v>
      </c>
      <c r="T1309" t="str">
        <f>_xll.BDP("912810CK Govt","IDX_RATIO")</f>
        <v>#N/A Field Not Applicable</v>
      </c>
    </row>
    <row r="1310" spans="1:20" x14ac:dyDescent="0.25">
      <c r="A1310" t="s">
        <v>14</v>
      </c>
      <c r="B1310" t="str">
        <f>_xll.BDP("912810CV Govt","TICKER")</f>
        <v>T</v>
      </c>
      <c r="C1310">
        <f>_xll.BDP("912810CV Govt","CPN")</f>
        <v>13.875</v>
      </c>
      <c r="D1310" t="str">
        <f>_xll.BDP("912810CV Govt","YLD_YTM_BID")</f>
        <v>#N/A N/A</v>
      </c>
      <c r="E1310" t="str">
        <f>_xll.BDP("912810CV Govt","MATURITY")</f>
        <v>5/15/2011</v>
      </c>
      <c r="F1310" t="str">
        <f>_xll.BDP("912810CV Govt","MTY_TYP")</f>
        <v>CALLABLE</v>
      </c>
      <c r="G1310" t="str">
        <f>_xll.BDP("912810CV Govt","CRNCY")</f>
        <v>USD</v>
      </c>
      <c r="H1310" t="str">
        <f>_xll.BDP("912810CV Govt","COUNTRY_FULL_NAME")</f>
        <v>UNITED STATES</v>
      </c>
      <c r="I1310" t="str">
        <f>_xll.BDP("912810CV Govt","FIRST_CPN_DT")</f>
        <v>11/15/1981</v>
      </c>
      <c r="J1310" t="str">
        <f>_xll.BDP("912810CV Govt","COUPON_FREQUENCY_DESCRIPTION")</f>
        <v>S/A</v>
      </c>
      <c r="K1310" t="str">
        <f>_xll.BDP("912810CV Govt","CPN_TYP")</f>
        <v>FIXED</v>
      </c>
      <c r="L1310" t="str">
        <f>_xll.BDP("912810CV Govt","ID_ISIN")</f>
        <v>US912810CV80</v>
      </c>
      <c r="M1310">
        <v>4609000000</v>
      </c>
      <c r="N1310">
        <v>0</v>
      </c>
      <c r="O1310" t="str">
        <f>_xll.BDP("912810CV Govt","ISSUE_DT")</f>
        <v>5/15/1981</v>
      </c>
      <c r="P1310" t="str">
        <f>_xll.BDP("912810CV Govt","SECURITY_NAME")</f>
        <v>T 13 7/8 05/15/11</v>
      </c>
      <c r="Q1310" t="str">
        <f>_xll.BDP("912810CV Govt","DAY_CNT_DES")</f>
        <v>ACT/ACT</v>
      </c>
      <c r="R1310">
        <v>100</v>
      </c>
      <c r="S1310" t="str">
        <f>_xll.BDP("912810CV Govt","ID_CUSIP")</f>
        <v>912810CV8</v>
      </c>
      <c r="T1310" t="str">
        <f>_xll.BDP("912810CV Govt","IDX_RATIO")</f>
        <v>#N/A Field Not Applicable</v>
      </c>
    </row>
    <row r="1311" spans="1:20" x14ac:dyDescent="0.25">
      <c r="A1311" t="s">
        <v>14</v>
      </c>
      <c r="B1311" t="str">
        <f>_xll.BDP("912810DE Govt","TICKER")</f>
        <v>T</v>
      </c>
      <c r="C1311">
        <f>_xll.BDP("912810DE Govt","CPN")</f>
        <v>11.125</v>
      </c>
      <c r="D1311" t="str">
        <f>_xll.BDP("912810DE Govt","YLD_YTM_BID")</f>
        <v>#N/A N/A</v>
      </c>
      <c r="E1311" t="str">
        <f>_xll.BDP("912810DE Govt","MATURITY")</f>
        <v>8/15/2003</v>
      </c>
      <c r="F1311" t="str">
        <f>_xll.BDP("912810DE Govt","MTY_TYP")</f>
        <v>NORMAL</v>
      </c>
      <c r="G1311" t="str">
        <f>_xll.BDP("912810DE Govt","CRNCY")</f>
        <v>USD</v>
      </c>
      <c r="H1311" t="str">
        <f>_xll.BDP("912810DE Govt","COUNTRY_FULL_NAME")</f>
        <v>UNITED STATES</v>
      </c>
      <c r="I1311" t="str">
        <f>_xll.BDP("912810DE Govt","FIRST_CPN_DT")</f>
        <v>2/15/1984</v>
      </c>
      <c r="J1311" t="str">
        <f>_xll.BDP("912810DE Govt","COUPON_FREQUENCY_DESCRIPTION")</f>
        <v>S/A</v>
      </c>
      <c r="K1311" t="str">
        <f>_xll.BDP("912810DE Govt","CPN_TYP")</f>
        <v>FIXED</v>
      </c>
      <c r="L1311" t="str">
        <f>_xll.BDP("912810DE Govt","ID_ISIN")</f>
        <v>US912810DE56</v>
      </c>
      <c r="M1311">
        <v>3501000000</v>
      </c>
      <c r="N1311">
        <v>0</v>
      </c>
      <c r="O1311" t="str">
        <f>_xll.BDP("912810DE Govt","ISSUE_DT")</f>
        <v>7/5/1983</v>
      </c>
      <c r="P1311" t="str">
        <f>_xll.BDP("912810DE Govt","SECURITY_NAME")</f>
        <v>T 11 1/8 08/15/03</v>
      </c>
      <c r="Q1311" t="str">
        <f>_xll.BDP("912810DE Govt","DAY_CNT_DES")</f>
        <v>ACT/ACT</v>
      </c>
      <c r="R1311">
        <v>100</v>
      </c>
      <c r="S1311" t="str">
        <f>_xll.BDP("912810DE Govt","ID_CUSIP")</f>
        <v>912810DE5</v>
      </c>
      <c r="T1311" t="str">
        <f>_xll.BDP("912810DE Govt","IDX_RATIO")</f>
        <v>#N/A Field Not Applicable</v>
      </c>
    </row>
    <row r="1312" spans="1:20" x14ac:dyDescent="0.25">
      <c r="A1312" t="s">
        <v>14</v>
      </c>
      <c r="B1312" t="str">
        <f>_xll.BDP("912810DF Govt","TICKER")</f>
        <v>T</v>
      </c>
      <c r="C1312">
        <f>_xll.BDP("912810DF Govt","CPN")</f>
        <v>12</v>
      </c>
      <c r="D1312" t="str">
        <f>_xll.BDP("912810DF Govt","YLD_YTM_BID")</f>
        <v>#N/A N/A</v>
      </c>
      <c r="E1312" t="str">
        <f>_xll.BDP("912810DF Govt","MATURITY")</f>
        <v>8/15/2013</v>
      </c>
      <c r="F1312" t="str">
        <f>_xll.BDP("912810DF Govt","MTY_TYP")</f>
        <v>CALLABLE</v>
      </c>
      <c r="G1312" t="str">
        <f>_xll.BDP("912810DF Govt","CRNCY")</f>
        <v>USD</v>
      </c>
      <c r="H1312" t="str">
        <f>_xll.BDP("912810DF Govt","COUNTRY_FULL_NAME")</f>
        <v>UNITED STATES</v>
      </c>
      <c r="I1312" t="str">
        <f>_xll.BDP("912810DF Govt","FIRST_CPN_DT")</f>
        <v>2/15/1984</v>
      </c>
      <c r="J1312" t="str">
        <f>_xll.BDP("912810DF Govt","COUPON_FREQUENCY_DESCRIPTION")</f>
        <v>S/A</v>
      </c>
      <c r="K1312" t="str">
        <f>_xll.BDP("912810DF Govt","CPN_TYP")</f>
        <v>FIXED</v>
      </c>
      <c r="L1312" t="str">
        <f>_xll.BDP("912810DF Govt","ID_ISIN")</f>
        <v>US912810DF22</v>
      </c>
      <c r="M1312">
        <v>14755000000</v>
      </c>
      <c r="N1312">
        <v>0</v>
      </c>
      <c r="O1312" t="str">
        <f>_xll.BDP("912810DF Govt","ISSUE_DT")</f>
        <v>8/15/1983</v>
      </c>
      <c r="P1312" t="str">
        <f>_xll.BDP("912810DF Govt","SECURITY_NAME")</f>
        <v>T 12 08/15/13</v>
      </c>
      <c r="Q1312" t="str">
        <f>_xll.BDP("912810DF Govt","DAY_CNT_DES")</f>
        <v>ACT/ACT</v>
      </c>
      <c r="R1312">
        <v>100</v>
      </c>
      <c r="S1312" t="str">
        <f>_xll.BDP("912810DF Govt","ID_CUSIP")</f>
        <v>912810DF2</v>
      </c>
      <c r="T1312" t="str">
        <f>_xll.BDP("912810DF Govt","IDX_RATIO")</f>
        <v>#N/A Field Not Applicable</v>
      </c>
    </row>
    <row r="1313" spans="1:20" x14ac:dyDescent="0.25">
      <c r="A1313" t="s">
        <v>14</v>
      </c>
      <c r="B1313" t="str">
        <f>_xll.BDP("912827E4 Govt","TICKER")</f>
        <v>T</v>
      </c>
      <c r="C1313">
        <f>_xll.BDP("912827E4 Govt","CPN")</f>
        <v>5.375</v>
      </c>
      <c r="D1313" t="str">
        <f>_xll.BDP("912827E4 Govt","YLD_YTM_BID")</f>
        <v>#N/A N/A</v>
      </c>
      <c r="E1313" t="str">
        <f>_xll.BDP("912827E4 Govt","MATURITY")</f>
        <v>2/28/1994</v>
      </c>
      <c r="F1313" t="str">
        <f>_xll.BDP("912827E4 Govt","MTY_TYP")</f>
        <v>NORMAL</v>
      </c>
      <c r="G1313" t="str">
        <f>_xll.BDP("912827E4 Govt","CRNCY")</f>
        <v>USD</v>
      </c>
      <c r="H1313" t="str">
        <f>_xll.BDP("912827E4 Govt","COUNTRY_FULL_NAME")</f>
        <v>UNITED STATES</v>
      </c>
      <c r="I1313" t="str">
        <f>_xll.BDP("912827E4 Govt","FIRST_CPN_DT")</f>
        <v>8/31/1992</v>
      </c>
      <c r="J1313" t="str">
        <f>_xll.BDP("912827E4 Govt","COUPON_FREQUENCY_DESCRIPTION")</f>
        <v>S/A</v>
      </c>
      <c r="K1313" t="str">
        <f>_xll.BDP("912827E4 Govt","CPN_TYP")</f>
        <v>FIXED</v>
      </c>
      <c r="L1313" t="str">
        <f>_xll.BDP("912827E4 Govt","ID_ISIN")</f>
        <v>US912827E408</v>
      </c>
      <c r="N1313">
        <v>0</v>
      </c>
      <c r="O1313" t="str">
        <f>_xll.BDP("912827E4 Govt","ISSUE_DT")</f>
        <v>3/2/1992</v>
      </c>
      <c r="P1313" t="str">
        <f>_xll.BDP("912827E4 Govt","SECURITY_NAME")</f>
        <v>T 5 3/8 02/28/94</v>
      </c>
      <c r="Q1313" t="str">
        <f>_xll.BDP("912827E4 Govt","DAY_CNT_DES")</f>
        <v>ACT/ACT</v>
      </c>
      <c r="R1313">
        <v>100</v>
      </c>
      <c r="S1313" t="str">
        <f>_xll.BDP("912827E4 Govt","ID_CUSIP")</f>
        <v>912827E40</v>
      </c>
      <c r="T1313" t="str">
        <f>_xll.BDP("912827E4 Govt","IDX_RATIO")</f>
        <v>#N/A Field Not Applicable</v>
      </c>
    </row>
    <row r="1314" spans="1:20" x14ac:dyDescent="0.25">
      <c r="A1314" t="s">
        <v>14</v>
      </c>
      <c r="B1314" t="str">
        <f>_xll.BDP("912827F3 Govt","TICKER")</f>
        <v>T</v>
      </c>
      <c r="C1314">
        <f>_xll.BDP("912827F3 Govt","CPN")</f>
        <v>5.875</v>
      </c>
      <c r="D1314" t="str">
        <f>_xll.BDP("912827F3 Govt","YLD_YTM_BID")</f>
        <v>#N/A N/A</v>
      </c>
      <c r="E1314" t="str">
        <f>_xll.BDP("912827F3 Govt","MATURITY")</f>
        <v>5/15/1995</v>
      </c>
      <c r="F1314" t="str">
        <f>_xll.BDP("912827F3 Govt","MTY_TYP")</f>
        <v>NORMAL</v>
      </c>
      <c r="G1314" t="str">
        <f>_xll.BDP("912827F3 Govt","CRNCY")</f>
        <v>USD</v>
      </c>
      <c r="H1314" t="str">
        <f>_xll.BDP("912827F3 Govt","COUNTRY_FULL_NAME")</f>
        <v>UNITED STATES</v>
      </c>
      <c r="I1314" t="str">
        <f>_xll.BDP("912827F3 Govt","FIRST_CPN_DT")</f>
        <v>11/15/1992</v>
      </c>
      <c r="J1314" t="str">
        <f>_xll.BDP("912827F3 Govt","COUPON_FREQUENCY_DESCRIPTION")</f>
        <v>S/A</v>
      </c>
      <c r="K1314" t="str">
        <f>_xll.BDP("912827F3 Govt","CPN_TYP")</f>
        <v>FIXED</v>
      </c>
      <c r="L1314" t="str">
        <f>_xll.BDP("912827F3 Govt","ID_ISIN")</f>
        <v>US912827F314</v>
      </c>
      <c r="N1314">
        <v>0</v>
      </c>
      <c r="O1314" t="str">
        <f>_xll.BDP("912827F3 Govt","ISSUE_DT")</f>
        <v>5/15/1992</v>
      </c>
      <c r="P1314" t="str">
        <f>_xll.BDP("912827F3 Govt","SECURITY_NAME")</f>
        <v>T 5 7/8 05/15/95</v>
      </c>
      <c r="Q1314" t="str">
        <f>_xll.BDP("912827F3 Govt","DAY_CNT_DES")</f>
        <v>ACT/ACT</v>
      </c>
      <c r="R1314">
        <v>100</v>
      </c>
      <c r="S1314" t="str">
        <f>_xll.BDP("912827F3 Govt","ID_CUSIP")</f>
        <v>912827F31</v>
      </c>
      <c r="T1314" t="str">
        <f>_xll.BDP("912827F3 Govt","IDX_RATIO")</f>
        <v>#N/A Field Not Applicable</v>
      </c>
    </row>
    <row r="1315" spans="1:20" x14ac:dyDescent="0.25">
      <c r="A1315" t="s">
        <v>14</v>
      </c>
      <c r="B1315" t="str">
        <f>_xll.BDP("912827F7 Govt","TICKER")</f>
        <v>T</v>
      </c>
      <c r="C1315">
        <f>_xll.BDP("912827F7 Govt","CPN")</f>
        <v>5</v>
      </c>
      <c r="D1315" t="str">
        <f>_xll.BDP("912827F7 Govt","YLD_YTM_BID")</f>
        <v>#N/A N/A</v>
      </c>
      <c r="E1315" t="str">
        <f>_xll.BDP("912827F7 Govt","MATURITY")</f>
        <v>6/30/1994</v>
      </c>
      <c r="F1315" t="str">
        <f>_xll.BDP("912827F7 Govt","MTY_TYP")</f>
        <v>NORMAL</v>
      </c>
      <c r="G1315" t="str">
        <f>_xll.BDP("912827F7 Govt","CRNCY")</f>
        <v>USD</v>
      </c>
      <c r="H1315" t="str">
        <f>_xll.BDP("912827F7 Govt","COUNTRY_FULL_NAME")</f>
        <v>UNITED STATES</v>
      </c>
      <c r="I1315" t="str">
        <f>_xll.BDP("912827F7 Govt","FIRST_CPN_DT")</f>
        <v>12/31/1992</v>
      </c>
      <c r="J1315" t="str">
        <f>_xll.BDP("912827F7 Govt","COUPON_FREQUENCY_DESCRIPTION")</f>
        <v>S/A</v>
      </c>
      <c r="K1315" t="str">
        <f>_xll.BDP("912827F7 Govt","CPN_TYP")</f>
        <v>FIXED</v>
      </c>
      <c r="L1315" t="str">
        <f>_xll.BDP("912827F7 Govt","ID_ISIN")</f>
        <v>US912827F728</v>
      </c>
      <c r="N1315">
        <v>0</v>
      </c>
      <c r="O1315" t="str">
        <f>_xll.BDP("912827F7 Govt","ISSUE_DT")</f>
        <v>6/30/1992</v>
      </c>
      <c r="P1315" t="str">
        <f>_xll.BDP("912827F7 Govt","SECURITY_NAME")</f>
        <v>T 5 06/30/94</v>
      </c>
      <c r="Q1315" t="str">
        <f>_xll.BDP("912827F7 Govt","DAY_CNT_DES")</f>
        <v>ACT/ACT</v>
      </c>
      <c r="R1315">
        <v>100</v>
      </c>
      <c r="S1315" t="str">
        <f>_xll.BDP("912827F7 Govt","ID_CUSIP")</f>
        <v>912827F72</v>
      </c>
      <c r="T1315" t="str">
        <f>_xll.BDP("912827F7 Govt","IDX_RATIO")</f>
        <v>#N/A Field Not Applicable</v>
      </c>
    </row>
    <row r="1316" spans="1:20" x14ac:dyDescent="0.25">
      <c r="A1316" t="s">
        <v>14</v>
      </c>
      <c r="B1316" t="str">
        <f>_xll.BDP("912827H3 Govt","TICKER")</f>
        <v>T</v>
      </c>
      <c r="C1316">
        <f>_xll.BDP("912827H3 Govt","CPN")</f>
        <v>4.25</v>
      </c>
      <c r="D1316" t="str">
        <f>_xll.BDP("912827H3 Govt","YLD_YTM_BID")</f>
        <v>#N/A N/A</v>
      </c>
      <c r="E1316" t="str">
        <f>_xll.BDP("912827H3 Govt","MATURITY")</f>
        <v>10/31/1994</v>
      </c>
      <c r="F1316" t="str">
        <f>_xll.BDP("912827H3 Govt","MTY_TYP")</f>
        <v>NORMAL</v>
      </c>
      <c r="G1316" t="str">
        <f>_xll.BDP("912827H3 Govt","CRNCY")</f>
        <v>USD</v>
      </c>
      <c r="H1316" t="str">
        <f>_xll.BDP("912827H3 Govt","COUNTRY_FULL_NAME")</f>
        <v>UNITED STATES</v>
      </c>
      <c r="I1316" t="str">
        <f>_xll.BDP("912827H3 Govt","FIRST_CPN_DT")</f>
        <v>4/30/1993</v>
      </c>
      <c r="J1316" t="str">
        <f>_xll.BDP("912827H3 Govt","COUPON_FREQUENCY_DESCRIPTION")</f>
        <v>S/A</v>
      </c>
      <c r="K1316" t="str">
        <f>_xll.BDP("912827H3 Govt","CPN_TYP")</f>
        <v>FIXED</v>
      </c>
      <c r="L1316" t="str">
        <f>_xll.BDP("912827H3 Govt","ID_ISIN")</f>
        <v>US912827H393</v>
      </c>
      <c r="N1316">
        <v>0</v>
      </c>
      <c r="O1316" t="str">
        <f>_xll.BDP("912827H3 Govt","ISSUE_DT")</f>
        <v>11/2/1992</v>
      </c>
      <c r="P1316" t="str">
        <f>_xll.BDP("912827H3 Govt","SECURITY_NAME")</f>
        <v>T 4 1/4 10/31/94</v>
      </c>
      <c r="Q1316" t="str">
        <f>_xll.BDP("912827H3 Govt","DAY_CNT_DES")</f>
        <v>ACT/ACT</v>
      </c>
      <c r="R1316">
        <v>100</v>
      </c>
      <c r="S1316" t="str">
        <f>_xll.BDP("912827H3 Govt","ID_CUSIP")</f>
        <v>912827H39</v>
      </c>
      <c r="T1316" t="str">
        <f>_xll.BDP("912827H3 Govt","IDX_RATIO")</f>
        <v>#N/A Field Not Applicable</v>
      </c>
    </row>
    <row r="1317" spans="1:20" x14ac:dyDescent="0.25">
      <c r="A1317" t="s">
        <v>14</v>
      </c>
      <c r="B1317" t="str">
        <f>_xll.BDP("912827J6 Govt","TICKER")</f>
        <v>T</v>
      </c>
      <c r="C1317">
        <f>_xll.BDP("912827J6 Govt","CPN")</f>
        <v>4.625</v>
      </c>
      <c r="D1317" t="str">
        <f>_xll.BDP("912827J6 Govt","YLD_YTM_BID")</f>
        <v>#N/A N/A</v>
      </c>
      <c r="E1317" t="str">
        <f>_xll.BDP("912827J6 Govt","MATURITY")</f>
        <v>2/15/1996</v>
      </c>
      <c r="F1317" t="str">
        <f>_xll.BDP("912827J6 Govt","MTY_TYP")</f>
        <v>NORMAL</v>
      </c>
      <c r="G1317" t="str">
        <f>_xll.BDP("912827J6 Govt","CRNCY")</f>
        <v>USD</v>
      </c>
      <c r="H1317" t="str">
        <f>_xll.BDP("912827J6 Govt","COUNTRY_FULL_NAME")</f>
        <v>UNITED STATES</v>
      </c>
      <c r="I1317" t="str">
        <f>_xll.BDP("912827J6 Govt","FIRST_CPN_DT")</f>
        <v>8/15/1993</v>
      </c>
      <c r="J1317" t="str">
        <f>_xll.BDP("912827J6 Govt","COUPON_FREQUENCY_DESCRIPTION")</f>
        <v>S/A</v>
      </c>
      <c r="K1317" t="str">
        <f>_xll.BDP("912827J6 Govt","CPN_TYP")</f>
        <v>FIXED</v>
      </c>
      <c r="L1317" t="str">
        <f>_xll.BDP("912827J6 Govt","ID_ISIN")</f>
        <v>US912827J605</v>
      </c>
      <c r="N1317">
        <v>0</v>
      </c>
      <c r="O1317" t="str">
        <f>_xll.BDP("912827J6 Govt","ISSUE_DT")</f>
        <v>2/16/1993</v>
      </c>
      <c r="P1317" t="str">
        <f>_xll.BDP("912827J6 Govt","SECURITY_NAME")</f>
        <v>T 4 5/8 02/15/96</v>
      </c>
      <c r="Q1317" t="str">
        <f>_xll.BDP("912827J6 Govt","DAY_CNT_DES")</f>
        <v>ACT/ACT</v>
      </c>
      <c r="R1317">
        <v>100</v>
      </c>
      <c r="S1317" t="str">
        <f>_xll.BDP("912827J6 Govt","ID_CUSIP")</f>
        <v>912827J60</v>
      </c>
      <c r="T1317" t="str">
        <f>_xll.BDP("912827J6 Govt","IDX_RATIO")</f>
        <v>#N/A Field Not Applicable</v>
      </c>
    </row>
    <row r="1318" spans="1:20" x14ac:dyDescent="0.25">
      <c r="A1318" t="s">
        <v>14</v>
      </c>
      <c r="B1318" t="str">
        <f>_xll.BDP("912827KT Govt","TICKER")</f>
        <v>T</v>
      </c>
      <c r="C1318">
        <f>_xll.BDP("912827KT Govt","CPN")</f>
        <v>9.625</v>
      </c>
      <c r="D1318" t="str">
        <f>_xll.BDP("912827KT Govt","YLD_YTM_BID")</f>
        <v>#N/A N/A</v>
      </c>
      <c r="E1318" t="str">
        <f>_xll.BDP("912827KT Govt","MATURITY")</f>
        <v>8/15/1985</v>
      </c>
      <c r="F1318" t="str">
        <f>_xll.BDP("912827KT Govt","MTY_TYP")</f>
        <v>NORMAL</v>
      </c>
      <c r="G1318" t="str">
        <f>_xll.BDP("912827KT Govt","CRNCY")</f>
        <v>USD</v>
      </c>
      <c r="H1318" t="str">
        <f>_xll.BDP("912827KT Govt","COUNTRY_FULL_NAME")</f>
        <v>UNITED STATES</v>
      </c>
      <c r="I1318" t="str">
        <f>_xll.BDP("912827KT Govt","FIRST_CPN_DT")</f>
        <v>2/15/1981</v>
      </c>
      <c r="J1318" t="str">
        <f>_xll.BDP("912827KT Govt","COUPON_FREQUENCY_DESCRIPTION")</f>
        <v>S/A</v>
      </c>
      <c r="K1318" t="str">
        <f>_xll.BDP("912827KT Govt","CPN_TYP")</f>
        <v>FIXED</v>
      </c>
      <c r="L1318" t="str">
        <f>_xll.BDP("912827KT Govt","ID_ISIN")</f>
        <v>US912827KT85</v>
      </c>
      <c r="N1318">
        <v>0</v>
      </c>
      <c r="O1318" t="str">
        <f>_xll.BDP("912827KT Govt","ISSUE_DT")</f>
        <v>6/5/1980</v>
      </c>
      <c r="P1318" t="str">
        <f>_xll.BDP("912827KT Govt","SECURITY_NAME")</f>
        <v>T 9 5/8 08/15/85</v>
      </c>
      <c r="Q1318" t="str">
        <f>_xll.BDP("912827KT Govt","DAY_CNT_DES")</f>
        <v>ACT/ACT</v>
      </c>
      <c r="R1318">
        <v>100</v>
      </c>
      <c r="S1318" t="str">
        <f>_xll.BDP("912827KT Govt","ID_CUSIP")</f>
        <v>912827KT8</v>
      </c>
      <c r="T1318" t="str">
        <f>_xll.BDP("912827KT Govt","IDX_RATIO")</f>
        <v>#N/A Field Not Applicable</v>
      </c>
    </row>
    <row r="1319" spans="1:20" x14ac:dyDescent="0.25">
      <c r="A1319" t="s">
        <v>14</v>
      </c>
      <c r="B1319" t="str">
        <f>_xll.BDP("912827L8 Govt","TICKER")</f>
        <v>T</v>
      </c>
      <c r="C1319">
        <f>_xll.BDP("912827L8 Govt","CPN")</f>
        <v>5.75</v>
      </c>
      <c r="D1319" t="str">
        <f>_xll.BDP("912827L8 Govt","YLD_YTM_BID")</f>
        <v>#N/A N/A</v>
      </c>
      <c r="E1319" t="str">
        <f>_xll.BDP("912827L8 Govt","MATURITY")</f>
        <v>8/15/2003</v>
      </c>
      <c r="F1319" t="str">
        <f>_xll.BDP("912827L8 Govt","MTY_TYP")</f>
        <v>NORMAL</v>
      </c>
      <c r="G1319" t="str">
        <f>_xll.BDP("912827L8 Govt","CRNCY")</f>
        <v>USD</v>
      </c>
      <c r="H1319" t="str">
        <f>_xll.BDP("912827L8 Govt","COUNTRY_FULL_NAME")</f>
        <v>UNITED STATES</v>
      </c>
      <c r="I1319" t="str">
        <f>_xll.BDP("912827L8 Govt","FIRST_CPN_DT")</f>
        <v>2/15/1994</v>
      </c>
      <c r="J1319" t="str">
        <f>_xll.BDP("912827L8 Govt","COUPON_FREQUENCY_DESCRIPTION")</f>
        <v>S/A</v>
      </c>
      <c r="K1319" t="str">
        <f>_xll.BDP("912827L8 Govt","CPN_TYP")</f>
        <v>FIXED</v>
      </c>
      <c r="L1319" t="str">
        <f>_xll.BDP("912827L8 Govt","ID_ISIN")</f>
        <v>US912827L833</v>
      </c>
      <c r="M1319">
        <v>28011000000</v>
      </c>
      <c r="N1319">
        <v>0</v>
      </c>
      <c r="O1319" t="str">
        <f>_xll.BDP("912827L8 Govt","ISSUE_DT")</f>
        <v>8/16/1993</v>
      </c>
      <c r="P1319" t="str">
        <f>_xll.BDP("912827L8 Govt","SECURITY_NAME")</f>
        <v>T 5 3/4 08/15/03</v>
      </c>
      <c r="Q1319" t="str">
        <f>_xll.BDP("912827L8 Govt","DAY_CNT_DES")</f>
        <v>ACT/ACT</v>
      </c>
      <c r="R1319">
        <v>100</v>
      </c>
      <c r="S1319" t="str">
        <f>_xll.BDP("912827L8 Govt","ID_CUSIP")</f>
        <v>912827L83</v>
      </c>
      <c r="T1319" t="str">
        <f>_xll.BDP("912827L8 Govt","IDX_RATIO")</f>
        <v>#N/A Field Not Applicable</v>
      </c>
    </row>
    <row r="1320" spans="1:20" x14ac:dyDescent="0.25">
      <c r="A1320" t="s">
        <v>14</v>
      </c>
      <c r="B1320" t="str">
        <f>_xll.BDP("912827LB Govt","TICKER")</f>
        <v>T</v>
      </c>
      <c r="C1320">
        <f>_xll.BDP("912827LB Govt","CPN")</f>
        <v>11.875</v>
      </c>
      <c r="D1320" t="str">
        <f>_xll.BDP("912827LB Govt","YLD_YTM_BID")</f>
        <v>#N/A N/A</v>
      </c>
      <c r="E1320" t="str">
        <f>_xll.BDP("912827LB Govt","MATURITY")</f>
        <v>9/30/1982</v>
      </c>
      <c r="F1320" t="str">
        <f>_xll.BDP("912827LB Govt","MTY_TYP")</f>
        <v>NORMAL</v>
      </c>
      <c r="G1320" t="str">
        <f>_xll.BDP("912827LB Govt","CRNCY")</f>
        <v>USD</v>
      </c>
      <c r="H1320" t="str">
        <f>_xll.BDP("912827LB Govt","COUNTRY_FULL_NAME")</f>
        <v>UNITED STATES</v>
      </c>
      <c r="I1320" t="str">
        <f>_xll.BDP("912827LB Govt","FIRST_CPN_DT")</f>
        <v>3/31/1981</v>
      </c>
      <c r="J1320" t="str">
        <f>_xll.BDP("912827LB Govt","COUPON_FREQUENCY_DESCRIPTION")</f>
        <v>S/A</v>
      </c>
      <c r="K1320" t="str">
        <f>_xll.BDP("912827LB Govt","CPN_TYP")</f>
        <v>FIXED</v>
      </c>
      <c r="L1320" t="str">
        <f>_xll.BDP("912827LB Govt","ID_ISIN")</f>
        <v>US912827LB68</v>
      </c>
      <c r="N1320">
        <v>0</v>
      </c>
      <c r="O1320" t="str">
        <f>_xll.BDP("912827LB Govt","ISSUE_DT")</f>
        <v>9/30/1980</v>
      </c>
      <c r="P1320" t="str">
        <f>_xll.BDP("912827LB Govt","SECURITY_NAME")</f>
        <v>T 11 7/8 09/30/82</v>
      </c>
      <c r="Q1320" t="str">
        <f>_xll.BDP("912827LB Govt","DAY_CNT_DES")</f>
        <v>ACT/ACT</v>
      </c>
      <c r="R1320">
        <v>100</v>
      </c>
      <c r="S1320" t="str">
        <f>_xll.BDP("912827LB Govt","ID_CUSIP")</f>
        <v>912827LB6</v>
      </c>
      <c r="T1320" t="str">
        <f>_xll.BDP("912827LB Govt","IDX_RATIO")</f>
        <v>#N/A Field Not Applicable</v>
      </c>
    </row>
    <row r="1321" spans="1:20" x14ac:dyDescent="0.25">
      <c r="A1321" t="s">
        <v>14</v>
      </c>
      <c r="B1321" t="str">
        <f>_xll.BDP("912827LG Govt","TICKER")</f>
        <v>T</v>
      </c>
      <c r="C1321">
        <f>_xll.BDP("912827LG Govt","CPN")</f>
        <v>13.875</v>
      </c>
      <c r="D1321" t="str">
        <f>_xll.BDP("912827LG Govt","YLD_YTM_BID")</f>
        <v>#N/A N/A</v>
      </c>
      <c r="E1321" t="str">
        <f>_xll.BDP("912827LG Govt","MATURITY")</f>
        <v>11/30/1982</v>
      </c>
      <c r="F1321" t="str">
        <f>_xll.BDP("912827LG Govt","MTY_TYP")</f>
        <v>NORMAL</v>
      </c>
      <c r="G1321" t="str">
        <f>_xll.BDP("912827LG Govt","CRNCY")</f>
        <v>USD</v>
      </c>
      <c r="H1321" t="str">
        <f>_xll.BDP("912827LG Govt","COUNTRY_FULL_NAME")</f>
        <v>UNITED STATES</v>
      </c>
      <c r="I1321" t="str">
        <f>_xll.BDP("912827LG Govt","FIRST_CPN_DT")</f>
        <v>5/31/1981</v>
      </c>
      <c r="J1321" t="str">
        <f>_xll.BDP("912827LG Govt","COUPON_FREQUENCY_DESCRIPTION")</f>
        <v>S/A</v>
      </c>
      <c r="K1321" t="str">
        <f>_xll.BDP("912827LG Govt","CPN_TYP")</f>
        <v>FIXED</v>
      </c>
      <c r="L1321" t="str">
        <f>_xll.BDP("912827LG Govt","ID_ISIN")</f>
        <v>US912827LG55</v>
      </c>
      <c r="N1321">
        <v>0</v>
      </c>
      <c r="O1321" t="str">
        <f>_xll.BDP("912827LG Govt","ISSUE_DT")</f>
        <v>12/1/1980</v>
      </c>
      <c r="P1321" t="str">
        <f>_xll.BDP("912827LG Govt","SECURITY_NAME")</f>
        <v>T 13 7/8 11/30/82</v>
      </c>
      <c r="Q1321" t="str">
        <f>_xll.BDP("912827LG Govt","DAY_CNT_DES")</f>
        <v>ACT/ACT</v>
      </c>
      <c r="R1321">
        <v>100</v>
      </c>
      <c r="S1321" t="str">
        <f>_xll.BDP("912827LG Govt","ID_CUSIP")</f>
        <v>912827LG5</v>
      </c>
      <c r="T1321" t="str">
        <f>_xll.BDP("912827LG Govt","IDX_RATIO")</f>
        <v>#N/A Field Not Applicable</v>
      </c>
    </row>
    <row r="1322" spans="1:20" x14ac:dyDescent="0.25">
      <c r="A1322" t="s">
        <v>14</v>
      </c>
      <c r="B1322" t="str">
        <f>_xll.BDP("912827LQ Govt","TICKER")</f>
        <v>T</v>
      </c>
      <c r="C1322">
        <f>_xll.BDP("912827LQ Govt","CPN")</f>
        <v>13.75</v>
      </c>
      <c r="D1322" t="str">
        <f>_xll.BDP("912827LQ Govt","YLD_YTM_BID")</f>
        <v>#N/A N/A</v>
      </c>
      <c r="E1322" t="str">
        <f>_xll.BDP("912827LQ Govt","MATURITY")</f>
        <v>5/15/1986</v>
      </c>
      <c r="F1322" t="str">
        <f>_xll.BDP("912827LQ Govt","MTY_TYP")</f>
        <v>NORMAL</v>
      </c>
      <c r="G1322" t="str">
        <f>_xll.BDP("912827LQ Govt","CRNCY")</f>
        <v>USD</v>
      </c>
      <c r="H1322" t="str">
        <f>_xll.BDP("912827LQ Govt","COUNTRY_FULL_NAME")</f>
        <v>UNITED STATES</v>
      </c>
      <c r="I1322" t="str">
        <f>_xll.BDP("912827LQ Govt","FIRST_CPN_DT")</f>
        <v>11/15/1981</v>
      </c>
      <c r="J1322" t="str">
        <f>_xll.BDP("912827LQ Govt","COUPON_FREQUENCY_DESCRIPTION")</f>
        <v>S/A</v>
      </c>
      <c r="K1322" t="str">
        <f>_xll.BDP("912827LQ Govt","CPN_TYP")</f>
        <v>FIXED</v>
      </c>
      <c r="L1322" t="str">
        <f>_xll.BDP("912827LQ Govt","ID_ISIN")</f>
        <v>US912827LQ38</v>
      </c>
      <c r="N1322">
        <v>0</v>
      </c>
      <c r="O1322" t="str">
        <f>_xll.BDP("912827LQ Govt","ISSUE_DT")</f>
        <v>3/4/1981</v>
      </c>
      <c r="P1322" t="str">
        <f>_xll.BDP("912827LQ Govt","SECURITY_NAME")</f>
        <v>T 13 3/4 05/15/86</v>
      </c>
      <c r="Q1322" t="str">
        <f>_xll.BDP("912827LQ Govt","DAY_CNT_DES")</f>
        <v>ACT/ACT</v>
      </c>
      <c r="R1322">
        <v>100</v>
      </c>
      <c r="S1322" t="str">
        <f>_xll.BDP("912827LQ Govt","ID_CUSIP")</f>
        <v>912827LQ3</v>
      </c>
      <c r="T1322" t="str">
        <f>_xll.BDP("912827LQ Govt","IDX_RATIO")</f>
        <v>#N/A Field Not Applicable</v>
      </c>
    </row>
    <row r="1323" spans="1:20" x14ac:dyDescent="0.25">
      <c r="A1323" t="s">
        <v>14</v>
      </c>
      <c r="B1323" t="str">
        <f>_xll.BDP("912827LR Govt","TICKER")</f>
        <v>T</v>
      </c>
      <c r="C1323">
        <f>_xll.BDP("912827LR Govt","CPN")</f>
        <v>12.625</v>
      </c>
      <c r="D1323" t="str">
        <f>_xll.BDP("912827LR Govt","YLD_YTM_BID")</f>
        <v>#N/A N/A</v>
      </c>
      <c r="E1323" t="str">
        <f>_xll.BDP("912827LR Govt","MATURITY")</f>
        <v>3/31/1983</v>
      </c>
      <c r="F1323" t="str">
        <f>_xll.BDP("912827LR Govt","MTY_TYP")</f>
        <v>NORMAL</v>
      </c>
      <c r="G1323" t="str">
        <f>_xll.BDP("912827LR Govt","CRNCY")</f>
        <v>USD</v>
      </c>
      <c r="H1323" t="str">
        <f>_xll.BDP("912827LR Govt","COUNTRY_FULL_NAME")</f>
        <v>UNITED STATES</v>
      </c>
      <c r="I1323" t="str">
        <f>_xll.BDP("912827LR Govt","FIRST_CPN_DT")</f>
        <v>9/30/1981</v>
      </c>
      <c r="J1323" t="str">
        <f>_xll.BDP("912827LR Govt","COUPON_FREQUENCY_DESCRIPTION")</f>
        <v>S/A</v>
      </c>
      <c r="K1323" t="str">
        <f>_xll.BDP("912827LR Govt","CPN_TYP")</f>
        <v>FIXED</v>
      </c>
      <c r="L1323" t="str">
        <f>_xll.BDP("912827LR Govt","ID_ISIN")</f>
        <v>US912827LR11</v>
      </c>
      <c r="N1323">
        <v>0</v>
      </c>
      <c r="O1323" t="str">
        <f>_xll.BDP("912827LR Govt","ISSUE_DT")</f>
        <v>3/31/1981</v>
      </c>
      <c r="P1323" t="str">
        <f>_xll.BDP("912827LR Govt","SECURITY_NAME")</f>
        <v>T 12 5/8 03/31/83</v>
      </c>
      <c r="Q1323" t="str">
        <f>_xll.BDP("912827LR Govt","DAY_CNT_DES")</f>
        <v>ACT/ACT</v>
      </c>
      <c r="R1323">
        <v>100</v>
      </c>
      <c r="S1323" t="str">
        <f>_xll.BDP("912827LR Govt","ID_CUSIP")</f>
        <v>912827LR1</v>
      </c>
      <c r="T1323" t="str">
        <f>_xll.BDP("912827LR Govt","IDX_RATIO")</f>
        <v>#N/A Field Not Applicable</v>
      </c>
    </row>
    <row r="1324" spans="1:20" x14ac:dyDescent="0.25">
      <c r="A1324" t="s">
        <v>14</v>
      </c>
      <c r="B1324" t="str">
        <f>_xll.BDP("912827MC Govt","TICKER")</f>
        <v>T</v>
      </c>
      <c r="C1324">
        <f>_xll.BDP("912827MC Govt","CPN")</f>
        <v>15.875</v>
      </c>
      <c r="D1324" t="str">
        <f>_xll.BDP("912827MC Govt","YLD_YTM_BID")</f>
        <v>#N/A N/A</v>
      </c>
      <c r="E1324" t="str">
        <f>_xll.BDP("912827MC Govt","MATURITY")</f>
        <v>7/31/1983</v>
      </c>
      <c r="F1324" t="str">
        <f>_xll.BDP("912827MC Govt","MTY_TYP")</f>
        <v>NORMAL</v>
      </c>
      <c r="G1324" t="str">
        <f>_xll.BDP("912827MC Govt","CRNCY")</f>
        <v>USD</v>
      </c>
      <c r="H1324" t="str">
        <f>_xll.BDP("912827MC Govt","COUNTRY_FULL_NAME")</f>
        <v>UNITED STATES</v>
      </c>
      <c r="I1324" t="str">
        <f>_xll.BDP("912827MC Govt","FIRST_CPN_DT")</f>
        <v>1/31/1982</v>
      </c>
      <c r="J1324" t="str">
        <f>_xll.BDP("912827MC Govt","COUPON_FREQUENCY_DESCRIPTION")</f>
        <v>S/A</v>
      </c>
      <c r="K1324" t="str">
        <f>_xll.BDP("912827MC Govt","CPN_TYP")</f>
        <v>FIXED</v>
      </c>
      <c r="L1324" t="str">
        <f>_xll.BDP("912827MC Govt","ID_ISIN")</f>
        <v>US912827MC33</v>
      </c>
      <c r="N1324">
        <v>0</v>
      </c>
      <c r="O1324" t="str">
        <f>_xll.BDP("912827MC Govt","ISSUE_DT")</f>
        <v>7/31/1981</v>
      </c>
      <c r="P1324" t="str">
        <f>_xll.BDP("912827MC Govt","SECURITY_NAME")</f>
        <v>T 15 7/8 07/31/83</v>
      </c>
      <c r="Q1324" t="str">
        <f>_xll.BDP("912827MC Govt","DAY_CNT_DES")</f>
        <v>ACT/ACT</v>
      </c>
      <c r="R1324">
        <v>100</v>
      </c>
      <c r="S1324" t="str">
        <f>_xll.BDP("912827MC Govt","ID_CUSIP")</f>
        <v>912827MC3</v>
      </c>
      <c r="T1324" t="str">
        <f>_xll.BDP("912827MC Govt","IDX_RATIO")</f>
        <v>#N/A Field Not Applicable</v>
      </c>
    </row>
    <row r="1325" spans="1:20" x14ac:dyDescent="0.25">
      <c r="A1325" t="s">
        <v>14</v>
      </c>
      <c r="B1325" t="str">
        <f>_xll.BDP("912827ML Govt","TICKER")</f>
        <v>T</v>
      </c>
      <c r="C1325">
        <f>_xll.BDP("912827ML Govt","CPN")</f>
        <v>15.5</v>
      </c>
      <c r="D1325" t="str">
        <f>_xll.BDP("912827ML Govt","YLD_YTM_BID")</f>
        <v>#N/A N/A</v>
      </c>
      <c r="E1325" t="str">
        <f>_xll.BDP("912827ML Govt","MATURITY")</f>
        <v>10/31/1983</v>
      </c>
      <c r="F1325" t="str">
        <f>_xll.BDP("912827ML Govt","MTY_TYP")</f>
        <v>NORMAL</v>
      </c>
      <c r="G1325" t="str">
        <f>_xll.BDP("912827ML Govt","CRNCY")</f>
        <v>USD</v>
      </c>
      <c r="H1325" t="str">
        <f>_xll.BDP("912827ML Govt","COUNTRY_FULL_NAME")</f>
        <v>UNITED STATES</v>
      </c>
      <c r="I1325" t="str">
        <f>_xll.BDP("912827ML Govt","FIRST_CPN_DT")</f>
        <v>4/30/1982</v>
      </c>
      <c r="J1325" t="str">
        <f>_xll.BDP("912827ML Govt","COUPON_FREQUENCY_DESCRIPTION")</f>
        <v>S/A</v>
      </c>
      <c r="K1325" t="str">
        <f>_xll.BDP("912827ML Govt","CPN_TYP")</f>
        <v>FIXED</v>
      </c>
      <c r="L1325" t="str">
        <f>_xll.BDP("912827ML Govt","ID_ISIN")</f>
        <v>US912827ML32</v>
      </c>
      <c r="N1325">
        <v>0</v>
      </c>
      <c r="O1325" t="str">
        <f>_xll.BDP("912827ML Govt","ISSUE_DT")</f>
        <v>11/2/1981</v>
      </c>
      <c r="P1325" t="str">
        <f>_xll.BDP("912827ML Govt","SECURITY_NAME")</f>
        <v>T 15 1/2 10/31/83</v>
      </c>
      <c r="Q1325" t="str">
        <f>_xll.BDP("912827ML Govt","DAY_CNT_DES")</f>
        <v>ACT/ACT</v>
      </c>
      <c r="R1325">
        <v>100</v>
      </c>
      <c r="S1325" t="str">
        <f>_xll.BDP("912827ML Govt","ID_CUSIP")</f>
        <v>912827ML3</v>
      </c>
      <c r="T1325" t="str">
        <f>_xll.BDP("912827ML Govt","IDX_RATIO")</f>
        <v>#N/A Field Not Applicable</v>
      </c>
    </row>
    <row r="1326" spans="1:20" x14ac:dyDescent="0.25">
      <c r="A1326" t="s">
        <v>14</v>
      </c>
      <c r="B1326" t="str">
        <f>_xll.BDP("912827MN Govt","TICKER")</f>
        <v>T</v>
      </c>
      <c r="C1326">
        <f>_xll.BDP("912827MN Govt","CPN")</f>
        <v>14.25</v>
      </c>
      <c r="D1326" t="str">
        <f>_xll.BDP("912827MN Govt","YLD_YTM_BID")</f>
        <v>#N/A N/A</v>
      </c>
      <c r="E1326" t="str">
        <f>_xll.BDP("912827MN Govt","MATURITY")</f>
        <v>11/15/1991</v>
      </c>
      <c r="F1326" t="str">
        <f>_xll.BDP("912827MN Govt","MTY_TYP")</f>
        <v>NORMAL</v>
      </c>
      <c r="G1326" t="str">
        <f>_xll.BDP("912827MN Govt","CRNCY")</f>
        <v>USD</v>
      </c>
      <c r="H1326" t="str">
        <f>_xll.BDP("912827MN Govt","COUNTRY_FULL_NAME")</f>
        <v>UNITED STATES</v>
      </c>
      <c r="I1326" t="str">
        <f>_xll.BDP("912827MN Govt","FIRST_CPN_DT")</f>
        <v>5/15/1982</v>
      </c>
      <c r="J1326" t="str">
        <f>_xll.BDP("912827MN Govt","COUPON_FREQUENCY_DESCRIPTION")</f>
        <v>S/A</v>
      </c>
      <c r="K1326" t="str">
        <f>_xll.BDP("912827MN Govt","CPN_TYP")</f>
        <v>FIXED</v>
      </c>
      <c r="L1326" t="str">
        <f>_xll.BDP("912827MN Govt","ID_ISIN")</f>
        <v>US912827MN97</v>
      </c>
      <c r="N1326">
        <v>0</v>
      </c>
      <c r="O1326" t="str">
        <f>_xll.BDP("912827MN Govt","ISSUE_DT")</f>
        <v>11/16/1981</v>
      </c>
      <c r="P1326" t="str">
        <f>_xll.BDP("912827MN Govt","SECURITY_NAME")</f>
        <v>T 14 1/4 11/15/91</v>
      </c>
      <c r="Q1326" t="str">
        <f>_xll.BDP("912827MN Govt","DAY_CNT_DES")</f>
        <v>ACT/ACT</v>
      </c>
      <c r="R1326">
        <v>100</v>
      </c>
      <c r="S1326" t="str">
        <f>_xll.BDP("912827MN Govt","ID_CUSIP")</f>
        <v>912827MN9</v>
      </c>
      <c r="T1326" t="str">
        <f>_xll.BDP("912827MN Govt","IDX_RATIO")</f>
        <v>#N/A Field Not Applicable</v>
      </c>
    </row>
    <row r="1327" spans="1:20" x14ac:dyDescent="0.25">
      <c r="A1327" t="s">
        <v>14</v>
      </c>
      <c r="B1327" t="str">
        <f>_xll.BDP("912827MR Govt","TICKER")</f>
        <v>T</v>
      </c>
      <c r="C1327">
        <f>_xll.BDP("912827MR Govt","CPN")</f>
        <v>13</v>
      </c>
      <c r="D1327" t="str">
        <f>_xll.BDP("912827MR Govt","YLD_YTM_BID")</f>
        <v>#N/A N/A</v>
      </c>
      <c r="E1327" t="str">
        <f>_xll.BDP("912827MR Govt","MATURITY")</f>
        <v>12/31/1983</v>
      </c>
      <c r="F1327" t="str">
        <f>_xll.BDP("912827MR Govt","MTY_TYP")</f>
        <v>NORMAL</v>
      </c>
      <c r="G1327" t="str">
        <f>_xll.BDP("912827MR Govt","CRNCY")</f>
        <v>USD</v>
      </c>
      <c r="H1327" t="str">
        <f>_xll.BDP("912827MR Govt","COUNTRY_FULL_NAME")</f>
        <v>UNITED STATES</v>
      </c>
      <c r="I1327" t="str">
        <f>_xll.BDP("912827MR Govt","FIRST_CPN_DT")</f>
        <v>6/30/1982</v>
      </c>
      <c r="J1327" t="str">
        <f>_xll.BDP("912827MR Govt","COUPON_FREQUENCY_DESCRIPTION")</f>
        <v>S/A</v>
      </c>
      <c r="K1327" t="str">
        <f>_xll.BDP("912827MR Govt","CPN_TYP")</f>
        <v>FIXED</v>
      </c>
      <c r="L1327" t="str">
        <f>_xll.BDP("912827MR Govt","ID_ISIN")</f>
        <v>US912827MR02</v>
      </c>
      <c r="N1327">
        <v>0</v>
      </c>
      <c r="O1327" t="str">
        <f>_xll.BDP("912827MR Govt","ISSUE_DT")</f>
        <v>12/31/1981</v>
      </c>
      <c r="P1327" t="str">
        <f>_xll.BDP("912827MR Govt","SECURITY_NAME")</f>
        <v>T 13 12/31/83</v>
      </c>
      <c r="Q1327" t="str">
        <f>_xll.BDP("912827MR Govt","DAY_CNT_DES")</f>
        <v>ACT/ACT</v>
      </c>
      <c r="R1327">
        <v>100</v>
      </c>
      <c r="S1327" t="str">
        <f>_xll.BDP("912827MR Govt","ID_CUSIP")</f>
        <v>912827MR0</v>
      </c>
      <c r="T1327" t="str">
        <f>_xll.BDP("912827MR Govt","IDX_RATIO")</f>
        <v>#N/A Field Not Applicable</v>
      </c>
    </row>
    <row r="1328" spans="1:20" x14ac:dyDescent="0.25">
      <c r="A1328" t="s">
        <v>14</v>
      </c>
      <c r="B1328" t="str">
        <f>_xll.BDP("912827MU Govt","TICKER")</f>
        <v>T</v>
      </c>
      <c r="C1328">
        <f>_xll.BDP("912827MU Govt","CPN")</f>
        <v>15</v>
      </c>
      <c r="D1328" t="str">
        <f>_xll.BDP("912827MU Govt","YLD_YTM_BID")</f>
        <v>#N/A N/A</v>
      </c>
      <c r="E1328" t="str">
        <f>_xll.BDP("912827MU Govt","MATURITY")</f>
        <v>1/31/1984</v>
      </c>
      <c r="F1328" t="str">
        <f>_xll.BDP("912827MU Govt","MTY_TYP")</f>
        <v>NORMAL</v>
      </c>
      <c r="G1328" t="str">
        <f>_xll.BDP("912827MU Govt","CRNCY")</f>
        <v>USD</v>
      </c>
      <c r="H1328" t="str">
        <f>_xll.BDP("912827MU Govt","COUNTRY_FULL_NAME")</f>
        <v>UNITED STATES</v>
      </c>
      <c r="I1328" t="str">
        <f>_xll.BDP("912827MU Govt","FIRST_CPN_DT")</f>
        <v>7/31/1982</v>
      </c>
      <c r="J1328" t="str">
        <f>_xll.BDP("912827MU Govt","COUPON_FREQUENCY_DESCRIPTION")</f>
        <v>S/A</v>
      </c>
      <c r="K1328" t="str">
        <f>_xll.BDP("912827MU Govt","CPN_TYP")</f>
        <v>FIXED</v>
      </c>
      <c r="L1328" t="str">
        <f>_xll.BDP("912827MU Govt","ID_ISIN")</f>
        <v>US912827MU31</v>
      </c>
      <c r="N1328">
        <v>0</v>
      </c>
      <c r="O1328" t="str">
        <f>_xll.BDP("912827MU Govt","ISSUE_DT")</f>
        <v>2/1/1982</v>
      </c>
      <c r="P1328" t="str">
        <f>_xll.BDP("912827MU Govt","SECURITY_NAME")</f>
        <v>T 15 01/31/84</v>
      </c>
      <c r="Q1328" t="str">
        <f>_xll.BDP("912827MU Govt","DAY_CNT_DES")</f>
        <v>ACT/ACT</v>
      </c>
      <c r="R1328">
        <v>100</v>
      </c>
      <c r="S1328" t="str">
        <f>_xll.BDP("912827MU Govt","ID_CUSIP")</f>
        <v>912827MU3</v>
      </c>
      <c r="T1328" t="str">
        <f>_xll.BDP("912827MU Govt","IDX_RATIO")</f>
        <v>#N/A Field Not Applicable</v>
      </c>
    </row>
    <row r="1329" spans="1:20" x14ac:dyDescent="0.25">
      <c r="A1329" t="s">
        <v>14</v>
      </c>
      <c r="B1329" t="str">
        <f>_xll.BDP("912827N2 Govt","TICKER")</f>
        <v>T</v>
      </c>
      <c r="C1329">
        <f>_xll.BDP("912827N2 Govt","CPN")</f>
        <v>5.125</v>
      </c>
      <c r="D1329" t="str">
        <f>_xll.BDP("912827N2 Govt","YLD_YTM_BID")</f>
        <v>#N/A N/A</v>
      </c>
      <c r="E1329" t="str">
        <f>_xll.BDP("912827N2 Govt","MATURITY")</f>
        <v>11/30/1998</v>
      </c>
      <c r="F1329" t="str">
        <f>_xll.BDP("912827N2 Govt","MTY_TYP")</f>
        <v>NORMAL</v>
      </c>
      <c r="G1329" t="str">
        <f>_xll.BDP("912827N2 Govt","CRNCY")</f>
        <v>USD</v>
      </c>
      <c r="H1329" t="str">
        <f>_xll.BDP("912827N2 Govt","COUNTRY_FULL_NAME")</f>
        <v>UNITED STATES</v>
      </c>
      <c r="I1329" t="str">
        <f>_xll.BDP("912827N2 Govt","FIRST_CPN_DT")</f>
        <v>5/31/1994</v>
      </c>
      <c r="J1329" t="str">
        <f>_xll.BDP("912827N2 Govt","COUPON_FREQUENCY_DESCRIPTION")</f>
        <v>S/A</v>
      </c>
      <c r="K1329" t="str">
        <f>_xll.BDP("912827N2 Govt","CPN_TYP")</f>
        <v>FIXED</v>
      </c>
      <c r="L1329" t="str">
        <f>_xll.BDP("912827N2 Govt","ID_ISIN")</f>
        <v>US912827N243</v>
      </c>
      <c r="M1329">
        <v>12115000000</v>
      </c>
      <c r="N1329">
        <v>0</v>
      </c>
      <c r="O1329" t="str">
        <f>_xll.BDP("912827N2 Govt","ISSUE_DT")</f>
        <v>11/30/1993</v>
      </c>
      <c r="P1329" t="str">
        <f>_xll.BDP("912827N2 Govt","SECURITY_NAME")</f>
        <v>T 5 1/8 11/30/98</v>
      </c>
      <c r="Q1329" t="str">
        <f>_xll.BDP("912827N2 Govt","DAY_CNT_DES")</f>
        <v>ACT/ACT</v>
      </c>
      <c r="R1329">
        <v>100</v>
      </c>
      <c r="S1329" t="str">
        <f>_xll.BDP("912827N2 Govt","ID_CUSIP")</f>
        <v>912827N24</v>
      </c>
      <c r="T1329" t="str">
        <f>_xll.BDP("912827N2 Govt","IDX_RATIO")</f>
        <v>#N/A Field Not Applicable</v>
      </c>
    </row>
    <row r="1330" spans="1:20" x14ac:dyDescent="0.25">
      <c r="A1330" t="s">
        <v>14</v>
      </c>
      <c r="B1330" t="str">
        <f>_xll.BDP("912827N9 Govt","TICKER")</f>
        <v>T</v>
      </c>
      <c r="C1330">
        <f>_xll.BDP("912827N9 Govt","CPN")</f>
        <v>4.625</v>
      </c>
      <c r="D1330" t="str">
        <f>_xll.BDP("912827N9 Govt","YLD_YTM_BID")</f>
        <v>#N/A N/A</v>
      </c>
      <c r="E1330" t="str">
        <f>_xll.BDP("912827N9 Govt","MATURITY")</f>
        <v>2/29/1996</v>
      </c>
      <c r="F1330" t="str">
        <f>_xll.BDP("912827N9 Govt","MTY_TYP")</f>
        <v>NORMAL</v>
      </c>
      <c r="G1330" t="str">
        <f>_xll.BDP("912827N9 Govt","CRNCY")</f>
        <v>USD</v>
      </c>
      <c r="H1330" t="str">
        <f>_xll.BDP("912827N9 Govt","COUNTRY_FULL_NAME")</f>
        <v>UNITED STATES</v>
      </c>
      <c r="I1330" t="str">
        <f>_xll.BDP("912827N9 Govt","FIRST_CPN_DT")</f>
        <v>8/31/1994</v>
      </c>
      <c r="J1330" t="str">
        <f>_xll.BDP("912827N9 Govt","COUPON_FREQUENCY_DESCRIPTION")</f>
        <v>S/A</v>
      </c>
      <c r="K1330" t="str">
        <f>_xll.BDP("912827N9 Govt","CPN_TYP")</f>
        <v>FIXED</v>
      </c>
      <c r="L1330" t="str">
        <f>_xll.BDP("912827N9 Govt","ID_ISIN")</f>
        <v>US912827N995</v>
      </c>
      <c r="N1330">
        <v>0</v>
      </c>
      <c r="O1330" t="str">
        <f>_xll.BDP("912827N9 Govt","ISSUE_DT")</f>
        <v>2/28/1994</v>
      </c>
      <c r="P1330" t="str">
        <f>_xll.BDP("912827N9 Govt","SECURITY_NAME")</f>
        <v>T 4 5/8 02/29/96</v>
      </c>
      <c r="Q1330" t="str">
        <f>_xll.BDP("912827N9 Govt","DAY_CNT_DES")</f>
        <v>ACT/ACT</v>
      </c>
      <c r="R1330">
        <v>100</v>
      </c>
      <c r="S1330" t="str">
        <f>_xll.BDP("912827N9 Govt","ID_CUSIP")</f>
        <v>912827N99</v>
      </c>
      <c r="T1330" t="str">
        <f>_xll.BDP("912827N9 Govt","IDX_RATIO")</f>
        <v>#N/A Field Not Applicable</v>
      </c>
    </row>
    <row r="1331" spans="1:20" x14ac:dyDescent="0.25">
      <c r="A1331" t="s">
        <v>14</v>
      </c>
      <c r="B1331" t="str">
        <f>_xll.BDP("912827NA Govt","TICKER")</f>
        <v>T</v>
      </c>
      <c r="C1331">
        <f>_xll.BDP("912827NA Govt","CPN")</f>
        <v>14</v>
      </c>
      <c r="D1331" t="str">
        <f>_xll.BDP("912827NA Govt","YLD_YTM_BID")</f>
        <v>#N/A N/A</v>
      </c>
      <c r="E1331" t="str">
        <f>_xll.BDP("912827NA Govt","MATURITY")</f>
        <v>3/31/1986</v>
      </c>
      <c r="F1331" t="str">
        <f>_xll.BDP("912827NA Govt","MTY_TYP")</f>
        <v>NORMAL</v>
      </c>
      <c r="G1331" t="str">
        <f>_xll.BDP("912827NA Govt","CRNCY")</f>
        <v>USD</v>
      </c>
      <c r="H1331" t="str">
        <f>_xll.BDP("912827NA Govt","COUNTRY_FULL_NAME")</f>
        <v>UNITED STATES</v>
      </c>
      <c r="I1331" t="str">
        <f>_xll.BDP("912827NA Govt","FIRST_CPN_DT")</f>
        <v>9/30/1982</v>
      </c>
      <c r="J1331" t="str">
        <f>_xll.BDP("912827NA Govt","COUPON_FREQUENCY_DESCRIPTION")</f>
        <v>S/A</v>
      </c>
      <c r="K1331" t="str">
        <f>_xll.BDP("912827NA Govt","CPN_TYP")</f>
        <v>FIXED</v>
      </c>
      <c r="L1331" t="str">
        <f>_xll.BDP("912827NA Govt","ID_ISIN")</f>
        <v>US912827NA67</v>
      </c>
      <c r="N1331">
        <v>0</v>
      </c>
      <c r="O1331" t="str">
        <f>_xll.BDP("912827NA Govt","ISSUE_DT")</f>
        <v>3/31/1982</v>
      </c>
      <c r="P1331" t="str">
        <f>_xll.BDP("912827NA Govt","SECURITY_NAME")</f>
        <v>T 14 03/31/86</v>
      </c>
      <c r="Q1331" t="str">
        <f>_xll.BDP("912827NA Govt","DAY_CNT_DES")</f>
        <v>ACT/ACT</v>
      </c>
      <c r="R1331">
        <v>100</v>
      </c>
      <c r="S1331" t="str">
        <f>_xll.BDP("912827NA Govt","ID_CUSIP")</f>
        <v>912827NA6</v>
      </c>
      <c r="T1331" t="str">
        <f>_xll.BDP("912827NA Govt","IDX_RATIO")</f>
        <v>#N/A Field Not Applicable</v>
      </c>
    </row>
    <row r="1332" spans="1:20" x14ac:dyDescent="0.25">
      <c r="A1332" t="s">
        <v>14</v>
      </c>
      <c r="B1332" t="str">
        <f>_xll.BDP("912827NE Govt","TICKER")</f>
        <v>T</v>
      </c>
      <c r="C1332">
        <f>_xll.BDP("912827NE Govt","CPN")</f>
        <v>13.75</v>
      </c>
      <c r="D1332" t="str">
        <f>_xll.BDP("912827NE Govt","YLD_YTM_BID")</f>
        <v>#N/A N/A</v>
      </c>
      <c r="E1332" t="str">
        <f>_xll.BDP("912827NE Govt","MATURITY")</f>
        <v>5/15/1992</v>
      </c>
      <c r="F1332" t="str">
        <f>_xll.BDP("912827NE Govt","MTY_TYP")</f>
        <v>NORMAL</v>
      </c>
      <c r="G1332" t="str">
        <f>_xll.BDP("912827NE Govt","CRNCY")</f>
        <v>USD</v>
      </c>
      <c r="H1332" t="str">
        <f>_xll.BDP("912827NE Govt","COUNTRY_FULL_NAME")</f>
        <v>UNITED STATES</v>
      </c>
      <c r="I1332" t="str">
        <f>_xll.BDP("912827NE Govt","FIRST_CPN_DT")</f>
        <v>11/15/1982</v>
      </c>
      <c r="J1332" t="str">
        <f>_xll.BDP("912827NE Govt","COUPON_FREQUENCY_DESCRIPTION")</f>
        <v>S/A</v>
      </c>
      <c r="K1332" t="str">
        <f>_xll.BDP("912827NE Govt","CPN_TYP")</f>
        <v>FIXED</v>
      </c>
      <c r="L1332" t="str">
        <f>_xll.BDP("912827NE Govt","ID_ISIN")</f>
        <v>US912827NE89</v>
      </c>
      <c r="N1332">
        <v>0</v>
      </c>
      <c r="O1332" t="str">
        <f>_xll.BDP("912827NE Govt","ISSUE_DT")</f>
        <v>5/17/1982</v>
      </c>
      <c r="P1332" t="str">
        <f>_xll.BDP("912827NE Govt","SECURITY_NAME")</f>
        <v>T 13 3/4 05/15/92</v>
      </c>
      <c r="Q1332" t="str">
        <f>_xll.BDP("912827NE Govt","DAY_CNT_DES")</f>
        <v>ACT/ACT</v>
      </c>
      <c r="R1332">
        <v>100</v>
      </c>
      <c r="S1332" t="str">
        <f>_xll.BDP("912827NE Govt","ID_CUSIP")</f>
        <v>912827NE8</v>
      </c>
      <c r="T1332" t="str">
        <f>_xll.BDP("912827NE Govt","IDX_RATIO")</f>
        <v>#N/A Field Not Applicable</v>
      </c>
    </row>
    <row r="1333" spans="1:20" x14ac:dyDescent="0.25">
      <c r="A1333" t="s">
        <v>14</v>
      </c>
      <c r="B1333" t="str">
        <f>_xll.BDP("912827NH Govt","TICKER")</f>
        <v>T</v>
      </c>
      <c r="C1333">
        <f>_xll.BDP("912827NH Govt","CPN")</f>
        <v>14.375</v>
      </c>
      <c r="D1333" t="str">
        <f>_xll.BDP("912827NH Govt","YLD_YTM_BID")</f>
        <v>#N/A N/A</v>
      </c>
      <c r="E1333" t="str">
        <f>_xll.BDP("912827NH Govt","MATURITY")</f>
        <v>6/30/1984</v>
      </c>
      <c r="F1333" t="str">
        <f>_xll.BDP("912827NH Govt","MTY_TYP")</f>
        <v>NORMAL</v>
      </c>
      <c r="G1333" t="str">
        <f>_xll.BDP("912827NH Govt","CRNCY")</f>
        <v>USD</v>
      </c>
      <c r="H1333" t="str">
        <f>_xll.BDP("912827NH Govt","COUNTRY_FULL_NAME")</f>
        <v>UNITED STATES</v>
      </c>
      <c r="I1333" t="str">
        <f>_xll.BDP("912827NH Govt","FIRST_CPN_DT")</f>
        <v>12/31/1982</v>
      </c>
      <c r="J1333" t="str">
        <f>_xll.BDP("912827NH Govt","COUPON_FREQUENCY_DESCRIPTION")</f>
        <v>S/A</v>
      </c>
      <c r="K1333" t="str">
        <f>_xll.BDP("912827NH Govt","CPN_TYP")</f>
        <v>FIXED</v>
      </c>
      <c r="L1333" t="str">
        <f>_xll.BDP("912827NH Govt","ID_ISIN")</f>
        <v>US912827NH11</v>
      </c>
      <c r="N1333">
        <v>0</v>
      </c>
      <c r="O1333" t="str">
        <f>_xll.BDP("912827NH Govt","ISSUE_DT")</f>
        <v>6/30/1982</v>
      </c>
      <c r="P1333" t="str">
        <f>_xll.BDP("912827NH Govt","SECURITY_NAME")</f>
        <v>T 14 3/8 06/30/84</v>
      </c>
      <c r="Q1333" t="str">
        <f>_xll.BDP("912827NH Govt","DAY_CNT_DES")</f>
        <v>ACT/ACT</v>
      </c>
      <c r="R1333">
        <v>100</v>
      </c>
      <c r="S1333" t="str">
        <f>_xll.BDP("912827NH Govt","ID_CUSIP")</f>
        <v>912827NH1</v>
      </c>
      <c r="T1333" t="str">
        <f>_xll.BDP("912827NH Govt","IDX_RATIO")</f>
        <v>#N/A Field Not Applicable</v>
      </c>
    </row>
    <row r="1334" spans="1:20" x14ac:dyDescent="0.25">
      <c r="A1334" t="s">
        <v>14</v>
      </c>
      <c r="B1334" t="str">
        <f>_xll.BDP("912827NS Govt","TICKER")</f>
        <v>T</v>
      </c>
      <c r="C1334">
        <f>_xll.BDP("912827NS Govt","CPN")</f>
        <v>11.875</v>
      </c>
      <c r="D1334" t="str">
        <f>_xll.BDP("912827NS Govt","YLD_YTM_BID")</f>
        <v>#N/A N/A</v>
      </c>
      <c r="E1334" t="str">
        <f>_xll.BDP("912827NS Govt","MATURITY")</f>
        <v>10/15/1989</v>
      </c>
      <c r="F1334" t="str">
        <f>_xll.BDP("912827NS Govt","MTY_TYP")</f>
        <v>NORMAL</v>
      </c>
      <c r="G1334" t="str">
        <f>_xll.BDP("912827NS Govt","CRNCY")</f>
        <v>USD</v>
      </c>
      <c r="H1334" t="str">
        <f>_xll.BDP("912827NS Govt","COUNTRY_FULL_NAME")</f>
        <v>UNITED STATES</v>
      </c>
      <c r="I1334" t="str">
        <f>_xll.BDP("912827NS Govt","FIRST_CPN_DT")</f>
        <v>4/15/1983</v>
      </c>
      <c r="J1334" t="str">
        <f>_xll.BDP("912827NS Govt","COUPON_FREQUENCY_DESCRIPTION")</f>
        <v>S/A</v>
      </c>
      <c r="K1334" t="str">
        <f>_xll.BDP("912827NS Govt","CPN_TYP")</f>
        <v>FIXED</v>
      </c>
      <c r="L1334" t="str">
        <f>_xll.BDP("912827NS Govt","ID_ISIN")</f>
        <v>US912827NS75</v>
      </c>
      <c r="N1334">
        <v>0</v>
      </c>
      <c r="O1334" t="str">
        <f>_xll.BDP("912827NS Govt","ISSUE_DT")</f>
        <v>9/29/1982</v>
      </c>
      <c r="P1334" t="str">
        <f>_xll.BDP("912827NS Govt","SECURITY_NAME")</f>
        <v>T 11 7/8 10/15/89</v>
      </c>
      <c r="Q1334" t="str">
        <f>_xll.BDP("912827NS Govt","DAY_CNT_DES")</f>
        <v>ACT/ACT</v>
      </c>
      <c r="R1334">
        <v>100</v>
      </c>
      <c r="S1334" t="str">
        <f>_xll.BDP("912827NS Govt","ID_CUSIP")</f>
        <v>912827NS7</v>
      </c>
      <c r="T1334" t="str">
        <f>_xll.BDP("912827NS Govt","IDX_RATIO")</f>
        <v>#N/A Field Not Applicable</v>
      </c>
    </row>
    <row r="1335" spans="1:20" x14ac:dyDescent="0.25">
      <c r="A1335" t="s">
        <v>14</v>
      </c>
      <c r="B1335" t="str">
        <f>_xll.BDP("912827NU Govt","TICKER")</f>
        <v>T</v>
      </c>
      <c r="C1335">
        <f>_xll.BDP("912827NU Govt","CPN")</f>
        <v>9.75</v>
      </c>
      <c r="D1335" t="str">
        <f>_xll.BDP("912827NU Govt","YLD_YTM_BID")</f>
        <v>#N/A N/A</v>
      </c>
      <c r="E1335" t="str">
        <f>_xll.BDP("912827NU Govt","MATURITY")</f>
        <v>11/15/1985</v>
      </c>
      <c r="F1335" t="str">
        <f>_xll.BDP("912827NU Govt","MTY_TYP")</f>
        <v>NORMAL</v>
      </c>
      <c r="G1335" t="str">
        <f>_xll.BDP("912827NU Govt","CRNCY")</f>
        <v>USD</v>
      </c>
      <c r="H1335" t="str">
        <f>_xll.BDP("912827NU Govt","COUNTRY_FULL_NAME")</f>
        <v>UNITED STATES</v>
      </c>
      <c r="I1335" t="str">
        <f>_xll.BDP("912827NU Govt","FIRST_CPN_DT")</f>
        <v>5/15/1983</v>
      </c>
      <c r="J1335" t="str">
        <f>_xll.BDP("912827NU Govt","COUPON_FREQUENCY_DESCRIPTION")</f>
        <v>S/A</v>
      </c>
      <c r="K1335" t="str">
        <f>_xll.BDP("912827NU Govt","CPN_TYP")</f>
        <v>FIXED</v>
      </c>
      <c r="L1335" t="str">
        <f>_xll.BDP("912827NU Govt","ID_ISIN")</f>
        <v>US912827NU22</v>
      </c>
      <c r="N1335">
        <v>0</v>
      </c>
      <c r="O1335" t="str">
        <f>_xll.BDP("912827NU Govt","ISSUE_DT")</f>
        <v>11/15/1982</v>
      </c>
      <c r="P1335" t="str">
        <f>_xll.BDP("912827NU Govt","SECURITY_NAME")</f>
        <v>T 9 3/4 11/15/85</v>
      </c>
      <c r="Q1335" t="str">
        <f>_xll.BDP("912827NU Govt","DAY_CNT_DES")</f>
        <v>ACT/ACT</v>
      </c>
      <c r="R1335">
        <v>100</v>
      </c>
      <c r="S1335" t="str">
        <f>_xll.BDP("912827NU Govt","ID_CUSIP")</f>
        <v>912827NU2</v>
      </c>
      <c r="T1335" t="str">
        <f>_xll.BDP("912827NU Govt","IDX_RATIO")</f>
        <v>#N/A Field Not Applicable</v>
      </c>
    </row>
    <row r="1336" spans="1:20" x14ac:dyDescent="0.25">
      <c r="A1336" t="s">
        <v>14</v>
      </c>
      <c r="B1336" t="str">
        <f>_xll.BDP("912827NZ Govt","TICKER")</f>
        <v>T</v>
      </c>
      <c r="C1336">
        <f>_xll.BDP("912827NZ Govt","CPN")</f>
        <v>10</v>
      </c>
      <c r="D1336" t="str">
        <f>_xll.BDP("912827NZ Govt","YLD_YTM_BID")</f>
        <v>#N/A N/A</v>
      </c>
      <c r="E1336" t="str">
        <f>_xll.BDP("912827NZ Govt","MATURITY")</f>
        <v>12/31/1986</v>
      </c>
      <c r="F1336" t="str">
        <f>_xll.BDP("912827NZ Govt","MTY_TYP")</f>
        <v>NORMAL</v>
      </c>
      <c r="G1336" t="str">
        <f>_xll.BDP("912827NZ Govt","CRNCY")</f>
        <v>USD</v>
      </c>
      <c r="H1336" t="str">
        <f>_xll.BDP("912827NZ Govt","COUNTRY_FULL_NAME")</f>
        <v>UNITED STATES</v>
      </c>
      <c r="I1336" t="str">
        <f>_xll.BDP("912827NZ Govt","FIRST_CPN_DT")</f>
        <v>6/30/1983</v>
      </c>
      <c r="J1336" t="str">
        <f>_xll.BDP("912827NZ Govt","COUPON_FREQUENCY_DESCRIPTION")</f>
        <v>S/A</v>
      </c>
      <c r="K1336" t="str">
        <f>_xll.BDP("912827NZ Govt","CPN_TYP")</f>
        <v>FIXED</v>
      </c>
      <c r="L1336" t="str">
        <f>_xll.BDP("912827NZ Govt","ID_ISIN")</f>
        <v>US912827NZ19</v>
      </c>
      <c r="N1336">
        <v>0</v>
      </c>
      <c r="O1336" t="str">
        <f>_xll.BDP("912827NZ Govt","ISSUE_DT")</f>
        <v>12/31/1982</v>
      </c>
      <c r="P1336" t="str">
        <f>_xll.BDP("912827NZ Govt","SECURITY_NAME")</f>
        <v>T 10 12/31/86</v>
      </c>
      <c r="Q1336" t="str">
        <f>_xll.BDP("912827NZ Govt","DAY_CNT_DES")</f>
        <v>ACT/ACT</v>
      </c>
      <c r="R1336">
        <v>100</v>
      </c>
      <c r="S1336" t="str">
        <f>_xll.BDP("912827NZ Govt","ID_CUSIP")</f>
        <v>912827NZ1</v>
      </c>
      <c r="T1336" t="str">
        <f>_xll.BDP("912827NZ Govt","IDX_RATIO")</f>
        <v>#N/A Field Not Applicable</v>
      </c>
    </row>
    <row r="1337" spans="1:20" x14ac:dyDescent="0.25">
      <c r="A1337" t="s">
        <v>14</v>
      </c>
      <c r="B1337" t="str">
        <f>_xll.BDP("912827P5 Govt","TICKER")</f>
        <v>T</v>
      </c>
      <c r="C1337">
        <f>_xll.BDP("912827P5 Govt","CPN")</f>
        <v>5.5</v>
      </c>
      <c r="D1337" t="str">
        <f>_xll.BDP("912827P5 Govt","YLD_YTM_BID")</f>
        <v>#N/A N/A</v>
      </c>
      <c r="E1337" t="str">
        <f>_xll.BDP("912827P5 Govt","MATURITY")</f>
        <v>4/30/1996</v>
      </c>
      <c r="F1337" t="str">
        <f>_xll.BDP("912827P5 Govt","MTY_TYP")</f>
        <v>NORMAL</v>
      </c>
      <c r="G1337" t="str">
        <f>_xll.BDP("912827P5 Govt","CRNCY")</f>
        <v>USD</v>
      </c>
      <c r="H1337" t="str">
        <f>_xll.BDP("912827P5 Govt","COUNTRY_FULL_NAME")</f>
        <v>UNITED STATES</v>
      </c>
      <c r="I1337" t="str">
        <f>_xll.BDP("912827P5 Govt","FIRST_CPN_DT")</f>
        <v>10/31/1994</v>
      </c>
      <c r="J1337" t="str">
        <f>_xll.BDP("912827P5 Govt","COUPON_FREQUENCY_DESCRIPTION")</f>
        <v>S/A</v>
      </c>
      <c r="K1337" t="str">
        <f>_xll.BDP("912827P5 Govt","CPN_TYP")</f>
        <v>FIXED</v>
      </c>
      <c r="L1337" t="str">
        <f>_xll.BDP("912827P5 Govt","ID_ISIN")</f>
        <v>US912827P552</v>
      </c>
      <c r="N1337">
        <v>0</v>
      </c>
      <c r="O1337" t="str">
        <f>_xll.BDP("912827P5 Govt","ISSUE_DT")</f>
        <v>5/2/1994</v>
      </c>
      <c r="P1337" t="str">
        <f>_xll.BDP("912827P5 Govt","SECURITY_NAME")</f>
        <v>T 5 1/2 04/30/96</v>
      </c>
      <c r="Q1337" t="str">
        <f>_xll.BDP("912827P5 Govt","DAY_CNT_DES")</f>
        <v>ACT/ACT</v>
      </c>
      <c r="R1337">
        <v>100</v>
      </c>
      <c r="S1337" t="str">
        <f>_xll.BDP("912827P5 Govt","ID_CUSIP")</f>
        <v>912827P55</v>
      </c>
      <c r="T1337" t="str">
        <f>_xll.BDP("912827P5 Govt","IDX_RATIO")</f>
        <v>#N/A Field Not Applicable</v>
      </c>
    </row>
    <row r="1338" spans="1:20" x14ac:dyDescent="0.25">
      <c r="A1338" t="s">
        <v>14</v>
      </c>
      <c r="B1338" t="str">
        <f>_xll.BDP("912827P7 Govt","TICKER")</f>
        <v>T</v>
      </c>
      <c r="C1338">
        <f>_xll.BDP("912827P7 Govt","CPN")</f>
        <v>6.5</v>
      </c>
      <c r="D1338" t="str">
        <f>_xll.BDP("912827P7 Govt","YLD_YTM_BID")</f>
        <v>#N/A N/A</v>
      </c>
      <c r="E1338" t="str">
        <f>_xll.BDP("912827P7 Govt","MATURITY")</f>
        <v>5/15/1997</v>
      </c>
      <c r="F1338" t="str">
        <f>_xll.BDP("912827P7 Govt","MTY_TYP")</f>
        <v>NORMAL</v>
      </c>
      <c r="G1338" t="str">
        <f>_xll.BDP("912827P7 Govt","CRNCY")</f>
        <v>USD</v>
      </c>
      <c r="H1338" t="str">
        <f>_xll.BDP("912827P7 Govt","COUNTRY_FULL_NAME")</f>
        <v>UNITED STATES</v>
      </c>
      <c r="I1338" t="str">
        <f>_xll.BDP("912827P7 Govt","FIRST_CPN_DT")</f>
        <v>11/15/1994</v>
      </c>
      <c r="J1338" t="str">
        <f>_xll.BDP("912827P7 Govt","COUPON_FREQUENCY_DESCRIPTION")</f>
        <v>S/A</v>
      </c>
      <c r="K1338" t="str">
        <f>_xll.BDP("912827P7 Govt","CPN_TYP")</f>
        <v>FIXED</v>
      </c>
      <c r="L1338" t="str">
        <f>_xll.BDP("912827P7 Govt","ID_ISIN")</f>
        <v>US912827P719</v>
      </c>
      <c r="N1338">
        <v>0</v>
      </c>
      <c r="O1338" t="str">
        <f>_xll.BDP("912827P7 Govt","ISSUE_DT")</f>
        <v>5/16/1994</v>
      </c>
      <c r="P1338" t="str">
        <f>_xll.BDP("912827P7 Govt","SECURITY_NAME")</f>
        <v>T 6 1/2 05/15/97</v>
      </c>
      <c r="Q1338" t="str">
        <f>_xll.BDP("912827P7 Govt","DAY_CNT_DES")</f>
        <v>ACT/ACT</v>
      </c>
      <c r="R1338">
        <v>100</v>
      </c>
      <c r="S1338" t="str">
        <f>_xll.BDP("912827P7 Govt","ID_CUSIP")</f>
        <v>912827P71</v>
      </c>
      <c r="T1338" t="str">
        <f>_xll.BDP("912827P7 Govt","IDX_RATIO")</f>
        <v>#N/A Field Not Applicable</v>
      </c>
    </row>
    <row r="1339" spans="1:20" x14ac:dyDescent="0.25">
      <c r="A1339" t="s">
        <v>14</v>
      </c>
      <c r="B1339" t="str">
        <f>_xll.BDP("912827P9 Govt","TICKER")</f>
        <v>T</v>
      </c>
      <c r="C1339">
        <f>_xll.BDP("912827P9 Govt","CPN")</f>
        <v>5.875</v>
      </c>
      <c r="D1339" t="str">
        <f>_xll.BDP("912827P9 Govt","YLD_YTM_BID")</f>
        <v>#N/A N/A</v>
      </c>
      <c r="E1339" t="str">
        <f>_xll.BDP("912827P9 Govt","MATURITY")</f>
        <v>5/31/1996</v>
      </c>
      <c r="F1339" t="str">
        <f>_xll.BDP("912827P9 Govt","MTY_TYP")</f>
        <v>NORMAL</v>
      </c>
      <c r="G1339" t="str">
        <f>_xll.BDP("912827P9 Govt","CRNCY")</f>
        <v>USD</v>
      </c>
      <c r="H1339" t="str">
        <f>_xll.BDP("912827P9 Govt","COUNTRY_FULL_NAME")</f>
        <v>UNITED STATES</v>
      </c>
      <c r="I1339" t="str">
        <f>_xll.BDP("912827P9 Govt","FIRST_CPN_DT")</f>
        <v>11/30/1994</v>
      </c>
      <c r="J1339" t="str">
        <f>_xll.BDP("912827P9 Govt","COUPON_FREQUENCY_DESCRIPTION")</f>
        <v>S/A</v>
      </c>
      <c r="K1339" t="str">
        <f>_xll.BDP("912827P9 Govt","CPN_TYP")</f>
        <v>FIXED</v>
      </c>
      <c r="L1339" t="str">
        <f>_xll.BDP("912827P9 Govt","ID_ISIN")</f>
        <v>US912827P974</v>
      </c>
      <c r="N1339">
        <v>0</v>
      </c>
      <c r="O1339" t="str">
        <f>_xll.BDP("912827P9 Govt","ISSUE_DT")</f>
        <v>5/31/1994</v>
      </c>
      <c r="P1339" t="str">
        <f>_xll.BDP("912827P9 Govt","SECURITY_NAME")</f>
        <v>T 5 7/8 05/31/96</v>
      </c>
      <c r="Q1339" t="str">
        <f>_xll.BDP("912827P9 Govt","DAY_CNT_DES")</f>
        <v>ACT/ACT</v>
      </c>
      <c r="R1339">
        <v>100</v>
      </c>
      <c r="S1339" t="str">
        <f>_xll.BDP("912827P9 Govt","ID_CUSIP")</f>
        <v>912827P97</v>
      </c>
      <c r="T1339" t="str">
        <f>_xll.BDP("912827P9 Govt","IDX_RATIO")</f>
        <v>#N/A Field Not Applicable</v>
      </c>
    </row>
    <row r="1340" spans="1:20" x14ac:dyDescent="0.25">
      <c r="A1340" t="s">
        <v>14</v>
      </c>
      <c r="B1340" t="str">
        <f>_xll.BDP("912827PK Govt","TICKER")</f>
        <v>T</v>
      </c>
      <c r="C1340">
        <f>_xll.BDP("912827PK Govt","CPN")</f>
        <v>9.5</v>
      </c>
      <c r="D1340" t="str">
        <f>_xll.BDP("912827PK Govt","YLD_YTM_BID")</f>
        <v>#N/A N/A</v>
      </c>
      <c r="E1340" t="str">
        <f>_xll.BDP("912827PK Govt","MATURITY")</f>
        <v>4/30/1985</v>
      </c>
      <c r="F1340" t="str">
        <f>_xll.BDP("912827PK Govt","MTY_TYP")</f>
        <v>NORMAL</v>
      </c>
      <c r="G1340" t="str">
        <f>_xll.BDP("912827PK Govt","CRNCY")</f>
        <v>USD</v>
      </c>
      <c r="H1340" t="str">
        <f>_xll.BDP("912827PK Govt","COUNTRY_FULL_NAME")</f>
        <v>UNITED STATES</v>
      </c>
      <c r="I1340" t="str">
        <f>_xll.BDP("912827PK Govt","FIRST_CPN_DT")</f>
        <v>10/31/1983</v>
      </c>
      <c r="J1340" t="str">
        <f>_xll.BDP("912827PK Govt","COUPON_FREQUENCY_DESCRIPTION")</f>
        <v>S/A</v>
      </c>
      <c r="K1340" t="str">
        <f>_xll.BDP("912827PK Govt","CPN_TYP")</f>
        <v>FIXED</v>
      </c>
      <c r="L1340" t="str">
        <f>_xll.BDP("912827PK Govt","ID_ISIN")</f>
        <v>US912827PK22</v>
      </c>
      <c r="N1340">
        <v>0</v>
      </c>
      <c r="O1340" t="str">
        <f>_xll.BDP("912827PK Govt","ISSUE_DT")</f>
        <v>5/2/1983</v>
      </c>
      <c r="P1340" t="str">
        <f>_xll.BDP("912827PK Govt","SECURITY_NAME")</f>
        <v>T 9 1/2 04/30/85</v>
      </c>
      <c r="Q1340" t="str">
        <f>_xll.BDP("912827PK Govt","DAY_CNT_DES")</f>
        <v>ACT/ACT</v>
      </c>
      <c r="R1340">
        <v>100</v>
      </c>
      <c r="S1340" t="str">
        <f>_xll.BDP("912827PK Govt","ID_CUSIP")</f>
        <v>912827PK2</v>
      </c>
      <c r="T1340" t="str">
        <f>_xll.BDP("912827PK Govt","IDX_RATIO")</f>
        <v>#N/A Field Not Applicable</v>
      </c>
    </row>
    <row r="1341" spans="1:20" x14ac:dyDescent="0.25">
      <c r="A1341" t="s">
        <v>14</v>
      </c>
      <c r="B1341" t="str">
        <f>_xll.BDP("912827PR Govt","TICKER")</f>
        <v>T</v>
      </c>
      <c r="C1341">
        <f>_xll.BDP("912827PR Govt","CPN")</f>
        <v>10.5</v>
      </c>
      <c r="D1341" t="str">
        <f>_xll.BDP("912827PR Govt","YLD_YTM_BID")</f>
        <v>#N/A N/A</v>
      </c>
      <c r="E1341" t="str">
        <f>_xll.BDP("912827PR Govt","MATURITY")</f>
        <v>6/30/1987</v>
      </c>
      <c r="F1341" t="str">
        <f>_xll.BDP("912827PR Govt","MTY_TYP")</f>
        <v>NORMAL</v>
      </c>
      <c r="G1341" t="str">
        <f>_xll.BDP("912827PR Govt","CRNCY")</f>
        <v>USD</v>
      </c>
      <c r="H1341" t="str">
        <f>_xll.BDP("912827PR Govt","COUNTRY_FULL_NAME")</f>
        <v>UNITED STATES</v>
      </c>
      <c r="I1341" t="str">
        <f>_xll.BDP("912827PR Govt","FIRST_CPN_DT")</f>
        <v>12/31/1983</v>
      </c>
      <c r="J1341" t="str">
        <f>_xll.BDP("912827PR Govt","COUPON_FREQUENCY_DESCRIPTION")</f>
        <v>S/A</v>
      </c>
      <c r="K1341" t="str">
        <f>_xll.BDP("912827PR Govt","CPN_TYP")</f>
        <v>FIXED</v>
      </c>
      <c r="L1341" t="str">
        <f>_xll.BDP("912827PR Govt","ID_ISIN")</f>
        <v>US912827PR74</v>
      </c>
      <c r="N1341">
        <v>0</v>
      </c>
      <c r="O1341" t="str">
        <f>_xll.BDP("912827PR Govt","ISSUE_DT")</f>
        <v>6/30/1983</v>
      </c>
      <c r="P1341" t="str">
        <f>_xll.BDP("912827PR Govt","SECURITY_NAME")</f>
        <v>T 10 1/2 06/30/87</v>
      </c>
      <c r="Q1341" t="str">
        <f>_xll.BDP("912827PR Govt","DAY_CNT_DES")</f>
        <v>ACT/ACT</v>
      </c>
      <c r="R1341">
        <v>100</v>
      </c>
      <c r="S1341" t="str">
        <f>_xll.BDP("912827PR Govt","ID_CUSIP")</f>
        <v>912827PR7</v>
      </c>
      <c r="T1341" t="str">
        <f>_xll.BDP("912827PR Govt","IDX_RATIO")</f>
        <v>#N/A Field Not Applicable</v>
      </c>
    </row>
    <row r="1342" spans="1:20" x14ac:dyDescent="0.25">
      <c r="A1342" t="s">
        <v>14</v>
      </c>
      <c r="B1342" t="str">
        <f>_xll.BDP("912827PT Govt","TICKER")</f>
        <v>T</v>
      </c>
      <c r="C1342">
        <f>_xll.BDP("912827PT Govt","CPN")</f>
        <v>10.625</v>
      </c>
      <c r="D1342" t="str">
        <f>_xll.BDP("912827PT Govt","YLD_YTM_BID")</f>
        <v>#N/A N/A</v>
      </c>
      <c r="E1342" t="str">
        <f>_xll.BDP("912827PT Govt","MATURITY")</f>
        <v>7/31/1985</v>
      </c>
      <c r="F1342" t="str">
        <f>_xll.BDP("912827PT Govt","MTY_TYP")</f>
        <v>NORMAL</v>
      </c>
      <c r="G1342" t="str">
        <f>_xll.BDP("912827PT Govt","CRNCY")</f>
        <v>USD</v>
      </c>
      <c r="H1342" t="str">
        <f>_xll.BDP("912827PT Govt","COUNTRY_FULL_NAME")</f>
        <v>UNITED STATES</v>
      </c>
      <c r="I1342" t="str">
        <f>_xll.BDP("912827PT Govt","FIRST_CPN_DT")</f>
        <v>1/31/1984</v>
      </c>
      <c r="J1342" t="str">
        <f>_xll.BDP("912827PT Govt","COUPON_FREQUENCY_DESCRIPTION")</f>
        <v>S/A</v>
      </c>
      <c r="K1342" t="str">
        <f>_xll.BDP("912827PT Govt","CPN_TYP")</f>
        <v>FIXED</v>
      </c>
      <c r="L1342" t="str">
        <f>_xll.BDP("912827PT Govt","ID_ISIN")</f>
        <v>US912827PT31</v>
      </c>
      <c r="N1342">
        <v>0</v>
      </c>
      <c r="O1342" t="str">
        <f>_xll.BDP("912827PT Govt","ISSUE_DT")</f>
        <v>8/1/1983</v>
      </c>
      <c r="P1342" t="str">
        <f>_xll.BDP("912827PT Govt","SECURITY_NAME")</f>
        <v>T 10 5/8 07/31/85</v>
      </c>
      <c r="Q1342" t="str">
        <f>_xll.BDP("912827PT Govt","DAY_CNT_DES")</f>
        <v>ACT/ACT</v>
      </c>
      <c r="R1342">
        <v>100</v>
      </c>
      <c r="S1342" t="str">
        <f>_xll.BDP("912827PT Govt","ID_CUSIP")</f>
        <v>912827PT3</v>
      </c>
      <c r="T1342" t="str">
        <f>_xll.BDP("912827PT Govt","IDX_RATIO")</f>
        <v>#N/A Field Not Applicable</v>
      </c>
    </row>
    <row r="1343" spans="1:20" x14ac:dyDescent="0.25">
      <c r="A1343" t="s">
        <v>14</v>
      </c>
      <c r="B1343" t="str">
        <f>_xll.BDP("912827Q6 Govt","TICKER")</f>
        <v>T</v>
      </c>
      <c r="C1343">
        <f>_xll.BDP("912827Q6 Govt","CPN")</f>
        <v>6.875</v>
      </c>
      <c r="D1343" t="str">
        <f>_xll.BDP("912827Q6 Govt","YLD_YTM_BID")</f>
        <v>#N/A N/A</v>
      </c>
      <c r="E1343" t="str">
        <f>_xll.BDP("912827Q6 Govt","MATURITY")</f>
        <v>7/31/1999</v>
      </c>
      <c r="F1343" t="str">
        <f>_xll.BDP("912827Q6 Govt","MTY_TYP")</f>
        <v>NORMAL</v>
      </c>
      <c r="G1343" t="str">
        <f>_xll.BDP("912827Q6 Govt","CRNCY")</f>
        <v>USD</v>
      </c>
      <c r="H1343" t="str">
        <f>_xll.BDP("912827Q6 Govt","COUNTRY_FULL_NAME")</f>
        <v>UNITED STATES</v>
      </c>
      <c r="I1343" t="str">
        <f>_xll.BDP("912827Q6 Govt","FIRST_CPN_DT")</f>
        <v>1/31/1995</v>
      </c>
      <c r="J1343" t="str">
        <f>_xll.BDP("912827Q6 Govt","COUPON_FREQUENCY_DESCRIPTION")</f>
        <v>S/A</v>
      </c>
      <c r="K1343" t="str">
        <f>_xll.BDP("912827Q6 Govt","CPN_TYP")</f>
        <v>FIXED</v>
      </c>
      <c r="L1343" t="str">
        <f>_xll.BDP("912827Q6 Govt","ID_ISIN")</f>
        <v>US912827Q626</v>
      </c>
      <c r="M1343">
        <v>12411000000</v>
      </c>
      <c r="N1343">
        <v>0</v>
      </c>
      <c r="O1343" t="str">
        <f>_xll.BDP("912827Q6 Govt","ISSUE_DT")</f>
        <v>8/1/1994</v>
      </c>
      <c r="P1343" t="str">
        <f>_xll.BDP("912827Q6 Govt","SECURITY_NAME")</f>
        <v>T 6 7/8 07/31/99</v>
      </c>
      <c r="Q1343" t="str">
        <f>_xll.BDP("912827Q6 Govt","DAY_CNT_DES")</f>
        <v>ACT/ACT</v>
      </c>
      <c r="R1343">
        <v>100</v>
      </c>
      <c r="S1343" t="str">
        <f>_xll.BDP("912827Q6 Govt","ID_CUSIP")</f>
        <v>912827Q62</v>
      </c>
      <c r="T1343" t="str">
        <f>_xll.BDP("912827Q6 Govt","IDX_RATIO")</f>
        <v>#N/A Field Not Applicable</v>
      </c>
    </row>
    <row r="1344" spans="1:20" x14ac:dyDescent="0.25">
      <c r="A1344" t="s">
        <v>14</v>
      </c>
      <c r="B1344" t="str">
        <f>_xll.BDP("912810CR Govt","TICKER")</f>
        <v>T</v>
      </c>
      <c r="C1344">
        <f>_xll.BDP("912810CR Govt","CPN")</f>
        <v>11.5</v>
      </c>
      <c r="D1344" t="str">
        <f>_xll.BDP("912810CR Govt","YLD_YTM_BID")</f>
        <v>#N/A N/A</v>
      </c>
      <c r="E1344" t="str">
        <f>_xll.BDP("912810CR Govt","MATURITY")</f>
        <v>11/15/1995</v>
      </c>
      <c r="F1344" t="str">
        <f>_xll.BDP("912810CR Govt","MTY_TYP")</f>
        <v>NORMAL</v>
      </c>
      <c r="G1344" t="str">
        <f>_xll.BDP("912810CR Govt","CRNCY")</f>
        <v>USD</v>
      </c>
      <c r="H1344" t="str">
        <f>_xll.BDP("912810CR Govt","COUNTRY_FULL_NAME")</f>
        <v>UNITED STATES</v>
      </c>
      <c r="I1344" t="str">
        <f>_xll.BDP("912810CR Govt","FIRST_CPN_DT")</f>
        <v>5/15/1981</v>
      </c>
      <c r="J1344" t="str">
        <f>_xll.BDP("912810CR Govt","COUPON_FREQUENCY_DESCRIPTION")</f>
        <v>S/A</v>
      </c>
      <c r="K1344" t="str">
        <f>_xll.BDP("912810CR Govt","CPN_TYP")</f>
        <v>FIXED</v>
      </c>
      <c r="L1344" t="str">
        <f>_xll.BDP("912810CR Govt","ID_ISIN")</f>
        <v>US912810CR78</v>
      </c>
      <c r="N1344">
        <v>0</v>
      </c>
      <c r="O1344" t="str">
        <f>_xll.BDP("912810CR Govt","ISSUE_DT")</f>
        <v>10/14/1980</v>
      </c>
      <c r="P1344" t="str">
        <f>_xll.BDP("912810CR Govt","SECURITY_NAME")</f>
        <v>T 11 1/2 11/15/95</v>
      </c>
      <c r="Q1344" t="str">
        <f>_xll.BDP("912810CR Govt","DAY_CNT_DES")</f>
        <v>ACT/ACT</v>
      </c>
      <c r="R1344">
        <v>100</v>
      </c>
      <c r="S1344" t="str">
        <f>_xll.BDP("912810CR Govt","ID_CUSIP")</f>
        <v>912810CR7</v>
      </c>
      <c r="T1344" t="str">
        <f>_xll.BDP("912810CR Govt","IDX_RATIO")</f>
        <v>#N/A Field Not Applicable</v>
      </c>
    </row>
    <row r="1345" spans="1:20" x14ac:dyDescent="0.25">
      <c r="A1345" t="s">
        <v>14</v>
      </c>
      <c r="B1345" t="str">
        <f>_xll.BDP("912810CU Govt","TICKER")</f>
        <v>T</v>
      </c>
      <c r="C1345">
        <f>_xll.BDP("912810CU Govt","CPN")</f>
        <v>13.125</v>
      </c>
      <c r="D1345" t="str">
        <f>_xll.BDP("912810CU Govt","YLD_YTM_BID")</f>
        <v>#N/A N/A</v>
      </c>
      <c r="E1345" t="str">
        <f>_xll.BDP("912810CU Govt","MATURITY")</f>
        <v>5/15/2001</v>
      </c>
      <c r="F1345" t="str">
        <f>_xll.BDP("912810CU Govt","MTY_TYP")</f>
        <v>NORMAL</v>
      </c>
      <c r="G1345" t="str">
        <f>_xll.BDP("912810CU Govt","CRNCY")</f>
        <v>USD</v>
      </c>
      <c r="H1345" t="str">
        <f>_xll.BDP("912810CU Govt","COUNTRY_FULL_NAME")</f>
        <v>UNITED STATES</v>
      </c>
      <c r="I1345" t="str">
        <f>_xll.BDP("912810CU Govt","FIRST_CPN_DT")</f>
        <v>11/15/1981</v>
      </c>
      <c r="J1345" t="str">
        <f>_xll.BDP("912810CU Govt","COUPON_FREQUENCY_DESCRIPTION")</f>
        <v>S/A</v>
      </c>
      <c r="K1345" t="str">
        <f>_xll.BDP("912810CU Govt","CPN_TYP")</f>
        <v>FIXED</v>
      </c>
      <c r="L1345" t="str">
        <f>_xll.BDP("912810CU Govt","ID_ISIN")</f>
        <v>US912810CU08</v>
      </c>
      <c r="M1345">
        <v>1750000000</v>
      </c>
      <c r="N1345">
        <v>0</v>
      </c>
      <c r="O1345" t="str">
        <f>_xll.BDP("912810CU Govt","ISSUE_DT")</f>
        <v>4/2/1981</v>
      </c>
      <c r="P1345" t="str">
        <f>_xll.BDP("912810CU Govt","SECURITY_NAME")</f>
        <v>T 13 1/8 05/15/01</v>
      </c>
      <c r="Q1345" t="str">
        <f>_xll.BDP("912810CU Govt","DAY_CNT_DES")</f>
        <v>ACT/ACT</v>
      </c>
      <c r="R1345">
        <v>100</v>
      </c>
      <c r="S1345" t="str">
        <f>_xll.BDP("912810CU Govt","ID_CUSIP")</f>
        <v>912810CU0</v>
      </c>
      <c r="T1345" t="str">
        <f>_xll.BDP("912810CU Govt","IDX_RATIO")</f>
        <v>#N/A Field Not Applicable</v>
      </c>
    </row>
    <row r="1346" spans="1:20" x14ac:dyDescent="0.25">
      <c r="A1346" t="s">
        <v>14</v>
      </c>
      <c r="B1346" t="str">
        <f>_xll.BDP("912810DB Govt","TICKER")</f>
        <v>T</v>
      </c>
      <c r="C1346">
        <f>_xll.BDP("912810DB Govt","CPN")</f>
        <v>10.375</v>
      </c>
      <c r="D1346" t="str">
        <f>_xll.BDP("912810DB Govt","YLD_YTM_BID")</f>
        <v>#N/A N/A</v>
      </c>
      <c r="E1346" t="str">
        <f>_xll.BDP("912810DB Govt","MATURITY")</f>
        <v>11/15/2012</v>
      </c>
      <c r="F1346" t="str">
        <f>_xll.BDP("912810DB Govt","MTY_TYP")</f>
        <v>CALLABLE</v>
      </c>
      <c r="G1346" t="str">
        <f>_xll.BDP("912810DB Govt","CRNCY")</f>
        <v>USD</v>
      </c>
      <c r="H1346" t="str">
        <f>_xll.BDP("912810DB Govt","COUNTRY_FULL_NAME")</f>
        <v>UNITED STATES</v>
      </c>
      <c r="I1346" t="str">
        <f>_xll.BDP("912810DB Govt","FIRST_CPN_DT")</f>
        <v>5/15/1983</v>
      </c>
      <c r="J1346" t="str">
        <f>_xll.BDP("912810DB Govt","COUPON_FREQUENCY_DESCRIPTION")</f>
        <v>S/A</v>
      </c>
      <c r="K1346" t="str">
        <f>_xll.BDP("912810DB Govt","CPN_TYP")</f>
        <v>FIXED</v>
      </c>
      <c r="L1346" t="str">
        <f>_xll.BDP("912810DB Govt","ID_ISIN")</f>
        <v>US912810DB18</v>
      </c>
      <c r="M1346">
        <v>11032000000</v>
      </c>
      <c r="N1346">
        <v>0</v>
      </c>
      <c r="O1346" t="str">
        <f>_xll.BDP("912810DB Govt","ISSUE_DT")</f>
        <v>11/15/1982</v>
      </c>
      <c r="P1346" t="str">
        <f>_xll.BDP("912810DB Govt","SECURITY_NAME")</f>
        <v>T 10 3/8 11/15/12</v>
      </c>
      <c r="Q1346" t="str">
        <f>_xll.BDP("912810DB Govt","DAY_CNT_DES")</f>
        <v>ACT/ACT</v>
      </c>
      <c r="R1346">
        <v>100</v>
      </c>
      <c r="S1346" t="str">
        <f>_xll.BDP("912810DB Govt","ID_CUSIP")</f>
        <v>912810DB1</v>
      </c>
      <c r="T1346" t="str">
        <f>_xll.BDP("912810DB Govt","IDX_RATIO")</f>
        <v>#N/A Field Not Applicable</v>
      </c>
    </row>
    <row r="1347" spans="1:20" x14ac:dyDescent="0.25">
      <c r="A1347" t="s">
        <v>14</v>
      </c>
      <c r="B1347" t="str">
        <f>_xll.BDP("912810DK Govt","TICKER")</f>
        <v>T</v>
      </c>
      <c r="C1347">
        <f>_xll.BDP("912810DK Govt","CPN")</f>
        <v>13.75</v>
      </c>
      <c r="D1347" t="str">
        <f>_xll.BDP("912810DK Govt","YLD_YTM_BID")</f>
        <v>#N/A N/A</v>
      </c>
      <c r="E1347" t="str">
        <f>_xll.BDP("912810DK Govt","MATURITY")</f>
        <v>8/15/2004</v>
      </c>
      <c r="F1347" t="str">
        <f>_xll.BDP("912810DK Govt","MTY_TYP")</f>
        <v>NORMAL</v>
      </c>
      <c r="G1347" t="str">
        <f>_xll.BDP("912810DK Govt","CRNCY")</f>
        <v>USD</v>
      </c>
      <c r="H1347" t="str">
        <f>_xll.BDP("912810DK Govt","COUNTRY_FULL_NAME")</f>
        <v>UNITED STATES</v>
      </c>
      <c r="I1347" t="str">
        <f>_xll.BDP("912810DK Govt","FIRST_CPN_DT")</f>
        <v>2/15/1985</v>
      </c>
      <c r="J1347" t="str">
        <f>_xll.BDP("912810DK Govt","COUPON_FREQUENCY_DESCRIPTION")</f>
        <v>S/A</v>
      </c>
      <c r="K1347" t="str">
        <f>_xll.BDP("912810DK Govt","CPN_TYP")</f>
        <v>FIXED</v>
      </c>
      <c r="L1347" t="str">
        <f>_xll.BDP("912810DK Govt","ID_ISIN")</f>
        <v>US912810DK17</v>
      </c>
      <c r="M1347">
        <v>4000000000</v>
      </c>
      <c r="N1347">
        <v>0</v>
      </c>
      <c r="O1347" t="str">
        <f>_xll.BDP("912810DK Govt","ISSUE_DT")</f>
        <v>7/10/1984</v>
      </c>
      <c r="P1347" t="str">
        <f>_xll.BDP("912810DK Govt","SECURITY_NAME")</f>
        <v>T 13 3/4 08/15/04</v>
      </c>
      <c r="Q1347" t="str">
        <f>_xll.BDP("912810DK Govt","DAY_CNT_DES")</f>
        <v>ACT/ACT</v>
      </c>
      <c r="R1347">
        <v>100</v>
      </c>
      <c r="S1347" t="str">
        <f>_xll.BDP("912810DK Govt","ID_CUSIP")</f>
        <v>912810DK1</v>
      </c>
      <c r="T1347" t="str">
        <f>_xll.BDP("912810DK Govt","IDX_RATIO")</f>
        <v>#N/A Field Not Applicable</v>
      </c>
    </row>
    <row r="1348" spans="1:20" x14ac:dyDescent="0.25">
      <c r="A1348" t="s">
        <v>14</v>
      </c>
      <c r="B1348" t="str">
        <f>_xll.BDP("912810DN Govt","TICKER")</f>
        <v>T</v>
      </c>
      <c r="C1348">
        <f>_xll.BDP("912810DN Govt","CPN")</f>
        <v>11.75</v>
      </c>
      <c r="D1348" t="str">
        <f>_xll.BDP("912810DN Govt","YLD_YTM_BID")</f>
        <v>#N/A N/A</v>
      </c>
      <c r="E1348" t="str">
        <f>_xll.BDP("912810DN Govt","MATURITY")</f>
        <v>11/15/2014</v>
      </c>
      <c r="F1348" t="str">
        <f>_xll.BDP("912810DN Govt","MTY_TYP")</f>
        <v>CALLABLE</v>
      </c>
      <c r="G1348" t="str">
        <f>_xll.BDP("912810DN Govt","CRNCY")</f>
        <v>USD</v>
      </c>
      <c r="H1348" t="str">
        <f>_xll.BDP("912810DN Govt","COUNTRY_FULL_NAME")</f>
        <v>UNITED STATES</v>
      </c>
      <c r="I1348" t="str">
        <f>_xll.BDP("912810DN Govt","FIRST_CPN_DT")</f>
        <v>5/15/1985</v>
      </c>
      <c r="J1348" t="str">
        <f>_xll.BDP("912810DN Govt","COUPON_FREQUENCY_DESCRIPTION")</f>
        <v>S/A</v>
      </c>
      <c r="K1348" t="str">
        <f>_xll.BDP("912810DN Govt","CPN_TYP")</f>
        <v>FIXED</v>
      </c>
      <c r="L1348" t="str">
        <f>_xll.BDP("912810DN Govt","ID_ISIN")</f>
        <v>US912810DN55</v>
      </c>
      <c r="M1348">
        <v>6006000000</v>
      </c>
      <c r="N1348">
        <v>0</v>
      </c>
      <c r="O1348" t="str">
        <f>_xll.BDP("912810DN Govt","ISSUE_DT")</f>
        <v>11/15/1984</v>
      </c>
      <c r="P1348" t="str">
        <f>_xll.BDP("912810DN Govt","SECURITY_NAME")</f>
        <v>T 11 3/4 11/15/14</v>
      </c>
      <c r="Q1348" t="str">
        <f>_xll.BDP("912810DN Govt","DAY_CNT_DES")</f>
        <v>ACT/ACT</v>
      </c>
      <c r="R1348">
        <v>100</v>
      </c>
      <c r="S1348" t="str">
        <f>_xll.BDP("912810DN Govt","ID_CUSIP")</f>
        <v>912810DN5</v>
      </c>
      <c r="T1348" t="str">
        <f>_xll.BDP("912810DN Govt","IDX_RATIO")</f>
        <v>#N/A Field Not Applicable</v>
      </c>
    </row>
    <row r="1349" spans="1:20" x14ac:dyDescent="0.25">
      <c r="A1349" t="s">
        <v>14</v>
      </c>
      <c r="B1349" t="str">
        <f>_xll.BDP("912810EG Govt","TICKER")</f>
        <v>T</v>
      </c>
      <c r="C1349">
        <f>_xll.BDP("912810EG Govt","CPN")</f>
        <v>8.75</v>
      </c>
      <c r="D1349" t="str">
        <f>_xll.BDP("912810EG Govt","YLD_YTM_BID")</f>
        <v>#N/A N/A</v>
      </c>
      <c r="E1349" t="str">
        <f>_xll.BDP("912810EG Govt","MATURITY")</f>
        <v>8/15/2020</v>
      </c>
      <c r="F1349" t="str">
        <f>_xll.BDP("912810EG Govt","MTY_TYP")</f>
        <v>NORMAL</v>
      </c>
      <c r="G1349" t="str">
        <f>_xll.BDP("912810EG Govt","CRNCY")</f>
        <v>USD</v>
      </c>
      <c r="H1349" t="str">
        <f>_xll.BDP("912810EG Govt","COUNTRY_FULL_NAME")</f>
        <v>UNITED STATES</v>
      </c>
      <c r="I1349" t="str">
        <f>_xll.BDP("912810EG Govt","FIRST_CPN_DT")</f>
        <v>2/15/1991</v>
      </c>
      <c r="J1349" t="str">
        <f>_xll.BDP("912810EG Govt","COUPON_FREQUENCY_DESCRIPTION")</f>
        <v>S/A</v>
      </c>
      <c r="K1349" t="str">
        <f>_xll.BDP("912810EG Govt","CPN_TYP")</f>
        <v>FIXED</v>
      </c>
      <c r="L1349" t="str">
        <f>_xll.BDP("912810EG Govt","ID_ISIN")</f>
        <v>US912810EG95</v>
      </c>
      <c r="M1349">
        <v>21419000000</v>
      </c>
      <c r="N1349">
        <v>0</v>
      </c>
      <c r="O1349" t="str">
        <f>_xll.BDP("912810EG Govt","ISSUE_DT")</f>
        <v>8/15/1990</v>
      </c>
      <c r="P1349" t="str">
        <f>_xll.BDP("912810EG Govt","SECURITY_NAME")</f>
        <v>T 8 3/4 08/15/20</v>
      </c>
      <c r="Q1349" t="str">
        <f>_xll.BDP("912810EG Govt","DAY_CNT_DES")</f>
        <v>ACT/ACT</v>
      </c>
      <c r="R1349">
        <v>100</v>
      </c>
      <c r="S1349" t="str">
        <f>_xll.BDP("912810EG Govt","ID_CUSIP")</f>
        <v>912810EG9</v>
      </c>
      <c r="T1349" t="str">
        <f>_xll.BDP("912810EG Govt","IDX_RATIO")</f>
        <v>#N/A Field Not Applicable</v>
      </c>
    </row>
    <row r="1350" spans="1:20" x14ac:dyDescent="0.25">
      <c r="A1350" t="s">
        <v>14</v>
      </c>
      <c r="B1350" t="str">
        <f>_xll.BDP("9128272D Govt","TICKER")</f>
        <v>T</v>
      </c>
      <c r="C1350">
        <f>_xll.BDP("9128272D Govt","CPN")</f>
        <v>5.75</v>
      </c>
      <c r="D1350" t="str">
        <f>_xll.BDP("9128272D Govt","YLD_YTM_BID")</f>
        <v>#N/A N/A</v>
      </c>
      <c r="E1350" t="str">
        <f>_xll.BDP("9128272D Govt","MATURITY")</f>
        <v>12/31/1998</v>
      </c>
      <c r="F1350" t="str">
        <f>_xll.BDP("9128272D Govt","MTY_TYP")</f>
        <v>NORMAL</v>
      </c>
      <c r="G1350" t="str">
        <f>_xll.BDP("9128272D Govt","CRNCY")</f>
        <v>USD</v>
      </c>
      <c r="H1350" t="str">
        <f>_xll.BDP("9128272D Govt","COUNTRY_FULL_NAME")</f>
        <v>UNITED STATES</v>
      </c>
      <c r="I1350" t="str">
        <f>_xll.BDP("9128272D Govt","FIRST_CPN_DT")</f>
        <v>6/30/1997</v>
      </c>
      <c r="J1350" t="str">
        <f>_xll.BDP("9128272D Govt","COUPON_FREQUENCY_DESCRIPTION")</f>
        <v>S/A</v>
      </c>
      <c r="K1350" t="str">
        <f>_xll.BDP("9128272D Govt","CPN_TYP")</f>
        <v>FIXED</v>
      </c>
      <c r="L1350" t="str">
        <f>_xll.BDP("9128272D Govt","ID_ISIN")</f>
        <v>US9128272D38</v>
      </c>
      <c r="M1350">
        <v>20615000000</v>
      </c>
      <c r="N1350">
        <v>0</v>
      </c>
      <c r="O1350" t="str">
        <f>_xll.BDP("9128272D Govt","ISSUE_DT")</f>
        <v>12/31/1996</v>
      </c>
      <c r="P1350" t="str">
        <f>_xll.BDP("9128272D Govt","SECURITY_NAME")</f>
        <v>T 5 3/4 12/31/98</v>
      </c>
      <c r="Q1350" t="str">
        <f>_xll.BDP("9128272D Govt","DAY_CNT_DES")</f>
        <v>ACT/ACT</v>
      </c>
      <c r="R1350">
        <v>100</v>
      </c>
      <c r="S1350" t="str">
        <f>_xll.BDP("9128272D Govt","ID_CUSIP")</f>
        <v>9128272D3</v>
      </c>
      <c r="T1350" t="str">
        <f>_xll.BDP("9128272D Govt","IDX_RATIO")</f>
        <v>#N/A Field Not Applicable</v>
      </c>
    </row>
    <row r="1351" spans="1:20" x14ac:dyDescent="0.25">
      <c r="A1351" t="s">
        <v>14</v>
      </c>
      <c r="B1351" t="str">
        <f>_xll.BDP("9128272F Govt","TICKER")</f>
        <v>T</v>
      </c>
      <c r="C1351">
        <f>_xll.BDP("9128272F Govt","CPN")</f>
        <v>5.875</v>
      </c>
      <c r="D1351" t="str">
        <f>_xll.BDP("9128272F Govt","YLD_YTM_BID")</f>
        <v>#N/A N/A</v>
      </c>
      <c r="E1351" t="str">
        <f>_xll.BDP("9128272F Govt","MATURITY")</f>
        <v>1/31/1999</v>
      </c>
      <c r="F1351" t="str">
        <f>_xll.BDP("9128272F Govt","MTY_TYP")</f>
        <v>NORMAL</v>
      </c>
      <c r="G1351" t="str">
        <f>_xll.BDP("9128272F Govt","CRNCY")</f>
        <v>USD</v>
      </c>
      <c r="H1351" t="str">
        <f>_xll.BDP("9128272F Govt","COUNTRY_FULL_NAME")</f>
        <v>UNITED STATES</v>
      </c>
      <c r="I1351" t="str">
        <f>_xll.BDP("9128272F Govt","FIRST_CPN_DT")</f>
        <v>7/31/1997</v>
      </c>
      <c r="J1351" t="str">
        <f>_xll.BDP("9128272F Govt","COUPON_FREQUENCY_DESCRIPTION")</f>
        <v>S/A</v>
      </c>
      <c r="K1351" t="str">
        <f>_xll.BDP("9128272F Govt","CPN_TYP")</f>
        <v>FIXED</v>
      </c>
      <c r="L1351" t="str">
        <f>_xll.BDP("9128272F Govt","ID_ISIN")</f>
        <v>US9128272F85</v>
      </c>
      <c r="M1351">
        <v>19468000000</v>
      </c>
      <c r="N1351">
        <v>0</v>
      </c>
      <c r="O1351" t="str">
        <f>_xll.BDP("9128272F Govt","ISSUE_DT")</f>
        <v>1/31/1997</v>
      </c>
      <c r="P1351" t="str">
        <f>_xll.BDP("9128272F Govt","SECURITY_NAME")</f>
        <v>T 5 7/8 01/31/99</v>
      </c>
      <c r="Q1351" t="str">
        <f>_xll.BDP("9128272F Govt","DAY_CNT_DES")</f>
        <v>ACT/ACT</v>
      </c>
      <c r="R1351">
        <v>100</v>
      </c>
      <c r="S1351" t="str">
        <f>_xll.BDP("9128272F Govt","ID_CUSIP")</f>
        <v>9128272F8</v>
      </c>
      <c r="T1351" t="str">
        <f>_xll.BDP("9128272F Govt","IDX_RATIO")</f>
        <v>#N/A Field Not Applicable</v>
      </c>
    </row>
    <row r="1352" spans="1:20" x14ac:dyDescent="0.25">
      <c r="A1352" t="s">
        <v>14</v>
      </c>
      <c r="B1352" t="str">
        <f>_xll.BDP("9128272N Govt","TICKER")</f>
        <v>T</v>
      </c>
      <c r="C1352">
        <f>_xll.BDP("9128272N Govt","CPN")</f>
        <v>6.25</v>
      </c>
      <c r="D1352" t="str">
        <f>_xll.BDP("9128272N Govt","YLD_YTM_BID")</f>
        <v>#N/A N/A</v>
      </c>
      <c r="E1352" t="str">
        <f>_xll.BDP("9128272N Govt","MATURITY")</f>
        <v>3/31/1999</v>
      </c>
      <c r="F1352" t="str">
        <f>_xll.BDP("9128272N Govt","MTY_TYP")</f>
        <v>NORMAL</v>
      </c>
      <c r="G1352" t="str">
        <f>_xll.BDP("9128272N Govt","CRNCY")</f>
        <v>USD</v>
      </c>
      <c r="H1352" t="str">
        <f>_xll.BDP("9128272N Govt","COUNTRY_FULL_NAME")</f>
        <v>UNITED STATES</v>
      </c>
      <c r="I1352" t="str">
        <f>_xll.BDP("9128272N Govt","FIRST_CPN_DT")</f>
        <v>9/30/1997</v>
      </c>
      <c r="J1352" t="str">
        <f>_xll.BDP("9128272N Govt","COUPON_FREQUENCY_DESCRIPTION")</f>
        <v>S/A</v>
      </c>
      <c r="K1352" t="str">
        <f>_xll.BDP("9128272N Govt","CPN_TYP")</f>
        <v>FIXED</v>
      </c>
      <c r="L1352" t="str">
        <f>_xll.BDP("9128272N Govt","ID_ISIN")</f>
        <v>US9128272N10</v>
      </c>
      <c r="M1352">
        <v>19798000000</v>
      </c>
      <c r="N1352">
        <v>0</v>
      </c>
      <c r="O1352" t="str">
        <f>_xll.BDP("9128272N Govt","ISSUE_DT")</f>
        <v>3/31/1997</v>
      </c>
      <c r="P1352" t="str">
        <f>_xll.BDP("9128272N Govt","SECURITY_NAME")</f>
        <v>T 6 1/4 03/31/99</v>
      </c>
      <c r="Q1352" t="str">
        <f>_xll.BDP("9128272N Govt","DAY_CNT_DES")</f>
        <v>ACT/ACT</v>
      </c>
      <c r="R1352">
        <v>100</v>
      </c>
      <c r="S1352" t="str">
        <f>_xll.BDP("9128272N Govt","ID_CUSIP")</f>
        <v>9128272N1</v>
      </c>
      <c r="T1352" t="str">
        <f>_xll.BDP("9128272N Govt","IDX_RATIO")</f>
        <v>#N/A Field Not Applicable</v>
      </c>
    </row>
    <row r="1353" spans="1:20" x14ac:dyDescent="0.25">
      <c r="A1353" t="s">
        <v>14</v>
      </c>
      <c r="B1353" t="str">
        <f>_xll.BDP("9128273B Govt","TICKER")</f>
        <v>T</v>
      </c>
      <c r="C1353">
        <f>_xll.BDP("9128273B Govt","CPN")</f>
        <v>5.875</v>
      </c>
      <c r="D1353" t="str">
        <f>_xll.BDP("9128273B Govt","YLD_YTM_BID")</f>
        <v>#N/A N/A</v>
      </c>
      <c r="E1353" t="str">
        <f>_xll.BDP("9128273B Govt","MATURITY")</f>
        <v>7/31/1999</v>
      </c>
      <c r="F1353" t="str">
        <f>_xll.BDP("9128273B Govt","MTY_TYP")</f>
        <v>NORMAL</v>
      </c>
      <c r="G1353" t="str">
        <f>_xll.BDP("9128273B Govt","CRNCY")</f>
        <v>USD</v>
      </c>
      <c r="H1353" t="str">
        <f>_xll.BDP("9128273B Govt","COUNTRY_FULL_NAME")</f>
        <v>UNITED STATES</v>
      </c>
      <c r="I1353" t="str">
        <f>_xll.BDP("9128273B Govt","FIRST_CPN_DT")</f>
        <v>1/31/1998</v>
      </c>
      <c r="J1353" t="str">
        <f>_xll.BDP("9128273B Govt","COUPON_FREQUENCY_DESCRIPTION")</f>
        <v>S/A</v>
      </c>
      <c r="K1353" t="str">
        <f>_xll.BDP("9128273B Govt","CPN_TYP")</f>
        <v>FIXED</v>
      </c>
      <c r="L1353" t="str">
        <f>_xll.BDP("9128273B Govt","ID_ISIN")</f>
        <v>US9128273B62</v>
      </c>
      <c r="M1353">
        <v>16839000000</v>
      </c>
      <c r="N1353">
        <v>0</v>
      </c>
      <c r="O1353" t="str">
        <f>_xll.BDP("9128273B Govt","ISSUE_DT")</f>
        <v>7/31/1997</v>
      </c>
      <c r="P1353" t="str">
        <f>_xll.BDP("9128273B Govt","SECURITY_NAME")</f>
        <v>T 5 7/8 07/31/99</v>
      </c>
      <c r="Q1353" t="str">
        <f>_xll.BDP("9128273B Govt","DAY_CNT_DES")</f>
        <v>ACT/ACT</v>
      </c>
      <c r="R1353">
        <v>100</v>
      </c>
      <c r="S1353" t="str">
        <f>_xll.BDP("9128273B Govt","ID_CUSIP")</f>
        <v>9128273B6</v>
      </c>
      <c r="T1353" t="str">
        <f>_xll.BDP("9128273B Govt","IDX_RATIO")</f>
        <v>#N/A Field Not Applicable</v>
      </c>
    </row>
    <row r="1354" spans="1:20" x14ac:dyDescent="0.25">
      <c r="A1354" t="s">
        <v>14</v>
      </c>
      <c r="B1354" t="str">
        <f>_xll.BDP("9128273D Govt","TICKER")</f>
        <v>T</v>
      </c>
      <c r="C1354">
        <f>_xll.BDP("9128273D Govt","CPN")</f>
        <v>6</v>
      </c>
      <c r="D1354" t="str">
        <f>_xll.BDP("9128273D Govt","YLD_YTM_BID")</f>
        <v>#N/A N/A</v>
      </c>
      <c r="E1354" t="str">
        <f>_xll.BDP("9128273D Govt","MATURITY")</f>
        <v>8/15/2000</v>
      </c>
      <c r="F1354" t="str">
        <f>_xll.BDP("9128273D Govt","MTY_TYP")</f>
        <v>NORMAL</v>
      </c>
      <c r="G1354" t="str">
        <f>_xll.BDP("9128273D Govt","CRNCY")</f>
        <v>USD</v>
      </c>
      <c r="H1354" t="str">
        <f>_xll.BDP("9128273D Govt","COUNTRY_FULL_NAME")</f>
        <v>UNITED STATES</v>
      </c>
      <c r="I1354" t="str">
        <f>_xll.BDP("9128273D Govt","FIRST_CPN_DT")</f>
        <v>2/15/1998</v>
      </c>
      <c r="J1354" t="str">
        <f>_xll.BDP("9128273D Govt","COUPON_FREQUENCY_DESCRIPTION")</f>
        <v>S/A</v>
      </c>
      <c r="K1354" t="str">
        <f>_xll.BDP("9128273D Govt","CPN_TYP")</f>
        <v>FIXED</v>
      </c>
      <c r="L1354" t="str">
        <f>_xll.BDP("9128273D Govt","ID_ISIN")</f>
        <v>US9128273D29</v>
      </c>
      <c r="M1354">
        <v>18053000000</v>
      </c>
      <c r="N1354">
        <v>0</v>
      </c>
      <c r="O1354" t="str">
        <f>_xll.BDP("9128273D Govt","ISSUE_DT")</f>
        <v>8/15/1997</v>
      </c>
      <c r="P1354" t="str">
        <f>_xll.BDP("9128273D Govt","SECURITY_NAME")</f>
        <v>T 6 08/15/00</v>
      </c>
      <c r="Q1354" t="str">
        <f>_xll.BDP("9128273D Govt","DAY_CNT_DES")</f>
        <v>ACT/ACT</v>
      </c>
      <c r="R1354">
        <v>100</v>
      </c>
      <c r="S1354" t="str">
        <f>_xll.BDP("9128273D Govt","ID_CUSIP")</f>
        <v>9128273D2</v>
      </c>
      <c r="T1354" t="str">
        <f>_xll.BDP("9128273D Govt","IDX_RATIO")</f>
        <v>#N/A Field Not Applicable</v>
      </c>
    </row>
    <row r="1355" spans="1:20" x14ac:dyDescent="0.25">
      <c r="A1355" t="s">
        <v>14</v>
      </c>
      <c r="B1355" t="str">
        <f>_xll.BDP("9128273F Govt","TICKER")</f>
        <v>T</v>
      </c>
      <c r="C1355">
        <f>_xll.BDP("9128273F Govt","CPN")</f>
        <v>5.875</v>
      </c>
      <c r="D1355" t="str">
        <f>_xll.BDP("9128273F Govt","YLD_YTM_BID")</f>
        <v>#N/A N/A</v>
      </c>
      <c r="E1355" t="str">
        <f>_xll.BDP("9128273F Govt","MATURITY")</f>
        <v>8/31/1999</v>
      </c>
      <c r="F1355" t="str">
        <f>_xll.BDP("9128273F Govt","MTY_TYP")</f>
        <v>NORMAL</v>
      </c>
      <c r="G1355" t="str">
        <f>_xll.BDP("9128273F Govt","CRNCY")</f>
        <v>USD</v>
      </c>
      <c r="H1355" t="str">
        <f>_xll.BDP("9128273F Govt","COUNTRY_FULL_NAME")</f>
        <v>UNITED STATES</v>
      </c>
      <c r="I1355" t="str">
        <f>_xll.BDP("9128273F Govt","FIRST_CPN_DT")</f>
        <v>2/28/1998</v>
      </c>
      <c r="J1355" t="str">
        <f>_xll.BDP("9128273F Govt","COUPON_FREQUENCY_DESCRIPTION")</f>
        <v>S/A</v>
      </c>
      <c r="K1355" t="str">
        <f>_xll.BDP("9128273F Govt","CPN_TYP")</f>
        <v>FIXED</v>
      </c>
      <c r="L1355" t="str">
        <f>_xll.BDP("9128273F Govt","ID_ISIN")</f>
        <v>US9128273F76</v>
      </c>
      <c r="M1355">
        <v>17215000000</v>
      </c>
      <c r="N1355">
        <v>0</v>
      </c>
      <c r="O1355" t="str">
        <f>_xll.BDP("9128273F Govt","ISSUE_DT")</f>
        <v>9/2/1997</v>
      </c>
      <c r="P1355" t="str">
        <f>_xll.BDP("9128273F Govt","SECURITY_NAME")</f>
        <v>T 5 7/8 08/31/99</v>
      </c>
      <c r="Q1355" t="str">
        <f>_xll.BDP("9128273F Govt","DAY_CNT_DES")</f>
        <v>ACT/ACT</v>
      </c>
      <c r="R1355">
        <v>100</v>
      </c>
      <c r="S1355" t="str">
        <f>_xll.BDP("9128273F Govt","ID_CUSIP")</f>
        <v>9128273F7</v>
      </c>
      <c r="T1355" t="str">
        <f>_xll.BDP("9128273F Govt","IDX_RATIO")</f>
        <v>#N/A Field Not Applicable</v>
      </c>
    </row>
    <row r="1356" spans="1:20" x14ac:dyDescent="0.25">
      <c r="A1356" t="s">
        <v>14</v>
      </c>
      <c r="B1356" t="str">
        <f>_xll.BDP("9128273K Govt","TICKER")</f>
        <v>T</v>
      </c>
      <c r="C1356">
        <f>_xll.BDP("9128273K Govt","CPN")</f>
        <v>5.625</v>
      </c>
      <c r="D1356" t="str">
        <f>_xll.BDP("9128273K Govt","YLD_YTM_BID")</f>
        <v>#N/A N/A</v>
      </c>
      <c r="E1356" t="str">
        <f>_xll.BDP("9128273K Govt","MATURITY")</f>
        <v>10/31/1999</v>
      </c>
      <c r="F1356" t="str">
        <f>_xll.BDP("9128273K Govt","MTY_TYP")</f>
        <v>NORMAL</v>
      </c>
      <c r="G1356" t="str">
        <f>_xll.BDP("9128273K Govt","CRNCY")</f>
        <v>USD</v>
      </c>
      <c r="H1356" t="str">
        <f>_xll.BDP("9128273K Govt","COUNTRY_FULL_NAME")</f>
        <v>UNITED STATES</v>
      </c>
      <c r="I1356" t="str">
        <f>_xll.BDP("9128273K Govt","FIRST_CPN_DT")</f>
        <v>4/30/1998</v>
      </c>
      <c r="J1356" t="str">
        <f>_xll.BDP("9128273K Govt","COUPON_FREQUENCY_DESCRIPTION")</f>
        <v>S/A</v>
      </c>
      <c r="K1356" t="str">
        <f>_xll.BDP("9128273K Govt","CPN_TYP")</f>
        <v>FIXED</v>
      </c>
      <c r="L1356" t="str">
        <f>_xll.BDP("9128273K Govt","ID_ISIN")</f>
        <v>US9128273K61</v>
      </c>
      <c r="M1356">
        <v>16824000000</v>
      </c>
      <c r="N1356">
        <v>0</v>
      </c>
      <c r="O1356" t="str">
        <f>_xll.BDP("9128273K Govt","ISSUE_DT")</f>
        <v>10/31/1997</v>
      </c>
      <c r="P1356" t="str">
        <f>_xll.BDP("9128273K Govt","SECURITY_NAME")</f>
        <v>T 5 5/8 10/31/99</v>
      </c>
      <c r="Q1356" t="str">
        <f>_xll.BDP("9128273K Govt","DAY_CNT_DES")</f>
        <v>ACT/ACT</v>
      </c>
      <c r="R1356">
        <v>100</v>
      </c>
      <c r="S1356" t="str">
        <f>_xll.BDP("9128273K Govt","ID_CUSIP")</f>
        <v>9128273K6</v>
      </c>
      <c r="T1356" t="str">
        <f>_xll.BDP("9128273K Govt","IDX_RATIO")</f>
        <v>#N/A Field Not Applicable</v>
      </c>
    </row>
    <row r="1357" spans="1:20" x14ac:dyDescent="0.25">
      <c r="A1357" t="s">
        <v>14</v>
      </c>
      <c r="B1357" t="str">
        <f>_xll.BDP("9128273M Govt","TICKER")</f>
        <v>T</v>
      </c>
      <c r="C1357">
        <f>_xll.BDP("9128273M Govt","CPN")</f>
        <v>5.75</v>
      </c>
      <c r="D1357" t="str">
        <f>_xll.BDP("9128273M Govt","YLD_YTM_BID")</f>
        <v>#N/A N/A</v>
      </c>
      <c r="E1357" t="str">
        <f>_xll.BDP("9128273M Govt","MATURITY")</f>
        <v>11/15/2000</v>
      </c>
      <c r="F1357" t="str">
        <f>_xll.BDP("9128273M Govt","MTY_TYP")</f>
        <v>NORMAL</v>
      </c>
      <c r="G1357" t="str">
        <f>_xll.BDP("9128273M Govt","CRNCY")</f>
        <v>USD</v>
      </c>
      <c r="H1357" t="str">
        <f>_xll.BDP("9128273M Govt","COUNTRY_FULL_NAME")</f>
        <v>UNITED STATES</v>
      </c>
      <c r="I1357" t="str">
        <f>_xll.BDP("9128273M Govt","FIRST_CPN_DT")</f>
        <v>5/15/1998</v>
      </c>
      <c r="J1357" t="str">
        <f>_xll.BDP("9128273M Govt","COUPON_FREQUENCY_DESCRIPTION")</f>
        <v>S/A</v>
      </c>
      <c r="K1357" t="str">
        <f>_xll.BDP("9128273M Govt","CPN_TYP")</f>
        <v>FIXED</v>
      </c>
      <c r="L1357" t="str">
        <f>_xll.BDP("9128273M Govt","ID_ISIN")</f>
        <v>US9128273M28</v>
      </c>
      <c r="M1357">
        <v>16036000000</v>
      </c>
      <c r="N1357">
        <v>0</v>
      </c>
      <c r="O1357" t="str">
        <f>_xll.BDP("9128273M Govt","ISSUE_DT")</f>
        <v>11/17/1997</v>
      </c>
      <c r="P1357" t="str">
        <f>_xll.BDP("9128273M Govt","SECURITY_NAME")</f>
        <v>T 5 3/4 11/15/00</v>
      </c>
      <c r="Q1357" t="str">
        <f>_xll.BDP("9128273M Govt","DAY_CNT_DES")</f>
        <v>ACT/ACT</v>
      </c>
      <c r="R1357">
        <v>100</v>
      </c>
      <c r="S1357" t="str">
        <f>_xll.BDP("9128273M Govt","ID_CUSIP")</f>
        <v>9128273M2</v>
      </c>
      <c r="T1357" t="str">
        <f>_xll.BDP("9128273M Govt","IDX_RATIO")</f>
        <v>#N/A Field Not Applicable</v>
      </c>
    </row>
    <row r="1358" spans="1:20" x14ac:dyDescent="0.25">
      <c r="A1358" t="s">
        <v>14</v>
      </c>
      <c r="B1358" t="str">
        <f>_xll.BDP("9128273Q Govt","TICKER")</f>
        <v>T</v>
      </c>
      <c r="C1358">
        <f>_xll.BDP("9128273Q Govt","CPN")</f>
        <v>5.75</v>
      </c>
      <c r="D1358" t="str">
        <f>_xll.BDP("9128273Q Govt","YLD_YTM_BID")</f>
        <v>#N/A N/A</v>
      </c>
      <c r="E1358" t="str">
        <f>_xll.BDP("9128273Q Govt","MATURITY")</f>
        <v>11/30/2002</v>
      </c>
      <c r="F1358" t="str">
        <f>_xll.BDP("9128273Q Govt","MTY_TYP")</f>
        <v>NORMAL</v>
      </c>
      <c r="G1358" t="str">
        <f>_xll.BDP("9128273Q Govt","CRNCY")</f>
        <v>USD</v>
      </c>
      <c r="H1358" t="str">
        <f>_xll.BDP("9128273Q Govt","COUNTRY_FULL_NAME")</f>
        <v>UNITED STATES</v>
      </c>
      <c r="I1358" t="str">
        <f>_xll.BDP("9128273Q Govt","FIRST_CPN_DT")</f>
        <v>5/31/1998</v>
      </c>
      <c r="J1358" t="str">
        <f>_xll.BDP("9128273Q Govt","COUPON_FREQUENCY_DESCRIPTION")</f>
        <v>S/A</v>
      </c>
      <c r="K1358" t="str">
        <f>_xll.BDP("9128273Q Govt","CPN_TYP")</f>
        <v>FIXED</v>
      </c>
      <c r="L1358" t="str">
        <f>_xll.BDP("9128273Q Govt","ID_ISIN")</f>
        <v>US9128273Q32</v>
      </c>
      <c r="M1358">
        <v>12121000000</v>
      </c>
      <c r="N1358">
        <v>0</v>
      </c>
      <c r="O1358" t="str">
        <f>_xll.BDP("9128273Q Govt","ISSUE_DT")</f>
        <v>12/1/1997</v>
      </c>
      <c r="P1358" t="str">
        <f>_xll.BDP("9128273Q Govt","SECURITY_NAME")</f>
        <v>T 5 3/4 11/30/02</v>
      </c>
      <c r="Q1358" t="str">
        <f>_xll.BDP("9128273Q Govt","DAY_CNT_DES")</f>
        <v>ACT/ACT</v>
      </c>
      <c r="R1358">
        <v>100</v>
      </c>
      <c r="S1358" t="str">
        <f>_xll.BDP("9128273Q Govt","ID_CUSIP")</f>
        <v>9128273Q3</v>
      </c>
      <c r="T1358" t="str">
        <f>_xll.BDP("9128273Q Govt","IDX_RATIO")</f>
        <v>#N/A Field Not Applicable</v>
      </c>
    </row>
    <row r="1359" spans="1:20" x14ac:dyDescent="0.25">
      <c r="A1359" t="s">
        <v>14</v>
      </c>
      <c r="B1359" t="str">
        <f>_xll.BDP("9128273R Govt","TICKER")</f>
        <v>T</v>
      </c>
      <c r="C1359">
        <f>_xll.BDP("9128273R Govt","CPN")</f>
        <v>5.625</v>
      </c>
      <c r="D1359" t="str">
        <f>_xll.BDP("9128273R Govt","YLD_YTM_BID")</f>
        <v>#N/A N/A</v>
      </c>
      <c r="E1359" t="str">
        <f>_xll.BDP("9128273R Govt","MATURITY")</f>
        <v>12/31/1999</v>
      </c>
      <c r="F1359" t="str">
        <f>_xll.BDP("9128273R Govt","MTY_TYP")</f>
        <v>NORMAL</v>
      </c>
      <c r="G1359" t="str">
        <f>_xll.BDP("9128273R Govt","CRNCY")</f>
        <v>USD</v>
      </c>
      <c r="H1359" t="str">
        <f>_xll.BDP("9128273R Govt","COUNTRY_FULL_NAME")</f>
        <v>UNITED STATES</v>
      </c>
      <c r="I1359" t="str">
        <f>_xll.BDP("9128273R Govt","FIRST_CPN_DT")</f>
        <v>6/30/1998</v>
      </c>
      <c r="J1359" t="str">
        <f>_xll.BDP("9128273R Govt","COUPON_FREQUENCY_DESCRIPTION")</f>
        <v>S/A</v>
      </c>
      <c r="K1359" t="str">
        <f>_xll.BDP("9128273R Govt","CPN_TYP")</f>
        <v>FIXED</v>
      </c>
      <c r="L1359" t="str">
        <f>_xll.BDP("9128273R Govt","ID_ISIN")</f>
        <v>US9128273R15</v>
      </c>
      <c r="M1359">
        <v>16747000000</v>
      </c>
      <c r="N1359">
        <v>0</v>
      </c>
      <c r="O1359" t="str">
        <f>_xll.BDP("9128273R Govt","ISSUE_DT")</f>
        <v>12/31/1997</v>
      </c>
      <c r="P1359" t="str">
        <f>_xll.BDP("9128273R Govt","SECURITY_NAME")</f>
        <v>T 5 5/8 12/31/99</v>
      </c>
      <c r="Q1359" t="str">
        <f>_xll.BDP("9128273R Govt","DAY_CNT_DES")</f>
        <v>ACT/ACT</v>
      </c>
      <c r="R1359">
        <v>100</v>
      </c>
      <c r="S1359" t="str">
        <f>_xll.BDP("9128273R Govt","ID_CUSIP")</f>
        <v>9128273R1</v>
      </c>
      <c r="T1359" t="str">
        <f>_xll.BDP("9128273R Govt","IDX_RATIO")</f>
        <v>#N/A Field Not Applicable</v>
      </c>
    </row>
    <row r="1360" spans="1:20" x14ac:dyDescent="0.25">
      <c r="A1360" t="s">
        <v>14</v>
      </c>
      <c r="B1360" t="str">
        <f>_xll.BDP("9128273V Govt","TICKER")</f>
        <v>T</v>
      </c>
      <c r="C1360">
        <f>_xll.BDP("9128273V Govt","CPN")</f>
        <v>5.5</v>
      </c>
      <c r="D1360" t="str">
        <f>_xll.BDP("9128273V Govt","YLD_YTM_BID")</f>
        <v>#N/A N/A</v>
      </c>
      <c r="E1360" t="str">
        <f>_xll.BDP("9128273V Govt","MATURITY")</f>
        <v>1/31/2003</v>
      </c>
      <c r="F1360" t="str">
        <f>_xll.BDP("9128273V Govt","MTY_TYP")</f>
        <v>NORMAL</v>
      </c>
      <c r="G1360" t="str">
        <f>_xll.BDP("9128273V Govt","CRNCY")</f>
        <v>USD</v>
      </c>
      <c r="H1360" t="str">
        <f>_xll.BDP("9128273V Govt","COUNTRY_FULL_NAME")</f>
        <v>UNITED STATES</v>
      </c>
      <c r="I1360" t="str">
        <f>_xll.BDP("9128273V Govt","FIRST_CPN_DT")</f>
        <v>7/31/1998</v>
      </c>
      <c r="J1360" t="str">
        <f>_xll.BDP("9128273V Govt","COUPON_FREQUENCY_DESCRIPTION")</f>
        <v>S/A</v>
      </c>
      <c r="K1360" t="str">
        <f>_xll.BDP("9128273V Govt","CPN_TYP")</f>
        <v>FIXED</v>
      </c>
      <c r="L1360" t="str">
        <f>_xll.BDP("9128273V Govt","ID_ISIN")</f>
        <v>US9128273V27</v>
      </c>
      <c r="M1360">
        <v>13101000000</v>
      </c>
      <c r="N1360">
        <v>0</v>
      </c>
      <c r="O1360" t="str">
        <f>_xll.BDP("9128273V Govt","ISSUE_DT")</f>
        <v>2/2/1998</v>
      </c>
      <c r="P1360" t="str">
        <f>_xll.BDP("9128273V Govt","SECURITY_NAME")</f>
        <v>T 5 1/2 01/31/03</v>
      </c>
      <c r="Q1360" t="str">
        <f>_xll.BDP("9128273V Govt","DAY_CNT_DES")</f>
        <v>ACT/ACT</v>
      </c>
      <c r="R1360">
        <v>100</v>
      </c>
      <c r="S1360" t="str">
        <f>_xll.BDP("9128273V Govt","ID_CUSIP")</f>
        <v>9128273V2</v>
      </c>
      <c r="T1360" t="str">
        <f>_xll.BDP("9128273V Govt","IDX_RATIO")</f>
        <v>#N/A Field Not Applicable</v>
      </c>
    </row>
    <row r="1361" spans="1:20" x14ac:dyDescent="0.25">
      <c r="A1361" t="s">
        <v>14</v>
      </c>
      <c r="B1361" t="str">
        <f>_xll.BDP("9128273Z Govt","TICKER")</f>
        <v>T</v>
      </c>
      <c r="C1361">
        <f>_xll.BDP("9128273Z Govt","CPN")</f>
        <v>5.5</v>
      </c>
      <c r="D1361" t="str">
        <f>_xll.BDP("9128273Z Govt","YLD_YTM_BID")</f>
        <v>#N/A N/A</v>
      </c>
      <c r="E1361" t="str">
        <f>_xll.BDP("9128273Z Govt","MATURITY")</f>
        <v>2/28/2003</v>
      </c>
      <c r="F1361" t="str">
        <f>_xll.BDP("9128273Z Govt","MTY_TYP")</f>
        <v>NORMAL</v>
      </c>
      <c r="G1361" t="str">
        <f>_xll.BDP("9128273Z Govt","CRNCY")</f>
        <v>USD</v>
      </c>
      <c r="H1361" t="str">
        <f>_xll.BDP("9128273Z Govt","COUNTRY_FULL_NAME")</f>
        <v>UNITED STATES</v>
      </c>
      <c r="I1361" t="str">
        <f>_xll.BDP("9128273Z Govt","FIRST_CPN_DT")</f>
        <v>8/31/1998</v>
      </c>
      <c r="J1361" t="str">
        <f>_xll.BDP("9128273Z Govt","COUPON_FREQUENCY_DESCRIPTION")</f>
        <v>S/A</v>
      </c>
      <c r="K1361" t="str">
        <f>_xll.BDP("9128273Z Govt","CPN_TYP")</f>
        <v>FIXED</v>
      </c>
      <c r="L1361" t="str">
        <f>_xll.BDP("9128273Z Govt","ID_ISIN")</f>
        <v>US9128273Z31</v>
      </c>
      <c r="M1361">
        <v>13670000000</v>
      </c>
      <c r="N1361">
        <v>0</v>
      </c>
      <c r="O1361" t="str">
        <f>_xll.BDP("9128273Z Govt","ISSUE_DT")</f>
        <v>3/2/1998</v>
      </c>
      <c r="P1361" t="str">
        <f>_xll.BDP("9128273Z Govt","SECURITY_NAME")</f>
        <v>T 5 1/2 02/28/03</v>
      </c>
      <c r="Q1361" t="str">
        <f>_xll.BDP("9128273Z Govt","DAY_CNT_DES")</f>
        <v>ACT/ACT</v>
      </c>
      <c r="R1361">
        <v>100</v>
      </c>
      <c r="S1361" t="str">
        <f>_xll.BDP("9128273Z Govt","ID_CUSIP")</f>
        <v>9128273Z3</v>
      </c>
      <c r="T1361" t="str">
        <f>_xll.BDP("9128273Z Govt","IDX_RATIO")</f>
        <v>#N/A Field Not Applicable</v>
      </c>
    </row>
    <row r="1362" spans="1:20" x14ac:dyDescent="0.25">
      <c r="A1362" t="s">
        <v>14</v>
      </c>
      <c r="B1362" t="str">
        <f>_xll.BDP("9128274B Govt","TICKER")</f>
        <v>T</v>
      </c>
      <c r="C1362">
        <f>_xll.BDP("9128274B Govt","CPN")</f>
        <v>5.5</v>
      </c>
      <c r="D1362" t="str">
        <f>_xll.BDP("9128274B Govt","YLD_YTM_BID")</f>
        <v>#N/A N/A</v>
      </c>
      <c r="E1362" t="str">
        <f>_xll.BDP("9128274B Govt","MATURITY")</f>
        <v>3/31/2003</v>
      </c>
      <c r="F1362" t="str">
        <f>_xll.BDP("9128274B Govt","MTY_TYP")</f>
        <v>NORMAL</v>
      </c>
      <c r="G1362" t="str">
        <f>_xll.BDP("9128274B Govt","CRNCY")</f>
        <v>USD</v>
      </c>
      <c r="H1362" t="str">
        <f>_xll.BDP("9128274B Govt","COUNTRY_FULL_NAME")</f>
        <v>UNITED STATES</v>
      </c>
      <c r="I1362" t="str">
        <f>_xll.BDP("9128274B Govt","FIRST_CPN_DT")</f>
        <v>9/30/1998</v>
      </c>
      <c r="J1362" t="str">
        <f>_xll.BDP("9128274B Govt","COUPON_FREQUENCY_DESCRIPTION")</f>
        <v>S/A</v>
      </c>
      <c r="K1362" t="str">
        <f>_xll.BDP("9128274B Govt","CPN_TYP")</f>
        <v>FIXED</v>
      </c>
      <c r="L1362" t="str">
        <f>_xll.BDP("9128274B Govt","ID_ISIN")</f>
        <v>US9128274B53</v>
      </c>
      <c r="M1362">
        <v>14173000000</v>
      </c>
      <c r="N1362">
        <v>0</v>
      </c>
      <c r="O1362" t="str">
        <f>_xll.BDP("9128274B Govt","ISSUE_DT")</f>
        <v>3/31/1998</v>
      </c>
      <c r="P1362" t="str">
        <f>_xll.BDP("9128274B Govt","SECURITY_NAME")</f>
        <v>T 5 1/2 03/31/03</v>
      </c>
      <c r="Q1362" t="str">
        <f>_xll.BDP("9128274B Govt","DAY_CNT_DES")</f>
        <v>ACT/ACT</v>
      </c>
      <c r="R1362">
        <v>100</v>
      </c>
      <c r="S1362" t="str">
        <f>_xll.BDP("9128274B Govt","ID_CUSIP")</f>
        <v>9128274B5</v>
      </c>
      <c r="T1362" t="str">
        <f>_xll.BDP("9128274B Govt","IDX_RATIO")</f>
        <v>#N/A Field Not Applicable</v>
      </c>
    </row>
    <row r="1363" spans="1:20" x14ac:dyDescent="0.25">
      <c r="A1363" t="s">
        <v>14</v>
      </c>
      <c r="B1363" t="str">
        <f>_xll.BDP("9128274E Govt","TICKER")</f>
        <v>T</v>
      </c>
      <c r="C1363">
        <f>_xll.BDP("9128274E Govt","CPN")</f>
        <v>5.625</v>
      </c>
      <c r="D1363" t="str">
        <f>_xll.BDP("9128274E Govt","YLD_YTM_BID")</f>
        <v>#N/A N/A</v>
      </c>
      <c r="E1363" t="str">
        <f>_xll.BDP("9128274E Govt","MATURITY")</f>
        <v>5/15/2001</v>
      </c>
      <c r="F1363" t="str">
        <f>_xll.BDP("9128274E Govt","MTY_TYP")</f>
        <v>NORMAL</v>
      </c>
      <c r="G1363" t="str">
        <f>_xll.BDP("9128274E Govt","CRNCY")</f>
        <v>USD</v>
      </c>
      <c r="H1363" t="str">
        <f>_xll.BDP("9128274E Govt","COUNTRY_FULL_NAME")</f>
        <v>UNITED STATES</v>
      </c>
      <c r="I1363" t="str">
        <f>_xll.BDP("9128274E Govt","FIRST_CPN_DT")</f>
        <v>11/15/1998</v>
      </c>
      <c r="J1363" t="str">
        <f>_xll.BDP("9128274E Govt","COUPON_FREQUENCY_DESCRIPTION")</f>
        <v>S/A</v>
      </c>
      <c r="K1363" t="str">
        <f>_xll.BDP("9128274E Govt","CPN_TYP")</f>
        <v>FIXED</v>
      </c>
      <c r="L1363" t="str">
        <f>_xll.BDP("9128274E Govt","ID_ISIN")</f>
        <v>US9128274E92</v>
      </c>
      <c r="M1363">
        <v>12874000000</v>
      </c>
      <c r="N1363">
        <v>0</v>
      </c>
      <c r="O1363" t="str">
        <f>_xll.BDP("9128274E Govt","ISSUE_DT")</f>
        <v>5/15/1998</v>
      </c>
      <c r="P1363" t="str">
        <f>_xll.BDP("9128274E Govt","SECURITY_NAME")</f>
        <v>T 5 5/8 05/15/01</v>
      </c>
      <c r="Q1363" t="str">
        <f>_xll.BDP("9128274E Govt","DAY_CNT_DES")</f>
        <v>ACT/ACT</v>
      </c>
      <c r="R1363">
        <v>100</v>
      </c>
      <c r="S1363" t="str">
        <f>_xll.BDP("9128274E Govt","ID_CUSIP")</f>
        <v>9128274E9</v>
      </c>
      <c r="T1363" t="str">
        <f>_xll.BDP("9128274E Govt","IDX_RATIO")</f>
        <v>#N/A Field Not Applicable</v>
      </c>
    </row>
    <row r="1364" spans="1:20" x14ac:dyDescent="0.25">
      <c r="A1364" t="s">
        <v>14</v>
      </c>
      <c r="B1364" t="str">
        <f>_xll.BDP("9128274G Govt","TICKER")</f>
        <v>T</v>
      </c>
      <c r="C1364">
        <f>_xll.BDP("9128274G Govt","CPN")</f>
        <v>5.5</v>
      </c>
      <c r="D1364" t="str">
        <f>_xll.BDP("9128274G Govt","YLD_YTM_BID")</f>
        <v>#N/A N/A</v>
      </c>
      <c r="E1364" t="str">
        <f>_xll.BDP("9128274G Govt","MATURITY")</f>
        <v>5/31/2000</v>
      </c>
      <c r="F1364" t="str">
        <f>_xll.BDP("9128274G Govt","MTY_TYP")</f>
        <v>NORMAL</v>
      </c>
      <c r="G1364" t="str">
        <f>_xll.BDP("9128274G Govt","CRNCY")</f>
        <v>USD</v>
      </c>
      <c r="H1364" t="str">
        <f>_xll.BDP("9128274G Govt","COUNTRY_FULL_NAME")</f>
        <v>UNITED STATES</v>
      </c>
      <c r="I1364" t="str">
        <f>_xll.BDP("9128274G Govt","FIRST_CPN_DT")</f>
        <v>11/30/1998</v>
      </c>
      <c r="J1364" t="str">
        <f>_xll.BDP("9128274G Govt","COUPON_FREQUENCY_DESCRIPTION")</f>
        <v>S/A</v>
      </c>
      <c r="K1364" t="str">
        <f>_xll.BDP("9128274G Govt","CPN_TYP")</f>
        <v>FIXED</v>
      </c>
      <c r="L1364" t="str">
        <f>_xll.BDP("9128274G Govt","ID_ISIN")</f>
        <v>US9128274G41</v>
      </c>
      <c r="M1364">
        <v>16580000000</v>
      </c>
      <c r="N1364">
        <v>0</v>
      </c>
      <c r="O1364" t="str">
        <f>_xll.BDP("9128274G Govt","ISSUE_DT")</f>
        <v>6/1/1998</v>
      </c>
      <c r="P1364" t="str">
        <f>_xll.BDP("9128274G Govt","SECURITY_NAME")</f>
        <v>T 5 1/2 05/31/00</v>
      </c>
      <c r="Q1364" t="str">
        <f>_xll.BDP("9128274G Govt","DAY_CNT_DES")</f>
        <v>ACT/ACT</v>
      </c>
      <c r="R1364">
        <v>100</v>
      </c>
      <c r="S1364" t="str">
        <f>_xll.BDP("9128274G Govt","ID_CUSIP")</f>
        <v>9128274G4</v>
      </c>
      <c r="T1364" t="str">
        <f>_xll.BDP("9128274G Govt","IDX_RATIO")</f>
        <v>#N/A Field Not Applicable</v>
      </c>
    </row>
    <row r="1365" spans="1:20" x14ac:dyDescent="0.25">
      <c r="A1365" t="s">
        <v>14</v>
      </c>
      <c r="B1365" t="str">
        <f>_xll.BDP("9128274J Govt","TICKER")</f>
        <v>T</v>
      </c>
      <c r="C1365">
        <f>_xll.BDP("9128274J Govt","CPN")</f>
        <v>5.375</v>
      </c>
      <c r="D1365" t="str">
        <f>_xll.BDP("9128274J Govt","YLD_YTM_BID")</f>
        <v>#N/A N/A</v>
      </c>
      <c r="E1365" t="str">
        <f>_xll.BDP("9128274J Govt","MATURITY")</f>
        <v>6/30/2000</v>
      </c>
      <c r="F1365" t="str">
        <f>_xll.BDP("9128274J Govt","MTY_TYP")</f>
        <v>NORMAL</v>
      </c>
      <c r="G1365" t="str">
        <f>_xll.BDP("9128274J Govt","CRNCY")</f>
        <v>USD</v>
      </c>
      <c r="H1365" t="str">
        <f>_xll.BDP("9128274J Govt","COUNTRY_FULL_NAME")</f>
        <v>UNITED STATES</v>
      </c>
      <c r="I1365" t="str">
        <f>_xll.BDP("9128274J Govt","FIRST_CPN_DT")</f>
        <v>12/31/1998</v>
      </c>
      <c r="J1365" t="str">
        <f>_xll.BDP("9128274J Govt","COUPON_FREQUENCY_DESCRIPTION")</f>
        <v>S/A</v>
      </c>
      <c r="K1365" t="str">
        <f>_xll.BDP("9128274J Govt","CPN_TYP")</f>
        <v>FIXED</v>
      </c>
      <c r="L1365" t="str">
        <f>_xll.BDP("9128274J Govt","ID_ISIN")</f>
        <v>US9128274J89</v>
      </c>
      <c r="M1365">
        <v>14939000000</v>
      </c>
      <c r="N1365">
        <v>0</v>
      </c>
      <c r="O1365" t="str">
        <f>_xll.BDP("9128274J Govt","ISSUE_DT")</f>
        <v>6/30/1998</v>
      </c>
      <c r="P1365" t="str">
        <f>_xll.BDP("9128274J Govt","SECURITY_NAME")</f>
        <v>T 5 3/8 06/30/00</v>
      </c>
      <c r="Q1365" t="str">
        <f>_xll.BDP("9128274J Govt","DAY_CNT_DES")</f>
        <v>ACT/ACT</v>
      </c>
      <c r="R1365">
        <v>100</v>
      </c>
      <c r="S1365" t="str">
        <f>_xll.BDP("9128274J Govt","ID_CUSIP")</f>
        <v>9128274J8</v>
      </c>
      <c r="T1365" t="str">
        <f>_xll.BDP("9128274J Govt","IDX_RATIO")</f>
        <v>#N/A Field Not Applicable</v>
      </c>
    </row>
    <row r="1366" spans="1:20" x14ac:dyDescent="0.25">
      <c r="A1366" t="s">
        <v>14</v>
      </c>
      <c r="B1366" t="str">
        <f>_xll.BDP("9128274K Govt","TICKER")</f>
        <v>T</v>
      </c>
      <c r="C1366">
        <f>_xll.BDP("9128274K Govt","CPN")</f>
        <v>5.375</v>
      </c>
      <c r="D1366" t="str">
        <f>_xll.BDP("9128274K Govt","YLD_YTM_BID")</f>
        <v>#N/A N/A</v>
      </c>
      <c r="E1366" t="str">
        <f>_xll.BDP("9128274K Govt","MATURITY")</f>
        <v>6/30/2003</v>
      </c>
      <c r="F1366" t="str">
        <f>_xll.BDP("9128274K Govt","MTY_TYP")</f>
        <v>NORMAL</v>
      </c>
      <c r="G1366" t="str">
        <f>_xll.BDP("9128274K Govt","CRNCY")</f>
        <v>USD</v>
      </c>
      <c r="H1366" t="str">
        <f>_xll.BDP("9128274K Govt","COUNTRY_FULL_NAME")</f>
        <v>UNITED STATES</v>
      </c>
      <c r="I1366" t="str">
        <f>_xll.BDP("9128274K Govt","FIRST_CPN_DT")</f>
        <v>12/31/1998</v>
      </c>
      <c r="J1366" t="str">
        <f>_xll.BDP("9128274K Govt","COUPON_FREQUENCY_DESCRIPTION")</f>
        <v>S/A</v>
      </c>
      <c r="K1366" t="str">
        <f>_xll.BDP("9128274K Govt","CPN_TYP")</f>
        <v>FIXED</v>
      </c>
      <c r="L1366" t="str">
        <f>_xll.BDP("9128274K Govt","ID_ISIN")</f>
        <v>US9128274K52</v>
      </c>
      <c r="M1366">
        <v>13127000000</v>
      </c>
      <c r="N1366">
        <v>0</v>
      </c>
      <c r="O1366" t="str">
        <f>_xll.BDP("9128274K Govt","ISSUE_DT")</f>
        <v>6/30/1998</v>
      </c>
      <c r="P1366" t="str">
        <f>_xll.BDP("9128274K Govt","SECURITY_NAME")</f>
        <v>T 5 3/8 06/30/03</v>
      </c>
      <c r="Q1366" t="str">
        <f>_xll.BDP("9128274K Govt","DAY_CNT_DES")</f>
        <v>ACT/ACT</v>
      </c>
      <c r="R1366">
        <v>100</v>
      </c>
      <c r="S1366" t="str">
        <f>_xll.BDP("9128274K Govt","ID_CUSIP")</f>
        <v>9128274K5</v>
      </c>
      <c r="T1366" t="str">
        <f>_xll.BDP("9128274K Govt","IDX_RATIO")</f>
        <v>#N/A Field Not Applicable</v>
      </c>
    </row>
    <row r="1367" spans="1:20" x14ac:dyDescent="0.25">
      <c r="A1367" t="s">
        <v>14</v>
      </c>
      <c r="B1367" t="str">
        <f>_xll.BDP("9128274Q Govt","TICKER")</f>
        <v>T</v>
      </c>
      <c r="C1367">
        <f>_xll.BDP("9128274Q Govt","CPN")</f>
        <v>5.125</v>
      </c>
      <c r="D1367" t="str">
        <f>_xll.BDP("9128274Q Govt","YLD_YTM_BID")</f>
        <v>#N/A N/A</v>
      </c>
      <c r="E1367" t="str">
        <f>_xll.BDP("9128274Q Govt","MATURITY")</f>
        <v>8/31/2000</v>
      </c>
      <c r="F1367" t="str">
        <f>_xll.BDP("9128274Q Govt","MTY_TYP")</f>
        <v>NORMAL</v>
      </c>
      <c r="G1367" t="str">
        <f>_xll.BDP("9128274Q Govt","CRNCY")</f>
        <v>USD</v>
      </c>
      <c r="H1367" t="str">
        <f>_xll.BDP("9128274Q Govt","COUNTRY_FULL_NAME")</f>
        <v>UNITED STATES</v>
      </c>
      <c r="I1367" t="str">
        <f>_xll.BDP("9128274Q Govt","FIRST_CPN_DT")</f>
        <v>2/28/1999</v>
      </c>
      <c r="J1367" t="str">
        <f>_xll.BDP("9128274Q Govt","COUPON_FREQUENCY_DESCRIPTION")</f>
        <v>S/A</v>
      </c>
      <c r="K1367" t="str">
        <f>_xll.BDP("9128274Q Govt","CPN_TYP")</f>
        <v>FIXED</v>
      </c>
      <c r="L1367" t="str">
        <f>_xll.BDP("9128274Q Govt","ID_ISIN")</f>
        <v>US9128274Q23</v>
      </c>
      <c r="M1367">
        <v>20029000000</v>
      </c>
      <c r="N1367">
        <v>0</v>
      </c>
      <c r="O1367" t="str">
        <f>_xll.BDP("9128274Q Govt","ISSUE_DT")</f>
        <v>8/31/1998</v>
      </c>
      <c r="P1367" t="str">
        <f>_xll.BDP("9128274Q Govt","SECURITY_NAME")</f>
        <v>T 5 1/8 08/31/00</v>
      </c>
      <c r="Q1367" t="str">
        <f>_xll.BDP("9128274Q Govt","DAY_CNT_DES")</f>
        <v>ACT/ACT</v>
      </c>
      <c r="R1367">
        <v>100</v>
      </c>
      <c r="S1367" t="str">
        <f>_xll.BDP("9128274Q Govt","ID_CUSIP")</f>
        <v>9128274Q2</v>
      </c>
      <c r="T1367" t="str">
        <f>_xll.BDP("9128274Q Govt","IDX_RATIO")</f>
        <v>#N/A Field Not Applicable</v>
      </c>
    </row>
    <row r="1368" spans="1:20" x14ac:dyDescent="0.25">
      <c r="A1368" t="s">
        <v>14</v>
      </c>
      <c r="B1368" t="str">
        <f>_xll.BDP("9128274X Govt","TICKER")</f>
        <v>T</v>
      </c>
      <c r="C1368">
        <f>_xll.BDP("9128274X Govt","CPN")</f>
        <v>4.625</v>
      </c>
      <c r="D1368" t="str">
        <f>_xll.BDP("9128274X Govt","YLD_YTM_BID")</f>
        <v>#N/A N/A</v>
      </c>
      <c r="E1368" t="str">
        <f>_xll.BDP("9128274X Govt","MATURITY")</f>
        <v>12/31/2000</v>
      </c>
      <c r="F1368" t="str">
        <f>_xll.BDP("9128274X Govt","MTY_TYP")</f>
        <v>NORMAL</v>
      </c>
      <c r="G1368" t="str">
        <f>_xll.BDP("9128274X Govt","CRNCY")</f>
        <v>USD</v>
      </c>
      <c r="H1368" t="str">
        <f>_xll.BDP("9128274X Govt","COUNTRY_FULL_NAME")</f>
        <v>UNITED STATES</v>
      </c>
      <c r="I1368" t="str">
        <f>_xll.BDP("9128274X Govt","FIRST_CPN_DT")</f>
        <v>6/30/1999</v>
      </c>
      <c r="J1368" t="str">
        <f>_xll.BDP("9128274X Govt","COUPON_FREQUENCY_DESCRIPTION")</f>
        <v>S/A</v>
      </c>
      <c r="K1368" t="str">
        <f>_xll.BDP("9128274X Govt","CPN_TYP")</f>
        <v>FIXED</v>
      </c>
      <c r="L1368" t="str">
        <f>_xll.BDP("9128274X Govt","ID_ISIN")</f>
        <v>US9128274X73</v>
      </c>
      <c r="M1368">
        <v>19475000000</v>
      </c>
      <c r="N1368">
        <v>0</v>
      </c>
      <c r="O1368" t="str">
        <f>_xll.BDP("9128274X Govt","ISSUE_DT")</f>
        <v>12/31/1998</v>
      </c>
      <c r="P1368" t="str">
        <f>_xll.BDP("9128274X Govt","SECURITY_NAME")</f>
        <v>T 4 5/8 12/31/00</v>
      </c>
      <c r="Q1368" t="str">
        <f>_xll.BDP("9128274X Govt","DAY_CNT_DES")</f>
        <v>ACT/ACT</v>
      </c>
      <c r="R1368">
        <v>100</v>
      </c>
      <c r="S1368" t="str">
        <f>_xll.BDP("9128274X Govt","ID_CUSIP")</f>
        <v>9128274X7</v>
      </c>
      <c r="T1368" t="str">
        <f>_xll.BDP("9128274X Govt","IDX_RATIO")</f>
        <v>#N/A Field Not Applicable</v>
      </c>
    </row>
    <row r="1369" spans="1:20" x14ac:dyDescent="0.25">
      <c r="A1369" t="s">
        <v>14</v>
      </c>
      <c r="B1369" t="str">
        <f>_xll.BDP("9128275G Govt","TICKER")</f>
        <v>T</v>
      </c>
      <c r="C1369">
        <f>_xll.BDP("9128275G Govt","CPN")</f>
        <v>5.5</v>
      </c>
      <c r="D1369" t="str">
        <f>_xll.BDP("9128275G Govt","YLD_YTM_BID")</f>
        <v>#N/A N/A</v>
      </c>
      <c r="E1369" t="str">
        <f>_xll.BDP("9128275G Govt","MATURITY")</f>
        <v>5/15/2009</v>
      </c>
      <c r="F1369" t="str">
        <f>_xll.BDP("9128275G Govt","MTY_TYP")</f>
        <v>NORMAL</v>
      </c>
      <c r="G1369" t="str">
        <f>_xll.BDP("9128275G Govt","CRNCY")</f>
        <v>USD</v>
      </c>
      <c r="H1369" t="str">
        <f>_xll.BDP("9128275G Govt","COUNTRY_FULL_NAME")</f>
        <v>UNITED STATES</v>
      </c>
      <c r="I1369" t="str">
        <f>_xll.BDP("9128275G Govt","FIRST_CPN_DT")</f>
        <v>11/15/1999</v>
      </c>
      <c r="J1369" t="str">
        <f>_xll.BDP("9128275G Govt","COUPON_FREQUENCY_DESCRIPTION")</f>
        <v>S/A</v>
      </c>
      <c r="K1369" t="str">
        <f>_xll.BDP("9128275G Govt","CPN_TYP")</f>
        <v>FIXED</v>
      </c>
      <c r="L1369" t="str">
        <f>_xll.BDP("9128275G Govt","ID_ISIN")</f>
        <v>US9128275G32</v>
      </c>
      <c r="M1369">
        <v>14795000000</v>
      </c>
      <c r="N1369">
        <v>0</v>
      </c>
      <c r="O1369" t="str">
        <f>_xll.BDP("9128275G Govt","ISSUE_DT")</f>
        <v>5/17/1999</v>
      </c>
      <c r="P1369" t="str">
        <f>_xll.BDP("9128275G Govt","SECURITY_NAME")</f>
        <v>T 5 1/2 05/15/09</v>
      </c>
      <c r="Q1369" t="str">
        <f>_xll.BDP("9128275G Govt","DAY_CNT_DES")</f>
        <v>ACT/ACT</v>
      </c>
      <c r="R1369">
        <v>100</v>
      </c>
      <c r="S1369" t="str">
        <f>_xll.BDP("9128275G Govt","ID_CUSIP")</f>
        <v>9128275G3</v>
      </c>
      <c r="T1369" t="str">
        <f>_xll.BDP("9128275G Govt","IDX_RATIO")</f>
        <v>#N/A Field Not Applicable</v>
      </c>
    </row>
    <row r="1370" spans="1:20" x14ac:dyDescent="0.25">
      <c r="A1370" t="s">
        <v>14</v>
      </c>
      <c r="B1370" t="str">
        <f>_xll.BDP("9128275H Govt","TICKER")</f>
        <v>T</v>
      </c>
      <c r="C1370">
        <f>_xll.BDP("9128275H Govt","CPN")</f>
        <v>5.25</v>
      </c>
      <c r="D1370" t="str">
        <f>_xll.BDP("9128275H Govt","YLD_YTM_BID")</f>
        <v>#N/A N/A</v>
      </c>
      <c r="E1370" t="str">
        <f>_xll.BDP("9128275H Govt","MATURITY")</f>
        <v>5/31/2001</v>
      </c>
      <c r="F1370" t="str">
        <f>_xll.BDP("9128275H Govt","MTY_TYP")</f>
        <v>NORMAL</v>
      </c>
      <c r="G1370" t="str">
        <f>_xll.BDP("9128275H Govt","CRNCY")</f>
        <v>USD</v>
      </c>
      <c r="H1370" t="str">
        <f>_xll.BDP("9128275H Govt","COUNTRY_FULL_NAME")</f>
        <v>UNITED STATES</v>
      </c>
      <c r="I1370" t="str">
        <f>_xll.BDP("9128275H Govt","FIRST_CPN_DT")</f>
        <v>11/30/1999</v>
      </c>
      <c r="J1370" t="str">
        <f>_xll.BDP("9128275H Govt","COUPON_FREQUENCY_DESCRIPTION")</f>
        <v>S/A</v>
      </c>
      <c r="K1370" t="str">
        <f>_xll.BDP("9128275H Govt","CPN_TYP")</f>
        <v>FIXED</v>
      </c>
      <c r="L1370" t="str">
        <f>_xll.BDP("9128275H Govt","ID_ISIN")</f>
        <v>US9128275H15</v>
      </c>
      <c r="M1370">
        <v>19886000000</v>
      </c>
      <c r="N1370">
        <v>0</v>
      </c>
      <c r="O1370" t="str">
        <f>_xll.BDP("9128275H Govt","ISSUE_DT")</f>
        <v>6/1/1999</v>
      </c>
      <c r="P1370" t="str">
        <f>_xll.BDP("9128275H Govt","SECURITY_NAME")</f>
        <v>T 5 1/4 05/31/01</v>
      </c>
      <c r="Q1370" t="str">
        <f>_xll.BDP("9128275H Govt","DAY_CNT_DES")</f>
        <v>ACT/ACT</v>
      </c>
      <c r="R1370">
        <v>100</v>
      </c>
      <c r="S1370" t="str">
        <f>_xll.BDP("9128275H Govt","ID_CUSIP")</f>
        <v>9128275H1</v>
      </c>
      <c r="T1370" t="str">
        <f>_xll.BDP("9128275H Govt","IDX_RATIO")</f>
        <v>#N/A Field Not Applicable</v>
      </c>
    </row>
    <row r="1371" spans="1:20" x14ac:dyDescent="0.25">
      <c r="A1371" t="s">
        <v>14</v>
      </c>
      <c r="B1371" t="str">
        <f>_xll.BDP("912827E6 Govt","TICKER")</f>
        <v>T</v>
      </c>
      <c r="C1371">
        <f>_xll.BDP("912827E6 Govt","CPN")</f>
        <v>5.75</v>
      </c>
      <c r="D1371" t="str">
        <f>_xll.BDP("912827E6 Govt","YLD_YTM_BID")</f>
        <v>#N/A N/A</v>
      </c>
      <c r="E1371" t="str">
        <f>_xll.BDP("912827E6 Govt","MATURITY")</f>
        <v>3/31/1994</v>
      </c>
      <c r="F1371" t="str">
        <f>_xll.BDP("912827E6 Govt","MTY_TYP")</f>
        <v>NORMAL</v>
      </c>
      <c r="G1371" t="str">
        <f>_xll.BDP("912827E6 Govt","CRNCY")</f>
        <v>USD</v>
      </c>
      <c r="H1371" t="str">
        <f>_xll.BDP("912827E6 Govt","COUNTRY_FULL_NAME")</f>
        <v>UNITED STATES</v>
      </c>
      <c r="I1371" t="str">
        <f>_xll.BDP("912827E6 Govt","FIRST_CPN_DT")</f>
        <v>9/30/1992</v>
      </c>
      <c r="J1371" t="str">
        <f>_xll.BDP("912827E6 Govt","COUPON_FREQUENCY_DESCRIPTION")</f>
        <v>S/A</v>
      </c>
      <c r="K1371" t="str">
        <f>_xll.BDP("912827E6 Govt","CPN_TYP")</f>
        <v>FIXED</v>
      </c>
      <c r="L1371" t="str">
        <f>_xll.BDP("912827E6 Govt","ID_ISIN")</f>
        <v>US912827E655</v>
      </c>
      <c r="N1371">
        <v>0</v>
      </c>
      <c r="O1371" t="str">
        <f>_xll.BDP("912827E6 Govt","ISSUE_DT")</f>
        <v>3/31/1992</v>
      </c>
      <c r="P1371" t="str">
        <f>_xll.BDP("912827E6 Govt","SECURITY_NAME")</f>
        <v>T 5 3/4 03/31/94</v>
      </c>
      <c r="Q1371" t="str">
        <f>_xll.BDP("912827E6 Govt","DAY_CNT_DES")</f>
        <v>ACT/ACT</v>
      </c>
      <c r="R1371">
        <v>100</v>
      </c>
      <c r="S1371" t="str">
        <f>_xll.BDP("912827E6 Govt","ID_CUSIP")</f>
        <v>912827E65</v>
      </c>
      <c r="T1371" t="str">
        <f>_xll.BDP("912827E6 Govt","IDX_RATIO")</f>
        <v>#N/A Field Not Applicable</v>
      </c>
    </row>
    <row r="1372" spans="1:20" x14ac:dyDescent="0.25">
      <c r="A1372" t="s">
        <v>14</v>
      </c>
      <c r="B1372" t="str">
        <f>_xll.BDP("912827E9 Govt","TICKER")</f>
        <v>T</v>
      </c>
      <c r="C1372">
        <f>_xll.BDP("912827E9 Govt","CPN")</f>
        <v>5.375</v>
      </c>
      <c r="D1372" t="str">
        <f>_xll.BDP("912827E9 Govt","YLD_YTM_BID")</f>
        <v>#N/A N/A</v>
      </c>
      <c r="E1372" t="str">
        <f>_xll.BDP("912827E9 Govt","MATURITY")</f>
        <v>4/30/1994</v>
      </c>
      <c r="F1372" t="str">
        <f>_xll.BDP("912827E9 Govt","MTY_TYP")</f>
        <v>NORMAL</v>
      </c>
      <c r="G1372" t="str">
        <f>_xll.BDP("912827E9 Govt","CRNCY")</f>
        <v>USD</v>
      </c>
      <c r="H1372" t="str">
        <f>_xll.BDP("912827E9 Govt","COUNTRY_FULL_NAME")</f>
        <v>UNITED STATES</v>
      </c>
      <c r="I1372" t="str">
        <f>_xll.BDP("912827E9 Govt","FIRST_CPN_DT")</f>
        <v>10/31/1992</v>
      </c>
      <c r="J1372" t="str">
        <f>_xll.BDP("912827E9 Govt","COUPON_FREQUENCY_DESCRIPTION")</f>
        <v>S/A</v>
      </c>
      <c r="K1372" t="str">
        <f>_xll.BDP("912827E9 Govt","CPN_TYP")</f>
        <v>FIXED</v>
      </c>
      <c r="L1372" t="str">
        <f>_xll.BDP("912827E9 Govt","ID_ISIN")</f>
        <v>US912827E994</v>
      </c>
      <c r="N1372">
        <v>0</v>
      </c>
      <c r="O1372" t="str">
        <f>_xll.BDP("912827E9 Govt","ISSUE_DT")</f>
        <v>4/30/1992</v>
      </c>
      <c r="P1372" t="str">
        <f>_xll.BDP("912827E9 Govt","SECURITY_NAME")</f>
        <v>T 5 3/8 04/30/94</v>
      </c>
      <c r="Q1372" t="str">
        <f>_xll.BDP("912827E9 Govt","DAY_CNT_DES")</f>
        <v>ACT/ACT</v>
      </c>
      <c r="R1372">
        <v>100</v>
      </c>
      <c r="S1372" t="str">
        <f>_xll.BDP("912827E9 Govt","ID_CUSIP")</f>
        <v>912827E99</v>
      </c>
      <c r="T1372" t="str">
        <f>_xll.BDP("912827E9 Govt","IDX_RATIO")</f>
        <v>#N/A Field Not Applicable</v>
      </c>
    </row>
    <row r="1373" spans="1:20" x14ac:dyDescent="0.25">
      <c r="A1373" t="s">
        <v>14</v>
      </c>
      <c r="B1373" t="str">
        <f>_xll.BDP("912827F6 Govt","TICKER")</f>
        <v>T</v>
      </c>
      <c r="C1373">
        <f>_xll.BDP("912827F6 Govt","CPN")</f>
        <v>6.75</v>
      </c>
      <c r="D1373" t="str">
        <f>_xll.BDP("912827F6 Govt","YLD_YTM_BID")</f>
        <v>#N/A N/A</v>
      </c>
      <c r="E1373" t="str">
        <f>_xll.BDP("912827F6 Govt","MATURITY")</f>
        <v>5/31/1997</v>
      </c>
      <c r="F1373" t="str">
        <f>_xll.BDP("912827F6 Govt","MTY_TYP")</f>
        <v>NORMAL</v>
      </c>
      <c r="G1373" t="str">
        <f>_xll.BDP("912827F6 Govt","CRNCY")</f>
        <v>USD</v>
      </c>
      <c r="H1373" t="str">
        <f>_xll.BDP("912827F6 Govt","COUNTRY_FULL_NAME")</f>
        <v>UNITED STATES</v>
      </c>
      <c r="I1373" t="str">
        <f>_xll.BDP("912827F6 Govt","FIRST_CPN_DT")</f>
        <v>11/30/1992</v>
      </c>
      <c r="J1373" t="str">
        <f>_xll.BDP("912827F6 Govt","COUPON_FREQUENCY_DESCRIPTION")</f>
        <v>S/A</v>
      </c>
      <c r="K1373" t="str">
        <f>_xll.BDP("912827F6 Govt","CPN_TYP")</f>
        <v>FIXED</v>
      </c>
      <c r="L1373" t="str">
        <f>_xll.BDP("912827F6 Govt","ID_ISIN")</f>
        <v>US912827F645</v>
      </c>
      <c r="N1373">
        <v>0</v>
      </c>
      <c r="O1373" t="str">
        <f>_xll.BDP("912827F6 Govt","ISSUE_DT")</f>
        <v>6/1/1992</v>
      </c>
      <c r="P1373" t="str">
        <f>_xll.BDP("912827F6 Govt","SECURITY_NAME")</f>
        <v>T 6 3/4 05/31/97</v>
      </c>
      <c r="Q1373" t="str">
        <f>_xll.BDP("912827F6 Govt","DAY_CNT_DES")</f>
        <v>ACT/ACT</v>
      </c>
      <c r="R1373">
        <v>100</v>
      </c>
      <c r="S1373" t="str">
        <f>_xll.BDP("912827F6 Govt","ID_CUSIP")</f>
        <v>912827F64</v>
      </c>
      <c r="T1373" t="str">
        <f>_xll.BDP("912827F6 Govt","IDX_RATIO")</f>
        <v>#N/A Field Not Applicable</v>
      </c>
    </row>
    <row r="1374" spans="1:20" x14ac:dyDescent="0.25">
      <c r="A1374" t="s">
        <v>14</v>
      </c>
      <c r="B1374" t="str">
        <f>_xll.BDP("912827G8 Govt","TICKER")</f>
        <v>T</v>
      </c>
      <c r="C1374">
        <f>_xll.BDP("912827G8 Govt","CPN")</f>
        <v>4</v>
      </c>
      <c r="D1374" t="str">
        <f>_xll.BDP("912827G8 Govt","YLD_YTM_BID")</f>
        <v>#N/A N/A</v>
      </c>
      <c r="E1374" t="str">
        <f>_xll.BDP("912827G8 Govt","MATURITY")</f>
        <v>9/30/1994</v>
      </c>
      <c r="F1374" t="str">
        <f>_xll.BDP("912827G8 Govt","MTY_TYP")</f>
        <v>NORMAL</v>
      </c>
      <c r="G1374" t="str">
        <f>_xll.BDP("912827G8 Govt","CRNCY")</f>
        <v>USD</v>
      </c>
      <c r="H1374" t="str">
        <f>_xll.BDP("912827G8 Govt","COUNTRY_FULL_NAME")</f>
        <v>UNITED STATES</v>
      </c>
      <c r="I1374" t="str">
        <f>_xll.BDP("912827G8 Govt","FIRST_CPN_DT")</f>
        <v>3/31/1993</v>
      </c>
      <c r="J1374" t="str">
        <f>_xll.BDP("912827G8 Govt","COUPON_FREQUENCY_DESCRIPTION")</f>
        <v>S/A</v>
      </c>
      <c r="K1374" t="str">
        <f>_xll.BDP("912827G8 Govt","CPN_TYP")</f>
        <v>FIXED</v>
      </c>
      <c r="L1374" t="str">
        <f>_xll.BDP("912827G8 Govt","ID_ISIN")</f>
        <v>US912827G890</v>
      </c>
      <c r="N1374">
        <v>0</v>
      </c>
      <c r="O1374" t="str">
        <f>_xll.BDP("912827G8 Govt","ISSUE_DT")</f>
        <v>9/30/1992</v>
      </c>
      <c r="P1374" t="str">
        <f>_xll.BDP("912827G8 Govt","SECURITY_NAME")</f>
        <v>T 4 09/30/94</v>
      </c>
      <c r="Q1374" t="str">
        <f>_xll.BDP("912827G8 Govt","DAY_CNT_DES")</f>
        <v>ACT/ACT</v>
      </c>
      <c r="R1374">
        <v>100</v>
      </c>
      <c r="S1374" t="str">
        <f>_xll.BDP("912827G8 Govt","ID_CUSIP")</f>
        <v>912827G89</v>
      </c>
      <c r="T1374" t="str">
        <f>_xll.BDP("912827G8 Govt","IDX_RATIO")</f>
        <v>#N/A Field Not Applicable</v>
      </c>
    </row>
    <row r="1375" spans="1:20" x14ac:dyDescent="0.25">
      <c r="A1375" t="s">
        <v>14</v>
      </c>
      <c r="B1375" t="str">
        <f>_xll.BDP("912827H9 Govt","TICKER")</f>
        <v>T</v>
      </c>
      <c r="C1375">
        <f>_xll.BDP("912827H9 Govt","CPN")</f>
        <v>4.625</v>
      </c>
      <c r="D1375" t="str">
        <f>_xll.BDP("912827H9 Govt","YLD_YTM_BID")</f>
        <v>#N/A N/A</v>
      </c>
      <c r="E1375" t="str">
        <f>_xll.BDP("912827H9 Govt","MATURITY")</f>
        <v>12/31/1994</v>
      </c>
      <c r="F1375" t="str">
        <f>_xll.BDP("912827H9 Govt","MTY_TYP")</f>
        <v>NORMAL</v>
      </c>
      <c r="G1375" t="str">
        <f>_xll.BDP("912827H9 Govt","CRNCY")</f>
        <v>USD</v>
      </c>
      <c r="H1375" t="str">
        <f>_xll.BDP("912827H9 Govt","COUNTRY_FULL_NAME")</f>
        <v>UNITED STATES</v>
      </c>
      <c r="I1375" t="str">
        <f>_xll.BDP("912827H9 Govt","FIRST_CPN_DT")</f>
        <v>6/30/1993</v>
      </c>
      <c r="J1375" t="str">
        <f>_xll.BDP("912827H9 Govt","COUPON_FREQUENCY_DESCRIPTION")</f>
        <v>S/A</v>
      </c>
      <c r="K1375" t="str">
        <f>_xll.BDP("912827H9 Govt","CPN_TYP")</f>
        <v>FIXED</v>
      </c>
      <c r="L1375" t="str">
        <f>_xll.BDP("912827H9 Govt","ID_ISIN")</f>
        <v>US912827H963</v>
      </c>
      <c r="N1375">
        <v>0</v>
      </c>
      <c r="O1375" t="str">
        <f>_xll.BDP("912827H9 Govt","ISSUE_DT")</f>
        <v>12/31/1992</v>
      </c>
      <c r="P1375" t="str">
        <f>_xll.BDP("912827H9 Govt","SECURITY_NAME")</f>
        <v>T 4 5/8 12/31/94</v>
      </c>
      <c r="Q1375" t="str">
        <f>_xll.BDP("912827H9 Govt","DAY_CNT_DES")</f>
        <v>ACT/ACT</v>
      </c>
      <c r="R1375">
        <v>100</v>
      </c>
      <c r="S1375" t="str">
        <f>_xll.BDP("912827H9 Govt","ID_CUSIP")</f>
        <v>912827H96</v>
      </c>
      <c r="T1375" t="str">
        <f>_xll.BDP("912827H9 Govt","IDX_RATIO")</f>
        <v>#N/A Field Not Applicable</v>
      </c>
    </row>
    <row r="1376" spans="1:20" x14ac:dyDescent="0.25">
      <c r="A1376" t="s">
        <v>14</v>
      </c>
      <c r="B1376" t="str">
        <f>_xll.BDP("912827J9 Govt","TICKER")</f>
        <v>T</v>
      </c>
      <c r="C1376">
        <f>_xll.BDP("912827J9 Govt","CPN")</f>
        <v>5.125</v>
      </c>
      <c r="D1376" t="str">
        <f>_xll.BDP("912827J9 Govt","YLD_YTM_BID")</f>
        <v>#N/A N/A</v>
      </c>
      <c r="E1376" t="str">
        <f>_xll.BDP("912827J9 Govt","MATURITY")</f>
        <v>2/28/1998</v>
      </c>
      <c r="F1376" t="str">
        <f>_xll.BDP("912827J9 Govt","MTY_TYP")</f>
        <v>NORMAL</v>
      </c>
      <c r="G1376" t="str">
        <f>_xll.BDP("912827J9 Govt","CRNCY")</f>
        <v>USD</v>
      </c>
      <c r="H1376" t="str">
        <f>_xll.BDP("912827J9 Govt","COUNTRY_FULL_NAME")</f>
        <v>UNITED STATES</v>
      </c>
      <c r="I1376" t="str">
        <f>_xll.BDP("912827J9 Govt","FIRST_CPN_DT")</f>
        <v>8/31/1993</v>
      </c>
      <c r="J1376" t="str">
        <f>_xll.BDP("912827J9 Govt","COUPON_FREQUENCY_DESCRIPTION")</f>
        <v>S/A</v>
      </c>
      <c r="K1376" t="str">
        <f>_xll.BDP("912827J9 Govt","CPN_TYP")</f>
        <v>FIXED</v>
      </c>
      <c r="L1376" t="str">
        <f>_xll.BDP("912827J9 Govt","ID_ISIN")</f>
        <v>US912827J944</v>
      </c>
      <c r="M1376">
        <v>30870000000</v>
      </c>
      <c r="N1376">
        <v>0</v>
      </c>
      <c r="O1376" t="str">
        <f>_xll.BDP("912827J9 Govt","ISSUE_DT")</f>
        <v>3/1/1993</v>
      </c>
      <c r="P1376" t="str">
        <f>_xll.BDP("912827J9 Govt","SECURITY_NAME")</f>
        <v>T 5 1/8 02/28/98</v>
      </c>
      <c r="Q1376" t="str">
        <f>_xll.BDP("912827J9 Govt","DAY_CNT_DES")</f>
        <v>ACT/ACT</v>
      </c>
      <c r="R1376">
        <v>100</v>
      </c>
      <c r="S1376" t="str">
        <f>_xll.BDP("912827J9 Govt","ID_CUSIP")</f>
        <v>912827J94</v>
      </c>
      <c r="T1376" t="str">
        <f>_xll.BDP("912827J9 Govt","IDX_RATIO")</f>
        <v>#N/A Field Not Applicable</v>
      </c>
    </row>
    <row r="1377" spans="1:20" x14ac:dyDescent="0.25">
      <c r="A1377" t="s">
        <v>14</v>
      </c>
      <c r="B1377" t="str">
        <f>_xll.BDP("912827KL Govt","TICKER")</f>
        <v>T</v>
      </c>
      <c r="C1377">
        <f>_xll.BDP("912827KL Govt","CPN")</f>
        <v>13.875</v>
      </c>
      <c r="D1377" t="str">
        <f>_xll.BDP("912827KL Govt","YLD_YTM_BID")</f>
        <v>#N/A N/A</v>
      </c>
      <c r="E1377" t="str">
        <f>_xll.BDP("912827KL Govt","MATURITY")</f>
        <v>2/28/1982</v>
      </c>
      <c r="F1377" t="str">
        <f>_xll.BDP("912827KL Govt","MTY_TYP")</f>
        <v>NORMAL</v>
      </c>
      <c r="G1377" t="str">
        <f>_xll.BDP("912827KL Govt","CRNCY")</f>
        <v>USD</v>
      </c>
      <c r="H1377" t="str">
        <f>_xll.BDP("912827KL Govt","COUNTRY_FULL_NAME")</f>
        <v>UNITED STATES</v>
      </c>
      <c r="I1377" t="str">
        <f>_xll.BDP("912827KL Govt","FIRST_CPN_DT")</f>
        <v>8/31/1980</v>
      </c>
      <c r="J1377" t="str">
        <f>_xll.BDP("912827KL Govt","COUPON_FREQUENCY_DESCRIPTION")</f>
        <v>S/A</v>
      </c>
      <c r="K1377" t="str">
        <f>_xll.BDP("912827KL Govt","CPN_TYP")</f>
        <v>FIXED</v>
      </c>
      <c r="L1377" t="str">
        <f>_xll.BDP("912827KL Govt","ID_ISIN")</f>
        <v>US912827KL59</v>
      </c>
      <c r="N1377">
        <v>0</v>
      </c>
      <c r="O1377" t="str">
        <f>_xll.BDP("912827KL Govt","ISSUE_DT")</f>
        <v>2/29/1980</v>
      </c>
      <c r="P1377" t="str">
        <f>_xll.BDP("912827KL Govt","SECURITY_NAME")</f>
        <v>T 13 7/8 02/28/82</v>
      </c>
      <c r="Q1377" t="str">
        <f>_xll.BDP("912827KL Govt","DAY_CNT_DES")</f>
        <v>ACT/ACT</v>
      </c>
      <c r="R1377">
        <v>100</v>
      </c>
      <c r="S1377" t="str">
        <f>_xll.BDP("912827KL Govt","ID_CUSIP")</f>
        <v>912827KL5</v>
      </c>
      <c r="T1377" t="str">
        <f>_xll.BDP("912827KL Govt","IDX_RATIO")</f>
        <v>#N/A Field Not Applicable</v>
      </c>
    </row>
    <row r="1378" spans="1:20" x14ac:dyDescent="0.25">
      <c r="A1378" t="s">
        <v>14</v>
      </c>
      <c r="B1378" t="str">
        <f>_xll.BDP("912827LD Govt","TICKER")</f>
        <v>T</v>
      </c>
      <c r="C1378">
        <f>_xll.BDP("912827LD Govt","CPN")</f>
        <v>12.125</v>
      </c>
      <c r="D1378" t="str">
        <f>_xll.BDP("912827LD Govt","YLD_YTM_BID")</f>
        <v>#N/A N/A</v>
      </c>
      <c r="E1378" t="str">
        <f>_xll.BDP("912827LD Govt","MATURITY")</f>
        <v>10/31/1982</v>
      </c>
      <c r="F1378" t="str">
        <f>_xll.BDP("912827LD Govt","MTY_TYP")</f>
        <v>NORMAL</v>
      </c>
      <c r="G1378" t="str">
        <f>_xll.BDP("912827LD Govt","CRNCY")</f>
        <v>USD</v>
      </c>
      <c r="H1378" t="str">
        <f>_xll.BDP("912827LD Govt","COUNTRY_FULL_NAME")</f>
        <v>UNITED STATES</v>
      </c>
      <c r="I1378" t="str">
        <f>_xll.BDP("912827LD Govt","FIRST_CPN_DT")</f>
        <v>4/30/1981</v>
      </c>
      <c r="J1378" t="str">
        <f>_xll.BDP("912827LD Govt","COUPON_FREQUENCY_DESCRIPTION")</f>
        <v>S/A</v>
      </c>
      <c r="K1378" t="str">
        <f>_xll.BDP("912827LD Govt","CPN_TYP")</f>
        <v>FIXED</v>
      </c>
      <c r="L1378" t="str">
        <f>_xll.BDP("912827LD Govt","ID_ISIN")</f>
        <v>US912827LD25</v>
      </c>
      <c r="N1378">
        <v>0</v>
      </c>
      <c r="O1378" t="str">
        <f>_xll.BDP("912827LD Govt","ISSUE_DT")</f>
        <v>10/31/1980</v>
      </c>
      <c r="P1378" t="str">
        <f>_xll.BDP("912827LD Govt","SECURITY_NAME")</f>
        <v>T 12 1/8 10/31/82</v>
      </c>
      <c r="Q1378" t="str">
        <f>_xll.BDP("912827LD Govt","DAY_CNT_DES")</f>
        <v>ACT/ACT</v>
      </c>
      <c r="R1378">
        <v>100</v>
      </c>
      <c r="S1378" t="str">
        <f>_xll.BDP("912827LD Govt","ID_CUSIP")</f>
        <v>912827LD2</v>
      </c>
      <c r="T1378" t="str">
        <f>_xll.BDP("912827LD Govt","IDX_RATIO")</f>
        <v>#N/A Field Not Applicable</v>
      </c>
    </row>
    <row r="1379" spans="1:20" x14ac:dyDescent="0.25">
      <c r="A1379" t="s">
        <v>14</v>
      </c>
      <c r="B1379" t="str">
        <f>_xll.BDP("912827LT Govt","TICKER")</f>
        <v>T</v>
      </c>
      <c r="C1379">
        <f>_xll.BDP("912827LT Govt","CPN")</f>
        <v>13.25</v>
      </c>
      <c r="D1379" t="str">
        <f>_xll.BDP("912827LT Govt","YLD_YTM_BID")</f>
        <v>#N/A N/A</v>
      </c>
      <c r="E1379" t="str">
        <f>_xll.BDP("912827LT Govt","MATURITY")</f>
        <v>4/15/1988</v>
      </c>
      <c r="F1379" t="str">
        <f>_xll.BDP("912827LT Govt","MTY_TYP")</f>
        <v>NORMAL</v>
      </c>
      <c r="G1379" t="str">
        <f>_xll.BDP("912827LT Govt","CRNCY")</f>
        <v>USD</v>
      </c>
      <c r="H1379" t="str">
        <f>_xll.BDP("912827LT Govt","COUNTRY_FULL_NAME")</f>
        <v>UNITED STATES</v>
      </c>
      <c r="I1379" t="str">
        <f>_xll.BDP("912827LT Govt","FIRST_CPN_DT")</f>
        <v>10/15/1981</v>
      </c>
      <c r="J1379" t="str">
        <f>_xll.BDP("912827LT Govt","COUPON_FREQUENCY_DESCRIPTION")</f>
        <v>S/A</v>
      </c>
      <c r="K1379" t="str">
        <f>_xll.BDP("912827LT Govt","CPN_TYP")</f>
        <v>FIXED</v>
      </c>
      <c r="L1379" t="str">
        <f>_xll.BDP("912827LT Govt","ID_ISIN")</f>
        <v>US912827LT76</v>
      </c>
      <c r="N1379">
        <v>0</v>
      </c>
      <c r="O1379" t="str">
        <f>_xll.BDP("912827LT Govt","ISSUE_DT")</f>
        <v>4/6/1981</v>
      </c>
      <c r="P1379" t="str">
        <f>_xll.BDP("912827LT Govt","SECURITY_NAME")</f>
        <v>T 13 1/4 04/15/88</v>
      </c>
      <c r="Q1379" t="str">
        <f>_xll.BDP("912827LT Govt","DAY_CNT_DES")</f>
        <v>ACT/ACT</v>
      </c>
      <c r="R1379">
        <v>100</v>
      </c>
      <c r="S1379" t="str">
        <f>_xll.BDP("912827LT Govt","ID_CUSIP")</f>
        <v>912827LT7</v>
      </c>
      <c r="T1379" t="str">
        <f>_xll.BDP("912827LT Govt","IDX_RATIO")</f>
        <v>#N/A Field Not Applicable</v>
      </c>
    </row>
    <row r="1380" spans="1:20" x14ac:dyDescent="0.25">
      <c r="A1380" t="s">
        <v>14</v>
      </c>
      <c r="B1380" t="str">
        <f>_xll.BDP("912827LW Govt","TICKER")</f>
        <v>T</v>
      </c>
      <c r="C1380">
        <f>_xll.BDP("912827LW Govt","CPN")</f>
        <v>14.5</v>
      </c>
      <c r="D1380" t="str">
        <f>_xll.BDP("912827LW Govt","YLD_YTM_BID")</f>
        <v>#N/A N/A</v>
      </c>
      <c r="E1380" t="str">
        <f>_xll.BDP("912827LW Govt","MATURITY")</f>
        <v>5/15/1991</v>
      </c>
      <c r="F1380" t="str">
        <f>_xll.BDP("912827LW Govt","MTY_TYP")</f>
        <v>NORMAL</v>
      </c>
      <c r="G1380" t="str">
        <f>_xll.BDP("912827LW Govt","CRNCY")</f>
        <v>USD</v>
      </c>
      <c r="H1380" t="str">
        <f>_xll.BDP("912827LW Govt","COUNTRY_FULL_NAME")</f>
        <v>UNITED STATES</v>
      </c>
      <c r="I1380" t="str">
        <f>_xll.BDP("912827LW Govt","FIRST_CPN_DT")</f>
        <v>11/15/1981</v>
      </c>
      <c r="J1380" t="str">
        <f>_xll.BDP("912827LW Govt","COUPON_FREQUENCY_DESCRIPTION")</f>
        <v>S/A</v>
      </c>
      <c r="K1380" t="str">
        <f>_xll.BDP("912827LW Govt","CPN_TYP")</f>
        <v>FIXED</v>
      </c>
      <c r="L1380" t="str">
        <f>_xll.BDP("912827LW Govt","ID_ISIN")</f>
        <v>US912827LW06</v>
      </c>
      <c r="N1380">
        <v>0</v>
      </c>
      <c r="O1380" t="str">
        <f>_xll.BDP("912827LW Govt","ISSUE_DT")</f>
        <v>5/15/1981</v>
      </c>
      <c r="P1380" t="str">
        <f>_xll.BDP("912827LW Govt","SECURITY_NAME")</f>
        <v>T 14 1/2 05/15/91</v>
      </c>
      <c r="Q1380" t="str">
        <f>_xll.BDP("912827LW Govt","DAY_CNT_DES")</f>
        <v>ACT/ACT</v>
      </c>
      <c r="R1380">
        <v>100</v>
      </c>
      <c r="S1380" t="str">
        <f>_xll.BDP("912827LW Govt","ID_CUSIP")</f>
        <v>912827LW0</v>
      </c>
      <c r="T1380" t="str">
        <f>_xll.BDP("912827LW Govt","IDX_RATIO")</f>
        <v>#N/A Field Not Applicable</v>
      </c>
    </row>
    <row r="1381" spans="1:20" x14ac:dyDescent="0.25">
      <c r="A1381" t="s">
        <v>14</v>
      </c>
      <c r="B1381" t="str">
        <f>_xll.BDP("912827MV Govt","TICKER")</f>
        <v>T</v>
      </c>
      <c r="C1381">
        <f>_xll.BDP("912827MV Govt","CPN")</f>
        <v>14.625</v>
      </c>
      <c r="D1381" t="str">
        <f>_xll.BDP("912827MV Govt","YLD_YTM_BID")</f>
        <v>#N/A N/A</v>
      </c>
      <c r="E1381" t="str">
        <f>_xll.BDP("912827MV Govt","MATURITY")</f>
        <v>2/15/1985</v>
      </c>
      <c r="F1381" t="str">
        <f>_xll.BDP("912827MV Govt","MTY_TYP")</f>
        <v>NORMAL</v>
      </c>
      <c r="G1381" t="str">
        <f>_xll.BDP("912827MV Govt","CRNCY")</f>
        <v>USD</v>
      </c>
      <c r="H1381" t="str">
        <f>_xll.BDP("912827MV Govt","COUNTRY_FULL_NAME")</f>
        <v>UNITED STATES</v>
      </c>
      <c r="I1381" t="str">
        <f>_xll.BDP("912827MV Govt","FIRST_CPN_DT")</f>
        <v>8/15/1982</v>
      </c>
      <c r="J1381" t="str">
        <f>_xll.BDP("912827MV Govt","COUPON_FREQUENCY_DESCRIPTION")</f>
        <v>S/A</v>
      </c>
      <c r="K1381" t="str">
        <f>_xll.BDP("912827MV Govt","CPN_TYP")</f>
        <v>FIXED</v>
      </c>
      <c r="L1381" t="str">
        <f>_xll.BDP("912827MV Govt","ID_ISIN")</f>
        <v>US912827MV14</v>
      </c>
      <c r="N1381">
        <v>0</v>
      </c>
      <c r="O1381" t="str">
        <f>_xll.BDP("912827MV Govt","ISSUE_DT")</f>
        <v>2/16/1982</v>
      </c>
      <c r="P1381" t="str">
        <f>_xll.BDP("912827MV Govt","SECURITY_NAME")</f>
        <v>T 14 5/8 02/15/85</v>
      </c>
      <c r="Q1381" t="str">
        <f>_xll.BDP("912827MV Govt","DAY_CNT_DES")</f>
        <v>ACT/ACT</v>
      </c>
      <c r="R1381">
        <v>100</v>
      </c>
      <c r="S1381" t="str">
        <f>_xll.BDP("912827MV Govt","ID_CUSIP")</f>
        <v>912827MV1</v>
      </c>
      <c r="T1381" t="str">
        <f>_xll.BDP("912827MV Govt","IDX_RATIO")</f>
        <v>#N/A Field Not Applicable</v>
      </c>
    </row>
    <row r="1382" spans="1:20" x14ac:dyDescent="0.25">
      <c r="A1382" t="s">
        <v>14</v>
      </c>
      <c r="B1382" t="str">
        <f>_xll.BDP("912827MX Govt","TICKER")</f>
        <v>T</v>
      </c>
      <c r="C1382">
        <f>_xll.BDP("912827MX Govt","CPN")</f>
        <v>15.125</v>
      </c>
      <c r="D1382" t="str">
        <f>_xll.BDP("912827MX Govt","YLD_YTM_BID")</f>
        <v>#N/A N/A</v>
      </c>
      <c r="E1382" t="str">
        <f>_xll.BDP("912827MX Govt","MATURITY")</f>
        <v>2/29/1984</v>
      </c>
      <c r="F1382" t="str">
        <f>_xll.BDP("912827MX Govt","MTY_TYP")</f>
        <v>NORMAL</v>
      </c>
      <c r="G1382" t="str">
        <f>_xll.BDP("912827MX Govt","CRNCY")</f>
        <v>USD</v>
      </c>
      <c r="H1382" t="str">
        <f>_xll.BDP("912827MX Govt","COUNTRY_FULL_NAME")</f>
        <v>UNITED STATES</v>
      </c>
      <c r="I1382" t="str">
        <f>_xll.BDP("912827MX Govt","FIRST_CPN_DT")</f>
        <v>8/31/1982</v>
      </c>
      <c r="J1382" t="str">
        <f>_xll.BDP("912827MX Govt","COUPON_FREQUENCY_DESCRIPTION")</f>
        <v>S/A</v>
      </c>
      <c r="K1382" t="str">
        <f>_xll.BDP("912827MX Govt","CPN_TYP")</f>
        <v>FIXED</v>
      </c>
      <c r="L1382" t="str">
        <f>_xll.BDP("912827MX Govt","ID_ISIN")</f>
        <v>US912827MX79</v>
      </c>
      <c r="N1382">
        <v>0</v>
      </c>
      <c r="O1382" t="str">
        <f>_xll.BDP("912827MX Govt","ISSUE_DT")</f>
        <v>3/1/1982</v>
      </c>
      <c r="P1382" t="str">
        <f>_xll.BDP("912827MX Govt","SECURITY_NAME")</f>
        <v>T 15 1/8 02/29/84</v>
      </c>
      <c r="Q1382" t="str">
        <f>_xll.BDP("912827MX Govt","DAY_CNT_DES")</f>
        <v>ACT/ACT</v>
      </c>
      <c r="R1382">
        <v>100</v>
      </c>
      <c r="S1382" t="str">
        <f>_xll.BDP("912827MX Govt","ID_CUSIP")</f>
        <v>912827MX7</v>
      </c>
      <c r="T1382" t="str">
        <f>_xll.BDP("912827MX Govt","IDX_RATIO")</f>
        <v>#N/A Field Not Applicable</v>
      </c>
    </row>
    <row r="1383" spans="1:20" x14ac:dyDescent="0.25">
      <c r="A1383" t="s">
        <v>14</v>
      </c>
      <c r="B1383" t="str">
        <f>_xll.BDP("912827NB Govt","TICKER")</f>
        <v>T</v>
      </c>
      <c r="C1383">
        <f>_xll.BDP("912827NB Govt","CPN")</f>
        <v>14.375</v>
      </c>
      <c r="D1383" t="str">
        <f>_xll.BDP("912827NB Govt","YLD_YTM_BID")</f>
        <v>#N/A N/A</v>
      </c>
      <c r="E1383" t="str">
        <f>_xll.BDP("912827NB Govt","MATURITY")</f>
        <v>4/15/1989</v>
      </c>
      <c r="F1383" t="str">
        <f>_xll.BDP("912827NB Govt","MTY_TYP")</f>
        <v>NORMAL</v>
      </c>
      <c r="G1383" t="str">
        <f>_xll.BDP("912827NB Govt","CRNCY")</f>
        <v>USD</v>
      </c>
      <c r="H1383" t="str">
        <f>_xll.BDP("912827NB Govt","COUNTRY_FULL_NAME")</f>
        <v>UNITED STATES</v>
      </c>
      <c r="I1383" t="str">
        <f>_xll.BDP("912827NB Govt","FIRST_CPN_DT")</f>
        <v>10/15/1982</v>
      </c>
      <c r="J1383" t="str">
        <f>_xll.BDP("912827NB Govt","COUPON_FREQUENCY_DESCRIPTION")</f>
        <v>S/A</v>
      </c>
      <c r="K1383" t="str">
        <f>_xll.BDP("912827NB Govt","CPN_TYP")</f>
        <v>FIXED</v>
      </c>
      <c r="L1383" t="str">
        <f>_xll.BDP("912827NB Govt","ID_ISIN")</f>
        <v>US912827NB41</v>
      </c>
      <c r="N1383">
        <v>0</v>
      </c>
      <c r="O1383" t="str">
        <f>_xll.BDP("912827NB Govt","ISSUE_DT")</f>
        <v>4/7/1982</v>
      </c>
      <c r="P1383" t="str">
        <f>_xll.BDP("912827NB Govt","SECURITY_NAME")</f>
        <v>T 14 3/8 04/15/89</v>
      </c>
      <c r="Q1383" t="str">
        <f>_xll.BDP("912827NB Govt","DAY_CNT_DES")</f>
        <v>ACT/ACT</v>
      </c>
      <c r="R1383">
        <v>100</v>
      </c>
      <c r="S1383" t="str">
        <f>_xll.BDP("912827NB Govt","ID_CUSIP")</f>
        <v>912827NB4</v>
      </c>
      <c r="T1383" t="str">
        <f>_xll.BDP("912827NB Govt","IDX_RATIO")</f>
        <v>#N/A Field Not Applicable</v>
      </c>
    </row>
    <row r="1384" spans="1:20" x14ac:dyDescent="0.25">
      <c r="A1384" t="s">
        <v>14</v>
      </c>
      <c r="B1384" t="str">
        <f>_xll.BDP("912827NT Govt","TICKER")</f>
        <v>T</v>
      </c>
      <c r="C1384">
        <f>_xll.BDP("912827NT Govt","CPN")</f>
        <v>9.75</v>
      </c>
      <c r="D1384" t="str">
        <f>_xll.BDP("912827NT Govt","YLD_YTM_BID")</f>
        <v>#N/A N/A</v>
      </c>
      <c r="E1384" t="str">
        <f>_xll.BDP("912827NT Govt","MATURITY")</f>
        <v>10/31/1984</v>
      </c>
      <c r="F1384" t="str">
        <f>_xll.BDP("912827NT Govt","MTY_TYP")</f>
        <v>NORMAL</v>
      </c>
      <c r="G1384" t="str">
        <f>_xll.BDP("912827NT Govt","CRNCY")</f>
        <v>USD</v>
      </c>
      <c r="H1384" t="str">
        <f>_xll.BDP("912827NT Govt","COUNTRY_FULL_NAME")</f>
        <v>UNITED STATES</v>
      </c>
      <c r="I1384" t="str">
        <f>_xll.BDP("912827NT Govt","FIRST_CPN_DT")</f>
        <v>4/30/1983</v>
      </c>
      <c r="J1384" t="str">
        <f>_xll.BDP("912827NT Govt","COUPON_FREQUENCY_DESCRIPTION")</f>
        <v>S/A</v>
      </c>
      <c r="K1384" t="str">
        <f>_xll.BDP("912827NT Govt","CPN_TYP")</f>
        <v>FIXED</v>
      </c>
      <c r="L1384" t="str">
        <f>_xll.BDP("912827NT Govt","ID_ISIN")</f>
        <v>US912827NT58</v>
      </c>
      <c r="N1384">
        <v>0</v>
      </c>
      <c r="O1384" t="str">
        <f>_xll.BDP("912827NT Govt","ISSUE_DT")</f>
        <v>11/1/1982</v>
      </c>
      <c r="P1384" t="str">
        <f>_xll.BDP("912827NT Govt","SECURITY_NAME")</f>
        <v>T 9 3/4 10/31/84</v>
      </c>
      <c r="Q1384" t="str">
        <f>_xll.BDP("912827NT Govt","DAY_CNT_DES")</f>
        <v>ACT/ACT</v>
      </c>
      <c r="R1384">
        <v>100</v>
      </c>
      <c r="S1384" t="str">
        <f>_xll.BDP("912827NT Govt","ID_CUSIP")</f>
        <v>912827NT5</v>
      </c>
      <c r="T1384" t="str">
        <f>_xll.BDP("912827NT Govt","IDX_RATIO")</f>
        <v>#N/A Field Not Applicable</v>
      </c>
    </row>
    <row r="1385" spans="1:20" x14ac:dyDescent="0.25">
      <c r="A1385" t="s">
        <v>14</v>
      </c>
      <c r="B1385" t="str">
        <f>_xll.BDP("912827NX Govt","TICKER")</f>
        <v>T</v>
      </c>
      <c r="C1385">
        <f>_xll.BDP("912827NX Govt","CPN")</f>
        <v>10.125</v>
      </c>
      <c r="D1385" t="str">
        <f>_xll.BDP("912827NX Govt","YLD_YTM_BID")</f>
        <v>#N/A N/A</v>
      </c>
      <c r="E1385" t="str">
        <f>_xll.BDP("912827NX Govt","MATURITY")</f>
        <v>2/15/1988</v>
      </c>
      <c r="F1385" t="str">
        <f>_xll.BDP("912827NX Govt","MTY_TYP")</f>
        <v>NORMAL</v>
      </c>
      <c r="G1385" t="str">
        <f>_xll.BDP("912827NX Govt","CRNCY")</f>
        <v>USD</v>
      </c>
      <c r="H1385" t="str">
        <f>_xll.BDP("912827NX Govt","COUNTRY_FULL_NAME")</f>
        <v>UNITED STATES</v>
      </c>
      <c r="I1385" t="str">
        <f>_xll.BDP("912827NX Govt","FIRST_CPN_DT")</f>
        <v>8/15/1983</v>
      </c>
      <c r="J1385" t="str">
        <f>_xll.BDP("912827NX Govt","COUPON_FREQUENCY_DESCRIPTION")</f>
        <v>S/A</v>
      </c>
      <c r="K1385" t="str">
        <f>_xll.BDP("912827NX Govt","CPN_TYP")</f>
        <v>FIXED</v>
      </c>
      <c r="L1385" t="str">
        <f>_xll.BDP("912827NX Govt","ID_ISIN")</f>
        <v>US912827NX60</v>
      </c>
      <c r="N1385">
        <v>0</v>
      </c>
      <c r="O1385" t="str">
        <f>_xll.BDP("912827NX Govt","ISSUE_DT")</f>
        <v>12/2/1982</v>
      </c>
      <c r="P1385" t="str">
        <f>_xll.BDP("912827NX Govt","SECURITY_NAME")</f>
        <v>T 10 1/8 02/15/88</v>
      </c>
      <c r="Q1385" t="str">
        <f>_xll.BDP("912827NX Govt","DAY_CNT_DES")</f>
        <v>ACT/ACT</v>
      </c>
      <c r="R1385">
        <v>100</v>
      </c>
      <c r="S1385" t="str">
        <f>_xll.BDP("912827NX Govt","ID_CUSIP")</f>
        <v>912827NX6</v>
      </c>
      <c r="T1385" t="str">
        <f>_xll.BDP("912827NX Govt","IDX_RATIO")</f>
        <v>#N/A Field Not Applicable</v>
      </c>
    </row>
    <row r="1386" spans="1:20" x14ac:dyDescent="0.25">
      <c r="A1386" t="s">
        <v>14</v>
      </c>
      <c r="B1386" t="str">
        <f>_xll.BDP("912827P3 Govt","TICKER")</f>
        <v>T</v>
      </c>
      <c r="C1386">
        <f>_xll.BDP("912827P3 Govt","CPN")</f>
        <v>5.125</v>
      </c>
      <c r="D1386" t="str">
        <f>_xll.BDP("912827P3 Govt","YLD_YTM_BID")</f>
        <v>#N/A N/A</v>
      </c>
      <c r="E1386" t="str">
        <f>_xll.BDP("912827P3 Govt","MATURITY")</f>
        <v>3/31/1996</v>
      </c>
      <c r="F1386" t="str">
        <f>_xll.BDP("912827P3 Govt","MTY_TYP")</f>
        <v>NORMAL</v>
      </c>
      <c r="G1386" t="str">
        <f>_xll.BDP("912827P3 Govt","CRNCY")</f>
        <v>USD</v>
      </c>
      <c r="H1386" t="str">
        <f>_xll.BDP("912827P3 Govt","COUNTRY_FULL_NAME")</f>
        <v>UNITED STATES</v>
      </c>
      <c r="I1386" t="str">
        <f>_xll.BDP("912827P3 Govt","FIRST_CPN_DT")</f>
        <v>9/30/1994</v>
      </c>
      <c r="J1386" t="str">
        <f>_xll.BDP("912827P3 Govt","COUPON_FREQUENCY_DESCRIPTION")</f>
        <v>S/A</v>
      </c>
      <c r="K1386" t="str">
        <f>_xll.BDP("912827P3 Govt","CPN_TYP")</f>
        <v>FIXED</v>
      </c>
      <c r="L1386" t="str">
        <f>_xll.BDP("912827P3 Govt","ID_ISIN")</f>
        <v>US912827P305</v>
      </c>
      <c r="N1386">
        <v>0</v>
      </c>
      <c r="O1386" t="str">
        <f>_xll.BDP("912827P3 Govt","ISSUE_DT")</f>
        <v>3/31/1994</v>
      </c>
      <c r="P1386" t="str">
        <f>_xll.BDP("912827P3 Govt","SECURITY_NAME")</f>
        <v>T 5 1/8 03/31/96</v>
      </c>
      <c r="Q1386" t="str">
        <f>_xll.BDP("912827P3 Govt","DAY_CNT_DES")</f>
        <v>ACT/ACT</v>
      </c>
      <c r="R1386">
        <v>100</v>
      </c>
      <c r="S1386" t="str">
        <f>_xll.BDP("912827P3 Govt","ID_CUSIP")</f>
        <v>912827P30</v>
      </c>
      <c r="T1386" t="str">
        <f>_xll.BDP("912827P3 Govt","IDX_RATIO")</f>
        <v>#N/A Field Not Applicable</v>
      </c>
    </row>
    <row r="1387" spans="1:20" x14ac:dyDescent="0.25">
      <c r="A1387" t="s">
        <v>14</v>
      </c>
      <c r="B1387" t="str">
        <f>_xll.BDP("912827P6 Govt","TICKER")</f>
        <v>T</v>
      </c>
      <c r="C1387">
        <f>_xll.BDP("912827P6 Govt","CPN")</f>
        <v>6.5</v>
      </c>
      <c r="D1387" t="str">
        <f>_xll.BDP("912827P6 Govt","YLD_YTM_BID")</f>
        <v>#N/A N/A</v>
      </c>
      <c r="E1387" t="str">
        <f>_xll.BDP("912827P6 Govt","MATURITY")</f>
        <v>4/30/1999</v>
      </c>
      <c r="F1387" t="str">
        <f>_xll.BDP("912827P6 Govt","MTY_TYP")</f>
        <v>NORMAL</v>
      </c>
      <c r="G1387" t="str">
        <f>_xll.BDP("912827P6 Govt","CRNCY")</f>
        <v>USD</v>
      </c>
      <c r="H1387" t="str">
        <f>_xll.BDP("912827P6 Govt","COUNTRY_FULL_NAME")</f>
        <v>UNITED STATES</v>
      </c>
      <c r="I1387" t="str">
        <f>_xll.BDP("912827P6 Govt","FIRST_CPN_DT")</f>
        <v>10/31/1994</v>
      </c>
      <c r="J1387" t="str">
        <f>_xll.BDP("912827P6 Govt","COUPON_FREQUENCY_DESCRIPTION")</f>
        <v>S/A</v>
      </c>
      <c r="K1387" t="str">
        <f>_xll.BDP("912827P6 Govt","CPN_TYP")</f>
        <v>FIXED</v>
      </c>
      <c r="L1387" t="str">
        <f>_xll.BDP("912827P6 Govt","ID_ISIN")</f>
        <v>US912827P636</v>
      </c>
      <c r="M1387">
        <v>12292000000</v>
      </c>
      <c r="N1387">
        <v>0</v>
      </c>
      <c r="O1387" t="str">
        <f>_xll.BDP("912827P6 Govt","ISSUE_DT")</f>
        <v>5/2/1994</v>
      </c>
      <c r="P1387" t="str">
        <f>_xll.BDP("912827P6 Govt","SECURITY_NAME")</f>
        <v>T 6 1/2 04/30/99</v>
      </c>
      <c r="Q1387" t="str">
        <f>_xll.BDP("912827P6 Govt","DAY_CNT_DES")</f>
        <v>ACT/ACT</v>
      </c>
      <c r="R1387">
        <v>100</v>
      </c>
      <c r="S1387" t="str">
        <f>_xll.BDP("912827P6 Govt","ID_CUSIP")</f>
        <v>912827P63</v>
      </c>
      <c r="T1387" t="str">
        <f>_xll.BDP("912827P6 Govt","IDX_RATIO")</f>
        <v>#N/A Field Not Applicable</v>
      </c>
    </row>
    <row r="1388" spans="1:20" x14ac:dyDescent="0.25">
      <c r="A1388" t="s">
        <v>14</v>
      </c>
      <c r="B1388" t="str">
        <f>_xll.BDP("912827PB Govt","TICKER")</f>
        <v>T</v>
      </c>
      <c r="C1388">
        <f>_xll.BDP("912827PB Govt","CPN")</f>
        <v>9.25</v>
      </c>
      <c r="D1388" t="str">
        <f>_xll.BDP("912827PB Govt","YLD_YTM_BID")</f>
        <v>#N/A N/A</v>
      </c>
      <c r="E1388" t="str">
        <f>_xll.BDP("912827PB Govt","MATURITY")</f>
        <v>1/31/1985</v>
      </c>
      <c r="F1388" t="str">
        <f>_xll.BDP("912827PB Govt","MTY_TYP")</f>
        <v>NORMAL</v>
      </c>
      <c r="G1388" t="str">
        <f>_xll.BDP("912827PB Govt","CRNCY")</f>
        <v>USD</v>
      </c>
      <c r="H1388" t="str">
        <f>_xll.BDP("912827PB Govt","COUNTRY_FULL_NAME")</f>
        <v>UNITED STATES</v>
      </c>
      <c r="I1388" t="str">
        <f>_xll.BDP("912827PB Govt","FIRST_CPN_DT")</f>
        <v>7/31/1983</v>
      </c>
      <c r="J1388" t="str">
        <f>_xll.BDP("912827PB Govt","COUPON_FREQUENCY_DESCRIPTION")</f>
        <v>S/A</v>
      </c>
      <c r="K1388" t="str">
        <f>_xll.BDP("912827PB Govt","CPN_TYP")</f>
        <v>FIXED</v>
      </c>
      <c r="L1388" t="str">
        <f>_xll.BDP("912827PB Govt","ID_ISIN")</f>
        <v>US912827PB23</v>
      </c>
      <c r="N1388">
        <v>0</v>
      </c>
      <c r="O1388" t="str">
        <f>_xll.BDP("912827PB Govt","ISSUE_DT")</f>
        <v>1/31/1983</v>
      </c>
      <c r="P1388" t="str">
        <f>_xll.BDP("912827PB Govt","SECURITY_NAME")</f>
        <v>T 9 1/4 01/31/85</v>
      </c>
      <c r="Q1388" t="str">
        <f>_xll.BDP("912827PB Govt","DAY_CNT_DES")</f>
        <v>ACT/ACT</v>
      </c>
      <c r="R1388">
        <v>100</v>
      </c>
      <c r="S1388" t="str">
        <f>_xll.BDP("912827PB Govt","ID_CUSIP")</f>
        <v>912827PB2</v>
      </c>
      <c r="T1388" t="str">
        <f>_xll.BDP("912827PB Govt","IDX_RATIO")</f>
        <v>#N/A Field Not Applicable</v>
      </c>
    </row>
    <row r="1389" spans="1:20" x14ac:dyDescent="0.25">
      <c r="A1389" t="s">
        <v>14</v>
      </c>
      <c r="B1389" t="str">
        <f>_xll.BDP("912827PJ Govt","TICKER")</f>
        <v>T</v>
      </c>
      <c r="C1389">
        <f>_xll.BDP("912827PJ Govt","CPN")</f>
        <v>10.5</v>
      </c>
      <c r="D1389" t="str">
        <f>_xll.BDP("912827PJ Govt","YLD_YTM_BID")</f>
        <v>#N/A N/A</v>
      </c>
      <c r="E1389" t="str">
        <f>_xll.BDP("912827PJ Govt","MATURITY")</f>
        <v>4/15/1990</v>
      </c>
      <c r="F1389" t="str">
        <f>_xll.BDP("912827PJ Govt","MTY_TYP")</f>
        <v>NORMAL</v>
      </c>
      <c r="G1389" t="str">
        <f>_xll.BDP("912827PJ Govt","CRNCY")</f>
        <v>USD</v>
      </c>
      <c r="H1389" t="str">
        <f>_xll.BDP("912827PJ Govt","COUNTRY_FULL_NAME")</f>
        <v>UNITED STATES</v>
      </c>
      <c r="I1389" t="str">
        <f>_xll.BDP("912827PJ Govt","FIRST_CPN_DT")</f>
        <v>10/15/1983</v>
      </c>
      <c r="J1389" t="str">
        <f>_xll.BDP("912827PJ Govt","COUPON_FREQUENCY_DESCRIPTION")</f>
        <v>S/A</v>
      </c>
      <c r="K1389" t="str">
        <f>_xll.BDP("912827PJ Govt","CPN_TYP")</f>
        <v>FIXED</v>
      </c>
      <c r="L1389" t="str">
        <f>_xll.BDP("912827PJ Govt","ID_ISIN")</f>
        <v>US912827PJ58</v>
      </c>
      <c r="N1389">
        <v>0</v>
      </c>
      <c r="O1389" t="str">
        <f>_xll.BDP("912827PJ Govt","ISSUE_DT")</f>
        <v>4/4/1983</v>
      </c>
      <c r="P1389" t="str">
        <f>_xll.BDP("912827PJ Govt","SECURITY_NAME")</f>
        <v>T 10 1/2 04/15/90</v>
      </c>
      <c r="Q1389" t="str">
        <f>_xll.BDP("912827PJ Govt","DAY_CNT_DES")</f>
        <v>ACT/ACT</v>
      </c>
      <c r="R1389">
        <v>100</v>
      </c>
      <c r="S1389" t="str">
        <f>_xll.BDP("912827PJ Govt","ID_CUSIP")</f>
        <v>912827PJ5</v>
      </c>
      <c r="T1389" t="str">
        <f>_xll.BDP("912827PJ Govt","IDX_RATIO")</f>
        <v>#N/A Field Not Applicable</v>
      </c>
    </row>
    <row r="1390" spans="1:20" x14ac:dyDescent="0.25">
      <c r="A1390" t="s">
        <v>14</v>
      </c>
      <c r="B1390" t="str">
        <f>_xll.BDP("912827PS Govt","TICKER")</f>
        <v>T</v>
      </c>
      <c r="C1390">
        <f>_xll.BDP("912827PS Govt","CPN")</f>
        <v>10.75</v>
      </c>
      <c r="D1390" t="str">
        <f>_xll.BDP("912827PS Govt","YLD_YTM_BID")</f>
        <v>#N/A N/A</v>
      </c>
      <c r="E1390" t="str">
        <f>_xll.BDP("912827PS Govt","MATURITY")</f>
        <v>7/15/1990</v>
      </c>
      <c r="F1390" t="str">
        <f>_xll.BDP("912827PS Govt","MTY_TYP")</f>
        <v>NORMAL</v>
      </c>
      <c r="G1390" t="str">
        <f>_xll.BDP("912827PS Govt","CRNCY")</f>
        <v>USD</v>
      </c>
      <c r="H1390" t="str">
        <f>_xll.BDP("912827PS Govt","COUNTRY_FULL_NAME")</f>
        <v>UNITED STATES</v>
      </c>
      <c r="I1390" t="str">
        <f>_xll.BDP("912827PS Govt","FIRST_CPN_DT")</f>
        <v>1/15/1984</v>
      </c>
      <c r="J1390" t="str">
        <f>_xll.BDP("912827PS Govt","COUPON_FREQUENCY_DESCRIPTION")</f>
        <v>S/A</v>
      </c>
      <c r="K1390" t="str">
        <f>_xll.BDP("912827PS Govt","CPN_TYP")</f>
        <v>FIXED</v>
      </c>
      <c r="L1390" t="str">
        <f>_xll.BDP("912827PS Govt","ID_ISIN")</f>
        <v>US912827PS57</v>
      </c>
      <c r="N1390">
        <v>0</v>
      </c>
      <c r="O1390" t="str">
        <f>_xll.BDP("912827PS Govt","ISSUE_DT")</f>
        <v>7/5/1983</v>
      </c>
      <c r="P1390" t="str">
        <f>_xll.BDP("912827PS Govt","SECURITY_NAME")</f>
        <v>T 10 3/4 07/15/90</v>
      </c>
      <c r="Q1390" t="str">
        <f>_xll.BDP("912827PS Govt","DAY_CNT_DES")</f>
        <v>ACT/ACT</v>
      </c>
      <c r="R1390">
        <v>100</v>
      </c>
      <c r="S1390" t="str">
        <f>_xll.BDP("912827PS Govt","ID_CUSIP")</f>
        <v>912827PS5</v>
      </c>
      <c r="T1390" t="str">
        <f>_xll.BDP("912827PS Govt","IDX_RATIO")</f>
        <v>#N/A Field Not Applicable</v>
      </c>
    </row>
    <row r="1391" spans="1:20" x14ac:dyDescent="0.25">
      <c r="A1391" t="s">
        <v>14</v>
      </c>
      <c r="B1391" t="str">
        <f>_xll.BDP("912827PV Govt","TICKER")</f>
        <v>T</v>
      </c>
      <c r="C1391">
        <f>_xll.BDP("912827PV Govt","CPN")</f>
        <v>11.875</v>
      </c>
      <c r="D1391" t="str">
        <f>_xll.BDP("912827PV Govt","YLD_YTM_BID")</f>
        <v>#N/A N/A</v>
      </c>
      <c r="E1391" t="str">
        <f>_xll.BDP("912827PV Govt","MATURITY")</f>
        <v>8/15/1993</v>
      </c>
      <c r="F1391" t="str">
        <f>_xll.BDP("912827PV Govt","MTY_TYP")</f>
        <v>NORMAL</v>
      </c>
      <c r="G1391" t="str">
        <f>_xll.BDP("912827PV Govt","CRNCY")</f>
        <v>USD</v>
      </c>
      <c r="H1391" t="str">
        <f>_xll.BDP("912827PV Govt","COUNTRY_FULL_NAME")</f>
        <v>UNITED STATES</v>
      </c>
      <c r="I1391" t="str">
        <f>_xll.BDP("912827PV Govt","FIRST_CPN_DT")</f>
        <v>2/15/1984</v>
      </c>
      <c r="J1391" t="str">
        <f>_xll.BDP("912827PV Govt","COUPON_FREQUENCY_DESCRIPTION")</f>
        <v>S/A</v>
      </c>
      <c r="K1391" t="str">
        <f>_xll.BDP("912827PV Govt","CPN_TYP")</f>
        <v>FIXED</v>
      </c>
      <c r="L1391" t="str">
        <f>_xll.BDP("912827PV Govt","ID_ISIN")</f>
        <v>US912827PV86</v>
      </c>
      <c r="N1391">
        <v>0</v>
      </c>
      <c r="O1391" t="str">
        <f>_xll.BDP("912827PV Govt","ISSUE_DT")</f>
        <v>8/15/1983</v>
      </c>
      <c r="P1391" t="str">
        <f>_xll.BDP("912827PV Govt","SECURITY_NAME")</f>
        <v>T 11 7/8 08/15/93</v>
      </c>
      <c r="Q1391" t="str">
        <f>_xll.BDP("912827PV Govt","DAY_CNT_DES")</f>
        <v>ACT/ACT</v>
      </c>
      <c r="R1391">
        <v>100</v>
      </c>
      <c r="S1391" t="str">
        <f>_xll.BDP("912827PV Govt","ID_CUSIP")</f>
        <v>912827PV8</v>
      </c>
      <c r="T1391" t="str">
        <f>_xll.BDP("912827PV Govt","IDX_RATIO")</f>
        <v>#N/A Field Not Applicable</v>
      </c>
    </row>
    <row r="1392" spans="1:20" x14ac:dyDescent="0.25">
      <c r="A1392" t="s">
        <v>14</v>
      </c>
      <c r="B1392" t="str">
        <f>_xll.BDP("912827QA Govt","TICKER")</f>
        <v>T</v>
      </c>
      <c r="C1392">
        <f>_xll.BDP("912827QA Govt","CPN")</f>
        <v>11.5</v>
      </c>
      <c r="D1392" t="str">
        <f>_xll.BDP("912827QA Govt","YLD_YTM_BID")</f>
        <v>#N/A N/A</v>
      </c>
      <c r="E1392" t="str">
        <f>_xll.BDP("912827QA Govt","MATURITY")</f>
        <v>10/15/1990</v>
      </c>
      <c r="F1392" t="str">
        <f>_xll.BDP("912827QA Govt","MTY_TYP")</f>
        <v>NORMAL</v>
      </c>
      <c r="G1392" t="str">
        <f>_xll.BDP("912827QA Govt","CRNCY")</f>
        <v>USD</v>
      </c>
      <c r="H1392" t="str">
        <f>_xll.BDP("912827QA Govt","COUNTRY_FULL_NAME")</f>
        <v>UNITED STATES</v>
      </c>
      <c r="I1392" t="str">
        <f>_xll.BDP("912827QA Govt","FIRST_CPN_DT")</f>
        <v>4/15/1984</v>
      </c>
      <c r="J1392" t="str">
        <f>_xll.BDP("912827QA Govt","COUPON_FREQUENCY_DESCRIPTION")</f>
        <v>S/A</v>
      </c>
      <c r="K1392" t="str">
        <f>_xll.BDP("912827QA Govt","CPN_TYP")</f>
        <v>FIXED</v>
      </c>
      <c r="L1392" t="str">
        <f>_xll.BDP("912827QA Govt","ID_ISIN")</f>
        <v>US912827QA31</v>
      </c>
      <c r="N1392">
        <v>0</v>
      </c>
      <c r="O1392" t="str">
        <f>_xll.BDP("912827QA Govt","ISSUE_DT")</f>
        <v>10/5/1983</v>
      </c>
      <c r="P1392" t="str">
        <f>_xll.BDP("912827QA Govt","SECURITY_NAME")</f>
        <v>T 11 1/2 10/15/90</v>
      </c>
      <c r="Q1392" t="str">
        <f>_xll.BDP("912827QA Govt","DAY_CNT_DES")</f>
        <v>ACT/ACT</v>
      </c>
      <c r="R1392">
        <v>100</v>
      </c>
      <c r="S1392" t="str">
        <f>_xll.BDP("912827QA Govt","ID_CUSIP")</f>
        <v>912827QA3</v>
      </c>
      <c r="T1392" t="str">
        <f>_xll.BDP("912827QA Govt","IDX_RATIO")</f>
        <v>#N/A Field Not Applicable</v>
      </c>
    </row>
    <row r="1393" spans="1:20" x14ac:dyDescent="0.25">
      <c r="A1393" t="s">
        <v>14</v>
      </c>
      <c r="B1393" t="str">
        <f>_xll.BDP("912827QS Govt","TICKER")</f>
        <v>T</v>
      </c>
      <c r="C1393">
        <f>_xll.BDP("912827QS Govt","CPN")</f>
        <v>11.75</v>
      </c>
      <c r="D1393" t="str">
        <f>_xll.BDP("912827QS Govt","YLD_YTM_BID")</f>
        <v>#N/A N/A</v>
      </c>
      <c r="E1393" t="str">
        <f>_xll.BDP("912827QS Govt","MATURITY")</f>
        <v>4/30/1986</v>
      </c>
      <c r="F1393" t="str">
        <f>_xll.BDP("912827QS Govt","MTY_TYP")</f>
        <v>NORMAL</v>
      </c>
      <c r="G1393" t="str">
        <f>_xll.BDP("912827QS Govt","CRNCY")</f>
        <v>USD</v>
      </c>
      <c r="H1393" t="str">
        <f>_xll.BDP("912827QS Govt","COUNTRY_FULL_NAME")</f>
        <v>UNITED STATES</v>
      </c>
      <c r="I1393" t="str">
        <f>_xll.BDP("912827QS Govt","FIRST_CPN_DT")</f>
        <v>10/31/1984</v>
      </c>
      <c r="J1393" t="str">
        <f>_xll.BDP("912827QS Govt","COUPON_FREQUENCY_DESCRIPTION")</f>
        <v>S/A</v>
      </c>
      <c r="K1393" t="str">
        <f>_xll.BDP("912827QS Govt","CPN_TYP")</f>
        <v>FIXED</v>
      </c>
      <c r="L1393" t="str">
        <f>_xll.BDP("912827QS Govt","ID_ISIN")</f>
        <v>US912827QS49</v>
      </c>
      <c r="N1393">
        <v>0</v>
      </c>
      <c r="O1393" t="str">
        <f>_xll.BDP("912827QS Govt","ISSUE_DT")</f>
        <v>4/30/1984</v>
      </c>
      <c r="P1393" t="str">
        <f>_xll.BDP("912827QS Govt","SECURITY_NAME")</f>
        <v>T 11 3/4 04/30/86</v>
      </c>
      <c r="Q1393" t="str">
        <f>_xll.BDP("912827QS Govt","DAY_CNT_DES")</f>
        <v>ACT/ACT</v>
      </c>
      <c r="R1393">
        <v>100</v>
      </c>
      <c r="S1393" t="str">
        <f>_xll.BDP("912827QS Govt","ID_CUSIP")</f>
        <v>912827QS4</v>
      </c>
      <c r="T1393" t="str">
        <f>_xll.BDP("912827QS Govt","IDX_RATIO")</f>
        <v>#N/A Field Not Applicable</v>
      </c>
    </row>
    <row r="1394" spans="1:20" x14ac:dyDescent="0.25">
      <c r="A1394" t="s">
        <v>14</v>
      </c>
      <c r="B1394" t="str">
        <f>_xll.BDP("912827QW Govt","TICKER")</f>
        <v>T</v>
      </c>
      <c r="C1394">
        <f>_xll.BDP("912827QW Govt","CPN")</f>
        <v>13.875</v>
      </c>
      <c r="D1394" t="str">
        <f>_xll.BDP("912827QW Govt","YLD_YTM_BID")</f>
        <v>#N/A N/A</v>
      </c>
      <c r="E1394" t="str">
        <f>_xll.BDP("912827QW Govt","MATURITY")</f>
        <v>8/15/1989</v>
      </c>
      <c r="F1394" t="str">
        <f>_xll.BDP("912827QW Govt","MTY_TYP")</f>
        <v>NORMAL</v>
      </c>
      <c r="G1394" t="str">
        <f>_xll.BDP("912827QW Govt","CRNCY")</f>
        <v>USD</v>
      </c>
      <c r="H1394" t="str">
        <f>_xll.BDP("912827QW Govt","COUNTRY_FULL_NAME")</f>
        <v>UNITED STATES</v>
      </c>
      <c r="I1394" t="str">
        <f>_xll.BDP("912827QW Govt","FIRST_CPN_DT")</f>
        <v>2/15/1985</v>
      </c>
      <c r="J1394" t="str">
        <f>_xll.BDP("912827QW Govt","COUPON_FREQUENCY_DESCRIPTION")</f>
        <v>S/A</v>
      </c>
      <c r="K1394" t="str">
        <f>_xll.BDP("912827QW Govt","CPN_TYP")</f>
        <v>FIXED</v>
      </c>
      <c r="L1394" t="str">
        <f>_xll.BDP("912827QW Govt","ID_ISIN")</f>
        <v>US912827QW50</v>
      </c>
      <c r="N1394">
        <v>0</v>
      </c>
      <c r="O1394" t="str">
        <f>_xll.BDP("912827QW Govt","ISSUE_DT")</f>
        <v>6/1/1984</v>
      </c>
      <c r="P1394" t="str">
        <f>_xll.BDP("912827QW Govt","SECURITY_NAME")</f>
        <v>T 13 7/8 08/15/89</v>
      </c>
      <c r="Q1394" t="str">
        <f>_xll.BDP("912827QW Govt","DAY_CNT_DES")</f>
        <v>ACT/ACT</v>
      </c>
      <c r="R1394">
        <v>100</v>
      </c>
      <c r="S1394" t="str">
        <f>_xll.BDP("912827QW Govt","ID_CUSIP")</f>
        <v>912827QW5</v>
      </c>
      <c r="T1394" t="str">
        <f>_xll.BDP("912827QW Govt","IDX_RATIO")</f>
        <v>#N/A Field Not Applicable</v>
      </c>
    </row>
    <row r="1395" spans="1:20" x14ac:dyDescent="0.25">
      <c r="A1395" t="s">
        <v>14</v>
      </c>
      <c r="B1395" t="str">
        <f>_xll.BDP("912827QY Govt","TICKER")</f>
        <v>T</v>
      </c>
      <c r="C1395">
        <f>_xll.BDP("912827QY Govt","CPN")</f>
        <v>13.625</v>
      </c>
      <c r="D1395" t="str">
        <f>_xll.BDP("912827QY Govt","YLD_YTM_BID")</f>
        <v>#N/A N/A</v>
      </c>
      <c r="E1395" t="str">
        <f>_xll.BDP("912827QY Govt","MATURITY")</f>
        <v>6/30/1988</v>
      </c>
      <c r="F1395" t="str">
        <f>_xll.BDP("912827QY Govt","MTY_TYP")</f>
        <v>NORMAL</v>
      </c>
      <c r="G1395" t="str">
        <f>_xll.BDP("912827QY Govt","CRNCY")</f>
        <v>USD</v>
      </c>
      <c r="H1395" t="str">
        <f>_xll.BDP("912827QY Govt","COUNTRY_FULL_NAME")</f>
        <v>UNITED STATES</v>
      </c>
      <c r="I1395" t="str">
        <f>_xll.BDP("912827QY Govt","FIRST_CPN_DT")</f>
        <v>12/31/1984</v>
      </c>
      <c r="J1395" t="str">
        <f>_xll.BDP("912827QY Govt","COUPON_FREQUENCY_DESCRIPTION")</f>
        <v>S/A</v>
      </c>
      <c r="K1395" t="str">
        <f>_xll.BDP("912827QY Govt","CPN_TYP")</f>
        <v>FIXED</v>
      </c>
      <c r="L1395" t="str">
        <f>_xll.BDP("912827QY Govt","ID_ISIN")</f>
        <v>US912827QY17</v>
      </c>
      <c r="N1395">
        <v>0</v>
      </c>
      <c r="O1395" t="str">
        <f>_xll.BDP("912827QY Govt","ISSUE_DT")</f>
        <v>7/2/1984</v>
      </c>
      <c r="P1395" t="str">
        <f>_xll.BDP("912827QY Govt","SECURITY_NAME")</f>
        <v>T 13 5/8 06/30/88</v>
      </c>
      <c r="Q1395" t="str">
        <f>_xll.BDP("912827QY Govt","DAY_CNT_DES")</f>
        <v>ACT/ACT</v>
      </c>
      <c r="R1395">
        <v>100</v>
      </c>
      <c r="S1395" t="str">
        <f>_xll.BDP("912827QY Govt","ID_CUSIP")</f>
        <v>912827QY1</v>
      </c>
      <c r="T1395" t="str">
        <f>_xll.BDP("912827QY Govt","IDX_RATIO")</f>
        <v>#N/A Field Not Applicable</v>
      </c>
    </row>
    <row r="1396" spans="1:20" x14ac:dyDescent="0.25">
      <c r="A1396" t="s">
        <v>14</v>
      </c>
      <c r="B1396" t="str">
        <f>_xll.BDP("912827SR Govt","TICKER")</f>
        <v>T</v>
      </c>
      <c r="C1396">
        <f>_xll.BDP("912827SR Govt","CPN")</f>
        <v>9.625</v>
      </c>
      <c r="D1396" t="str">
        <f>_xll.BDP("912827SR Govt","YLD_YTM_BID")</f>
        <v>#N/A N/A</v>
      </c>
      <c r="E1396" t="str">
        <f>_xll.BDP("912827SR Govt","MATURITY")</f>
        <v>11/15/1990</v>
      </c>
      <c r="F1396" t="str">
        <f>_xll.BDP("912827SR Govt","MTY_TYP")</f>
        <v>NORMAL</v>
      </c>
      <c r="G1396" t="str">
        <f>_xll.BDP("912827SR Govt","CRNCY")</f>
        <v>USD</v>
      </c>
      <c r="H1396" t="str">
        <f>_xll.BDP("912827SR Govt","COUNTRY_FULL_NAME")</f>
        <v>UNITED STATES</v>
      </c>
      <c r="I1396" t="str">
        <f>_xll.BDP("912827SR Govt","FIRST_CPN_DT")</f>
        <v>5/15/1986</v>
      </c>
      <c r="J1396" t="str">
        <f>_xll.BDP("912827SR Govt","COUPON_FREQUENCY_DESCRIPTION")</f>
        <v>S/A</v>
      </c>
      <c r="K1396" t="str">
        <f>_xll.BDP("912827SR Govt","CPN_TYP")</f>
        <v>FIXED</v>
      </c>
      <c r="L1396" t="str">
        <f>_xll.BDP("912827SR Govt","ID_ISIN")</f>
        <v>US912827SR48</v>
      </c>
      <c r="N1396">
        <v>0</v>
      </c>
      <c r="O1396" t="str">
        <f>_xll.BDP("912827SR Govt","ISSUE_DT")</f>
        <v>9/3/1985</v>
      </c>
      <c r="P1396" t="str">
        <f>_xll.BDP("912827SR Govt","SECURITY_NAME")</f>
        <v>T 9 5/8 11/15/90</v>
      </c>
      <c r="Q1396" t="str">
        <f>_xll.BDP("912827SR Govt","DAY_CNT_DES")</f>
        <v>ACT/ACT</v>
      </c>
      <c r="R1396">
        <v>100</v>
      </c>
      <c r="S1396" t="str">
        <f>_xll.BDP("912827SR Govt","ID_CUSIP")</f>
        <v>912827SR4</v>
      </c>
      <c r="T1396" t="str">
        <f>_xll.BDP("912827SR Govt","IDX_RATIO")</f>
        <v>#N/A Field Not Applicable</v>
      </c>
    </row>
    <row r="1397" spans="1:20" x14ac:dyDescent="0.25">
      <c r="A1397" t="s">
        <v>14</v>
      </c>
      <c r="B1397" t="str">
        <f>_xll.BDP("912827T4 Govt","TICKER")</f>
        <v>T</v>
      </c>
      <c r="C1397">
        <f>_xll.BDP("912827T4 Govt","CPN")</f>
        <v>6.875</v>
      </c>
      <c r="D1397" t="str">
        <f>_xll.BDP("912827T4 Govt","YLD_YTM_BID")</f>
        <v>#N/A N/A</v>
      </c>
      <c r="E1397" t="str">
        <f>_xll.BDP("912827T4 Govt","MATURITY")</f>
        <v>3/31/2000</v>
      </c>
      <c r="F1397" t="str">
        <f>_xll.BDP("912827T4 Govt","MTY_TYP")</f>
        <v>NORMAL</v>
      </c>
      <c r="G1397" t="str">
        <f>_xll.BDP("912827T4 Govt","CRNCY")</f>
        <v>USD</v>
      </c>
      <c r="H1397" t="str">
        <f>_xll.BDP("912827T4 Govt","COUNTRY_FULL_NAME")</f>
        <v>UNITED STATES</v>
      </c>
      <c r="I1397" t="str">
        <f>_xll.BDP("912827T4 Govt","FIRST_CPN_DT")</f>
        <v>9/30/1995</v>
      </c>
      <c r="J1397" t="str">
        <f>_xll.BDP("912827T4 Govt","COUPON_FREQUENCY_DESCRIPTION")</f>
        <v>S/A</v>
      </c>
      <c r="K1397" t="str">
        <f>_xll.BDP("912827T4 Govt","CPN_TYP")</f>
        <v>FIXED</v>
      </c>
      <c r="L1397" t="str">
        <f>_xll.BDP("912827T4 Govt","ID_ISIN")</f>
        <v>US912827T448</v>
      </c>
      <c r="M1397">
        <v>13188000000</v>
      </c>
      <c r="N1397">
        <v>0</v>
      </c>
      <c r="O1397" t="str">
        <f>_xll.BDP("912827T4 Govt","ISSUE_DT")</f>
        <v>3/31/1995</v>
      </c>
      <c r="P1397" t="str">
        <f>_xll.BDP("912827T4 Govt","SECURITY_NAME")</f>
        <v>T 6 7/8 03/31/00</v>
      </c>
      <c r="Q1397" t="str">
        <f>_xll.BDP("912827T4 Govt","DAY_CNT_DES")</f>
        <v>ACT/ACT</v>
      </c>
      <c r="R1397">
        <v>100</v>
      </c>
      <c r="S1397" t="str">
        <f>_xll.BDP("912827T4 Govt","ID_CUSIP")</f>
        <v>912827T44</v>
      </c>
      <c r="T1397" t="str">
        <f>_xll.BDP("912827T4 Govt","IDX_RATIO")</f>
        <v>#N/A Field Not Applicable</v>
      </c>
    </row>
    <row r="1398" spans="1:20" x14ac:dyDescent="0.25">
      <c r="A1398" t="s">
        <v>14</v>
      </c>
      <c r="B1398" t="str">
        <f>_xll.BDP("912827TD Govt","TICKER")</f>
        <v>T</v>
      </c>
      <c r="C1398">
        <f>_xll.BDP("912827TD Govt","CPN")</f>
        <v>8.125</v>
      </c>
      <c r="D1398" t="str">
        <f>_xll.BDP("912827TD Govt","YLD_YTM_BID")</f>
        <v>#N/A N/A</v>
      </c>
      <c r="E1398" t="str">
        <f>_xll.BDP("912827TD Govt","MATURITY")</f>
        <v>1/31/1988</v>
      </c>
      <c r="F1398" t="str">
        <f>_xll.BDP("912827TD Govt","MTY_TYP")</f>
        <v>NORMAL</v>
      </c>
      <c r="G1398" t="str">
        <f>_xll.BDP("912827TD Govt","CRNCY")</f>
        <v>USD</v>
      </c>
      <c r="H1398" t="str">
        <f>_xll.BDP("912827TD Govt","COUNTRY_FULL_NAME")</f>
        <v>UNITED STATES</v>
      </c>
      <c r="I1398" t="str">
        <f>_xll.BDP("912827TD Govt","FIRST_CPN_DT")</f>
        <v>7/31/1986</v>
      </c>
      <c r="J1398" t="str">
        <f>_xll.BDP("912827TD Govt","COUPON_FREQUENCY_DESCRIPTION")</f>
        <v>S/A</v>
      </c>
      <c r="K1398" t="str">
        <f>_xll.BDP("912827TD Govt","CPN_TYP")</f>
        <v>FIXED</v>
      </c>
      <c r="L1398" t="str">
        <f>_xll.BDP("912827TD Govt","ID_ISIN")</f>
        <v>US912827TD43</v>
      </c>
      <c r="N1398">
        <v>0</v>
      </c>
      <c r="O1398" t="str">
        <f>_xll.BDP("912827TD Govt","ISSUE_DT")</f>
        <v>1/31/1986</v>
      </c>
      <c r="P1398" t="str">
        <f>_xll.BDP("912827TD Govt","SECURITY_NAME")</f>
        <v>T 8 1/8 01/31/88</v>
      </c>
      <c r="Q1398" t="str">
        <f>_xll.BDP("912827TD Govt","DAY_CNT_DES")</f>
        <v>ACT/ACT</v>
      </c>
      <c r="R1398">
        <v>100</v>
      </c>
      <c r="S1398" t="str">
        <f>_xll.BDP("912827TD Govt","ID_CUSIP")</f>
        <v>912827TD4</v>
      </c>
      <c r="T1398" t="str">
        <f>_xll.BDP("912827TD Govt","IDX_RATIO")</f>
        <v>#N/A Field Not Applicable</v>
      </c>
    </row>
    <row r="1399" spans="1:20" x14ac:dyDescent="0.25">
      <c r="A1399" t="s">
        <v>14</v>
      </c>
      <c r="B1399" t="str">
        <f>_xll.BDP("912827TF Govt","TICKER")</f>
        <v>T</v>
      </c>
      <c r="C1399">
        <f>_xll.BDP("912827TF Govt","CPN")</f>
        <v>8.875</v>
      </c>
      <c r="D1399" t="str">
        <f>_xll.BDP("912827TF Govt","YLD_YTM_BID")</f>
        <v>#N/A N/A</v>
      </c>
      <c r="E1399" t="str">
        <f>_xll.BDP("912827TF Govt","MATURITY")</f>
        <v>2/15/1996</v>
      </c>
      <c r="F1399" t="str">
        <f>_xll.BDP("912827TF Govt","MTY_TYP")</f>
        <v>NORMAL</v>
      </c>
      <c r="G1399" t="str">
        <f>_xll.BDP("912827TF Govt","CRNCY")</f>
        <v>USD</v>
      </c>
      <c r="H1399" t="str">
        <f>_xll.BDP("912827TF Govt","COUNTRY_FULL_NAME")</f>
        <v>UNITED STATES</v>
      </c>
      <c r="I1399" t="str">
        <f>_xll.BDP("912827TF Govt","FIRST_CPN_DT")</f>
        <v>8/15/1986</v>
      </c>
      <c r="J1399" t="str">
        <f>_xll.BDP("912827TF Govt","COUPON_FREQUENCY_DESCRIPTION")</f>
        <v>S/A</v>
      </c>
      <c r="K1399" t="str">
        <f>_xll.BDP("912827TF Govt","CPN_TYP")</f>
        <v>FIXED</v>
      </c>
      <c r="L1399" t="str">
        <f>_xll.BDP("912827TF Govt","ID_ISIN")</f>
        <v>US912827TF90</v>
      </c>
      <c r="N1399">
        <v>0</v>
      </c>
      <c r="O1399" t="str">
        <f>_xll.BDP("912827TF Govt","ISSUE_DT")</f>
        <v>2/18/1986</v>
      </c>
      <c r="P1399" t="str">
        <f>_xll.BDP("912827TF Govt","SECURITY_NAME")</f>
        <v>T 8 7/8 02/15/96</v>
      </c>
      <c r="Q1399" t="str">
        <f>_xll.BDP("912827TF Govt","DAY_CNT_DES")</f>
        <v>ACT/ACT</v>
      </c>
      <c r="R1399">
        <v>100</v>
      </c>
      <c r="S1399" t="str">
        <f>_xll.BDP("912827TF Govt","ID_CUSIP")</f>
        <v>912827TF9</v>
      </c>
      <c r="T1399" t="str">
        <f>_xll.BDP("912827TF Govt","IDX_RATIO")</f>
        <v>#N/A Field Not Applicable</v>
      </c>
    </row>
    <row r="1400" spans="1:20" x14ac:dyDescent="0.25">
      <c r="A1400" t="s">
        <v>14</v>
      </c>
      <c r="B1400" t="str">
        <f>_xll.BDP("912827TM Govt","TICKER")</f>
        <v>T</v>
      </c>
      <c r="C1400">
        <f>_xll.BDP("912827TM Govt","CPN")</f>
        <v>7.375</v>
      </c>
      <c r="D1400" t="str">
        <f>_xll.BDP("912827TM Govt","YLD_YTM_BID")</f>
        <v>#N/A N/A</v>
      </c>
      <c r="E1400" t="str">
        <f>_xll.BDP("912827TM Govt","MATURITY")</f>
        <v>4/15/1993</v>
      </c>
      <c r="F1400" t="str">
        <f>_xll.BDP("912827TM Govt","MTY_TYP")</f>
        <v>NORMAL</v>
      </c>
      <c r="G1400" t="str">
        <f>_xll.BDP("912827TM Govt","CRNCY")</f>
        <v>USD</v>
      </c>
      <c r="H1400" t="str">
        <f>_xll.BDP("912827TM Govt","COUNTRY_FULL_NAME")</f>
        <v>UNITED STATES</v>
      </c>
      <c r="I1400" t="str">
        <f>_xll.BDP("912827TM Govt","FIRST_CPN_DT")</f>
        <v>10/15/1986</v>
      </c>
      <c r="J1400" t="str">
        <f>_xll.BDP("912827TM Govt","COUPON_FREQUENCY_DESCRIPTION")</f>
        <v>S/A</v>
      </c>
      <c r="K1400" t="str">
        <f>_xll.BDP("912827TM Govt","CPN_TYP")</f>
        <v>FIXED</v>
      </c>
      <c r="L1400" t="str">
        <f>_xll.BDP("912827TM Govt","ID_ISIN")</f>
        <v>US912827TM42</v>
      </c>
      <c r="N1400">
        <v>0</v>
      </c>
      <c r="O1400" t="str">
        <f>_xll.BDP("912827TM Govt","ISSUE_DT")</f>
        <v>4/3/1986</v>
      </c>
      <c r="P1400" t="str">
        <f>_xll.BDP("912827TM Govt","SECURITY_NAME")</f>
        <v>T 7 3/8 04/15/93</v>
      </c>
      <c r="Q1400" t="str">
        <f>_xll.BDP("912827TM Govt","DAY_CNT_DES")</f>
        <v>ACT/ACT</v>
      </c>
      <c r="R1400">
        <v>100</v>
      </c>
      <c r="S1400" t="str">
        <f>_xll.BDP("912827TM Govt","ID_CUSIP")</f>
        <v>912827TM4</v>
      </c>
      <c r="T1400" t="str">
        <f>_xll.BDP("912827TM Govt","IDX_RATIO")</f>
        <v>#N/A Field Not Applicable</v>
      </c>
    </row>
    <row r="1401" spans="1:20" x14ac:dyDescent="0.25">
      <c r="A1401" t="s">
        <v>14</v>
      </c>
      <c r="B1401" t="str">
        <f>_xll.BDP("912827TU Govt","TICKER")</f>
        <v>T</v>
      </c>
      <c r="C1401">
        <f>_xll.BDP("912827TU Govt","CPN")</f>
        <v>7.25</v>
      </c>
      <c r="D1401" t="str">
        <f>_xll.BDP("912827TU Govt","YLD_YTM_BID")</f>
        <v>#N/A N/A</v>
      </c>
      <c r="E1401" t="str">
        <f>_xll.BDP("912827TU Govt","MATURITY")</f>
        <v>6/30/1990</v>
      </c>
      <c r="F1401" t="str">
        <f>_xll.BDP("912827TU Govt","MTY_TYP")</f>
        <v>NORMAL</v>
      </c>
      <c r="G1401" t="str">
        <f>_xll.BDP("912827TU Govt","CRNCY")</f>
        <v>USD</v>
      </c>
      <c r="H1401" t="str">
        <f>_xll.BDP("912827TU Govt","COUNTRY_FULL_NAME")</f>
        <v>UNITED STATES</v>
      </c>
      <c r="I1401" t="str">
        <f>_xll.BDP("912827TU Govt","FIRST_CPN_DT")</f>
        <v>12/31/1986</v>
      </c>
      <c r="J1401" t="str">
        <f>_xll.BDP("912827TU Govt","COUPON_FREQUENCY_DESCRIPTION")</f>
        <v>S/A</v>
      </c>
      <c r="K1401" t="str">
        <f>_xll.BDP("912827TU Govt","CPN_TYP")</f>
        <v>FIXED</v>
      </c>
      <c r="L1401" t="str">
        <f>_xll.BDP("912827TU Govt","ID_ISIN")</f>
        <v>US912827TU67</v>
      </c>
      <c r="N1401">
        <v>0</v>
      </c>
      <c r="O1401" t="str">
        <f>_xll.BDP("912827TU Govt","ISSUE_DT")</f>
        <v>6/30/1986</v>
      </c>
      <c r="P1401" t="str">
        <f>_xll.BDP("912827TU Govt","SECURITY_NAME")</f>
        <v>T 7 1/4 06/30/90</v>
      </c>
      <c r="Q1401" t="str">
        <f>_xll.BDP("912827TU Govt","DAY_CNT_DES")</f>
        <v>ACT/ACT</v>
      </c>
      <c r="R1401">
        <v>100</v>
      </c>
      <c r="S1401" t="str">
        <f>_xll.BDP("912827TU Govt","ID_CUSIP")</f>
        <v>912827TU6</v>
      </c>
      <c r="T1401" t="str">
        <f>_xll.BDP("912827TU Govt","IDX_RATIO")</f>
        <v>#N/A Field Not Applicable</v>
      </c>
    </row>
    <row r="1402" spans="1:20" x14ac:dyDescent="0.25">
      <c r="A1402" t="s">
        <v>14</v>
      </c>
      <c r="B1402" t="str">
        <f>_xll.BDP("912827TW Govt","TICKER")</f>
        <v>T</v>
      </c>
      <c r="C1402">
        <f>_xll.BDP("912827TW Govt","CPN")</f>
        <v>6.625</v>
      </c>
      <c r="D1402" t="str">
        <f>_xll.BDP("912827TW Govt","YLD_YTM_BID")</f>
        <v>#N/A N/A</v>
      </c>
      <c r="E1402" t="str">
        <f>_xll.BDP("912827TW Govt","MATURITY")</f>
        <v>7/31/1988</v>
      </c>
      <c r="F1402" t="str">
        <f>_xll.BDP("912827TW Govt","MTY_TYP")</f>
        <v>NORMAL</v>
      </c>
      <c r="G1402" t="str">
        <f>_xll.BDP("912827TW Govt","CRNCY")</f>
        <v>USD</v>
      </c>
      <c r="H1402" t="str">
        <f>_xll.BDP("912827TW Govt","COUNTRY_FULL_NAME")</f>
        <v>UNITED STATES</v>
      </c>
      <c r="I1402" t="str">
        <f>_xll.BDP("912827TW Govt","FIRST_CPN_DT")</f>
        <v>1/31/1987</v>
      </c>
      <c r="J1402" t="str">
        <f>_xll.BDP("912827TW Govt","COUPON_FREQUENCY_DESCRIPTION")</f>
        <v>S/A</v>
      </c>
      <c r="K1402" t="str">
        <f>_xll.BDP("912827TW Govt","CPN_TYP")</f>
        <v>FIXED</v>
      </c>
      <c r="L1402" t="str">
        <f>_xll.BDP("912827TW Govt","ID_ISIN")</f>
        <v>US912827TW24</v>
      </c>
      <c r="N1402">
        <v>0</v>
      </c>
      <c r="O1402" t="str">
        <f>_xll.BDP("912827TW Govt","ISSUE_DT")</f>
        <v>7/31/1986</v>
      </c>
      <c r="P1402" t="str">
        <f>_xll.BDP("912827TW Govt","SECURITY_NAME")</f>
        <v>T 6 5/8 07/31/88</v>
      </c>
      <c r="Q1402" t="str">
        <f>_xll.BDP("912827TW Govt","DAY_CNT_DES")</f>
        <v>ACT/ACT</v>
      </c>
      <c r="R1402">
        <v>100</v>
      </c>
      <c r="S1402" t="str">
        <f>_xll.BDP("912827TW Govt","ID_CUSIP")</f>
        <v>912827TW2</v>
      </c>
      <c r="T1402" t="str">
        <f>_xll.BDP("912827TW Govt","IDX_RATIO")</f>
        <v>#N/A Field Not Applicable</v>
      </c>
    </row>
    <row r="1403" spans="1:20" x14ac:dyDescent="0.25">
      <c r="A1403" t="s">
        <v>14</v>
      </c>
      <c r="B1403" t="str">
        <f>_xll.BDP("912827U4 Govt","TICKER")</f>
        <v>T</v>
      </c>
      <c r="C1403">
        <f>_xll.BDP("912827U4 Govt","CPN")</f>
        <v>5.875</v>
      </c>
      <c r="D1403" t="str">
        <f>_xll.BDP("912827U4 Govt","YLD_YTM_BID")</f>
        <v>#N/A N/A</v>
      </c>
      <c r="E1403" t="str">
        <f>_xll.BDP("912827U4 Govt","MATURITY")</f>
        <v>6/30/2000</v>
      </c>
      <c r="F1403" t="str">
        <f>_xll.BDP("912827U4 Govt","MTY_TYP")</f>
        <v>NORMAL</v>
      </c>
      <c r="G1403" t="str">
        <f>_xll.BDP("912827U4 Govt","CRNCY")</f>
        <v>USD</v>
      </c>
      <c r="H1403" t="str">
        <f>_xll.BDP("912827U4 Govt","COUNTRY_FULL_NAME")</f>
        <v>UNITED STATES</v>
      </c>
      <c r="I1403" t="str">
        <f>_xll.BDP("912827U4 Govt","FIRST_CPN_DT")</f>
        <v>12/31/1995</v>
      </c>
      <c r="J1403" t="str">
        <f>_xll.BDP("912827U4 Govt","COUPON_FREQUENCY_DESCRIPTION")</f>
        <v>S/A</v>
      </c>
      <c r="K1403" t="str">
        <f>_xll.BDP("912827U4 Govt","CPN_TYP")</f>
        <v>FIXED</v>
      </c>
      <c r="L1403" t="str">
        <f>_xll.BDP("912827U4 Govt","ID_ISIN")</f>
        <v>US912827U420</v>
      </c>
      <c r="M1403">
        <v>12464000000</v>
      </c>
      <c r="N1403">
        <v>0</v>
      </c>
      <c r="O1403" t="str">
        <f>_xll.BDP("912827U4 Govt","ISSUE_DT")</f>
        <v>6/30/1995</v>
      </c>
      <c r="P1403" t="str">
        <f>_xll.BDP("912827U4 Govt","SECURITY_NAME")</f>
        <v>T 5 7/8 06/30/00</v>
      </c>
      <c r="Q1403" t="str">
        <f>_xll.BDP("912827U4 Govt","DAY_CNT_DES")</f>
        <v>ACT/ACT</v>
      </c>
      <c r="R1403">
        <v>100</v>
      </c>
      <c r="S1403" t="str">
        <f>_xll.BDP("912827U4 Govt","ID_CUSIP")</f>
        <v>912827U42</v>
      </c>
      <c r="T1403" t="str">
        <f>_xll.BDP("912827U4 Govt","IDX_RATIO")</f>
        <v>#N/A Field Not Applicable</v>
      </c>
    </row>
    <row r="1404" spans="1:20" x14ac:dyDescent="0.25">
      <c r="A1404" t="s">
        <v>14</v>
      </c>
      <c r="B1404" t="str">
        <f>_xll.BDP("912827UF Govt","TICKER")</f>
        <v>T</v>
      </c>
      <c r="C1404">
        <f>_xll.BDP("912827UF Govt","CPN")</f>
        <v>7.25</v>
      </c>
      <c r="D1404" t="str">
        <f>_xll.BDP("912827UF Govt","YLD_YTM_BID")</f>
        <v>#N/A N/A</v>
      </c>
      <c r="E1404" t="str">
        <f>_xll.BDP("912827UF Govt","MATURITY")</f>
        <v>11/15/1996</v>
      </c>
      <c r="F1404" t="str">
        <f>_xll.BDP("912827UF Govt","MTY_TYP")</f>
        <v>NORMAL</v>
      </c>
      <c r="G1404" t="str">
        <f>_xll.BDP("912827UF Govt","CRNCY")</f>
        <v>USD</v>
      </c>
      <c r="H1404" t="str">
        <f>_xll.BDP("912827UF Govt","COUNTRY_FULL_NAME")</f>
        <v>UNITED STATES</v>
      </c>
      <c r="I1404" t="str">
        <f>_xll.BDP("912827UF Govt","FIRST_CPN_DT")</f>
        <v>5/15/1987</v>
      </c>
      <c r="J1404" t="str">
        <f>_xll.BDP("912827UF Govt","COUPON_FREQUENCY_DESCRIPTION")</f>
        <v>S/A</v>
      </c>
      <c r="K1404" t="str">
        <f>_xll.BDP("912827UF Govt","CPN_TYP")</f>
        <v>FIXED</v>
      </c>
      <c r="L1404" t="str">
        <f>_xll.BDP("912827UF Govt","ID_ISIN")</f>
        <v>US912827UF71</v>
      </c>
      <c r="N1404">
        <v>0</v>
      </c>
      <c r="O1404" t="str">
        <f>_xll.BDP("912827UF Govt","ISSUE_DT")</f>
        <v>11/17/1986</v>
      </c>
      <c r="P1404" t="str">
        <f>_xll.BDP("912827UF Govt","SECURITY_NAME")</f>
        <v>T 7 1/4 11/15/96</v>
      </c>
      <c r="Q1404" t="str">
        <f>_xll.BDP("912827UF Govt","DAY_CNT_DES")</f>
        <v>ACT/ACT</v>
      </c>
      <c r="R1404">
        <v>100</v>
      </c>
      <c r="S1404" t="str">
        <f>_xll.BDP("912827UF Govt","ID_CUSIP")</f>
        <v>912827UF7</v>
      </c>
      <c r="T1404" t="str">
        <f>_xll.BDP("912827UF Govt","IDX_RATIO")</f>
        <v>#N/A Field Not Applicable</v>
      </c>
    </row>
    <row r="1405" spans="1:20" x14ac:dyDescent="0.25">
      <c r="A1405" t="s">
        <v>14</v>
      </c>
      <c r="B1405" t="str">
        <f>_xll.BDP("912827UM Govt","TICKER")</f>
        <v>T</v>
      </c>
      <c r="C1405">
        <f>_xll.BDP("912827UM Govt","CPN")</f>
        <v>6.125</v>
      </c>
      <c r="D1405" t="str">
        <f>_xll.BDP("912827UM Govt","YLD_YTM_BID")</f>
        <v>#N/A N/A</v>
      </c>
      <c r="E1405" t="str">
        <f>_xll.BDP("912827UM Govt","MATURITY")</f>
        <v>1/31/1989</v>
      </c>
      <c r="F1405" t="str">
        <f>_xll.BDP("912827UM Govt","MTY_TYP")</f>
        <v>NORMAL</v>
      </c>
      <c r="G1405" t="str">
        <f>_xll.BDP("912827UM Govt","CRNCY")</f>
        <v>USD</v>
      </c>
      <c r="H1405" t="str">
        <f>_xll.BDP("912827UM Govt","COUNTRY_FULL_NAME")</f>
        <v>UNITED STATES</v>
      </c>
      <c r="I1405" t="str">
        <f>_xll.BDP("912827UM Govt","FIRST_CPN_DT")</f>
        <v>7/31/1987</v>
      </c>
      <c r="J1405" t="str">
        <f>_xll.BDP("912827UM Govt","COUPON_FREQUENCY_DESCRIPTION")</f>
        <v>S/A</v>
      </c>
      <c r="K1405" t="str">
        <f>_xll.BDP("912827UM Govt","CPN_TYP")</f>
        <v>FIXED</v>
      </c>
      <c r="L1405" t="str">
        <f>_xll.BDP("912827UM Govt","ID_ISIN")</f>
        <v>US912827UM23</v>
      </c>
      <c r="N1405">
        <v>0</v>
      </c>
      <c r="O1405" t="str">
        <f>_xll.BDP("912827UM Govt","ISSUE_DT")</f>
        <v>2/2/1987</v>
      </c>
      <c r="P1405" t="str">
        <f>_xll.BDP("912827UM Govt","SECURITY_NAME")</f>
        <v>T 6 1/8 01/31/89</v>
      </c>
      <c r="Q1405" t="str">
        <f>_xll.BDP("912827UM Govt","DAY_CNT_DES")</f>
        <v>ACT/ACT</v>
      </c>
      <c r="R1405">
        <v>100</v>
      </c>
      <c r="S1405" t="str">
        <f>_xll.BDP("912827UM Govt","ID_CUSIP")</f>
        <v>912827UM2</v>
      </c>
      <c r="T1405" t="str">
        <f>_xll.BDP("912827UM Govt","IDX_RATIO")</f>
        <v>#N/A Field Not Applicable</v>
      </c>
    </row>
    <row r="1406" spans="1:20" x14ac:dyDescent="0.25">
      <c r="A1406" t="s">
        <v>14</v>
      </c>
      <c r="B1406" t="str">
        <f>_xll.BDP("912827UN Govt","TICKER")</f>
        <v>T</v>
      </c>
      <c r="C1406">
        <f>_xll.BDP("912827UN Govt","CPN")</f>
        <v>6.5</v>
      </c>
      <c r="D1406" t="str">
        <f>_xll.BDP("912827UN Govt","YLD_YTM_BID")</f>
        <v>#N/A N/A</v>
      </c>
      <c r="E1406" t="str">
        <f>_xll.BDP("912827UN Govt","MATURITY")</f>
        <v>2/15/1990</v>
      </c>
      <c r="F1406" t="str">
        <f>_xll.BDP("912827UN Govt","MTY_TYP")</f>
        <v>NORMAL</v>
      </c>
      <c r="G1406" t="str">
        <f>_xll.BDP("912827UN Govt","CRNCY")</f>
        <v>USD</v>
      </c>
      <c r="H1406" t="str">
        <f>_xll.BDP("912827UN Govt","COUNTRY_FULL_NAME")</f>
        <v>UNITED STATES</v>
      </c>
      <c r="I1406" t="str">
        <f>_xll.BDP("912827UN Govt","FIRST_CPN_DT")</f>
        <v>8/15/1987</v>
      </c>
      <c r="J1406" t="str">
        <f>_xll.BDP("912827UN Govt","COUPON_FREQUENCY_DESCRIPTION")</f>
        <v>S/A</v>
      </c>
      <c r="K1406" t="str">
        <f>_xll.BDP("912827UN Govt","CPN_TYP")</f>
        <v>FIXED</v>
      </c>
      <c r="L1406" t="str">
        <f>_xll.BDP("912827UN Govt","ID_ISIN")</f>
        <v>US912827UN06</v>
      </c>
      <c r="N1406">
        <v>0</v>
      </c>
      <c r="O1406" t="str">
        <f>_xll.BDP("912827UN Govt","ISSUE_DT")</f>
        <v>2/17/1987</v>
      </c>
      <c r="P1406" t="str">
        <f>_xll.BDP("912827UN Govt","SECURITY_NAME")</f>
        <v>T 6 1/2 02/15/90</v>
      </c>
      <c r="Q1406" t="str">
        <f>_xll.BDP("912827UN Govt","DAY_CNT_DES")</f>
        <v>ACT/ACT</v>
      </c>
      <c r="R1406">
        <v>100</v>
      </c>
      <c r="S1406" t="str">
        <f>_xll.BDP("912827UN Govt","ID_CUSIP")</f>
        <v>912827UN0</v>
      </c>
      <c r="T1406" t="str">
        <f>_xll.BDP("912827UN Govt","IDX_RATIO")</f>
        <v>#N/A Field Not Applicable</v>
      </c>
    </row>
    <row r="1407" spans="1:20" x14ac:dyDescent="0.25">
      <c r="A1407" t="s">
        <v>14</v>
      </c>
      <c r="B1407" t="str">
        <f>_xll.BDP("912827US Govt","TICKER")</f>
        <v>T</v>
      </c>
      <c r="C1407">
        <f>_xll.BDP("912827US Govt","CPN")</f>
        <v>6.75</v>
      </c>
      <c r="D1407" t="str">
        <f>_xll.BDP("912827US Govt","YLD_YTM_BID")</f>
        <v>#N/A N/A</v>
      </c>
      <c r="E1407" t="str">
        <f>_xll.BDP("912827US Govt","MATURITY")</f>
        <v>3/31/1991</v>
      </c>
      <c r="F1407" t="str">
        <f>_xll.BDP("912827US Govt","MTY_TYP")</f>
        <v>NORMAL</v>
      </c>
      <c r="G1407" t="str">
        <f>_xll.BDP("912827US Govt","CRNCY")</f>
        <v>USD</v>
      </c>
      <c r="H1407" t="str">
        <f>_xll.BDP("912827US Govt","COUNTRY_FULL_NAME")</f>
        <v>UNITED STATES</v>
      </c>
      <c r="I1407" t="str">
        <f>_xll.BDP("912827US Govt","FIRST_CPN_DT")</f>
        <v>9/30/1987</v>
      </c>
      <c r="J1407" t="str">
        <f>_xll.BDP("912827US Govt","COUPON_FREQUENCY_DESCRIPTION")</f>
        <v>S/A</v>
      </c>
      <c r="K1407" t="str">
        <f>_xll.BDP("912827US Govt","CPN_TYP")</f>
        <v>FIXED</v>
      </c>
      <c r="L1407" t="str">
        <f>_xll.BDP("912827US Govt","ID_ISIN")</f>
        <v>US912827US92</v>
      </c>
      <c r="N1407">
        <v>0</v>
      </c>
      <c r="O1407" t="str">
        <f>_xll.BDP("912827US Govt","ISSUE_DT")</f>
        <v>3/31/1987</v>
      </c>
      <c r="P1407" t="str">
        <f>_xll.BDP("912827US Govt","SECURITY_NAME")</f>
        <v>T 6 3/4 03/31/91</v>
      </c>
      <c r="Q1407" t="str">
        <f>_xll.BDP("912827US Govt","DAY_CNT_DES")</f>
        <v>ACT/ACT</v>
      </c>
      <c r="R1407">
        <v>100</v>
      </c>
      <c r="S1407" t="str">
        <f>_xll.BDP("912827US Govt","ID_CUSIP")</f>
        <v>912827US9</v>
      </c>
      <c r="T1407" t="str">
        <f>_xll.BDP("912827US Govt","IDX_RATIO")</f>
        <v>#N/A Field Not Applicable</v>
      </c>
    </row>
    <row r="1408" spans="1:20" x14ac:dyDescent="0.25">
      <c r="A1408" t="s">
        <v>14</v>
      </c>
      <c r="B1408" t="str">
        <f>_xll.BDP("912827UU Govt","TICKER")</f>
        <v>T</v>
      </c>
      <c r="C1408">
        <f>_xll.BDP("912827UU Govt","CPN")</f>
        <v>7.125</v>
      </c>
      <c r="D1408" t="str">
        <f>_xll.BDP("912827UU Govt","YLD_YTM_BID")</f>
        <v>#N/A N/A</v>
      </c>
      <c r="E1408" t="str">
        <f>_xll.BDP("912827UU Govt","MATURITY")</f>
        <v>4/30/1989</v>
      </c>
      <c r="F1408" t="str">
        <f>_xll.BDP("912827UU Govt","MTY_TYP")</f>
        <v>NORMAL</v>
      </c>
      <c r="G1408" t="str">
        <f>_xll.BDP("912827UU Govt","CRNCY")</f>
        <v>USD</v>
      </c>
      <c r="H1408" t="str">
        <f>_xll.BDP("912827UU Govt","COUNTRY_FULL_NAME")</f>
        <v>UNITED STATES</v>
      </c>
      <c r="I1408" t="str">
        <f>_xll.BDP("912827UU Govt","FIRST_CPN_DT")</f>
        <v>10/31/1987</v>
      </c>
      <c r="J1408" t="str">
        <f>_xll.BDP("912827UU Govt","COUPON_FREQUENCY_DESCRIPTION")</f>
        <v>S/A</v>
      </c>
      <c r="K1408" t="str">
        <f>_xll.BDP("912827UU Govt","CPN_TYP")</f>
        <v>FIXED</v>
      </c>
      <c r="L1408" t="str">
        <f>_xll.BDP("912827UU Govt","ID_ISIN")</f>
        <v>US912827UU49</v>
      </c>
      <c r="N1408">
        <v>0</v>
      </c>
      <c r="O1408" t="str">
        <f>_xll.BDP("912827UU Govt","ISSUE_DT")</f>
        <v>4/30/1987</v>
      </c>
      <c r="P1408" t="str">
        <f>_xll.BDP("912827UU Govt","SECURITY_NAME")</f>
        <v>T 7 1/8 04/30/89</v>
      </c>
      <c r="Q1408" t="str">
        <f>_xll.BDP("912827UU Govt","DAY_CNT_DES")</f>
        <v>ACT/ACT</v>
      </c>
      <c r="R1408">
        <v>100</v>
      </c>
      <c r="S1408" t="str">
        <f>_xll.BDP("912827UU Govt","ID_CUSIP")</f>
        <v>912827UU4</v>
      </c>
      <c r="T1408" t="str">
        <f>_xll.BDP("912827UU Govt","IDX_RATIO")</f>
        <v>#N/A Field Not Applicable</v>
      </c>
    </row>
    <row r="1409" spans="1:20" x14ac:dyDescent="0.25">
      <c r="A1409" t="s">
        <v>14</v>
      </c>
      <c r="B1409" t="str">
        <f>_xll.BDP("912827UZ Govt","TICKER")</f>
        <v>T</v>
      </c>
      <c r="C1409">
        <f>_xll.BDP("912827UZ Govt","CPN")</f>
        <v>7.375</v>
      </c>
      <c r="D1409" t="str">
        <f>_xll.BDP("912827UZ Govt","YLD_YTM_BID")</f>
        <v>#N/A N/A</v>
      </c>
      <c r="E1409" t="str">
        <f>_xll.BDP("912827UZ Govt","MATURITY")</f>
        <v>6/30/1989</v>
      </c>
      <c r="F1409" t="str">
        <f>_xll.BDP("912827UZ Govt","MTY_TYP")</f>
        <v>NORMAL</v>
      </c>
      <c r="G1409" t="str">
        <f>_xll.BDP("912827UZ Govt","CRNCY")</f>
        <v>USD</v>
      </c>
      <c r="H1409" t="str">
        <f>_xll.BDP("912827UZ Govt","COUNTRY_FULL_NAME")</f>
        <v>UNITED STATES</v>
      </c>
      <c r="I1409" t="str">
        <f>_xll.BDP("912827UZ Govt","FIRST_CPN_DT")</f>
        <v>12/31/1987</v>
      </c>
      <c r="J1409" t="str">
        <f>_xll.BDP("912827UZ Govt","COUPON_FREQUENCY_DESCRIPTION")</f>
        <v>S/A</v>
      </c>
      <c r="K1409" t="str">
        <f>_xll.BDP("912827UZ Govt","CPN_TYP")</f>
        <v>FIXED</v>
      </c>
      <c r="L1409" t="str">
        <f>_xll.BDP("912827UZ Govt","ID_ISIN")</f>
        <v>US912827UZ36</v>
      </c>
      <c r="N1409">
        <v>0</v>
      </c>
      <c r="O1409" t="str">
        <f>_xll.BDP("912827UZ Govt","ISSUE_DT")</f>
        <v>6/30/1987</v>
      </c>
      <c r="P1409" t="str">
        <f>_xll.BDP("912827UZ Govt","SECURITY_NAME")</f>
        <v>T 7 3/8 06/30/89</v>
      </c>
      <c r="Q1409" t="str">
        <f>_xll.BDP("912827UZ Govt","DAY_CNT_DES")</f>
        <v>ACT/ACT</v>
      </c>
      <c r="R1409">
        <v>100</v>
      </c>
      <c r="S1409" t="str">
        <f>_xll.BDP("912827UZ Govt","ID_CUSIP")</f>
        <v>912827UZ3</v>
      </c>
      <c r="T1409" t="str">
        <f>_xll.BDP("912827UZ Govt","IDX_RATIO")</f>
        <v>#N/A Field Not Applicable</v>
      </c>
    </row>
    <row r="1410" spans="1:20" x14ac:dyDescent="0.25">
      <c r="A1410" t="s">
        <v>14</v>
      </c>
      <c r="B1410" t="str">
        <f>_xll.BDP("912827V7 Govt","TICKER")</f>
        <v>T</v>
      </c>
      <c r="C1410">
        <f>_xll.BDP("912827V7 Govt","CPN")</f>
        <v>5.5</v>
      </c>
      <c r="D1410" t="str">
        <f>_xll.BDP("912827V7 Govt","YLD_YTM_BID")</f>
        <v>#N/A N/A</v>
      </c>
      <c r="E1410" t="str">
        <f>_xll.BDP("912827V7 Govt","MATURITY")</f>
        <v>11/15/1998</v>
      </c>
      <c r="F1410" t="str">
        <f>_xll.BDP("912827V7 Govt","MTY_TYP")</f>
        <v>NORMAL</v>
      </c>
      <c r="G1410" t="str">
        <f>_xll.BDP("912827V7 Govt","CRNCY")</f>
        <v>USD</v>
      </c>
      <c r="H1410" t="str">
        <f>_xll.BDP("912827V7 Govt","COUNTRY_FULL_NAME")</f>
        <v>UNITED STATES</v>
      </c>
      <c r="I1410" t="str">
        <f>_xll.BDP("912827V7 Govt","FIRST_CPN_DT")</f>
        <v>5/15/1996</v>
      </c>
      <c r="J1410" t="str">
        <f>_xll.BDP("912827V7 Govt","COUPON_FREQUENCY_DESCRIPTION")</f>
        <v>S/A</v>
      </c>
      <c r="K1410" t="str">
        <f>_xll.BDP("912827V7 Govt","CPN_TYP")</f>
        <v>FIXED</v>
      </c>
      <c r="L1410" t="str">
        <f>_xll.BDP("912827V7 Govt","ID_ISIN")</f>
        <v>US912827V741</v>
      </c>
      <c r="M1410">
        <v>20598000000</v>
      </c>
      <c r="N1410">
        <v>0</v>
      </c>
      <c r="O1410" t="str">
        <f>_xll.BDP("912827V7 Govt","ISSUE_DT")</f>
        <v>11/24/1995</v>
      </c>
      <c r="P1410" t="str">
        <f>_xll.BDP("912827V7 Govt","SECURITY_NAME")</f>
        <v>T 5 1/2 11/15/98</v>
      </c>
      <c r="Q1410" t="str">
        <f>_xll.BDP("912827V7 Govt","DAY_CNT_DES")</f>
        <v>ACT/ACT</v>
      </c>
      <c r="R1410">
        <v>100</v>
      </c>
      <c r="S1410" t="str">
        <f>_xll.BDP("912827V7 Govt","ID_CUSIP")</f>
        <v>912827V74</v>
      </c>
      <c r="T1410" t="str">
        <f>_xll.BDP("912827V7 Govt","IDX_RATIO")</f>
        <v>#N/A Field Not Applicable</v>
      </c>
    </row>
    <row r="1411" spans="1:20" x14ac:dyDescent="0.25">
      <c r="A1411" t="s">
        <v>14</v>
      </c>
      <c r="B1411" t="str">
        <f>_xll.BDP("912827VB Govt","TICKER")</f>
        <v>T</v>
      </c>
      <c r="C1411">
        <f>_xll.BDP("912827VB Govt","CPN")</f>
        <v>8</v>
      </c>
      <c r="D1411" t="str">
        <f>_xll.BDP("912827VB Govt","YLD_YTM_BID")</f>
        <v>#N/A N/A</v>
      </c>
      <c r="E1411" t="str">
        <f>_xll.BDP("912827VB Govt","MATURITY")</f>
        <v>7/15/1994</v>
      </c>
      <c r="F1411" t="str">
        <f>_xll.BDP("912827VB Govt","MTY_TYP")</f>
        <v>NORMAL</v>
      </c>
      <c r="G1411" t="str">
        <f>_xll.BDP("912827VB Govt","CRNCY")</f>
        <v>USD</v>
      </c>
      <c r="H1411" t="str">
        <f>_xll.BDP("912827VB Govt","COUNTRY_FULL_NAME")</f>
        <v>UNITED STATES</v>
      </c>
      <c r="I1411" t="str">
        <f>_xll.BDP("912827VB Govt","FIRST_CPN_DT")</f>
        <v>1/15/1988</v>
      </c>
      <c r="J1411" t="str">
        <f>_xll.BDP("912827VB Govt","COUPON_FREQUENCY_DESCRIPTION")</f>
        <v>S/A</v>
      </c>
      <c r="K1411" t="str">
        <f>_xll.BDP("912827VB Govt","CPN_TYP")</f>
        <v>FIXED</v>
      </c>
      <c r="L1411" t="str">
        <f>_xll.BDP("912827VB Govt","ID_ISIN")</f>
        <v>US912827VB58</v>
      </c>
      <c r="N1411">
        <v>0</v>
      </c>
      <c r="O1411" t="str">
        <f>_xll.BDP("912827VB Govt","ISSUE_DT")</f>
        <v>7/6/1987</v>
      </c>
      <c r="P1411" t="str">
        <f>_xll.BDP("912827VB Govt","SECURITY_NAME")</f>
        <v>T 8 07/15/94</v>
      </c>
      <c r="Q1411" t="str">
        <f>_xll.BDP("912827VB Govt","DAY_CNT_DES")</f>
        <v>ACT/ACT</v>
      </c>
      <c r="R1411">
        <v>100</v>
      </c>
      <c r="S1411" t="str">
        <f>_xll.BDP("912827VB Govt","ID_CUSIP")</f>
        <v>912827VB5</v>
      </c>
      <c r="T1411" t="str">
        <f>_xll.BDP("912827VB Govt","IDX_RATIO")</f>
        <v>#N/A Field Not Applicable</v>
      </c>
    </row>
    <row r="1412" spans="1:20" x14ac:dyDescent="0.25">
      <c r="A1412" t="s">
        <v>14</v>
      </c>
      <c r="B1412" t="str">
        <f>_xll.BDP("912827VU Govt","TICKER")</f>
        <v>T</v>
      </c>
      <c r="C1412">
        <f>_xll.BDP("912827VU Govt","CPN")</f>
        <v>7.375</v>
      </c>
      <c r="D1412" t="str">
        <f>_xll.BDP("912827VU Govt","YLD_YTM_BID")</f>
        <v>#N/A N/A</v>
      </c>
      <c r="E1412" t="str">
        <f>_xll.BDP("912827VU Govt","MATURITY")</f>
        <v>1/31/1990</v>
      </c>
      <c r="F1412" t="str">
        <f>_xll.BDP("912827VU Govt","MTY_TYP")</f>
        <v>NORMAL</v>
      </c>
      <c r="G1412" t="str">
        <f>_xll.BDP("912827VU Govt","CRNCY")</f>
        <v>USD</v>
      </c>
      <c r="H1412" t="str">
        <f>_xll.BDP("912827VU Govt","COUNTRY_FULL_NAME")</f>
        <v>UNITED STATES</v>
      </c>
      <c r="I1412" t="str">
        <f>_xll.BDP("912827VU Govt","FIRST_CPN_DT")</f>
        <v>7/31/1988</v>
      </c>
      <c r="J1412" t="str">
        <f>_xll.BDP("912827VU Govt","COUPON_FREQUENCY_DESCRIPTION")</f>
        <v>S/A</v>
      </c>
      <c r="K1412" t="str">
        <f>_xll.BDP("912827VU Govt","CPN_TYP")</f>
        <v>FIXED</v>
      </c>
      <c r="L1412" t="str">
        <f>_xll.BDP("912827VU Govt","ID_ISIN")</f>
        <v>US912827VU30</v>
      </c>
      <c r="N1412">
        <v>0</v>
      </c>
      <c r="O1412" t="str">
        <f>_xll.BDP("912827VU Govt","ISSUE_DT")</f>
        <v>2/1/1988</v>
      </c>
      <c r="P1412" t="str">
        <f>_xll.BDP("912827VU Govt","SECURITY_NAME")</f>
        <v>T 7 3/8 01/31/90</v>
      </c>
      <c r="Q1412" t="str">
        <f>_xll.BDP("912827VU Govt","DAY_CNT_DES")</f>
        <v>ACT/ACT</v>
      </c>
      <c r="R1412">
        <v>100</v>
      </c>
      <c r="S1412" t="str">
        <f>_xll.BDP("912827VU Govt","ID_CUSIP")</f>
        <v>912827VU3</v>
      </c>
      <c r="T1412" t="str">
        <f>_xll.BDP("912827VU Govt","IDX_RATIO")</f>
        <v>#N/A Field Not Applicable</v>
      </c>
    </row>
    <row r="1413" spans="1:20" x14ac:dyDescent="0.25">
      <c r="A1413" t="s">
        <v>14</v>
      </c>
      <c r="B1413" t="str">
        <f>_xll.BDP("912827VW Govt","TICKER")</f>
        <v>T</v>
      </c>
      <c r="C1413">
        <f>_xll.BDP("912827VW Govt","CPN")</f>
        <v>8.125</v>
      </c>
      <c r="D1413" t="str">
        <f>_xll.BDP("912827VW Govt","YLD_YTM_BID")</f>
        <v>#N/A N/A</v>
      </c>
      <c r="E1413" t="str">
        <f>_xll.BDP("912827VW Govt","MATURITY")</f>
        <v>2/15/1998</v>
      </c>
      <c r="F1413" t="str">
        <f>_xll.BDP("912827VW Govt","MTY_TYP")</f>
        <v>NORMAL</v>
      </c>
      <c r="G1413" t="str">
        <f>_xll.BDP("912827VW Govt","CRNCY")</f>
        <v>USD</v>
      </c>
      <c r="H1413" t="str">
        <f>_xll.BDP("912827VW Govt","COUNTRY_FULL_NAME")</f>
        <v>UNITED STATES</v>
      </c>
      <c r="I1413" t="str">
        <f>_xll.BDP("912827VW Govt","FIRST_CPN_DT")</f>
        <v>8/15/1988</v>
      </c>
      <c r="J1413" t="str">
        <f>_xll.BDP("912827VW Govt","COUPON_FREQUENCY_DESCRIPTION")</f>
        <v>S/A</v>
      </c>
      <c r="K1413" t="str">
        <f>_xll.BDP("912827VW Govt","CPN_TYP")</f>
        <v>FIXED</v>
      </c>
      <c r="L1413" t="str">
        <f>_xll.BDP("912827VW Govt","ID_ISIN")</f>
        <v>US912827VW95</v>
      </c>
      <c r="M1413">
        <v>9159000000</v>
      </c>
      <c r="N1413">
        <v>0</v>
      </c>
      <c r="O1413" t="str">
        <f>_xll.BDP("912827VW Govt","ISSUE_DT")</f>
        <v>2/15/1988</v>
      </c>
      <c r="P1413" t="str">
        <f>_xll.BDP("912827VW Govt","SECURITY_NAME")</f>
        <v>T 8 1/8 02/15/98</v>
      </c>
      <c r="Q1413" t="str">
        <f>_xll.BDP("912827VW Govt","DAY_CNT_DES")</f>
        <v>ACT/ACT</v>
      </c>
      <c r="R1413">
        <v>100</v>
      </c>
      <c r="S1413" t="str">
        <f>_xll.BDP("912827VW Govt","ID_CUSIP")</f>
        <v>912827VW9</v>
      </c>
      <c r="T1413" t="str">
        <f>_xll.BDP("912827VW Govt","IDX_RATIO")</f>
        <v>#N/A Field Not Applicable</v>
      </c>
    </row>
    <row r="1414" spans="1:20" x14ac:dyDescent="0.25">
      <c r="A1414" t="s">
        <v>14</v>
      </c>
      <c r="B1414" t="str">
        <f>_xll.BDP("912827W5 Govt","TICKER")</f>
        <v>T</v>
      </c>
      <c r="C1414">
        <f>_xll.BDP("912827W5 Govt","CPN")</f>
        <v>5</v>
      </c>
      <c r="D1414" t="str">
        <f>_xll.BDP("912827W5 Govt","YLD_YTM_BID")</f>
        <v>#N/A N/A</v>
      </c>
      <c r="E1414" t="str">
        <f>_xll.BDP("912827W5 Govt","MATURITY")</f>
        <v>1/31/1998</v>
      </c>
      <c r="F1414" t="str">
        <f>_xll.BDP("912827W5 Govt","MTY_TYP")</f>
        <v>NORMAL</v>
      </c>
      <c r="G1414" t="str">
        <f>_xll.BDP("912827W5 Govt","CRNCY")</f>
        <v>USD</v>
      </c>
      <c r="H1414" t="str">
        <f>_xll.BDP("912827W5 Govt","COUNTRY_FULL_NAME")</f>
        <v>UNITED STATES</v>
      </c>
      <c r="I1414" t="str">
        <f>_xll.BDP("912827W5 Govt","FIRST_CPN_DT")</f>
        <v>7/31/1996</v>
      </c>
      <c r="J1414" t="str">
        <f>_xll.BDP("912827W5 Govt","COUPON_FREQUENCY_DESCRIPTION")</f>
        <v>S/A</v>
      </c>
      <c r="K1414" t="str">
        <f>_xll.BDP("912827W5 Govt","CPN_TYP")</f>
        <v>FIXED</v>
      </c>
      <c r="L1414" t="str">
        <f>_xll.BDP("912827W5 Govt","ID_ISIN")</f>
        <v>US912827W574</v>
      </c>
      <c r="M1414">
        <v>19087000000</v>
      </c>
      <c r="N1414">
        <v>0</v>
      </c>
      <c r="O1414" t="str">
        <f>_xll.BDP("912827W5 Govt","ISSUE_DT")</f>
        <v>1/31/1996</v>
      </c>
      <c r="P1414" t="str">
        <f>_xll.BDP("912827W5 Govt","SECURITY_NAME")</f>
        <v>T 5 01/31/98</v>
      </c>
      <c r="Q1414" t="str">
        <f>_xll.BDP("912827W5 Govt","DAY_CNT_DES")</f>
        <v>ACT/ACT</v>
      </c>
      <c r="R1414">
        <v>100</v>
      </c>
      <c r="S1414" t="str">
        <f>_xll.BDP("912827W5 Govt","ID_CUSIP")</f>
        <v>912827W57</v>
      </c>
      <c r="T1414" t="str">
        <f>_xll.BDP("912827W5 Govt","IDX_RATIO")</f>
        <v>#N/A Field Not Applicable</v>
      </c>
    </row>
    <row r="1415" spans="1:20" x14ac:dyDescent="0.25">
      <c r="A1415" t="s">
        <v>14</v>
      </c>
      <c r="B1415" t="str">
        <f>_xll.BDP("912827W6 Govt","TICKER")</f>
        <v>T</v>
      </c>
      <c r="C1415">
        <f>_xll.BDP("912827W6 Govt","CPN")</f>
        <v>5.25</v>
      </c>
      <c r="D1415" t="str">
        <f>_xll.BDP("912827W6 Govt","YLD_YTM_BID")</f>
        <v>#N/A N/A</v>
      </c>
      <c r="E1415" t="str">
        <f>_xll.BDP("912827W6 Govt","MATURITY")</f>
        <v>1/31/2001</v>
      </c>
      <c r="F1415" t="str">
        <f>_xll.BDP("912827W6 Govt","MTY_TYP")</f>
        <v>NORMAL</v>
      </c>
      <c r="G1415" t="str">
        <f>_xll.BDP("912827W6 Govt","CRNCY")</f>
        <v>USD</v>
      </c>
      <c r="H1415" t="str">
        <f>_xll.BDP("912827W6 Govt","COUNTRY_FULL_NAME")</f>
        <v>UNITED STATES</v>
      </c>
      <c r="I1415" t="str">
        <f>_xll.BDP("912827W6 Govt","FIRST_CPN_DT")</f>
        <v>7/31/1996</v>
      </c>
      <c r="J1415" t="str">
        <f>_xll.BDP("912827W6 Govt","COUPON_FREQUENCY_DESCRIPTION")</f>
        <v>S/A</v>
      </c>
      <c r="K1415" t="str">
        <f>_xll.BDP("912827W6 Govt","CPN_TYP")</f>
        <v>FIXED</v>
      </c>
      <c r="L1415" t="str">
        <f>_xll.BDP("912827W6 Govt","ID_ISIN")</f>
        <v>US912827W657</v>
      </c>
      <c r="M1415">
        <v>12816000000</v>
      </c>
      <c r="N1415">
        <v>0</v>
      </c>
      <c r="O1415" t="str">
        <f>_xll.BDP("912827W6 Govt","ISSUE_DT")</f>
        <v>1/31/1996</v>
      </c>
      <c r="P1415" t="str">
        <f>_xll.BDP("912827W6 Govt","SECURITY_NAME")</f>
        <v>T 5 1/4 01/31/01</v>
      </c>
      <c r="Q1415" t="str">
        <f>_xll.BDP("912827W6 Govt","DAY_CNT_DES")</f>
        <v>ACT/ACT</v>
      </c>
      <c r="R1415">
        <v>100</v>
      </c>
      <c r="S1415" t="str">
        <f>_xll.BDP("912827W6 Govt","ID_CUSIP")</f>
        <v>912827W65</v>
      </c>
      <c r="T1415" t="str">
        <f>_xll.BDP("912827W6 Govt","IDX_RATIO")</f>
        <v>#N/A Field Not Applicable</v>
      </c>
    </row>
    <row r="1416" spans="1:20" x14ac:dyDescent="0.25">
      <c r="A1416" t="s">
        <v>14</v>
      </c>
      <c r="B1416" t="str">
        <f>_xll.BDP("912827W7 Govt","TICKER")</f>
        <v>T</v>
      </c>
      <c r="C1416">
        <f>_xll.BDP("912827W7 Govt","CPN")</f>
        <v>5</v>
      </c>
      <c r="D1416" t="str">
        <f>_xll.BDP("912827W7 Govt","YLD_YTM_BID")</f>
        <v>#N/A N/A</v>
      </c>
      <c r="E1416" t="str">
        <f>_xll.BDP("912827W7 Govt","MATURITY")</f>
        <v>2/15/1999</v>
      </c>
      <c r="F1416" t="str">
        <f>_xll.BDP("912827W7 Govt","MTY_TYP")</f>
        <v>NORMAL</v>
      </c>
      <c r="G1416" t="str">
        <f>_xll.BDP("912827W7 Govt","CRNCY")</f>
        <v>USD</v>
      </c>
      <c r="H1416" t="str">
        <f>_xll.BDP("912827W7 Govt","COUNTRY_FULL_NAME")</f>
        <v>UNITED STATES</v>
      </c>
      <c r="I1416" t="str">
        <f>_xll.BDP("912827W7 Govt","FIRST_CPN_DT")</f>
        <v>8/15/1996</v>
      </c>
      <c r="J1416" t="str">
        <f>_xll.BDP("912827W7 Govt","COUPON_FREQUENCY_DESCRIPTION")</f>
        <v>S/A</v>
      </c>
      <c r="K1416" t="str">
        <f>_xll.BDP("912827W7 Govt","CPN_TYP")</f>
        <v>FIXED</v>
      </c>
      <c r="L1416" t="str">
        <f>_xll.BDP("912827W7 Govt","ID_ISIN")</f>
        <v>US912827W731</v>
      </c>
      <c r="M1416">
        <v>21997000000</v>
      </c>
      <c r="N1416">
        <v>0</v>
      </c>
      <c r="O1416" t="str">
        <f>_xll.BDP("912827W7 Govt","ISSUE_DT")</f>
        <v>2/15/1996</v>
      </c>
      <c r="P1416" t="str">
        <f>_xll.BDP("912827W7 Govt","SECURITY_NAME")</f>
        <v>T 5 02/15/99</v>
      </c>
      <c r="Q1416" t="str">
        <f>_xll.BDP("912827W7 Govt","DAY_CNT_DES")</f>
        <v>ACT/ACT</v>
      </c>
      <c r="R1416">
        <v>100</v>
      </c>
      <c r="S1416" t="str">
        <f>_xll.BDP("912827W7 Govt","ID_CUSIP")</f>
        <v>912827W73</v>
      </c>
      <c r="T1416" t="str">
        <f>_xll.BDP("912827W7 Govt","IDX_RATIO")</f>
        <v>#N/A Field Not Applicable</v>
      </c>
    </row>
    <row r="1417" spans="1:20" x14ac:dyDescent="0.25">
      <c r="A1417" t="s">
        <v>14</v>
      </c>
      <c r="B1417" t="str">
        <f>_xll.BDP("912827WH Govt","TICKER")</f>
        <v>T</v>
      </c>
      <c r="C1417">
        <f>_xll.BDP("912827WH Govt","CPN")</f>
        <v>8</v>
      </c>
      <c r="D1417" t="str">
        <f>_xll.BDP("912827WH Govt","YLD_YTM_BID")</f>
        <v>#N/A N/A</v>
      </c>
      <c r="E1417" t="str">
        <f>_xll.BDP("912827WH Govt","MATURITY")</f>
        <v>6/30/1990</v>
      </c>
      <c r="F1417" t="str">
        <f>_xll.BDP("912827WH Govt","MTY_TYP")</f>
        <v>NORMAL</v>
      </c>
      <c r="G1417" t="str">
        <f>_xll.BDP("912827WH Govt","CRNCY")</f>
        <v>USD</v>
      </c>
      <c r="H1417" t="str">
        <f>_xll.BDP("912827WH Govt","COUNTRY_FULL_NAME")</f>
        <v>UNITED STATES</v>
      </c>
      <c r="I1417" t="str">
        <f>_xll.BDP("912827WH Govt","FIRST_CPN_DT")</f>
        <v>12/31/1988</v>
      </c>
      <c r="J1417" t="str">
        <f>_xll.BDP("912827WH Govt","COUPON_FREQUENCY_DESCRIPTION")</f>
        <v>S/A</v>
      </c>
      <c r="K1417" t="str">
        <f>_xll.BDP("912827WH Govt","CPN_TYP")</f>
        <v>FIXED</v>
      </c>
      <c r="L1417" t="str">
        <f>_xll.BDP("912827WH Govt","ID_ISIN")</f>
        <v>US912827WH10</v>
      </c>
      <c r="N1417">
        <v>0</v>
      </c>
      <c r="O1417" t="str">
        <f>_xll.BDP("912827WH Govt","ISSUE_DT")</f>
        <v>6/30/1988</v>
      </c>
      <c r="P1417" t="str">
        <f>_xll.BDP("912827WH Govt","SECURITY_NAME")</f>
        <v>T 8 06/30/90</v>
      </c>
      <c r="Q1417" t="str">
        <f>_xll.BDP("912827WH Govt","DAY_CNT_DES")</f>
        <v>ACT/ACT</v>
      </c>
      <c r="R1417">
        <v>100</v>
      </c>
      <c r="S1417" t="str">
        <f>_xll.BDP("912827WH Govt","ID_CUSIP")</f>
        <v>912827WH1</v>
      </c>
      <c r="T1417" t="str">
        <f>_xll.BDP("912827WH Govt","IDX_RATIO")</f>
        <v>#N/A Field Not Applicable</v>
      </c>
    </row>
    <row r="1418" spans="1:20" x14ac:dyDescent="0.25">
      <c r="A1418" t="s">
        <v>14</v>
      </c>
      <c r="B1418" t="str">
        <f>_xll.BDP("912827WM Govt","TICKER")</f>
        <v>T</v>
      </c>
      <c r="C1418">
        <f>_xll.BDP("912827WM Govt","CPN")</f>
        <v>8.75</v>
      </c>
      <c r="D1418" t="str">
        <f>_xll.BDP("912827WM Govt","YLD_YTM_BID")</f>
        <v>#N/A N/A</v>
      </c>
      <c r="E1418" t="str">
        <f>_xll.BDP("912827WM Govt","MATURITY")</f>
        <v>8/15/1991</v>
      </c>
      <c r="F1418" t="str">
        <f>_xll.BDP("912827WM Govt","MTY_TYP")</f>
        <v>NORMAL</v>
      </c>
      <c r="G1418" t="str">
        <f>_xll.BDP("912827WM Govt","CRNCY")</f>
        <v>USD</v>
      </c>
      <c r="H1418" t="str">
        <f>_xll.BDP("912827WM Govt","COUNTRY_FULL_NAME")</f>
        <v>UNITED STATES</v>
      </c>
      <c r="I1418" t="str">
        <f>_xll.BDP("912827WM Govt","FIRST_CPN_DT")</f>
        <v>2/15/1989</v>
      </c>
      <c r="J1418" t="str">
        <f>_xll.BDP("912827WM Govt","COUPON_FREQUENCY_DESCRIPTION")</f>
        <v>S/A</v>
      </c>
      <c r="K1418" t="str">
        <f>_xll.BDP("912827WM Govt","CPN_TYP")</f>
        <v>FIXED</v>
      </c>
      <c r="L1418" t="str">
        <f>_xll.BDP("912827WM Govt","ID_ISIN")</f>
        <v>US912827WM05</v>
      </c>
      <c r="N1418">
        <v>0</v>
      </c>
      <c r="O1418" t="str">
        <f>_xll.BDP("912827WM Govt","ISSUE_DT")</f>
        <v>8/15/1988</v>
      </c>
      <c r="P1418" t="str">
        <f>_xll.BDP("912827WM Govt","SECURITY_NAME")</f>
        <v>T 8 3/4 08/15/91</v>
      </c>
      <c r="Q1418" t="str">
        <f>_xll.BDP("912827WM Govt","DAY_CNT_DES")</f>
        <v>ACT/ACT</v>
      </c>
      <c r="R1418">
        <v>100</v>
      </c>
      <c r="S1418" t="str">
        <f>_xll.BDP("912827WM Govt","ID_CUSIP")</f>
        <v>912827WM0</v>
      </c>
      <c r="T1418" t="str">
        <f>_xll.BDP("912827WM Govt","IDX_RATIO")</f>
        <v>#N/A Field Not Applicable</v>
      </c>
    </row>
    <row r="1419" spans="1:20" x14ac:dyDescent="0.25">
      <c r="A1419" t="s">
        <v>14</v>
      </c>
      <c r="B1419" t="str">
        <f>_xll.BDP("912827WP Govt","TICKER")</f>
        <v>T</v>
      </c>
      <c r="C1419">
        <f>_xll.BDP("912827WP Govt","CPN")</f>
        <v>8.625</v>
      </c>
      <c r="D1419" t="str">
        <f>_xll.BDP("912827WP Govt","YLD_YTM_BID")</f>
        <v>#N/A N/A</v>
      </c>
      <c r="E1419" t="str">
        <f>_xll.BDP("912827WP Govt","MATURITY")</f>
        <v>8/31/1990</v>
      </c>
      <c r="F1419" t="str">
        <f>_xll.BDP("912827WP Govt","MTY_TYP")</f>
        <v>NORMAL</v>
      </c>
      <c r="G1419" t="str">
        <f>_xll.BDP("912827WP Govt","CRNCY")</f>
        <v>USD</v>
      </c>
      <c r="H1419" t="str">
        <f>_xll.BDP("912827WP Govt","COUNTRY_FULL_NAME")</f>
        <v>UNITED STATES</v>
      </c>
      <c r="I1419" t="str">
        <f>_xll.BDP("912827WP Govt","FIRST_CPN_DT")</f>
        <v>2/28/1989</v>
      </c>
      <c r="J1419" t="str">
        <f>_xll.BDP("912827WP Govt","COUPON_FREQUENCY_DESCRIPTION")</f>
        <v>S/A</v>
      </c>
      <c r="K1419" t="str">
        <f>_xll.BDP("912827WP Govt","CPN_TYP")</f>
        <v>FIXED</v>
      </c>
      <c r="L1419" t="str">
        <f>_xll.BDP("912827WP Govt","ID_ISIN")</f>
        <v>US912827WP36</v>
      </c>
      <c r="N1419">
        <v>0</v>
      </c>
      <c r="O1419" t="str">
        <f>_xll.BDP("912827WP Govt","ISSUE_DT")</f>
        <v>8/31/1988</v>
      </c>
      <c r="P1419" t="str">
        <f>_xll.BDP("912827WP Govt","SECURITY_NAME")</f>
        <v>T 8 5/8 08/31/90</v>
      </c>
      <c r="Q1419" t="str">
        <f>_xll.BDP("912827WP Govt","DAY_CNT_DES")</f>
        <v>ACT/ACT</v>
      </c>
      <c r="R1419">
        <v>100</v>
      </c>
      <c r="S1419" t="str">
        <f>_xll.BDP("912827WP Govt","ID_CUSIP")</f>
        <v>912827WP3</v>
      </c>
      <c r="T1419" t="str">
        <f>_xll.BDP("912827WP Govt","IDX_RATIO")</f>
        <v>#N/A Field Not Applicable</v>
      </c>
    </row>
    <row r="1420" spans="1:20" x14ac:dyDescent="0.25">
      <c r="A1420" t="s">
        <v>14</v>
      </c>
      <c r="B1420" t="str">
        <f>_xll.BDP("912827WS Govt","TICKER")</f>
        <v>T</v>
      </c>
      <c r="C1420">
        <f>_xll.BDP("912827WS Govt","CPN")</f>
        <v>8.75</v>
      </c>
      <c r="D1420" t="str">
        <f>_xll.BDP("912827WS Govt","YLD_YTM_BID")</f>
        <v>#N/A N/A</v>
      </c>
      <c r="E1420" t="str">
        <f>_xll.BDP("912827WS Govt","MATURITY")</f>
        <v>9/30/1992</v>
      </c>
      <c r="F1420" t="str">
        <f>_xll.BDP("912827WS Govt","MTY_TYP")</f>
        <v>NORMAL</v>
      </c>
      <c r="G1420" t="str">
        <f>_xll.BDP("912827WS Govt","CRNCY")</f>
        <v>USD</v>
      </c>
      <c r="H1420" t="str">
        <f>_xll.BDP("912827WS Govt","COUNTRY_FULL_NAME")</f>
        <v>UNITED STATES</v>
      </c>
      <c r="I1420" t="str">
        <f>_xll.BDP("912827WS Govt","FIRST_CPN_DT")</f>
        <v>3/31/1989</v>
      </c>
      <c r="J1420" t="str">
        <f>_xll.BDP("912827WS Govt","COUPON_FREQUENCY_DESCRIPTION")</f>
        <v>S/A</v>
      </c>
      <c r="K1420" t="str">
        <f>_xll.BDP("912827WS Govt","CPN_TYP")</f>
        <v>FIXED</v>
      </c>
      <c r="L1420" t="str">
        <f>_xll.BDP("912827WS Govt","ID_ISIN")</f>
        <v>US912827WS74</v>
      </c>
      <c r="N1420">
        <v>0</v>
      </c>
      <c r="O1420" t="str">
        <f>_xll.BDP("912827WS Govt","ISSUE_DT")</f>
        <v>9/30/1988</v>
      </c>
      <c r="P1420" t="str">
        <f>_xll.BDP("912827WS Govt","SECURITY_NAME")</f>
        <v>T 8 3/4 09/30/92</v>
      </c>
      <c r="Q1420" t="str">
        <f>_xll.BDP("912827WS Govt","DAY_CNT_DES")</f>
        <v>ACT/ACT</v>
      </c>
      <c r="R1420">
        <v>100</v>
      </c>
      <c r="S1420" t="str">
        <f>_xll.BDP("912827WS Govt","ID_CUSIP")</f>
        <v>912827WS7</v>
      </c>
      <c r="T1420" t="str">
        <f>_xll.BDP("912827WS Govt","IDX_RATIO")</f>
        <v>#N/A Field Not Applicable</v>
      </c>
    </row>
    <row r="1421" spans="1:20" x14ac:dyDescent="0.25">
      <c r="A1421" t="s">
        <v>14</v>
      </c>
      <c r="B1421" t="str">
        <f>_xll.BDP("912827WT Govt","TICKER")</f>
        <v>T</v>
      </c>
      <c r="C1421">
        <f>_xll.BDP("912827WT Govt","CPN")</f>
        <v>8.625</v>
      </c>
      <c r="D1421" t="str">
        <f>_xll.BDP("912827WT Govt","YLD_YTM_BID")</f>
        <v>#N/A N/A</v>
      </c>
      <c r="E1421" t="str">
        <f>_xll.BDP("912827WT Govt","MATURITY")</f>
        <v>10/15/1995</v>
      </c>
      <c r="F1421" t="str">
        <f>_xll.BDP("912827WT Govt","MTY_TYP")</f>
        <v>NORMAL</v>
      </c>
      <c r="G1421" t="str">
        <f>_xll.BDP("912827WT Govt","CRNCY")</f>
        <v>USD</v>
      </c>
      <c r="H1421" t="str">
        <f>_xll.BDP("912827WT Govt","COUNTRY_FULL_NAME")</f>
        <v>UNITED STATES</v>
      </c>
      <c r="I1421" t="str">
        <f>_xll.BDP("912827WT Govt","FIRST_CPN_DT")</f>
        <v>4/15/1989</v>
      </c>
      <c r="J1421" t="str">
        <f>_xll.BDP("912827WT Govt","COUPON_FREQUENCY_DESCRIPTION")</f>
        <v>S/A</v>
      </c>
      <c r="K1421" t="str">
        <f>_xll.BDP("912827WT Govt","CPN_TYP")</f>
        <v>FIXED</v>
      </c>
      <c r="L1421" t="str">
        <f>_xll.BDP("912827WT Govt","ID_ISIN")</f>
        <v>US912827WT57</v>
      </c>
      <c r="N1421">
        <v>0</v>
      </c>
      <c r="O1421" t="str">
        <f>_xll.BDP("912827WT Govt","ISSUE_DT")</f>
        <v>10/17/1988</v>
      </c>
      <c r="P1421" t="str">
        <f>_xll.BDP("912827WT Govt","SECURITY_NAME")</f>
        <v>T 8 5/8 10/15/95</v>
      </c>
      <c r="Q1421" t="str">
        <f>_xll.BDP("912827WT Govt","DAY_CNT_DES")</f>
        <v>ACT/ACT</v>
      </c>
      <c r="R1421">
        <v>100</v>
      </c>
      <c r="S1421" t="str">
        <f>_xll.BDP("912827WT Govt","ID_CUSIP")</f>
        <v>912827WT5</v>
      </c>
      <c r="T1421" t="str">
        <f>_xll.BDP("912827WT Govt","IDX_RATIO")</f>
        <v>#N/A Field Not Applicable</v>
      </c>
    </row>
    <row r="1422" spans="1:20" x14ac:dyDescent="0.25">
      <c r="A1422" t="s">
        <v>14</v>
      </c>
      <c r="B1422" t="str">
        <f>_xll.BDP("912827WU Govt","TICKER")</f>
        <v>T</v>
      </c>
      <c r="C1422">
        <f>_xll.BDP("912827WU Govt","CPN")</f>
        <v>8.25</v>
      </c>
      <c r="D1422" t="str">
        <f>_xll.BDP("912827WU Govt","YLD_YTM_BID")</f>
        <v>#N/A N/A</v>
      </c>
      <c r="E1422" t="str">
        <f>_xll.BDP("912827WU Govt","MATURITY")</f>
        <v>10/31/1990</v>
      </c>
      <c r="F1422" t="str">
        <f>_xll.BDP("912827WU Govt","MTY_TYP")</f>
        <v>NORMAL</v>
      </c>
      <c r="G1422" t="str">
        <f>_xll.BDP("912827WU Govt","CRNCY")</f>
        <v>USD</v>
      </c>
      <c r="H1422" t="str">
        <f>_xll.BDP("912827WU Govt","COUNTRY_FULL_NAME")</f>
        <v>UNITED STATES</v>
      </c>
      <c r="I1422" t="str">
        <f>_xll.BDP("912827WU Govt","FIRST_CPN_DT")</f>
        <v>4/30/1989</v>
      </c>
      <c r="J1422" t="str">
        <f>_xll.BDP("912827WU Govt","COUPON_FREQUENCY_DESCRIPTION")</f>
        <v>S/A</v>
      </c>
      <c r="K1422" t="str">
        <f>_xll.BDP("912827WU Govt","CPN_TYP")</f>
        <v>FIXED</v>
      </c>
      <c r="L1422" t="str">
        <f>_xll.BDP("912827WU Govt","ID_ISIN")</f>
        <v>US912827WU21</v>
      </c>
      <c r="N1422">
        <v>0</v>
      </c>
      <c r="O1422" t="str">
        <f>_xll.BDP("912827WU Govt","ISSUE_DT")</f>
        <v>10/31/1988</v>
      </c>
      <c r="P1422" t="str">
        <f>_xll.BDP("912827WU Govt","SECURITY_NAME")</f>
        <v>T 8 1/4 10/31/90</v>
      </c>
      <c r="Q1422" t="str">
        <f>_xll.BDP("912827WU Govt","DAY_CNT_DES")</f>
        <v>ACT/ACT</v>
      </c>
      <c r="R1422">
        <v>100</v>
      </c>
      <c r="S1422" t="str">
        <f>_xll.BDP("912827WU Govt","ID_CUSIP")</f>
        <v>912827WU2</v>
      </c>
      <c r="T1422" t="str">
        <f>_xll.BDP("912827WU Govt","IDX_RATIO")</f>
        <v>#N/A Field Not Applicable</v>
      </c>
    </row>
    <row r="1423" spans="1:20" x14ac:dyDescent="0.25">
      <c r="A1423" t="s">
        <v>14</v>
      </c>
      <c r="B1423" t="str">
        <f>_xll.BDP("912827WZ Govt","TICKER")</f>
        <v>T</v>
      </c>
      <c r="C1423">
        <f>_xll.BDP("912827WZ Govt","CPN")</f>
        <v>9.125</v>
      </c>
      <c r="D1423" t="str">
        <f>_xll.BDP("912827WZ Govt","YLD_YTM_BID")</f>
        <v>#N/A N/A</v>
      </c>
      <c r="E1423" t="str">
        <f>_xll.BDP("912827WZ Govt","MATURITY")</f>
        <v>12/31/1990</v>
      </c>
      <c r="F1423" t="str">
        <f>_xll.BDP("912827WZ Govt","MTY_TYP")</f>
        <v>NORMAL</v>
      </c>
      <c r="G1423" t="str">
        <f>_xll.BDP("912827WZ Govt","CRNCY")</f>
        <v>USD</v>
      </c>
      <c r="H1423" t="str">
        <f>_xll.BDP("912827WZ Govt","COUNTRY_FULL_NAME")</f>
        <v>UNITED STATES</v>
      </c>
      <c r="I1423" t="str">
        <f>_xll.BDP("912827WZ Govt","FIRST_CPN_DT")</f>
        <v>6/30/1989</v>
      </c>
      <c r="J1423" t="str">
        <f>_xll.BDP("912827WZ Govt","COUPON_FREQUENCY_DESCRIPTION")</f>
        <v>S/A</v>
      </c>
      <c r="K1423" t="str">
        <f>_xll.BDP("912827WZ Govt","CPN_TYP")</f>
        <v>FIXED</v>
      </c>
      <c r="L1423" t="str">
        <f>_xll.BDP("912827WZ Govt","ID_ISIN")</f>
        <v>US912827WZ18</v>
      </c>
      <c r="N1423">
        <v>0</v>
      </c>
      <c r="O1423" t="str">
        <f>_xll.BDP("912827WZ Govt","ISSUE_DT")</f>
        <v>1/3/1989</v>
      </c>
      <c r="P1423" t="str">
        <f>_xll.BDP("912827WZ Govt","SECURITY_NAME")</f>
        <v>T 9 1/8 12/31/90</v>
      </c>
      <c r="Q1423" t="str">
        <f>_xll.BDP("912827WZ Govt","DAY_CNT_DES")</f>
        <v>ACT/ACT</v>
      </c>
      <c r="R1423">
        <v>100</v>
      </c>
      <c r="S1423" t="str">
        <f>_xll.BDP("912827WZ Govt","ID_CUSIP")</f>
        <v>912827WZ1</v>
      </c>
      <c r="T1423" t="str">
        <f>_xll.BDP("912827WZ Govt","IDX_RATIO")</f>
        <v>#N/A Field Not Applicable</v>
      </c>
    </row>
    <row r="1424" spans="1:20" x14ac:dyDescent="0.25">
      <c r="A1424" t="s">
        <v>14</v>
      </c>
      <c r="B1424" t="str">
        <f>_xll.BDP("912828AP Govt","TICKER")</f>
        <v>T</v>
      </c>
      <c r="C1424">
        <f>_xll.BDP("912828AP Govt","CPN")</f>
        <v>4</v>
      </c>
      <c r="D1424" t="str">
        <f>_xll.BDP("912828AP Govt","YLD_YTM_BID")</f>
        <v>#N/A N/A</v>
      </c>
      <c r="E1424" t="str">
        <f>_xll.BDP("912828AP Govt","MATURITY")</f>
        <v>11/15/2012</v>
      </c>
      <c r="F1424" t="str">
        <f>_xll.BDP("912828AP Govt","MTY_TYP")</f>
        <v>NORMAL</v>
      </c>
      <c r="G1424" t="str">
        <f>_xll.BDP("912828AP Govt","CRNCY")</f>
        <v>USD</v>
      </c>
      <c r="H1424" t="str">
        <f>_xll.BDP("912828AP Govt","COUNTRY_FULL_NAME")</f>
        <v>UNITED STATES</v>
      </c>
      <c r="I1424" t="str">
        <f>_xll.BDP("912828AP Govt","FIRST_CPN_DT")</f>
        <v>5/15/2003</v>
      </c>
      <c r="J1424" t="str">
        <f>_xll.BDP("912828AP Govt","COUPON_FREQUENCY_DESCRIPTION")</f>
        <v>S/A</v>
      </c>
      <c r="K1424" t="str">
        <f>_xll.BDP("912828AP Govt","CPN_TYP")</f>
        <v>FIXED</v>
      </c>
      <c r="L1424" t="str">
        <f>_xll.BDP("912828AP Govt","ID_ISIN")</f>
        <v>US912828AP56</v>
      </c>
      <c r="M1424">
        <v>18113000000</v>
      </c>
      <c r="N1424">
        <v>0</v>
      </c>
      <c r="O1424" t="str">
        <f>_xll.BDP("912828AP Govt","ISSUE_DT")</f>
        <v>11/15/2002</v>
      </c>
      <c r="P1424" t="str">
        <f>_xll.BDP("912828AP Govt","SECURITY_NAME")</f>
        <v>T 4 11/15/12</v>
      </c>
      <c r="Q1424" t="str">
        <f>_xll.BDP("912828AP Govt","DAY_CNT_DES")</f>
        <v>ACT/ACT</v>
      </c>
      <c r="R1424">
        <v>100</v>
      </c>
      <c r="S1424" t="str">
        <f>_xll.BDP("912828AP Govt","ID_CUSIP")</f>
        <v>912828AP5</v>
      </c>
      <c r="T1424" t="str">
        <f>_xll.BDP("912828AP Govt","IDX_RATIO")</f>
        <v>#N/A Field Not Applicable</v>
      </c>
    </row>
    <row r="1425" spans="1:20" x14ac:dyDescent="0.25">
      <c r="A1425" t="s">
        <v>14</v>
      </c>
      <c r="B1425" t="str">
        <f>_xll.BDP("912828BE Govt","TICKER")</f>
        <v>T</v>
      </c>
      <c r="C1425">
        <f>_xll.BDP("912828BE Govt","CPN")</f>
        <v>1.5</v>
      </c>
      <c r="D1425" t="str">
        <f>_xll.BDP("912828BE Govt","YLD_YTM_BID")</f>
        <v>#N/A N/A</v>
      </c>
      <c r="E1425" t="str">
        <f>_xll.BDP("912828BE Govt","MATURITY")</f>
        <v>7/31/2005</v>
      </c>
      <c r="F1425" t="str">
        <f>_xll.BDP("912828BE Govt","MTY_TYP")</f>
        <v>NORMAL</v>
      </c>
      <c r="G1425" t="str">
        <f>_xll.BDP("912828BE Govt","CRNCY")</f>
        <v>USD</v>
      </c>
      <c r="H1425" t="str">
        <f>_xll.BDP("912828BE Govt","COUNTRY_FULL_NAME")</f>
        <v>UNITED STATES</v>
      </c>
      <c r="I1425" t="str">
        <f>_xll.BDP("912828BE Govt","FIRST_CPN_DT")</f>
        <v>1/31/2004</v>
      </c>
      <c r="J1425" t="str">
        <f>_xll.BDP("912828BE Govt","COUPON_FREQUENCY_DESCRIPTION")</f>
        <v>S/A</v>
      </c>
      <c r="K1425" t="str">
        <f>_xll.BDP("912828BE Govt","CPN_TYP")</f>
        <v>FIXED</v>
      </c>
      <c r="L1425" t="str">
        <f>_xll.BDP("912828BE Govt","ID_ISIN")</f>
        <v>US912828BE90</v>
      </c>
      <c r="M1425">
        <v>29997000000</v>
      </c>
      <c r="N1425">
        <v>0</v>
      </c>
      <c r="O1425" t="str">
        <f>_xll.BDP("912828BE Govt","ISSUE_DT")</f>
        <v>7/31/2003</v>
      </c>
      <c r="P1425" t="str">
        <f>_xll.BDP("912828BE Govt","SECURITY_NAME")</f>
        <v>T 1 1/2 07/31/05</v>
      </c>
      <c r="Q1425" t="str">
        <f>_xll.BDP("912828BE Govt","DAY_CNT_DES")</f>
        <v>ACT/ACT</v>
      </c>
      <c r="R1425">
        <v>100</v>
      </c>
      <c r="S1425" t="str">
        <f>_xll.BDP("912828BE Govt","ID_CUSIP")</f>
        <v>912828BE9</v>
      </c>
      <c r="T1425" t="str">
        <f>_xll.BDP("912828BE Govt","IDX_RATIO")</f>
        <v>#N/A Field Not Applicable</v>
      </c>
    </row>
    <row r="1426" spans="1:20" x14ac:dyDescent="0.25">
      <c r="A1426" t="s">
        <v>14</v>
      </c>
      <c r="B1426" t="str">
        <f>_xll.BDP("912828CE Govt","TICKER")</f>
        <v>T</v>
      </c>
      <c r="C1426">
        <f>_xll.BDP("912828CE Govt","CPN")</f>
        <v>3.125</v>
      </c>
      <c r="D1426" t="str">
        <f>_xll.BDP("912828CE Govt","YLD_YTM_BID")</f>
        <v>#N/A N/A</v>
      </c>
      <c r="E1426" t="str">
        <f>_xll.BDP("912828CE Govt","MATURITY")</f>
        <v>4/15/2009</v>
      </c>
      <c r="F1426" t="str">
        <f>_xll.BDP("912828CE Govt","MTY_TYP")</f>
        <v>NORMAL</v>
      </c>
      <c r="G1426" t="str">
        <f>_xll.BDP("912828CE Govt","CRNCY")</f>
        <v>USD</v>
      </c>
      <c r="H1426" t="str">
        <f>_xll.BDP("912828CE Govt","COUNTRY_FULL_NAME")</f>
        <v>UNITED STATES</v>
      </c>
      <c r="I1426" t="str">
        <f>_xll.BDP("912828CE Govt","FIRST_CPN_DT")</f>
        <v>10/15/2004</v>
      </c>
      <c r="J1426" t="str">
        <f>_xll.BDP("912828CE Govt","COUPON_FREQUENCY_DESCRIPTION")</f>
        <v>S/A</v>
      </c>
      <c r="K1426" t="str">
        <f>_xll.BDP("912828CE Govt","CPN_TYP")</f>
        <v>FIXED</v>
      </c>
      <c r="L1426" t="str">
        <f>_xll.BDP("912828CE Govt","ID_ISIN")</f>
        <v>US912828CE81</v>
      </c>
      <c r="M1426">
        <v>16003000000</v>
      </c>
      <c r="N1426">
        <v>0</v>
      </c>
      <c r="O1426" t="str">
        <f>_xll.BDP("912828CE Govt","ISSUE_DT")</f>
        <v>4/15/2004</v>
      </c>
      <c r="P1426" t="str">
        <f>_xll.BDP("912828CE Govt","SECURITY_NAME")</f>
        <v>T 3 1/8 04/15/09</v>
      </c>
      <c r="Q1426" t="str">
        <f>_xll.BDP("912828CE Govt","DAY_CNT_DES")</f>
        <v>ACT/ACT</v>
      </c>
      <c r="R1426">
        <v>100</v>
      </c>
      <c r="S1426" t="str">
        <f>_xll.BDP("912828CE Govt","ID_CUSIP")</f>
        <v>912828CE8</v>
      </c>
      <c r="T1426" t="str">
        <f>_xll.BDP("912828CE Govt","IDX_RATIO")</f>
        <v>#N/A Field Not Applicable</v>
      </c>
    </row>
    <row r="1427" spans="1:20" x14ac:dyDescent="0.25">
      <c r="A1427" t="s">
        <v>14</v>
      </c>
      <c r="B1427" t="str">
        <f>_xll.BDP("912828DM Govt","TICKER")</f>
        <v>T</v>
      </c>
      <c r="C1427">
        <f>_xll.BDP("912828DM Govt","CPN")</f>
        <v>4</v>
      </c>
      <c r="D1427" t="str">
        <f>_xll.BDP("912828DM Govt","YLD_YTM_BID")</f>
        <v>#N/A N/A</v>
      </c>
      <c r="E1427" t="str">
        <f>_xll.BDP("912828DM Govt","MATURITY")</f>
        <v>2/15/2015</v>
      </c>
      <c r="F1427" t="str">
        <f>_xll.BDP("912828DM Govt","MTY_TYP")</f>
        <v>NORMAL</v>
      </c>
      <c r="G1427" t="str">
        <f>_xll.BDP("912828DM Govt","CRNCY")</f>
        <v>USD</v>
      </c>
      <c r="H1427" t="str">
        <f>_xll.BDP("912828DM Govt","COUNTRY_FULL_NAME")</f>
        <v>UNITED STATES</v>
      </c>
      <c r="I1427" t="str">
        <f>_xll.BDP("912828DM Govt","FIRST_CPN_DT")</f>
        <v>8/15/2005</v>
      </c>
      <c r="J1427" t="str">
        <f>_xll.BDP("912828DM Govt","COUPON_FREQUENCY_DESCRIPTION")</f>
        <v>S/A</v>
      </c>
      <c r="K1427" t="str">
        <f>_xll.BDP("912828DM Govt","CPN_TYP")</f>
        <v>FIXED</v>
      </c>
      <c r="L1427" t="str">
        <f>_xll.BDP("912828DM Govt","ID_ISIN")</f>
        <v>US912828DM98</v>
      </c>
      <c r="M1427">
        <v>34215000000</v>
      </c>
      <c r="N1427">
        <v>0</v>
      </c>
      <c r="O1427" t="str">
        <f>_xll.BDP("912828DM Govt","ISSUE_DT")</f>
        <v>2/15/2005</v>
      </c>
      <c r="P1427" t="str">
        <f>_xll.BDP("912828DM Govt","SECURITY_NAME")</f>
        <v>T 4 02/15/15</v>
      </c>
      <c r="Q1427" t="str">
        <f>_xll.BDP("912828DM Govt","DAY_CNT_DES")</f>
        <v>ACT/ACT</v>
      </c>
      <c r="R1427">
        <v>100</v>
      </c>
      <c r="S1427" t="str">
        <f>_xll.BDP("912828DM Govt","ID_CUSIP")</f>
        <v>912828DM9</v>
      </c>
      <c r="T1427" t="str">
        <f>_xll.BDP("912828DM Govt","IDX_RATIO")</f>
        <v>#N/A Field Not Applicable</v>
      </c>
    </row>
    <row r="1428" spans="1:20" x14ac:dyDescent="0.25">
      <c r="A1428" t="s">
        <v>14</v>
      </c>
      <c r="B1428" t="str">
        <f>_xll.BDP("912828DS Govt","TICKER")</f>
        <v>T</v>
      </c>
      <c r="C1428">
        <f>_xll.BDP("912828DS Govt","CPN")</f>
        <v>3.625</v>
      </c>
      <c r="D1428" t="str">
        <f>_xll.BDP("912828DS Govt","YLD_YTM_BID")</f>
        <v>#N/A N/A</v>
      </c>
      <c r="E1428" t="str">
        <f>_xll.BDP("912828DS Govt","MATURITY")</f>
        <v>4/30/2007</v>
      </c>
      <c r="F1428" t="str">
        <f>_xll.BDP("912828DS Govt","MTY_TYP")</f>
        <v>NORMAL</v>
      </c>
      <c r="G1428" t="str">
        <f>_xll.BDP("912828DS Govt","CRNCY")</f>
        <v>USD</v>
      </c>
      <c r="H1428" t="str">
        <f>_xll.BDP("912828DS Govt","COUNTRY_FULL_NAME")</f>
        <v>UNITED STATES</v>
      </c>
      <c r="I1428" t="str">
        <f>_xll.BDP("912828DS Govt","FIRST_CPN_DT")</f>
        <v>10/31/2005</v>
      </c>
      <c r="J1428" t="str">
        <f>_xll.BDP("912828DS Govt","COUPON_FREQUENCY_DESCRIPTION")</f>
        <v>S/A</v>
      </c>
      <c r="K1428" t="str">
        <f>_xll.BDP("912828DS Govt","CPN_TYP")</f>
        <v>FIXED</v>
      </c>
      <c r="L1428" t="str">
        <f>_xll.BDP("912828DS Govt","ID_ISIN")</f>
        <v>US912828DS68</v>
      </c>
      <c r="M1428">
        <v>31998000000</v>
      </c>
      <c r="N1428">
        <v>0</v>
      </c>
      <c r="O1428" t="str">
        <f>_xll.BDP("912828DS Govt","ISSUE_DT")</f>
        <v>5/2/2005</v>
      </c>
      <c r="P1428" t="str">
        <f>_xll.BDP("912828DS Govt","SECURITY_NAME")</f>
        <v>T 3 5/8 04/30/07</v>
      </c>
      <c r="Q1428" t="str">
        <f>_xll.BDP("912828DS Govt","DAY_CNT_DES")</f>
        <v>ACT/ACT</v>
      </c>
      <c r="R1428">
        <v>100</v>
      </c>
      <c r="S1428" t="str">
        <f>_xll.BDP("912828DS Govt","ID_CUSIP")</f>
        <v>912828DS6</v>
      </c>
      <c r="T1428" t="str">
        <f>_xll.BDP("912828DS Govt","IDX_RATIO")</f>
        <v>#N/A Field Not Applicable</v>
      </c>
    </row>
    <row r="1429" spans="1:20" x14ac:dyDescent="0.25">
      <c r="A1429" t="s">
        <v>14</v>
      </c>
      <c r="B1429" t="str">
        <f>_xll.BDP("912828DX Govt","TICKER")</f>
        <v>T</v>
      </c>
      <c r="C1429">
        <f>_xll.BDP("912828DX Govt","CPN")</f>
        <v>3.625</v>
      </c>
      <c r="D1429" t="str">
        <f>_xll.BDP("912828DX Govt","YLD_YTM_BID")</f>
        <v>#N/A N/A</v>
      </c>
      <c r="E1429" t="str">
        <f>_xll.BDP("912828DX Govt","MATURITY")</f>
        <v>6/15/2010</v>
      </c>
      <c r="F1429" t="str">
        <f>_xll.BDP("912828DX Govt","MTY_TYP")</f>
        <v>NORMAL</v>
      </c>
      <c r="G1429" t="str">
        <f>_xll.BDP("912828DX Govt","CRNCY")</f>
        <v>USD</v>
      </c>
      <c r="H1429" t="str">
        <f>_xll.BDP("912828DX Govt","COUNTRY_FULL_NAME")</f>
        <v>UNITED STATES</v>
      </c>
      <c r="I1429" t="str">
        <f>_xll.BDP("912828DX Govt","FIRST_CPN_DT")</f>
        <v>12/15/2005</v>
      </c>
      <c r="J1429" t="str">
        <f>_xll.BDP("912828DX Govt","COUPON_FREQUENCY_DESCRIPTION")</f>
        <v>S/A</v>
      </c>
      <c r="K1429" t="str">
        <f>_xll.BDP("912828DX Govt","CPN_TYP")</f>
        <v>FIXED</v>
      </c>
      <c r="L1429" t="str">
        <f>_xll.BDP("912828DX Govt","ID_ISIN")</f>
        <v>US912828DX53</v>
      </c>
      <c r="M1429">
        <v>14001000000</v>
      </c>
      <c r="N1429">
        <v>0</v>
      </c>
      <c r="O1429" t="str">
        <f>_xll.BDP("912828DX Govt","ISSUE_DT")</f>
        <v>6/15/2005</v>
      </c>
      <c r="P1429" t="str">
        <f>_xll.BDP("912828DX Govt","SECURITY_NAME")</f>
        <v>T 3 5/8 06/15/10</v>
      </c>
      <c r="Q1429" t="str">
        <f>_xll.BDP("912828DX Govt","DAY_CNT_DES")</f>
        <v>ACT/ACT</v>
      </c>
      <c r="R1429">
        <v>100</v>
      </c>
      <c r="S1429" t="str">
        <f>_xll.BDP("912828DX Govt","ID_CUSIP")</f>
        <v>912828DX5</v>
      </c>
      <c r="T1429" t="str">
        <f>_xll.BDP("912828DX Govt","IDX_RATIO")</f>
        <v>#N/A Field Not Applicable</v>
      </c>
    </row>
    <row r="1430" spans="1:20" x14ac:dyDescent="0.25">
      <c r="A1430" t="s">
        <v>14</v>
      </c>
      <c r="B1430" t="str">
        <f>_xll.BDP("912828DY Govt","TICKER")</f>
        <v>T</v>
      </c>
      <c r="C1430">
        <f>_xll.BDP("912828DY Govt","CPN")</f>
        <v>3.625</v>
      </c>
      <c r="D1430" t="str">
        <f>_xll.BDP("912828DY Govt","YLD_YTM_BID")</f>
        <v>#N/A N/A</v>
      </c>
      <c r="E1430" t="str">
        <f>_xll.BDP("912828DY Govt","MATURITY")</f>
        <v>6/30/2007</v>
      </c>
      <c r="F1430" t="str">
        <f>_xll.BDP("912828DY Govt","MTY_TYP")</f>
        <v>NORMAL</v>
      </c>
      <c r="G1430" t="str">
        <f>_xll.BDP("912828DY Govt","CRNCY")</f>
        <v>USD</v>
      </c>
      <c r="H1430" t="str">
        <f>_xll.BDP("912828DY Govt","COUNTRY_FULL_NAME")</f>
        <v>UNITED STATES</v>
      </c>
      <c r="I1430" t="str">
        <f>_xll.BDP("912828DY Govt","FIRST_CPN_DT")</f>
        <v>12/31/2005</v>
      </c>
      <c r="J1430" t="str">
        <f>_xll.BDP("912828DY Govt","COUPON_FREQUENCY_DESCRIPTION")</f>
        <v>S/A</v>
      </c>
      <c r="K1430" t="str">
        <f>_xll.BDP("912828DY Govt","CPN_TYP")</f>
        <v>FIXED</v>
      </c>
      <c r="L1430" t="str">
        <f>_xll.BDP("912828DY Govt","ID_ISIN")</f>
        <v>US912828DY37</v>
      </c>
      <c r="M1430">
        <v>26664000000</v>
      </c>
      <c r="N1430">
        <v>0</v>
      </c>
      <c r="O1430" t="str">
        <f>_xll.BDP("912828DY Govt","ISSUE_DT")</f>
        <v>6/30/2005</v>
      </c>
      <c r="P1430" t="str">
        <f>_xll.BDP("912828DY Govt","SECURITY_NAME")</f>
        <v>T 3 5/8 06/30/07</v>
      </c>
      <c r="Q1430" t="str">
        <f>_xll.BDP("912828DY Govt","DAY_CNT_DES")</f>
        <v>ACT/ACT</v>
      </c>
      <c r="R1430">
        <v>100</v>
      </c>
      <c r="S1430" t="str">
        <f>_xll.BDP("912828DY Govt","ID_CUSIP")</f>
        <v>912828DY3</v>
      </c>
      <c r="T1430" t="str">
        <f>_xll.BDP("912828DY Govt","IDX_RATIO")</f>
        <v>#N/A Field Not Applicable</v>
      </c>
    </row>
    <row r="1431" spans="1:20" x14ac:dyDescent="0.25">
      <c r="A1431" t="s">
        <v>14</v>
      </c>
      <c r="B1431" t="str">
        <f>_xll.BDP("912828EF Govt","TICKER")</f>
        <v>T</v>
      </c>
      <c r="C1431">
        <f>_xll.BDP("912828EF Govt","CPN")</f>
        <v>4</v>
      </c>
      <c r="D1431" t="str">
        <f>_xll.BDP("912828EF Govt","YLD_YTM_BID")</f>
        <v>#N/A N/A</v>
      </c>
      <c r="E1431" t="str">
        <f>_xll.BDP("912828EF Govt","MATURITY")</f>
        <v>8/31/2007</v>
      </c>
      <c r="F1431" t="str">
        <f>_xll.BDP("912828EF Govt","MTY_TYP")</f>
        <v>NORMAL</v>
      </c>
      <c r="G1431" t="str">
        <f>_xll.BDP("912828EF Govt","CRNCY")</f>
        <v>USD</v>
      </c>
      <c r="H1431" t="str">
        <f>_xll.BDP("912828EF Govt","COUNTRY_FULL_NAME")</f>
        <v>UNITED STATES</v>
      </c>
      <c r="I1431" t="str">
        <f>_xll.BDP("912828EF Govt","FIRST_CPN_DT")</f>
        <v>2/28/2006</v>
      </c>
      <c r="J1431" t="str">
        <f>_xll.BDP("912828EF Govt","COUPON_FREQUENCY_DESCRIPTION")</f>
        <v>S/A</v>
      </c>
      <c r="K1431" t="str">
        <f>_xll.BDP("912828EF Govt","CPN_TYP")</f>
        <v>FIXED</v>
      </c>
      <c r="L1431" t="str">
        <f>_xll.BDP("912828EF Govt","ID_ISIN")</f>
        <v>US912828EF39</v>
      </c>
      <c r="M1431">
        <v>26671000000</v>
      </c>
      <c r="N1431">
        <v>0</v>
      </c>
      <c r="O1431" t="str">
        <f>_xll.BDP("912828EF Govt","ISSUE_DT")</f>
        <v>8/31/2005</v>
      </c>
      <c r="P1431" t="str">
        <f>_xll.BDP("912828EF Govt","SECURITY_NAME")</f>
        <v>T 4 08/31/07</v>
      </c>
      <c r="Q1431" t="str">
        <f>_xll.BDP("912828EF Govt","DAY_CNT_DES")</f>
        <v>ACT/ACT</v>
      </c>
      <c r="R1431">
        <v>100</v>
      </c>
      <c r="S1431" t="str">
        <f>_xll.BDP("912828EF Govt","ID_CUSIP")</f>
        <v>912828EF3</v>
      </c>
      <c r="T1431" t="str">
        <f>_xll.BDP("912828EF Govt","IDX_RATIO")</f>
        <v>#N/A Field Not Applicable</v>
      </c>
    </row>
    <row r="1432" spans="1:20" x14ac:dyDescent="0.25">
      <c r="A1432" t="s">
        <v>14</v>
      </c>
      <c r="B1432" t="str">
        <f>_xll.BDP("912828FA Govt","TICKER")</f>
        <v>T</v>
      </c>
      <c r="C1432">
        <f>_xll.BDP("912828FA Govt","CPN")</f>
        <v>4.75</v>
      </c>
      <c r="D1432" t="str">
        <f>_xll.BDP("912828FA Govt","YLD_YTM_BID")</f>
        <v>#N/A N/A</v>
      </c>
      <c r="E1432" t="str">
        <f>_xll.BDP("912828FA Govt","MATURITY")</f>
        <v>3/31/2011</v>
      </c>
      <c r="F1432" t="str">
        <f>_xll.BDP("912828FA Govt","MTY_TYP")</f>
        <v>NORMAL</v>
      </c>
      <c r="G1432" t="str">
        <f>_xll.BDP("912828FA Govt","CRNCY")</f>
        <v>USD</v>
      </c>
      <c r="H1432" t="str">
        <f>_xll.BDP("912828FA Govt","COUNTRY_FULL_NAME")</f>
        <v>UNITED STATES</v>
      </c>
      <c r="I1432" t="str">
        <f>_xll.BDP("912828FA Govt","FIRST_CPN_DT")</f>
        <v>9/30/2006</v>
      </c>
      <c r="J1432" t="str">
        <f>_xll.BDP("912828FA Govt","COUPON_FREQUENCY_DESCRIPTION")</f>
        <v>S/A</v>
      </c>
      <c r="K1432" t="str">
        <f>_xll.BDP("912828FA Govt","CPN_TYP")</f>
        <v>FIXED</v>
      </c>
      <c r="L1432" t="str">
        <f>_xll.BDP("912828FA Govt","ID_ISIN")</f>
        <v>US912828FA33</v>
      </c>
      <c r="M1432">
        <v>17498000000</v>
      </c>
      <c r="N1432">
        <v>0</v>
      </c>
      <c r="O1432" t="str">
        <f>_xll.BDP("912828FA Govt","ISSUE_DT")</f>
        <v>3/31/2006</v>
      </c>
      <c r="P1432" t="str">
        <f>_xll.BDP("912828FA Govt","SECURITY_NAME")</f>
        <v>T 4 3/4 03/31/11</v>
      </c>
      <c r="Q1432" t="str">
        <f>_xll.BDP("912828FA Govt","DAY_CNT_DES")</f>
        <v>ACT/ACT</v>
      </c>
      <c r="R1432">
        <v>100</v>
      </c>
      <c r="S1432" t="str">
        <f>_xll.BDP("912828FA Govt","ID_CUSIP")</f>
        <v>912828FA3</v>
      </c>
      <c r="T1432" t="str">
        <f>_xll.BDP("912828FA Govt","IDX_RATIO")</f>
        <v>#N/A Field Not Applicable</v>
      </c>
    </row>
    <row r="1433" spans="1:20" x14ac:dyDescent="0.25">
      <c r="A1433" t="s">
        <v>14</v>
      </c>
      <c r="B1433" t="str">
        <f>_xll.BDP("912828GB Govt","TICKER")</f>
        <v>T</v>
      </c>
      <c r="C1433">
        <f>_xll.BDP("912828GB Govt","CPN")</f>
        <v>4.75</v>
      </c>
      <c r="D1433" t="str">
        <f>_xll.BDP("912828GB Govt","YLD_YTM_BID")</f>
        <v>#N/A N/A</v>
      </c>
      <c r="E1433" t="str">
        <f>_xll.BDP("912828GB Govt","MATURITY")</f>
        <v>12/31/2008</v>
      </c>
      <c r="F1433" t="str">
        <f>_xll.BDP("912828GB Govt","MTY_TYP")</f>
        <v>NORMAL</v>
      </c>
      <c r="G1433" t="str">
        <f>_xll.BDP("912828GB Govt","CRNCY")</f>
        <v>USD</v>
      </c>
      <c r="H1433" t="str">
        <f>_xll.BDP("912828GB Govt","COUNTRY_FULL_NAME")</f>
        <v>UNITED STATES</v>
      </c>
      <c r="I1433" t="str">
        <f>_xll.BDP("912828GB Govt","FIRST_CPN_DT")</f>
        <v>6/30/2007</v>
      </c>
      <c r="J1433" t="str">
        <f>_xll.BDP("912828GB Govt","COUPON_FREQUENCY_DESCRIPTION")</f>
        <v>S/A</v>
      </c>
      <c r="K1433" t="str">
        <f>_xll.BDP("912828GB Govt","CPN_TYP")</f>
        <v>FIXED</v>
      </c>
      <c r="L1433" t="str">
        <f>_xll.BDP("912828GB Govt","ID_ISIN")</f>
        <v>US912828GB07</v>
      </c>
      <c r="M1433">
        <v>24817000000</v>
      </c>
      <c r="N1433">
        <v>0</v>
      </c>
      <c r="O1433" t="str">
        <f>_xll.BDP("912828GB Govt","ISSUE_DT")</f>
        <v>1/2/2007</v>
      </c>
      <c r="P1433" t="str">
        <f>_xll.BDP("912828GB Govt","SECURITY_NAME")</f>
        <v>T 4 3/4 12/31/08</v>
      </c>
      <c r="Q1433" t="str">
        <f>_xll.BDP("912828GB Govt","DAY_CNT_DES")</f>
        <v>ACT/ACT</v>
      </c>
      <c r="R1433">
        <v>100</v>
      </c>
      <c r="S1433" t="str">
        <f>_xll.BDP("912828GB Govt","ID_CUSIP")</f>
        <v>912828GB0</v>
      </c>
      <c r="T1433" t="str">
        <f>_xll.BDP("912828GB Govt","IDX_RATIO")</f>
        <v>#N/A Field Not Applicable</v>
      </c>
    </row>
    <row r="1434" spans="1:20" x14ac:dyDescent="0.25">
      <c r="A1434" t="s">
        <v>14</v>
      </c>
      <c r="B1434" t="str">
        <f>_xll.BDP("912828GF Govt","TICKER")</f>
        <v>T</v>
      </c>
      <c r="C1434">
        <f>_xll.BDP("912828GF Govt","CPN")</f>
        <v>4.75</v>
      </c>
      <c r="D1434" t="str">
        <f>_xll.BDP("912828GF Govt","YLD_YTM_BID")</f>
        <v>#N/A N/A</v>
      </c>
      <c r="E1434" t="str">
        <f>_xll.BDP("912828GF Govt","MATURITY")</f>
        <v>1/31/2012</v>
      </c>
      <c r="F1434" t="str">
        <f>_xll.BDP("912828GF Govt","MTY_TYP")</f>
        <v>NORMAL</v>
      </c>
      <c r="G1434" t="str">
        <f>_xll.BDP("912828GF Govt","CRNCY")</f>
        <v>USD</v>
      </c>
      <c r="H1434" t="str">
        <f>_xll.BDP("912828GF Govt","COUNTRY_FULL_NAME")</f>
        <v>UNITED STATES</v>
      </c>
      <c r="I1434" t="str">
        <f>_xll.BDP("912828GF Govt","FIRST_CPN_DT")</f>
        <v>7/31/2007</v>
      </c>
      <c r="J1434" t="str">
        <f>_xll.BDP("912828GF Govt","COUPON_FREQUENCY_DESCRIPTION")</f>
        <v>S/A</v>
      </c>
      <c r="K1434" t="str">
        <f>_xll.BDP("912828GF Govt","CPN_TYP")</f>
        <v>FIXED</v>
      </c>
      <c r="L1434" t="str">
        <f>_xll.BDP("912828GF Govt","ID_ISIN")</f>
        <v>US912828GF11</v>
      </c>
      <c r="M1434">
        <v>14930000000</v>
      </c>
      <c r="N1434">
        <v>0</v>
      </c>
      <c r="O1434" t="str">
        <f>_xll.BDP("912828GF Govt","ISSUE_DT")</f>
        <v>1/31/2007</v>
      </c>
      <c r="P1434" t="str">
        <f>_xll.BDP("912828GF Govt","SECURITY_NAME")</f>
        <v>T 4 3/4 01/31/12</v>
      </c>
      <c r="Q1434" t="str">
        <f>_xll.BDP("912828GF Govt","DAY_CNT_DES")</f>
        <v>ACT/ACT</v>
      </c>
      <c r="R1434">
        <v>100</v>
      </c>
      <c r="S1434" t="str">
        <f>_xll.BDP("912828GF Govt","ID_CUSIP")</f>
        <v>912828GF1</v>
      </c>
      <c r="T1434" t="str">
        <f>_xll.BDP("912828GF Govt","IDX_RATIO")</f>
        <v>#N/A Field Not Applicable</v>
      </c>
    </row>
    <row r="1435" spans="1:20" x14ac:dyDescent="0.25">
      <c r="A1435" t="s">
        <v>14</v>
      </c>
      <c r="B1435" t="str">
        <f>_xll.BDP("912828GH Govt","TICKER")</f>
        <v>T</v>
      </c>
      <c r="C1435">
        <f>_xll.BDP("912828GH Govt","CPN")</f>
        <v>4.625</v>
      </c>
      <c r="D1435" t="str">
        <f>_xll.BDP("912828GH Govt","YLD_YTM_BID")</f>
        <v>#N/A N/A</v>
      </c>
      <c r="E1435" t="str">
        <f>_xll.BDP("912828GH Govt","MATURITY")</f>
        <v>2/15/2017</v>
      </c>
      <c r="F1435" t="str">
        <f>_xll.BDP("912828GH Govt","MTY_TYP")</f>
        <v>NORMAL</v>
      </c>
      <c r="G1435" t="str">
        <f>_xll.BDP("912828GH Govt","CRNCY")</f>
        <v>USD</v>
      </c>
      <c r="H1435" t="str">
        <f>_xll.BDP("912828GH Govt","COUNTRY_FULL_NAME")</f>
        <v>UNITED STATES</v>
      </c>
      <c r="I1435" t="str">
        <f>_xll.BDP("912828GH Govt","FIRST_CPN_DT")</f>
        <v>8/15/2007</v>
      </c>
      <c r="J1435" t="str">
        <f>_xll.BDP("912828GH Govt","COUPON_FREQUENCY_DESCRIPTION")</f>
        <v>S/A</v>
      </c>
      <c r="K1435" t="str">
        <f>_xll.BDP("912828GH Govt","CPN_TYP")</f>
        <v>FIXED</v>
      </c>
      <c r="L1435" t="str">
        <f>_xll.BDP("912828GH Govt","ID_ISIN")</f>
        <v>US912828GH76</v>
      </c>
      <c r="M1435">
        <v>22193000000</v>
      </c>
      <c r="N1435">
        <v>0</v>
      </c>
      <c r="O1435" t="str">
        <f>_xll.BDP("912828GH Govt","ISSUE_DT")</f>
        <v>2/15/2007</v>
      </c>
      <c r="P1435" t="str">
        <f>_xll.BDP("912828GH Govt","SECURITY_NAME")</f>
        <v>T 4 5/8 02/15/17</v>
      </c>
      <c r="Q1435" t="str">
        <f>_xll.BDP("912828GH Govt","DAY_CNT_DES")</f>
        <v>ACT/ACT</v>
      </c>
      <c r="R1435">
        <v>100</v>
      </c>
      <c r="S1435" t="str">
        <f>_xll.BDP("912828GH Govt","ID_CUSIP")</f>
        <v>912828GH7</v>
      </c>
      <c r="T1435" t="str">
        <f>_xll.BDP("912828GH Govt","IDX_RATIO")</f>
        <v>#N/A Field Not Applicable</v>
      </c>
    </row>
    <row r="1436" spans="1:20" x14ac:dyDescent="0.25">
      <c r="A1436" t="s">
        <v>14</v>
      </c>
      <c r="B1436" t="str">
        <f>_xll.BDP("912828GW Govt","TICKER")</f>
        <v>T</v>
      </c>
      <c r="C1436">
        <f>_xll.BDP("912828GW Govt","CPN")</f>
        <v>4.875</v>
      </c>
      <c r="D1436" t="str">
        <f>_xll.BDP("912828GW Govt","YLD_YTM_BID")</f>
        <v>#N/A N/A</v>
      </c>
      <c r="E1436" t="str">
        <f>_xll.BDP("912828GW Govt","MATURITY")</f>
        <v>6/30/2012</v>
      </c>
      <c r="F1436" t="str">
        <f>_xll.BDP("912828GW Govt","MTY_TYP")</f>
        <v>NORMAL</v>
      </c>
      <c r="G1436" t="str">
        <f>_xll.BDP("912828GW Govt","CRNCY")</f>
        <v>USD</v>
      </c>
      <c r="H1436" t="str">
        <f>_xll.BDP("912828GW Govt","COUNTRY_FULL_NAME")</f>
        <v>UNITED STATES</v>
      </c>
      <c r="I1436" t="str">
        <f>_xll.BDP("912828GW Govt","FIRST_CPN_DT")</f>
        <v>12/31/2007</v>
      </c>
      <c r="J1436" t="str">
        <f>_xll.BDP("912828GW Govt","COUPON_FREQUENCY_DESCRIPTION")</f>
        <v>S/A</v>
      </c>
      <c r="K1436" t="str">
        <f>_xll.BDP("912828GW Govt","CPN_TYP")</f>
        <v>FIXED</v>
      </c>
      <c r="L1436" t="str">
        <f>_xll.BDP("912828GW Govt","ID_ISIN")</f>
        <v>US912828GW44</v>
      </c>
      <c r="M1436">
        <v>15903000000</v>
      </c>
      <c r="N1436">
        <v>0</v>
      </c>
      <c r="O1436" t="str">
        <f>_xll.BDP("912828GW Govt","ISSUE_DT")</f>
        <v>7/2/2007</v>
      </c>
      <c r="P1436" t="str">
        <f>_xll.BDP("912828GW Govt","SECURITY_NAME")</f>
        <v>T 4 7/8 06/30/12</v>
      </c>
      <c r="Q1436" t="str">
        <f>_xll.BDP("912828GW Govt","DAY_CNT_DES")</f>
        <v>ACT/ACT</v>
      </c>
      <c r="R1436">
        <v>100</v>
      </c>
      <c r="S1436" t="str">
        <f>_xll.BDP("912828GW Govt","ID_CUSIP")</f>
        <v>912828GW4</v>
      </c>
      <c r="T1436" t="str">
        <f>_xll.BDP("912828GW Govt","IDX_RATIO")</f>
        <v>#N/A Field Not Applicable</v>
      </c>
    </row>
    <row r="1437" spans="1:20" x14ac:dyDescent="0.25">
      <c r="A1437" t="s">
        <v>14</v>
      </c>
      <c r="B1437" t="str">
        <f>_xll.BDP("912828HA Govt","TICKER")</f>
        <v>T</v>
      </c>
      <c r="C1437">
        <f>_xll.BDP("912828HA Govt","CPN")</f>
        <v>4.75</v>
      </c>
      <c r="D1437" t="str">
        <f>_xll.BDP("912828HA Govt","YLD_YTM_BID")</f>
        <v>#N/A N/A</v>
      </c>
      <c r="E1437" t="str">
        <f>_xll.BDP("912828HA Govt","MATURITY")</f>
        <v>8/15/2017</v>
      </c>
      <c r="F1437" t="str">
        <f>_xll.BDP("912828HA Govt","MTY_TYP")</f>
        <v>NORMAL</v>
      </c>
      <c r="G1437" t="str">
        <f>_xll.BDP("912828HA Govt","CRNCY")</f>
        <v>USD</v>
      </c>
      <c r="H1437" t="str">
        <f>_xll.BDP("912828HA Govt","COUNTRY_FULL_NAME")</f>
        <v>UNITED STATES</v>
      </c>
      <c r="I1437" t="str">
        <f>_xll.BDP("912828HA Govt","FIRST_CPN_DT")</f>
        <v>2/15/2008</v>
      </c>
      <c r="J1437" t="str">
        <f>_xll.BDP("912828HA Govt","COUPON_FREQUENCY_DESCRIPTION")</f>
        <v>S/A</v>
      </c>
      <c r="K1437" t="str">
        <f>_xll.BDP("912828HA Govt","CPN_TYP")</f>
        <v>FIXED</v>
      </c>
      <c r="L1437" t="str">
        <f>_xll.BDP("912828HA Govt","ID_ISIN")</f>
        <v>US912828HA15</v>
      </c>
      <c r="M1437">
        <v>28000000000</v>
      </c>
      <c r="N1437">
        <v>0</v>
      </c>
      <c r="O1437" t="str">
        <f>_xll.BDP("912828HA Govt","ISSUE_DT")</f>
        <v>8/15/2007</v>
      </c>
      <c r="P1437" t="str">
        <f>_xll.BDP("912828HA Govt","SECURITY_NAME")</f>
        <v>T 4 3/4 08/15/17</v>
      </c>
      <c r="Q1437" t="str">
        <f>_xll.BDP("912828HA Govt","DAY_CNT_DES")</f>
        <v>ACT/ACT</v>
      </c>
      <c r="R1437">
        <v>100</v>
      </c>
      <c r="S1437" t="str">
        <f>_xll.BDP("912828HA Govt","ID_CUSIP")</f>
        <v>912828HA1</v>
      </c>
      <c r="T1437" t="str">
        <f>_xll.BDP("912828HA Govt","IDX_RATIO")</f>
        <v>#N/A Field Not Applicable</v>
      </c>
    </row>
    <row r="1438" spans="1:20" x14ac:dyDescent="0.25">
      <c r="A1438" t="s">
        <v>14</v>
      </c>
      <c r="B1438" t="str">
        <f>_xll.BDP("912828HP Govt","TICKER")</f>
        <v>T</v>
      </c>
      <c r="C1438">
        <f>_xll.BDP("912828HP Govt","CPN")</f>
        <v>2.125</v>
      </c>
      <c r="D1438" t="str">
        <f>_xll.BDP("912828HP Govt","YLD_YTM_BID")</f>
        <v>#N/A N/A</v>
      </c>
      <c r="E1438" t="str">
        <f>_xll.BDP("912828HP Govt","MATURITY")</f>
        <v>1/31/2010</v>
      </c>
      <c r="F1438" t="str">
        <f>_xll.BDP("912828HP Govt","MTY_TYP")</f>
        <v>NORMAL</v>
      </c>
      <c r="G1438" t="str">
        <f>_xll.BDP("912828HP Govt","CRNCY")</f>
        <v>USD</v>
      </c>
      <c r="H1438" t="str">
        <f>_xll.BDP("912828HP Govt","COUNTRY_FULL_NAME")</f>
        <v>UNITED STATES</v>
      </c>
      <c r="I1438" t="str">
        <f>_xll.BDP("912828HP Govt","FIRST_CPN_DT")</f>
        <v>7/31/2008</v>
      </c>
      <c r="J1438" t="str">
        <f>_xll.BDP("912828HP Govt","COUPON_FREQUENCY_DESCRIPTION")</f>
        <v>S/A</v>
      </c>
      <c r="K1438" t="str">
        <f>_xll.BDP("912828HP Govt","CPN_TYP")</f>
        <v>FIXED</v>
      </c>
      <c r="L1438" t="str">
        <f>_xll.BDP("912828HP Govt","ID_ISIN")</f>
        <v>US912828HP83</v>
      </c>
      <c r="M1438">
        <v>26920000000</v>
      </c>
      <c r="N1438">
        <v>0</v>
      </c>
      <c r="O1438" t="str">
        <f>_xll.BDP("912828HP Govt","ISSUE_DT")</f>
        <v>1/31/2008</v>
      </c>
      <c r="P1438" t="str">
        <f>_xll.BDP("912828HP Govt","SECURITY_NAME")</f>
        <v>T 2 1/8 01/31/10</v>
      </c>
      <c r="Q1438" t="str">
        <f>_xll.BDP("912828HP Govt","DAY_CNT_DES")</f>
        <v>ACT/ACT</v>
      </c>
      <c r="R1438">
        <v>100</v>
      </c>
      <c r="S1438" t="str">
        <f>_xll.BDP("912828HP Govt","ID_CUSIP")</f>
        <v>912828HP8</v>
      </c>
      <c r="T1438" t="str">
        <f>_xll.BDP("912828HP Govt","IDX_RATIO")</f>
        <v>#N/A Field Not Applicable</v>
      </c>
    </row>
    <row r="1439" spans="1:20" x14ac:dyDescent="0.25">
      <c r="A1439" t="s">
        <v>14</v>
      </c>
      <c r="B1439" t="str">
        <f>_xll.BDP("912810BU Govt","TICKER")</f>
        <v>T</v>
      </c>
      <c r="C1439">
        <f>_xll.BDP("912810BU Govt","CPN")</f>
        <v>8.25</v>
      </c>
      <c r="D1439" t="str">
        <f>_xll.BDP("912810BU Govt","YLD_YTM_BID")</f>
        <v>#N/A N/A</v>
      </c>
      <c r="E1439" t="str">
        <f>_xll.BDP("912810BU Govt","MATURITY")</f>
        <v>5/15/2005</v>
      </c>
      <c r="F1439" t="str">
        <f>_xll.BDP("912810BU Govt","MTY_TYP")</f>
        <v>CALLABLE</v>
      </c>
      <c r="G1439" t="str">
        <f>_xll.BDP("912810BU Govt","CRNCY")</f>
        <v>USD</v>
      </c>
      <c r="H1439" t="str">
        <f>_xll.BDP("912810BU Govt","COUNTRY_FULL_NAME")</f>
        <v>UNITED STATES</v>
      </c>
      <c r="I1439" t="str">
        <f>_xll.BDP("912810BU Govt","FIRST_CPN_DT")</f>
        <v>11/15/1975</v>
      </c>
      <c r="J1439" t="str">
        <f>_xll.BDP("912810BU Govt","COUPON_FREQUENCY_DESCRIPTION")</f>
        <v>S/A</v>
      </c>
      <c r="K1439" t="str">
        <f>_xll.BDP("912810BU Govt","CPN_TYP")</f>
        <v>FIXED</v>
      </c>
      <c r="L1439" t="str">
        <f>_xll.BDP("912810BU Govt","ID_ISIN")</f>
        <v>US912810BU17</v>
      </c>
      <c r="M1439">
        <v>4246000000</v>
      </c>
      <c r="N1439">
        <v>0</v>
      </c>
      <c r="O1439" t="str">
        <f>_xll.BDP("912810BU Govt","ISSUE_DT")</f>
        <v>5/15/1975</v>
      </c>
      <c r="P1439" t="str">
        <f>_xll.BDP("912810BU Govt","SECURITY_NAME")</f>
        <v>T 8 1/4 05/15/05</v>
      </c>
      <c r="Q1439" t="str">
        <f>_xll.BDP("912810BU Govt","DAY_CNT_DES")</f>
        <v>ACT/ACT</v>
      </c>
      <c r="R1439">
        <v>100</v>
      </c>
      <c r="S1439" t="str">
        <f>_xll.BDP("912810BU Govt","ID_CUSIP")</f>
        <v>912810BU1</v>
      </c>
      <c r="T1439" t="str">
        <f>_xll.BDP("912810BU Govt","IDX_RATIO")</f>
        <v>#N/A Field Not Applicable</v>
      </c>
    </row>
    <row r="1440" spans="1:20" x14ac:dyDescent="0.25">
      <c r="A1440" t="s">
        <v>14</v>
      </c>
      <c r="B1440" t="str">
        <f>_xll.BDP("912810BX Govt","TICKER")</f>
        <v>T</v>
      </c>
      <c r="C1440">
        <f>_xll.BDP("912810BX Govt","CPN")</f>
        <v>7.625</v>
      </c>
      <c r="D1440" t="str">
        <f>_xll.BDP("912810BX Govt","YLD_YTM_BID")</f>
        <v>#N/A N/A</v>
      </c>
      <c r="E1440" t="str">
        <f>_xll.BDP("912810BX Govt","MATURITY")</f>
        <v>2/15/2007</v>
      </c>
      <c r="F1440" t="str">
        <f>_xll.BDP("912810BX Govt","MTY_TYP")</f>
        <v>CALLABLE</v>
      </c>
      <c r="G1440" t="str">
        <f>_xll.BDP("912810BX Govt","CRNCY")</f>
        <v>USD</v>
      </c>
      <c r="H1440" t="str">
        <f>_xll.BDP("912810BX Govt","COUNTRY_FULL_NAME")</f>
        <v>UNITED STATES</v>
      </c>
      <c r="I1440" t="str">
        <f>_xll.BDP("912810BX Govt","FIRST_CPN_DT")</f>
        <v>8/15/1977</v>
      </c>
      <c r="J1440" t="str">
        <f>_xll.BDP("912810BX Govt","COUPON_FREQUENCY_DESCRIPTION")</f>
        <v>S/A</v>
      </c>
      <c r="K1440" t="str">
        <f>_xll.BDP("912810BX Govt","CPN_TYP")</f>
        <v>FIXED</v>
      </c>
      <c r="L1440" t="str">
        <f>_xll.BDP("912810BX Govt","ID_ISIN")</f>
        <v>US912810BX55</v>
      </c>
      <c r="M1440">
        <v>4249000000</v>
      </c>
      <c r="N1440">
        <v>0</v>
      </c>
      <c r="O1440" t="str">
        <f>_xll.BDP("912810BX Govt","ISSUE_DT")</f>
        <v>2/15/1977</v>
      </c>
      <c r="P1440" t="str">
        <f>_xll.BDP("912810BX Govt","SECURITY_NAME")</f>
        <v>T 7 5/8 02/15/07</v>
      </c>
      <c r="Q1440" t="str">
        <f>_xll.BDP("912810BX Govt","DAY_CNT_DES")</f>
        <v>ACT/ACT</v>
      </c>
      <c r="R1440">
        <v>100</v>
      </c>
      <c r="S1440" t="str">
        <f>_xll.BDP("912810BX Govt","ID_CUSIP")</f>
        <v>912810BX5</v>
      </c>
      <c r="T1440" t="str">
        <f>_xll.BDP("912810BX Govt","IDX_RATIO")</f>
        <v>#N/A Field Not Applicable</v>
      </c>
    </row>
    <row r="1441" spans="1:20" x14ac:dyDescent="0.25">
      <c r="A1441" t="s">
        <v>14</v>
      </c>
      <c r="B1441" t="str">
        <f>_xll.BDP("912810CE Govt","TICKER")</f>
        <v>T</v>
      </c>
      <c r="C1441">
        <f>_xll.BDP("912810CE Govt","CPN")</f>
        <v>8.75</v>
      </c>
      <c r="D1441" t="str">
        <f>_xll.BDP("912810CE Govt","YLD_YTM_BID")</f>
        <v>#N/A N/A</v>
      </c>
      <c r="E1441" t="str">
        <f>_xll.BDP("912810CE Govt","MATURITY")</f>
        <v>11/15/2008</v>
      </c>
      <c r="F1441" t="str">
        <f>_xll.BDP("912810CE Govt","MTY_TYP")</f>
        <v>CALLABLE</v>
      </c>
      <c r="G1441" t="str">
        <f>_xll.BDP("912810CE Govt","CRNCY")</f>
        <v>USD</v>
      </c>
      <c r="H1441" t="str">
        <f>_xll.BDP("912810CE Govt","COUNTRY_FULL_NAME")</f>
        <v>UNITED STATES</v>
      </c>
      <c r="I1441" t="str">
        <f>_xll.BDP("912810CE Govt","FIRST_CPN_DT")</f>
        <v>5/15/1979</v>
      </c>
      <c r="J1441" t="str">
        <f>_xll.BDP("912810CE Govt","COUPON_FREQUENCY_DESCRIPTION")</f>
        <v>S/A</v>
      </c>
      <c r="K1441" t="str">
        <f>_xll.BDP("912810CE Govt","CPN_TYP")</f>
        <v>FIXED</v>
      </c>
      <c r="L1441" t="str">
        <f>_xll.BDP("912810CE Govt","ID_ISIN")</f>
        <v>US912810CE65</v>
      </c>
      <c r="M1441">
        <v>5230000000</v>
      </c>
      <c r="N1441">
        <v>0</v>
      </c>
      <c r="O1441" t="str">
        <f>_xll.BDP("912810CE Govt","ISSUE_DT")</f>
        <v>11/15/1978</v>
      </c>
      <c r="P1441" t="str">
        <f>_xll.BDP("912810CE Govt","SECURITY_NAME")</f>
        <v>T 8 3/4 11/15/08</v>
      </c>
      <c r="Q1441" t="str">
        <f>_xll.BDP("912810CE Govt","DAY_CNT_DES")</f>
        <v>ACT/ACT</v>
      </c>
      <c r="R1441">
        <v>100</v>
      </c>
      <c r="S1441" t="str">
        <f>_xll.BDP("912810CE Govt","ID_CUSIP")</f>
        <v>912810CE6</v>
      </c>
      <c r="T1441" t="str">
        <f>_xll.BDP("912810CE Govt","IDX_RATIO")</f>
        <v>#N/A Field Not Applicable</v>
      </c>
    </row>
    <row r="1442" spans="1:20" x14ac:dyDescent="0.25">
      <c r="A1442" t="s">
        <v>14</v>
      </c>
      <c r="B1442" t="str">
        <f>_xll.BDP("912810CN Govt","TICKER")</f>
        <v>T</v>
      </c>
      <c r="C1442">
        <f>_xll.BDP("912810CN Govt","CPN")</f>
        <v>12.625</v>
      </c>
      <c r="D1442" t="str">
        <f>_xll.BDP("912810CN Govt","YLD_YTM_BID")</f>
        <v>#N/A N/A</v>
      </c>
      <c r="E1442" t="str">
        <f>_xll.BDP("912810CN Govt","MATURITY")</f>
        <v>5/15/1995</v>
      </c>
      <c r="F1442" t="str">
        <f>_xll.BDP("912810CN Govt","MTY_TYP")</f>
        <v>NORMAL</v>
      </c>
      <c r="G1442" t="str">
        <f>_xll.BDP("912810CN Govt","CRNCY")</f>
        <v>USD</v>
      </c>
      <c r="H1442" t="str">
        <f>_xll.BDP("912810CN Govt","COUNTRY_FULL_NAME")</f>
        <v>UNITED STATES</v>
      </c>
      <c r="I1442" t="str">
        <f>_xll.BDP("912810CN Govt","FIRST_CPN_DT")</f>
        <v>11/15/1980</v>
      </c>
      <c r="J1442" t="str">
        <f>_xll.BDP("912810CN Govt","COUPON_FREQUENCY_DESCRIPTION")</f>
        <v>S/A</v>
      </c>
      <c r="K1442" t="str">
        <f>_xll.BDP("912810CN Govt","CPN_TYP")</f>
        <v>FIXED</v>
      </c>
      <c r="L1442" t="str">
        <f>_xll.BDP("912810CN Govt","ID_ISIN")</f>
        <v>US912810CN64</v>
      </c>
      <c r="N1442">
        <v>0</v>
      </c>
      <c r="O1442" t="str">
        <f>_xll.BDP("912810CN Govt","ISSUE_DT")</f>
        <v>4/8/1980</v>
      </c>
      <c r="P1442" t="str">
        <f>_xll.BDP("912810CN Govt","SECURITY_NAME")</f>
        <v>T 12 5/8 05/15/95</v>
      </c>
      <c r="Q1442" t="str">
        <f>_xll.BDP("912810CN Govt","DAY_CNT_DES")</f>
        <v>ACT/ACT</v>
      </c>
      <c r="R1442">
        <v>100</v>
      </c>
      <c r="S1442" t="str">
        <f>_xll.BDP("912810CN Govt","ID_CUSIP")</f>
        <v>912810CN6</v>
      </c>
      <c r="T1442" t="str">
        <f>_xll.BDP("912810CN Govt","IDX_RATIO")</f>
        <v>#N/A Field Not Applicable</v>
      </c>
    </row>
    <row r="1443" spans="1:20" x14ac:dyDescent="0.25">
      <c r="A1443" t="s">
        <v>14</v>
      </c>
      <c r="B1443" t="str">
        <f>_xll.BDP("912810DC Govt","TICKER")</f>
        <v>T</v>
      </c>
      <c r="C1443">
        <f>_xll.BDP("912810DC Govt","CPN")</f>
        <v>10.75</v>
      </c>
      <c r="D1443" t="str">
        <f>_xll.BDP("912810DC Govt","YLD_YTM_BID")</f>
        <v>#N/A N/A</v>
      </c>
      <c r="E1443" t="str">
        <f>_xll.BDP("912810DC Govt","MATURITY")</f>
        <v>2/15/2003</v>
      </c>
      <c r="F1443" t="str">
        <f>_xll.BDP("912810DC Govt","MTY_TYP")</f>
        <v>NORMAL</v>
      </c>
      <c r="G1443" t="str">
        <f>_xll.BDP("912810DC Govt","CRNCY")</f>
        <v>USD</v>
      </c>
      <c r="H1443" t="str">
        <f>_xll.BDP("912810DC Govt","COUNTRY_FULL_NAME")</f>
        <v>UNITED STATES</v>
      </c>
      <c r="I1443" t="str">
        <f>_xll.BDP("912810DC Govt","FIRST_CPN_DT")</f>
        <v>8/15/1983</v>
      </c>
      <c r="J1443" t="str">
        <f>_xll.BDP("912810DC Govt","COUPON_FREQUENCY_DESCRIPTION")</f>
        <v>S/A</v>
      </c>
      <c r="K1443" t="str">
        <f>_xll.BDP("912810DC Govt","CPN_TYP")</f>
        <v>FIXED</v>
      </c>
      <c r="L1443" t="str">
        <f>_xll.BDP("912810DC Govt","ID_ISIN")</f>
        <v>US912810DC90</v>
      </c>
      <c r="M1443">
        <v>3007000000</v>
      </c>
      <c r="N1443">
        <v>0</v>
      </c>
      <c r="O1443" t="str">
        <f>_xll.BDP("912810DC Govt","ISSUE_DT")</f>
        <v>1/4/1983</v>
      </c>
      <c r="P1443" t="str">
        <f>_xll.BDP("912810DC Govt","SECURITY_NAME")</f>
        <v>T 10 3/4 02/15/03</v>
      </c>
      <c r="Q1443" t="str">
        <f>_xll.BDP("912810DC Govt","DAY_CNT_DES")</f>
        <v>ACT/ACT</v>
      </c>
      <c r="R1443">
        <v>100</v>
      </c>
      <c r="S1443" t="str">
        <f>_xll.BDP("912810DC Govt","ID_CUSIP")</f>
        <v>912810DC9</v>
      </c>
      <c r="T1443" t="str">
        <f>_xll.BDP("912810DC Govt","IDX_RATIO")</f>
        <v>#N/A Field Not Applicable</v>
      </c>
    </row>
    <row r="1444" spans="1:20" x14ac:dyDescent="0.25">
      <c r="A1444" t="s">
        <v>14</v>
      </c>
      <c r="B1444" t="str">
        <f>_xll.BDP("912810DD Govt","TICKER")</f>
        <v>T</v>
      </c>
      <c r="C1444">
        <f>_xll.BDP("912810DD Govt","CPN")</f>
        <v>10.75</v>
      </c>
      <c r="D1444" t="str">
        <f>_xll.BDP("912810DD Govt","YLD_YTM_BID")</f>
        <v>#N/A N/A</v>
      </c>
      <c r="E1444" t="str">
        <f>_xll.BDP("912810DD Govt","MATURITY")</f>
        <v>5/15/2003</v>
      </c>
      <c r="F1444" t="str">
        <f>_xll.BDP("912810DD Govt","MTY_TYP")</f>
        <v>NORMAL</v>
      </c>
      <c r="G1444" t="str">
        <f>_xll.BDP("912810DD Govt","CRNCY")</f>
        <v>USD</v>
      </c>
      <c r="H1444" t="str">
        <f>_xll.BDP("912810DD Govt","COUNTRY_FULL_NAME")</f>
        <v>UNITED STATES</v>
      </c>
      <c r="I1444" t="str">
        <f>_xll.BDP("912810DD Govt","FIRST_CPN_DT")</f>
        <v>11/15/1983</v>
      </c>
      <c r="J1444" t="str">
        <f>_xll.BDP("912810DD Govt","COUPON_FREQUENCY_DESCRIPTION")</f>
        <v>S/A</v>
      </c>
      <c r="K1444" t="str">
        <f>_xll.BDP("912810DD Govt","CPN_TYP")</f>
        <v>FIXED</v>
      </c>
      <c r="L1444" t="str">
        <f>_xll.BDP("912810DD Govt","ID_ISIN")</f>
        <v>US912810DD73</v>
      </c>
      <c r="M1444">
        <v>3249000000</v>
      </c>
      <c r="N1444">
        <v>0</v>
      </c>
      <c r="O1444" t="str">
        <f>_xll.BDP("912810DD Govt","ISSUE_DT")</f>
        <v>4/4/1983</v>
      </c>
      <c r="P1444" t="str">
        <f>_xll.BDP("912810DD Govt","SECURITY_NAME")</f>
        <v>T 10 3/4 05/15/03</v>
      </c>
      <c r="Q1444" t="str">
        <f>_xll.BDP("912810DD Govt","DAY_CNT_DES")</f>
        <v>ACT/ACT</v>
      </c>
      <c r="R1444">
        <v>100</v>
      </c>
      <c r="S1444" t="str">
        <f>_xll.BDP("912810DD Govt","ID_CUSIP")</f>
        <v>912810DD7</v>
      </c>
      <c r="T1444" t="str">
        <f>_xll.BDP("912810DD Govt","IDX_RATIO")</f>
        <v>#N/A Field Not Applicable</v>
      </c>
    </row>
    <row r="1445" spans="1:20" x14ac:dyDescent="0.25">
      <c r="A1445" t="s">
        <v>14</v>
      </c>
      <c r="B1445" t="str">
        <f>_xll.BDP("912810EA Govt","TICKER")</f>
        <v>T</v>
      </c>
      <c r="C1445">
        <f>_xll.BDP("912810EA Govt","CPN")</f>
        <v>9.125</v>
      </c>
      <c r="D1445" t="str">
        <f>_xll.BDP("912810EA Govt","YLD_YTM_BID")</f>
        <v>#N/A N/A</v>
      </c>
      <c r="E1445" t="str">
        <f>_xll.BDP("912810EA Govt","MATURITY")</f>
        <v>5/15/2018</v>
      </c>
      <c r="F1445" t="str">
        <f>_xll.BDP("912810EA Govt","MTY_TYP")</f>
        <v>NORMAL</v>
      </c>
      <c r="G1445" t="str">
        <f>_xll.BDP("912810EA Govt","CRNCY")</f>
        <v>USD</v>
      </c>
      <c r="H1445" t="str">
        <f>_xll.BDP("912810EA Govt","COUNTRY_FULL_NAME")</f>
        <v>UNITED STATES</v>
      </c>
      <c r="I1445" t="str">
        <f>_xll.BDP("912810EA Govt","FIRST_CPN_DT")</f>
        <v>11/15/1988</v>
      </c>
      <c r="J1445" t="str">
        <f>_xll.BDP("912810EA Govt","COUPON_FREQUENCY_DESCRIPTION")</f>
        <v>S/A</v>
      </c>
      <c r="K1445" t="str">
        <f>_xll.BDP("912810EA Govt","CPN_TYP")</f>
        <v>FIXED</v>
      </c>
      <c r="L1445" t="str">
        <f>_xll.BDP("912810EA Govt","ID_ISIN")</f>
        <v>US912810EA26</v>
      </c>
      <c r="M1445">
        <v>8709000000</v>
      </c>
      <c r="N1445">
        <v>0</v>
      </c>
      <c r="O1445" t="str">
        <f>_xll.BDP("912810EA Govt","ISSUE_DT")</f>
        <v>5/16/1988</v>
      </c>
      <c r="P1445" t="str">
        <f>_xll.BDP("912810EA Govt","SECURITY_NAME")</f>
        <v>T 9 1/8 05/15/18</v>
      </c>
      <c r="Q1445" t="str">
        <f>_xll.BDP("912810EA Govt","DAY_CNT_DES")</f>
        <v>ACT/ACT</v>
      </c>
      <c r="R1445">
        <v>100</v>
      </c>
      <c r="S1445" t="str">
        <f>_xll.BDP("912810EA Govt","ID_CUSIP")</f>
        <v>912810EA2</v>
      </c>
      <c r="T1445" t="str">
        <f>_xll.BDP("912810EA Govt","IDX_RATIO")</f>
        <v>#N/A Field Not Applicable</v>
      </c>
    </row>
    <row r="1446" spans="1:20" x14ac:dyDescent="0.25">
      <c r="A1446" t="s">
        <v>14</v>
      </c>
      <c r="B1446" t="str">
        <f>_xll.BDP("912810CZ Govt","TICKER")</f>
        <v>T</v>
      </c>
      <c r="C1446">
        <f>_xll.BDP("912810CZ Govt","CPN")</f>
        <v>14.25</v>
      </c>
      <c r="D1446" t="str">
        <f>_xll.BDP("912810CZ Govt","YLD_YTM_BID")</f>
        <v>#N/A N/A</v>
      </c>
      <c r="E1446" t="str">
        <f>_xll.BDP("912810CZ Govt","MATURITY")</f>
        <v>2/15/2002</v>
      </c>
      <c r="F1446" t="str">
        <f>_xll.BDP("912810CZ Govt","MTY_TYP")</f>
        <v>NORMAL</v>
      </c>
      <c r="G1446" t="str">
        <f>_xll.BDP("912810CZ Govt","CRNCY")</f>
        <v>USD</v>
      </c>
      <c r="H1446" t="str">
        <f>_xll.BDP("912810CZ Govt","COUNTRY_FULL_NAME")</f>
        <v>UNITED STATES</v>
      </c>
      <c r="I1446" t="str">
        <f>_xll.BDP("912810CZ Govt","FIRST_CPN_DT")</f>
        <v>8/15/1982</v>
      </c>
      <c r="J1446" t="str">
        <f>_xll.BDP("912810CZ Govt","COUPON_FREQUENCY_DESCRIPTION")</f>
        <v>S/A</v>
      </c>
      <c r="K1446" t="str">
        <f>_xll.BDP("912810CZ Govt","CPN_TYP")</f>
        <v>FIXED</v>
      </c>
      <c r="L1446" t="str">
        <f>_xll.BDP("912810CZ Govt","ID_ISIN")</f>
        <v>US912810CZ94</v>
      </c>
      <c r="M1446">
        <v>1759000000</v>
      </c>
      <c r="N1446">
        <v>0</v>
      </c>
      <c r="O1446" t="str">
        <f>_xll.BDP("912810CZ Govt","ISSUE_DT")</f>
        <v>1/6/1982</v>
      </c>
      <c r="P1446" t="str">
        <f>_xll.BDP("912810CZ Govt","SECURITY_NAME")</f>
        <v>T 14 1/4 02/15/02</v>
      </c>
      <c r="Q1446" t="str">
        <f>_xll.BDP("912810CZ Govt","DAY_CNT_DES")</f>
        <v>ACT/ACT</v>
      </c>
      <c r="R1446">
        <v>100</v>
      </c>
      <c r="S1446" t="str">
        <f>_xll.BDP("912810CZ Govt","ID_CUSIP")</f>
        <v>912810CZ9</v>
      </c>
      <c r="T1446" t="str">
        <f>_xll.BDP("912810CZ Govt","IDX_RATIO")</f>
        <v>#N/A Field Not Applicable</v>
      </c>
    </row>
    <row r="1447" spans="1:20" x14ac:dyDescent="0.25">
      <c r="A1447" t="s">
        <v>14</v>
      </c>
      <c r="B1447" t="str">
        <f>_xll.BDP("912810DR Govt","TICKER")</f>
        <v>T</v>
      </c>
      <c r="C1447">
        <f>_xll.BDP("912810DR Govt","CPN")</f>
        <v>10.75</v>
      </c>
      <c r="D1447" t="str">
        <f>_xll.BDP("912810DR Govt","YLD_YTM_BID")</f>
        <v>#N/A N/A</v>
      </c>
      <c r="E1447" t="str">
        <f>_xll.BDP("912810DR Govt","MATURITY")</f>
        <v>8/15/2005</v>
      </c>
      <c r="F1447" t="str">
        <f>_xll.BDP("912810DR Govt","MTY_TYP")</f>
        <v>NORMAL</v>
      </c>
      <c r="G1447" t="str">
        <f>_xll.BDP("912810DR Govt","CRNCY")</f>
        <v>USD</v>
      </c>
      <c r="H1447" t="str">
        <f>_xll.BDP("912810DR Govt","COUNTRY_FULL_NAME")</f>
        <v>UNITED STATES</v>
      </c>
      <c r="I1447" t="str">
        <f>_xll.BDP("912810DR Govt","FIRST_CPN_DT")</f>
        <v>2/15/1986</v>
      </c>
      <c r="J1447" t="str">
        <f>_xll.BDP("912810DR Govt","COUPON_FREQUENCY_DESCRIPTION")</f>
        <v>S/A</v>
      </c>
      <c r="K1447" t="str">
        <f>_xll.BDP("912810DR Govt","CPN_TYP")</f>
        <v>FIXED</v>
      </c>
      <c r="L1447" t="str">
        <f>_xll.BDP("912810DR Govt","ID_ISIN")</f>
        <v>US912810DR69</v>
      </c>
      <c r="M1447">
        <v>9270000000</v>
      </c>
      <c r="N1447">
        <v>0</v>
      </c>
      <c r="O1447" t="str">
        <f>_xll.BDP("912810DR Govt","ISSUE_DT")</f>
        <v>7/2/1985</v>
      </c>
      <c r="P1447" t="str">
        <f>_xll.BDP("912810DR Govt","SECURITY_NAME")</f>
        <v>T 10 3/4 08/15/05</v>
      </c>
      <c r="Q1447" t="str">
        <f>_xll.BDP("912810DR Govt","DAY_CNT_DES")</f>
        <v>ACT/ACT</v>
      </c>
      <c r="R1447">
        <v>100</v>
      </c>
      <c r="S1447" t="str">
        <f>_xll.BDP("912810DR Govt","ID_CUSIP")</f>
        <v>912810DR6</v>
      </c>
      <c r="T1447" t="str">
        <f>_xll.BDP("912810DR Govt","IDX_RATIO")</f>
        <v>#N/A Field Not Applicable</v>
      </c>
    </row>
    <row r="1448" spans="1:20" x14ac:dyDescent="0.25">
      <c r="A1448" t="s">
        <v>14</v>
      </c>
      <c r="B1448" t="str">
        <f>_xll.BDP("912810DY Govt","TICKER")</f>
        <v>T</v>
      </c>
      <c r="C1448">
        <f>_xll.BDP("912810DY Govt","CPN")</f>
        <v>8.75</v>
      </c>
      <c r="D1448" t="str">
        <f>_xll.BDP("912810DY Govt","YLD_YTM_BID")</f>
        <v>#N/A N/A</v>
      </c>
      <c r="E1448" t="str">
        <f>_xll.BDP("912810DY Govt","MATURITY")</f>
        <v>5/15/2017</v>
      </c>
      <c r="F1448" t="str">
        <f>_xll.BDP("912810DY Govt","MTY_TYP")</f>
        <v>NORMAL</v>
      </c>
      <c r="G1448" t="str">
        <f>_xll.BDP("912810DY Govt","CRNCY")</f>
        <v>USD</v>
      </c>
      <c r="H1448" t="str">
        <f>_xll.BDP("912810DY Govt","COUNTRY_FULL_NAME")</f>
        <v>UNITED STATES</v>
      </c>
      <c r="I1448" t="str">
        <f>_xll.BDP("912810DY Govt","FIRST_CPN_DT")</f>
        <v>11/15/1987</v>
      </c>
      <c r="J1448" t="str">
        <f>_xll.BDP("912810DY Govt","COUPON_FREQUENCY_DESCRIPTION")</f>
        <v>S/A</v>
      </c>
      <c r="K1448" t="str">
        <f>_xll.BDP("912810DY Govt","CPN_TYP")</f>
        <v>FIXED</v>
      </c>
      <c r="L1448" t="str">
        <f>_xll.BDP("912810DY Govt","ID_ISIN")</f>
        <v>US912810DY11</v>
      </c>
      <c r="M1448">
        <v>18194000000</v>
      </c>
      <c r="N1448">
        <v>0</v>
      </c>
      <c r="O1448" t="str">
        <f>_xll.BDP("912810DY Govt","ISSUE_DT")</f>
        <v>5/15/1987</v>
      </c>
      <c r="P1448" t="str">
        <f>_xll.BDP("912810DY Govt","SECURITY_NAME")</f>
        <v>T 8 3/4 05/15/17</v>
      </c>
      <c r="Q1448" t="str">
        <f>_xll.BDP("912810DY Govt","DAY_CNT_DES")</f>
        <v>ACT/ACT</v>
      </c>
      <c r="R1448">
        <v>100</v>
      </c>
      <c r="S1448" t="str">
        <f>_xll.BDP("912810DY Govt","ID_CUSIP")</f>
        <v>912810DY1</v>
      </c>
      <c r="T1448" t="str">
        <f>_xll.BDP("912810DY Govt","IDX_RATIO")</f>
        <v>#N/A Field Not Applicable</v>
      </c>
    </row>
    <row r="1449" spans="1:20" x14ac:dyDescent="0.25">
      <c r="A1449" t="s">
        <v>14</v>
      </c>
      <c r="B1449" t="str">
        <f>_xll.BDP("9128272C Govt","TICKER")</f>
        <v>T</v>
      </c>
      <c r="C1449">
        <f>_xll.BDP("9128272C Govt","CPN")</f>
        <v>5.875</v>
      </c>
      <c r="D1449" t="str">
        <f>_xll.BDP("9128272C Govt","YLD_YTM_BID")</f>
        <v>#N/A N/A</v>
      </c>
      <c r="E1449" t="str">
        <f>_xll.BDP("9128272C Govt","MATURITY")</f>
        <v>11/30/2001</v>
      </c>
      <c r="F1449" t="str">
        <f>_xll.BDP("9128272C Govt","MTY_TYP")</f>
        <v>NORMAL</v>
      </c>
      <c r="G1449" t="str">
        <f>_xll.BDP("9128272C Govt","CRNCY")</f>
        <v>USD</v>
      </c>
      <c r="H1449" t="str">
        <f>_xll.BDP("9128272C Govt","COUNTRY_FULL_NAME")</f>
        <v>UNITED STATES</v>
      </c>
      <c r="I1449" t="str">
        <f>_xll.BDP("9128272C Govt","FIRST_CPN_DT")</f>
        <v>5/31/1997</v>
      </c>
      <c r="J1449" t="str">
        <f>_xll.BDP("9128272C Govt","COUPON_FREQUENCY_DESCRIPTION")</f>
        <v>S/A</v>
      </c>
      <c r="K1449" t="str">
        <f>_xll.BDP("9128272C Govt","CPN_TYP")</f>
        <v>FIXED</v>
      </c>
      <c r="L1449" t="str">
        <f>_xll.BDP("9128272C Govt","ID_ISIN")</f>
        <v>US9128272C54</v>
      </c>
      <c r="M1449">
        <v>33505000000</v>
      </c>
      <c r="N1449">
        <v>0</v>
      </c>
      <c r="O1449" t="str">
        <f>_xll.BDP("9128272C Govt","ISSUE_DT")</f>
        <v>12/2/1996</v>
      </c>
      <c r="P1449" t="str">
        <f>_xll.BDP("9128272C Govt","SECURITY_NAME")</f>
        <v>T 5 7/8 11/30/01</v>
      </c>
      <c r="Q1449" t="str">
        <f>_xll.BDP("9128272C Govt","DAY_CNT_DES")</f>
        <v>ACT/ACT</v>
      </c>
      <c r="R1449">
        <v>100</v>
      </c>
      <c r="S1449" t="str">
        <f>_xll.BDP("9128272C Govt","ID_CUSIP")</f>
        <v>9128272C5</v>
      </c>
      <c r="T1449" t="str">
        <f>_xll.BDP("9128272C Govt","IDX_RATIO")</f>
        <v>#N/A Field Not Applicable</v>
      </c>
    </row>
    <row r="1450" spans="1:20" x14ac:dyDescent="0.25">
      <c r="A1450" t="s">
        <v>14</v>
      </c>
      <c r="B1450" t="str">
        <f>_xll.BDP("9128272H Govt","TICKER")</f>
        <v>T</v>
      </c>
      <c r="C1450">
        <f>_xll.BDP("9128272H Govt","CPN")</f>
        <v>5.875</v>
      </c>
      <c r="D1450" t="str">
        <f>_xll.BDP("9128272H Govt","YLD_YTM_BID")</f>
        <v>#N/A N/A</v>
      </c>
      <c r="E1450" t="str">
        <f>_xll.BDP("9128272H Govt","MATURITY")</f>
        <v>2/15/2000</v>
      </c>
      <c r="F1450" t="str">
        <f>_xll.BDP("9128272H Govt","MTY_TYP")</f>
        <v>NORMAL</v>
      </c>
      <c r="G1450" t="str">
        <f>_xll.BDP("9128272H Govt","CRNCY")</f>
        <v>USD</v>
      </c>
      <c r="H1450" t="str">
        <f>_xll.BDP("9128272H Govt","COUNTRY_FULL_NAME")</f>
        <v>UNITED STATES</v>
      </c>
      <c r="I1450" t="str">
        <f>_xll.BDP("9128272H Govt","FIRST_CPN_DT")</f>
        <v>8/15/1997</v>
      </c>
      <c r="J1450" t="str">
        <f>_xll.BDP("9128272H Govt","COUPON_FREQUENCY_DESCRIPTION")</f>
        <v>S/A</v>
      </c>
      <c r="K1450" t="str">
        <f>_xll.BDP("9128272H Govt","CPN_TYP")</f>
        <v>FIXED</v>
      </c>
      <c r="L1450" t="str">
        <f>_xll.BDP("9128272H Govt","ID_ISIN")</f>
        <v>US9128272H42</v>
      </c>
      <c r="M1450">
        <v>20421000000</v>
      </c>
      <c r="N1450">
        <v>0</v>
      </c>
      <c r="O1450" t="str">
        <f>_xll.BDP("9128272H Govt","ISSUE_DT")</f>
        <v>2/18/1997</v>
      </c>
      <c r="P1450" t="str">
        <f>_xll.BDP("9128272H Govt","SECURITY_NAME")</f>
        <v>T 5 7/8 02/15/00</v>
      </c>
      <c r="Q1450" t="str">
        <f>_xll.BDP("9128272H Govt","DAY_CNT_DES")</f>
        <v>ACT/ACT</v>
      </c>
      <c r="R1450">
        <v>100</v>
      </c>
      <c r="S1450" t="str">
        <f>_xll.BDP("9128272H Govt","ID_CUSIP")</f>
        <v>9128272H4</v>
      </c>
      <c r="T1450" t="str">
        <f>_xll.BDP("9128272H Govt","IDX_RATIO")</f>
        <v>#N/A Field Not Applicable</v>
      </c>
    </row>
    <row r="1451" spans="1:20" x14ac:dyDescent="0.25">
      <c r="A1451" t="s">
        <v>14</v>
      </c>
      <c r="B1451" t="str">
        <f>_xll.BDP("9128272J Govt","TICKER")</f>
        <v>T</v>
      </c>
      <c r="C1451">
        <f>_xll.BDP("9128272J Govt","CPN")</f>
        <v>6.25</v>
      </c>
      <c r="D1451" t="str">
        <f>_xll.BDP("9128272J Govt","YLD_YTM_BID")</f>
        <v>#N/A N/A</v>
      </c>
      <c r="E1451" t="str">
        <f>_xll.BDP("9128272J Govt","MATURITY")</f>
        <v>2/15/2007</v>
      </c>
      <c r="F1451" t="str">
        <f>_xll.BDP("9128272J Govt","MTY_TYP")</f>
        <v>NORMAL</v>
      </c>
      <c r="G1451" t="str">
        <f>_xll.BDP("9128272J Govt","CRNCY")</f>
        <v>USD</v>
      </c>
      <c r="H1451" t="str">
        <f>_xll.BDP("9128272J Govt","COUNTRY_FULL_NAME")</f>
        <v>UNITED STATES</v>
      </c>
      <c r="I1451" t="str">
        <f>_xll.BDP("9128272J Govt","FIRST_CPN_DT")</f>
        <v>8/15/1997</v>
      </c>
      <c r="J1451" t="str">
        <f>_xll.BDP("9128272J Govt","COUPON_FREQUENCY_DESCRIPTION")</f>
        <v>S/A</v>
      </c>
      <c r="K1451" t="str">
        <f>_xll.BDP("9128272J Govt","CPN_TYP")</f>
        <v>FIXED</v>
      </c>
      <c r="L1451" t="str">
        <f>_xll.BDP("9128272J Govt","ID_ISIN")</f>
        <v>US9128272J08</v>
      </c>
      <c r="M1451">
        <v>13104000000</v>
      </c>
      <c r="N1451">
        <v>0</v>
      </c>
      <c r="O1451" t="str">
        <f>_xll.BDP("9128272J Govt","ISSUE_DT")</f>
        <v>2/18/1997</v>
      </c>
      <c r="P1451" t="str">
        <f>_xll.BDP("9128272J Govt","SECURITY_NAME")</f>
        <v>T 6 1/4 02/15/07</v>
      </c>
      <c r="Q1451" t="str">
        <f>_xll.BDP("9128272J Govt","DAY_CNT_DES")</f>
        <v>ACT/ACT</v>
      </c>
      <c r="R1451">
        <v>100</v>
      </c>
      <c r="S1451" t="str">
        <f>_xll.BDP("9128272J Govt","ID_CUSIP")</f>
        <v>9128272J0</v>
      </c>
      <c r="T1451" t="str">
        <f>_xll.BDP("9128272J Govt","IDX_RATIO")</f>
        <v>#N/A Field Not Applicable</v>
      </c>
    </row>
    <row r="1452" spans="1:20" x14ac:dyDescent="0.25">
      <c r="A1452" t="s">
        <v>14</v>
      </c>
      <c r="B1452" t="str">
        <f>_xll.BDP("9128272L Govt","TICKER")</f>
        <v>T</v>
      </c>
      <c r="C1452">
        <f>_xll.BDP("9128272L Govt","CPN")</f>
        <v>6.25</v>
      </c>
      <c r="D1452" t="str">
        <f>_xll.BDP("9128272L Govt","YLD_YTM_BID")</f>
        <v>#N/A N/A</v>
      </c>
      <c r="E1452" t="str">
        <f>_xll.BDP("9128272L Govt","MATURITY")</f>
        <v>2/28/2002</v>
      </c>
      <c r="F1452" t="str">
        <f>_xll.BDP("9128272L Govt","MTY_TYP")</f>
        <v>NORMAL</v>
      </c>
      <c r="G1452" t="str">
        <f>_xll.BDP("9128272L Govt","CRNCY")</f>
        <v>USD</v>
      </c>
      <c r="H1452" t="str">
        <f>_xll.BDP("9128272L Govt","COUNTRY_FULL_NAME")</f>
        <v>UNITED STATES</v>
      </c>
      <c r="I1452" t="str">
        <f>_xll.BDP("9128272L Govt","FIRST_CPN_DT")</f>
        <v>8/31/1997</v>
      </c>
      <c r="J1452" t="str">
        <f>_xll.BDP("9128272L Govt","COUPON_FREQUENCY_DESCRIPTION")</f>
        <v>S/A</v>
      </c>
      <c r="K1452" t="str">
        <f>_xll.BDP("9128272L Govt","CPN_TYP")</f>
        <v>FIXED</v>
      </c>
      <c r="L1452" t="str">
        <f>_xll.BDP("9128272L Govt","ID_ISIN")</f>
        <v>US9128272L53</v>
      </c>
      <c r="M1452">
        <v>13800000000</v>
      </c>
      <c r="N1452">
        <v>0</v>
      </c>
      <c r="O1452" t="str">
        <f>_xll.BDP("9128272L Govt","ISSUE_DT")</f>
        <v>2/28/1997</v>
      </c>
      <c r="P1452" t="str">
        <f>_xll.BDP("9128272L Govt","SECURITY_NAME")</f>
        <v>T 6 1/4 02/28/02</v>
      </c>
      <c r="Q1452" t="str">
        <f>_xll.BDP("9128272L Govt","DAY_CNT_DES")</f>
        <v>ACT/ACT</v>
      </c>
      <c r="R1452">
        <v>100</v>
      </c>
      <c r="S1452" t="str">
        <f>_xll.BDP("9128272L Govt","ID_CUSIP")</f>
        <v>9128272L5</v>
      </c>
      <c r="T1452" t="str">
        <f>_xll.BDP("9128272L Govt","IDX_RATIO")</f>
        <v>#N/A Field Not Applicable</v>
      </c>
    </row>
    <row r="1453" spans="1:20" x14ac:dyDescent="0.25">
      <c r="A1453" t="s">
        <v>14</v>
      </c>
      <c r="B1453" t="str">
        <f>_xll.BDP("9128272R Govt","TICKER")</f>
        <v>T</v>
      </c>
      <c r="C1453">
        <f>_xll.BDP("9128272R Govt","CPN")</f>
        <v>6.375</v>
      </c>
      <c r="D1453" t="str">
        <f>_xll.BDP("9128272R Govt","YLD_YTM_BID")</f>
        <v>#N/A N/A</v>
      </c>
      <c r="E1453" t="str">
        <f>_xll.BDP("9128272R Govt","MATURITY")</f>
        <v>4/30/1999</v>
      </c>
      <c r="F1453" t="str">
        <f>_xll.BDP("9128272R Govt","MTY_TYP")</f>
        <v>NORMAL</v>
      </c>
      <c r="G1453" t="str">
        <f>_xll.BDP("9128272R Govt","CRNCY")</f>
        <v>USD</v>
      </c>
      <c r="H1453" t="str">
        <f>_xll.BDP("9128272R Govt","COUNTRY_FULL_NAME")</f>
        <v>UNITED STATES</v>
      </c>
      <c r="I1453" t="str">
        <f>_xll.BDP("9128272R Govt","FIRST_CPN_DT")</f>
        <v>10/31/1997</v>
      </c>
      <c r="J1453" t="str">
        <f>_xll.BDP("9128272R Govt","COUPON_FREQUENCY_DESCRIPTION")</f>
        <v>S/A</v>
      </c>
      <c r="K1453" t="str">
        <f>_xll.BDP("9128272R Govt","CPN_TYP")</f>
        <v>FIXED</v>
      </c>
      <c r="L1453" t="str">
        <f>_xll.BDP("9128272R Govt","ID_ISIN")</f>
        <v>US9128272R24</v>
      </c>
      <c r="M1453">
        <v>19353000000</v>
      </c>
      <c r="N1453">
        <v>0</v>
      </c>
      <c r="O1453" t="str">
        <f>_xll.BDP("9128272R Govt","ISSUE_DT")</f>
        <v>4/30/1997</v>
      </c>
      <c r="P1453" t="str">
        <f>_xll.BDP("9128272R Govt","SECURITY_NAME")</f>
        <v>T 6 3/8 04/30/99</v>
      </c>
      <c r="Q1453" t="str">
        <f>_xll.BDP("9128272R Govt","DAY_CNT_DES")</f>
        <v>ACT/ACT</v>
      </c>
      <c r="R1453">
        <v>100</v>
      </c>
      <c r="S1453" t="str">
        <f>_xll.BDP("9128272R Govt","ID_CUSIP")</f>
        <v>9128272R2</v>
      </c>
      <c r="T1453" t="str">
        <f>_xll.BDP("9128272R Govt","IDX_RATIO")</f>
        <v>#N/A Field Not Applicable</v>
      </c>
    </row>
    <row r="1454" spans="1:20" x14ac:dyDescent="0.25">
      <c r="A1454" t="s">
        <v>14</v>
      </c>
      <c r="B1454" t="str">
        <f>_xll.BDP("9128272U Govt","TICKER")</f>
        <v>T</v>
      </c>
      <c r="C1454">
        <f>_xll.BDP("9128272U Govt","CPN")</f>
        <v>6.625</v>
      </c>
      <c r="D1454" t="str">
        <f>_xll.BDP("9128272U Govt","YLD_YTM_BID")</f>
        <v>#N/A N/A</v>
      </c>
      <c r="E1454" t="str">
        <f>_xll.BDP("9128272U Govt","MATURITY")</f>
        <v>5/15/2007</v>
      </c>
      <c r="F1454" t="str">
        <f>_xll.BDP("9128272U Govt","MTY_TYP")</f>
        <v>NORMAL</v>
      </c>
      <c r="G1454" t="str">
        <f>_xll.BDP("9128272U Govt","CRNCY")</f>
        <v>USD</v>
      </c>
      <c r="H1454" t="str">
        <f>_xll.BDP("9128272U Govt","COUNTRY_FULL_NAME")</f>
        <v>UNITED STATES</v>
      </c>
      <c r="I1454" t="str">
        <f>_xll.BDP("9128272U Govt","FIRST_CPN_DT")</f>
        <v>11/15/1997</v>
      </c>
      <c r="J1454" t="str">
        <f>_xll.BDP("9128272U Govt","COUPON_FREQUENCY_DESCRIPTION")</f>
        <v>S/A</v>
      </c>
      <c r="K1454" t="str">
        <f>_xll.BDP("9128272U Govt","CPN_TYP")</f>
        <v>FIXED</v>
      </c>
      <c r="L1454" t="str">
        <f>_xll.BDP("9128272U Govt","ID_ISIN")</f>
        <v>US9128272U52</v>
      </c>
      <c r="M1454">
        <v>13958000000</v>
      </c>
      <c r="N1454">
        <v>0</v>
      </c>
      <c r="O1454" t="str">
        <f>_xll.BDP("9128272U Govt","ISSUE_DT")</f>
        <v>5/15/1997</v>
      </c>
      <c r="P1454" t="str">
        <f>_xll.BDP("9128272U Govt","SECURITY_NAME")</f>
        <v>T 6 5/8 05/15/07</v>
      </c>
      <c r="Q1454" t="str">
        <f>_xll.BDP("9128272U Govt","DAY_CNT_DES")</f>
        <v>ACT/ACT</v>
      </c>
      <c r="R1454">
        <v>100</v>
      </c>
      <c r="S1454" t="str">
        <f>_xll.BDP("9128272U Govt","ID_CUSIP")</f>
        <v>9128272U5</v>
      </c>
      <c r="T1454" t="str">
        <f>_xll.BDP("9128272U Govt","IDX_RATIO")</f>
        <v>#N/A Field Not Applicable</v>
      </c>
    </row>
    <row r="1455" spans="1:20" x14ac:dyDescent="0.25">
      <c r="A1455" t="s">
        <v>14</v>
      </c>
      <c r="B1455" t="str">
        <f>_xll.BDP("9128273U Govt","TICKER")</f>
        <v>T</v>
      </c>
      <c r="C1455">
        <f>_xll.BDP("9128273U Govt","CPN")</f>
        <v>5.375</v>
      </c>
      <c r="D1455" t="str">
        <f>_xll.BDP("9128273U Govt","YLD_YTM_BID")</f>
        <v>#N/A N/A</v>
      </c>
      <c r="E1455" t="str">
        <f>_xll.BDP("9128273U Govt","MATURITY")</f>
        <v>1/31/2000</v>
      </c>
      <c r="F1455" t="str">
        <f>_xll.BDP("9128273U Govt","MTY_TYP")</f>
        <v>NORMAL</v>
      </c>
      <c r="G1455" t="str">
        <f>_xll.BDP("9128273U Govt","CRNCY")</f>
        <v>USD</v>
      </c>
      <c r="H1455" t="str">
        <f>_xll.BDP("9128273U Govt","COUNTRY_FULL_NAME")</f>
        <v>UNITED STATES</v>
      </c>
      <c r="I1455" t="str">
        <f>_xll.BDP("9128273U Govt","FIRST_CPN_DT")</f>
        <v>7/31/1998</v>
      </c>
      <c r="J1455" t="str">
        <f>_xll.BDP("9128273U Govt","COUPON_FREQUENCY_DESCRIPTION")</f>
        <v>S/A</v>
      </c>
      <c r="K1455" t="str">
        <f>_xll.BDP("9128273U Govt","CPN_TYP")</f>
        <v>FIXED</v>
      </c>
      <c r="L1455" t="str">
        <f>_xll.BDP("9128273U Govt","ID_ISIN")</f>
        <v>US9128273U44</v>
      </c>
      <c r="M1455">
        <v>17502000000</v>
      </c>
      <c r="N1455">
        <v>0</v>
      </c>
      <c r="O1455" t="str">
        <f>_xll.BDP("9128273U Govt","ISSUE_DT")</f>
        <v>2/2/1998</v>
      </c>
      <c r="P1455" t="str">
        <f>_xll.BDP("9128273U Govt","SECURITY_NAME")</f>
        <v>T 5 3/8 01/31/00</v>
      </c>
      <c r="Q1455" t="str">
        <f>_xll.BDP("9128273U Govt","DAY_CNT_DES")</f>
        <v>ACT/ACT</v>
      </c>
      <c r="R1455">
        <v>100</v>
      </c>
      <c r="S1455" t="str">
        <f>_xll.BDP("9128273U Govt","ID_CUSIP")</f>
        <v>9128273U4</v>
      </c>
      <c r="T1455" t="str">
        <f>_xll.BDP("9128273U Govt","IDX_RATIO")</f>
        <v>#N/A Field Not Applicable</v>
      </c>
    </row>
    <row r="1456" spans="1:20" x14ac:dyDescent="0.25">
      <c r="A1456" t="s">
        <v>14</v>
      </c>
      <c r="B1456" t="str">
        <f>_xll.BDP("9128273W Govt","TICKER")</f>
        <v>T</v>
      </c>
      <c r="C1456">
        <f>_xll.BDP("9128273W Govt","CPN")</f>
        <v>5.375</v>
      </c>
      <c r="D1456" t="str">
        <f>_xll.BDP("9128273W Govt","YLD_YTM_BID")</f>
        <v>#N/A N/A</v>
      </c>
      <c r="E1456" t="str">
        <f>_xll.BDP("9128273W Govt","MATURITY")</f>
        <v>2/15/2001</v>
      </c>
      <c r="F1456" t="str">
        <f>_xll.BDP("9128273W Govt","MTY_TYP")</f>
        <v>NORMAL</v>
      </c>
      <c r="G1456" t="str">
        <f>_xll.BDP("9128273W Govt","CRNCY")</f>
        <v>USD</v>
      </c>
      <c r="H1456" t="str">
        <f>_xll.BDP("9128273W Govt","COUNTRY_FULL_NAME")</f>
        <v>UNITED STATES</v>
      </c>
      <c r="I1456" t="str">
        <f>_xll.BDP("9128273W Govt","FIRST_CPN_DT")</f>
        <v>8/15/1998</v>
      </c>
      <c r="J1456" t="str">
        <f>_xll.BDP("9128273W Govt","COUPON_FREQUENCY_DESCRIPTION")</f>
        <v>S/A</v>
      </c>
      <c r="K1456" t="str">
        <f>_xll.BDP("9128273W Govt","CPN_TYP")</f>
        <v>FIXED</v>
      </c>
      <c r="L1456" t="str">
        <f>_xll.BDP("9128273W Govt","ID_ISIN")</f>
        <v>US9128273W00</v>
      </c>
      <c r="M1456">
        <v>15367000000</v>
      </c>
      <c r="N1456">
        <v>0</v>
      </c>
      <c r="O1456" t="str">
        <f>_xll.BDP("9128273W Govt","ISSUE_DT")</f>
        <v>2/17/1998</v>
      </c>
      <c r="P1456" t="str">
        <f>_xll.BDP("9128273W Govt","SECURITY_NAME")</f>
        <v>T 5 3/8 02/15/01</v>
      </c>
      <c r="Q1456" t="str">
        <f>_xll.BDP("9128273W Govt","DAY_CNT_DES")</f>
        <v>ACT/ACT</v>
      </c>
      <c r="R1456">
        <v>100</v>
      </c>
      <c r="S1456" t="str">
        <f>_xll.BDP("9128273W Govt","ID_CUSIP")</f>
        <v>9128273W0</v>
      </c>
      <c r="T1456" t="str">
        <f>_xll.BDP("9128273W Govt","IDX_RATIO")</f>
        <v>#N/A Field Not Applicable</v>
      </c>
    </row>
    <row r="1457" spans="1:20" x14ac:dyDescent="0.25">
      <c r="A1457" t="s">
        <v>14</v>
      </c>
      <c r="B1457" t="str">
        <f>_xll.BDP("9128274A Govt","TICKER")</f>
        <v>T</v>
      </c>
      <c r="C1457">
        <f>_xll.BDP("9128274A Govt","CPN")</f>
        <v>5.5</v>
      </c>
      <c r="D1457" t="str">
        <f>_xll.BDP("9128274A Govt","YLD_YTM_BID")</f>
        <v>#N/A N/A</v>
      </c>
      <c r="E1457" t="str">
        <f>_xll.BDP("9128274A Govt","MATURITY")</f>
        <v>3/31/2000</v>
      </c>
      <c r="F1457" t="str">
        <f>_xll.BDP("9128274A Govt","MTY_TYP")</f>
        <v>NORMAL</v>
      </c>
      <c r="G1457" t="str">
        <f>_xll.BDP("9128274A Govt","CRNCY")</f>
        <v>USD</v>
      </c>
      <c r="H1457" t="str">
        <f>_xll.BDP("9128274A Govt","COUNTRY_FULL_NAME")</f>
        <v>UNITED STATES</v>
      </c>
      <c r="I1457" t="str">
        <f>_xll.BDP("9128274A Govt","FIRST_CPN_DT")</f>
        <v>9/30/1998</v>
      </c>
      <c r="J1457" t="str">
        <f>_xll.BDP("9128274A Govt","COUPON_FREQUENCY_DESCRIPTION")</f>
        <v>S/A</v>
      </c>
      <c r="K1457" t="str">
        <f>_xll.BDP("9128274A Govt","CPN_TYP")</f>
        <v>FIXED</v>
      </c>
      <c r="L1457" t="str">
        <f>_xll.BDP("9128274A Govt","ID_ISIN")</f>
        <v>US9128274A70</v>
      </c>
      <c r="M1457">
        <v>17206000000</v>
      </c>
      <c r="N1457">
        <v>0</v>
      </c>
      <c r="O1457" t="str">
        <f>_xll.BDP("9128274A Govt","ISSUE_DT")</f>
        <v>3/31/1998</v>
      </c>
      <c r="P1457" t="str">
        <f>_xll.BDP("9128274A Govt","SECURITY_NAME")</f>
        <v>T 5 1/2 03/31/00</v>
      </c>
      <c r="Q1457" t="str">
        <f>_xll.BDP("9128274A Govt","DAY_CNT_DES")</f>
        <v>ACT/ACT</v>
      </c>
      <c r="R1457">
        <v>100</v>
      </c>
      <c r="S1457" t="str">
        <f>_xll.BDP("9128274A Govt","ID_CUSIP")</f>
        <v>9128274A7</v>
      </c>
      <c r="T1457" t="str">
        <f>_xll.BDP("9128274A Govt","IDX_RATIO")</f>
        <v>#N/A Field Not Applicable</v>
      </c>
    </row>
    <row r="1458" spans="1:20" x14ac:dyDescent="0.25">
      <c r="A1458" t="s">
        <v>14</v>
      </c>
      <c r="B1458" t="str">
        <f>_xll.BDP("9128274C Govt","TICKER")</f>
        <v>T</v>
      </c>
      <c r="C1458">
        <f>_xll.BDP("9128274C Govt","CPN")</f>
        <v>5.625</v>
      </c>
      <c r="D1458" t="str">
        <f>_xll.BDP("9128274C Govt","YLD_YTM_BID")</f>
        <v>#N/A N/A</v>
      </c>
      <c r="E1458" t="str">
        <f>_xll.BDP("9128274C Govt","MATURITY")</f>
        <v>4/30/2000</v>
      </c>
      <c r="F1458" t="str">
        <f>_xll.BDP("9128274C Govt","MTY_TYP")</f>
        <v>NORMAL</v>
      </c>
      <c r="G1458" t="str">
        <f>_xll.BDP("9128274C Govt","CRNCY")</f>
        <v>USD</v>
      </c>
      <c r="H1458" t="str">
        <f>_xll.BDP("9128274C Govt","COUNTRY_FULL_NAME")</f>
        <v>UNITED STATES</v>
      </c>
      <c r="I1458" t="str">
        <f>_xll.BDP("9128274C Govt","FIRST_CPN_DT")</f>
        <v>10/31/1998</v>
      </c>
      <c r="J1458" t="str">
        <f>_xll.BDP("9128274C Govt","COUPON_FREQUENCY_DESCRIPTION")</f>
        <v>S/A</v>
      </c>
      <c r="K1458" t="str">
        <f>_xll.BDP("9128274C Govt","CPN_TYP")</f>
        <v>FIXED</v>
      </c>
      <c r="L1458" t="str">
        <f>_xll.BDP("9128274C Govt","ID_ISIN")</f>
        <v>US9128274C37</v>
      </c>
      <c r="M1458">
        <v>15634000000</v>
      </c>
      <c r="N1458">
        <v>0</v>
      </c>
      <c r="O1458" t="str">
        <f>_xll.BDP("9128274C Govt","ISSUE_DT")</f>
        <v>4/30/1998</v>
      </c>
      <c r="P1458" t="str">
        <f>_xll.BDP("9128274C Govt","SECURITY_NAME")</f>
        <v>T 5 5/8 04/30/00</v>
      </c>
      <c r="Q1458" t="str">
        <f>_xll.BDP("9128274C Govt","DAY_CNT_DES")</f>
        <v>ACT/ACT</v>
      </c>
      <c r="R1458">
        <v>100</v>
      </c>
      <c r="S1458" t="str">
        <f>_xll.BDP("9128274C Govt","ID_CUSIP")</f>
        <v>9128274C3</v>
      </c>
      <c r="T1458" t="str">
        <f>_xll.BDP("9128274C Govt","IDX_RATIO")</f>
        <v>#N/A Field Not Applicable</v>
      </c>
    </row>
    <row r="1459" spans="1:20" x14ac:dyDescent="0.25">
      <c r="A1459" t="s">
        <v>14</v>
      </c>
      <c r="B1459" t="str">
        <f>_xll.BDP("9128274D Govt","TICKER")</f>
        <v>T</v>
      </c>
      <c r="C1459">
        <f>_xll.BDP("9128274D Govt","CPN")</f>
        <v>5.75</v>
      </c>
      <c r="D1459" t="str">
        <f>_xll.BDP("9128274D Govt","YLD_YTM_BID")</f>
        <v>#N/A N/A</v>
      </c>
      <c r="E1459" t="str">
        <f>_xll.BDP("9128274D Govt","MATURITY")</f>
        <v>4/30/2003</v>
      </c>
      <c r="F1459" t="str">
        <f>_xll.BDP("9128274D Govt","MTY_TYP")</f>
        <v>NORMAL</v>
      </c>
      <c r="G1459" t="str">
        <f>_xll.BDP("9128274D Govt","CRNCY")</f>
        <v>USD</v>
      </c>
      <c r="H1459" t="str">
        <f>_xll.BDP("9128274D Govt","COUNTRY_FULL_NAME")</f>
        <v>UNITED STATES</v>
      </c>
      <c r="I1459" t="str">
        <f>_xll.BDP("9128274D Govt","FIRST_CPN_DT")</f>
        <v>10/31/1998</v>
      </c>
      <c r="J1459" t="str">
        <f>_xll.BDP("9128274D Govt","COUPON_FREQUENCY_DESCRIPTION")</f>
        <v>S/A</v>
      </c>
      <c r="K1459" t="str">
        <f>_xll.BDP("9128274D Govt","CPN_TYP")</f>
        <v>FIXED</v>
      </c>
      <c r="L1459" t="str">
        <f>_xll.BDP("9128274D Govt","ID_ISIN")</f>
        <v>US9128274D10</v>
      </c>
      <c r="M1459">
        <v>12573000000</v>
      </c>
      <c r="N1459">
        <v>0</v>
      </c>
      <c r="O1459" t="str">
        <f>_xll.BDP("9128274D Govt","ISSUE_DT")</f>
        <v>4/30/1998</v>
      </c>
      <c r="P1459" t="str">
        <f>_xll.BDP("9128274D Govt","SECURITY_NAME")</f>
        <v>T 5 3/4 04/30/03</v>
      </c>
      <c r="Q1459" t="str">
        <f>_xll.BDP("9128274D Govt","DAY_CNT_DES")</f>
        <v>ACT/ACT</v>
      </c>
      <c r="R1459">
        <v>100</v>
      </c>
      <c r="S1459" t="str">
        <f>_xll.BDP("9128274D Govt","ID_CUSIP")</f>
        <v>9128274D1</v>
      </c>
      <c r="T1459" t="str">
        <f>_xll.BDP("9128274D Govt","IDX_RATIO")</f>
        <v>#N/A Field Not Applicable</v>
      </c>
    </row>
    <row r="1460" spans="1:20" x14ac:dyDescent="0.25">
      <c r="A1460" t="s">
        <v>14</v>
      </c>
      <c r="B1460" t="str">
        <f>_xll.BDP("9128274H Govt","TICKER")</f>
        <v>T</v>
      </c>
      <c r="C1460">
        <f>_xll.BDP("9128274H Govt","CPN")</f>
        <v>5.5</v>
      </c>
      <c r="D1460" t="str">
        <f>_xll.BDP("9128274H Govt","YLD_YTM_BID")</f>
        <v>#N/A N/A</v>
      </c>
      <c r="E1460" t="str">
        <f>_xll.BDP("9128274H Govt","MATURITY")</f>
        <v>5/31/2003</v>
      </c>
      <c r="F1460" t="str">
        <f>_xll.BDP("9128274H Govt","MTY_TYP")</f>
        <v>NORMAL</v>
      </c>
      <c r="G1460" t="str">
        <f>_xll.BDP("9128274H Govt","CRNCY")</f>
        <v>USD</v>
      </c>
      <c r="H1460" t="str">
        <f>_xll.BDP("9128274H Govt","COUNTRY_FULL_NAME")</f>
        <v>UNITED STATES</v>
      </c>
      <c r="I1460" t="str">
        <f>_xll.BDP("9128274H Govt","FIRST_CPN_DT")</f>
        <v>11/30/1998</v>
      </c>
      <c r="J1460" t="str">
        <f>_xll.BDP("9128274H Govt","COUPON_FREQUENCY_DESCRIPTION")</f>
        <v>S/A</v>
      </c>
      <c r="K1460" t="str">
        <f>_xll.BDP("9128274H Govt","CPN_TYP")</f>
        <v>FIXED</v>
      </c>
      <c r="L1460" t="str">
        <f>_xll.BDP("9128274H Govt","ID_ISIN")</f>
        <v>US9128274H24</v>
      </c>
      <c r="M1460">
        <v>13132000000</v>
      </c>
      <c r="N1460">
        <v>0</v>
      </c>
      <c r="O1460" t="str">
        <f>_xll.BDP("9128274H Govt","ISSUE_DT")</f>
        <v>6/1/1998</v>
      </c>
      <c r="P1460" t="str">
        <f>_xll.BDP("9128274H Govt","SECURITY_NAME")</f>
        <v>T 5 1/2 05/31/03</v>
      </c>
      <c r="Q1460" t="str">
        <f>_xll.BDP("9128274H Govt","DAY_CNT_DES")</f>
        <v>ACT/ACT</v>
      </c>
      <c r="R1460">
        <v>100</v>
      </c>
      <c r="S1460" t="str">
        <f>_xll.BDP("9128274H Govt","ID_CUSIP")</f>
        <v>9128274H2</v>
      </c>
      <c r="T1460" t="str">
        <f>_xll.BDP("9128274H Govt","IDX_RATIO")</f>
        <v>#N/A Field Not Applicable</v>
      </c>
    </row>
    <row r="1461" spans="1:20" x14ac:dyDescent="0.25">
      <c r="A1461" t="s">
        <v>14</v>
      </c>
      <c r="B1461" t="str">
        <f>_xll.BDP("9128274M Govt","TICKER")</f>
        <v>T</v>
      </c>
      <c r="C1461">
        <f>_xll.BDP("9128274M Govt","CPN")</f>
        <v>5.375</v>
      </c>
      <c r="D1461" t="str">
        <f>_xll.BDP("9128274M Govt","YLD_YTM_BID")</f>
        <v>#N/A N/A</v>
      </c>
      <c r="E1461" t="str">
        <f>_xll.BDP("9128274M Govt","MATURITY")</f>
        <v>7/31/2000</v>
      </c>
      <c r="F1461" t="str">
        <f>_xll.BDP("9128274M Govt","MTY_TYP")</f>
        <v>NORMAL</v>
      </c>
      <c r="G1461" t="str">
        <f>_xll.BDP("9128274M Govt","CRNCY")</f>
        <v>USD</v>
      </c>
      <c r="H1461" t="str">
        <f>_xll.BDP("9128274M Govt","COUNTRY_FULL_NAME")</f>
        <v>UNITED STATES</v>
      </c>
      <c r="I1461" t="str">
        <f>_xll.BDP("9128274M Govt","FIRST_CPN_DT")</f>
        <v>1/31/1999</v>
      </c>
      <c r="J1461" t="str">
        <f>_xll.BDP("9128274M Govt","COUPON_FREQUENCY_DESCRIPTION")</f>
        <v>S/A</v>
      </c>
      <c r="K1461" t="str">
        <f>_xll.BDP("9128274M Govt","CPN_TYP")</f>
        <v>FIXED</v>
      </c>
      <c r="L1461" t="str">
        <f>_xll.BDP("9128274M Govt","ID_ISIN")</f>
        <v>US9128274M19</v>
      </c>
      <c r="M1461">
        <v>18683000000</v>
      </c>
      <c r="N1461">
        <v>0</v>
      </c>
      <c r="O1461" t="str">
        <f>_xll.BDP("9128274M Govt","ISSUE_DT")</f>
        <v>7/31/1998</v>
      </c>
      <c r="P1461" t="str">
        <f>_xll.BDP("9128274M Govt","SECURITY_NAME")</f>
        <v>T 5 3/8 07/31/00</v>
      </c>
      <c r="Q1461" t="str">
        <f>_xll.BDP("9128274M Govt","DAY_CNT_DES")</f>
        <v>ACT/ACT</v>
      </c>
      <c r="R1461">
        <v>100</v>
      </c>
      <c r="S1461" t="str">
        <f>_xll.BDP("9128274M Govt","ID_CUSIP")</f>
        <v>9128274M1</v>
      </c>
      <c r="T1461" t="str">
        <f>_xll.BDP("9128274M Govt","IDX_RATIO")</f>
        <v>#N/A Field Not Applicable</v>
      </c>
    </row>
    <row r="1462" spans="1:20" x14ac:dyDescent="0.25">
      <c r="A1462" t="s">
        <v>14</v>
      </c>
      <c r="B1462" t="str">
        <f>_xll.BDP("9128274N Govt","TICKER")</f>
        <v>T</v>
      </c>
      <c r="C1462">
        <f>_xll.BDP("9128274N Govt","CPN")</f>
        <v>5.25</v>
      </c>
      <c r="D1462" t="str">
        <f>_xll.BDP("9128274N Govt","YLD_YTM_BID")</f>
        <v>#N/A N/A</v>
      </c>
      <c r="E1462" t="str">
        <f>_xll.BDP("9128274N Govt","MATURITY")</f>
        <v>8/15/2003</v>
      </c>
      <c r="F1462" t="str">
        <f>_xll.BDP("9128274N Govt","MTY_TYP")</f>
        <v>NORMAL</v>
      </c>
      <c r="G1462" t="str">
        <f>_xll.BDP("9128274N Govt","CRNCY")</f>
        <v>USD</v>
      </c>
      <c r="H1462" t="str">
        <f>_xll.BDP("9128274N Govt","COUNTRY_FULL_NAME")</f>
        <v>UNITED STATES</v>
      </c>
      <c r="I1462" t="str">
        <f>_xll.BDP("9128274N Govt","FIRST_CPN_DT")</f>
        <v>2/15/1999</v>
      </c>
      <c r="J1462" t="str">
        <f>_xll.BDP("9128274N Govt","COUPON_FREQUENCY_DESCRIPTION")</f>
        <v>S/A</v>
      </c>
      <c r="K1462" t="str">
        <f>_xll.BDP("9128274N Govt","CPN_TYP")</f>
        <v>FIXED</v>
      </c>
      <c r="L1462" t="str">
        <f>_xll.BDP("9128274N Govt","ID_ISIN")</f>
        <v>US9128274N91</v>
      </c>
      <c r="M1462">
        <v>19852000000</v>
      </c>
      <c r="N1462">
        <v>0</v>
      </c>
      <c r="O1462" t="str">
        <f>_xll.BDP("9128274N Govt","ISSUE_DT")</f>
        <v>8/17/1998</v>
      </c>
      <c r="P1462" t="str">
        <f>_xll.BDP("9128274N Govt","SECURITY_NAME")</f>
        <v>T 5 1/4 08/15/03</v>
      </c>
      <c r="Q1462" t="str">
        <f>_xll.BDP("9128274N Govt","DAY_CNT_DES")</f>
        <v>ACT/ACT</v>
      </c>
      <c r="R1462">
        <v>100</v>
      </c>
      <c r="S1462" t="str">
        <f>_xll.BDP("9128274N Govt","ID_CUSIP")</f>
        <v>9128274N9</v>
      </c>
      <c r="T1462" t="str">
        <f>_xll.BDP("9128274N Govt","IDX_RATIO")</f>
        <v>#N/A Field Not Applicable</v>
      </c>
    </row>
    <row r="1463" spans="1:20" x14ac:dyDescent="0.25">
      <c r="A1463" t="s">
        <v>14</v>
      </c>
      <c r="B1463" t="str">
        <f>_xll.BDP("9128275A Govt","TICKER")</f>
        <v>T</v>
      </c>
      <c r="C1463">
        <f>_xll.BDP("9128275A Govt","CPN")</f>
        <v>4.75</v>
      </c>
      <c r="D1463" t="str">
        <f>_xll.BDP("9128275A Govt","YLD_YTM_BID")</f>
        <v>#N/A N/A</v>
      </c>
      <c r="E1463" t="str">
        <f>_xll.BDP("9128275A Govt","MATURITY")</f>
        <v>2/15/2004</v>
      </c>
      <c r="F1463" t="str">
        <f>_xll.BDP("9128275A Govt","MTY_TYP")</f>
        <v>NORMAL</v>
      </c>
      <c r="G1463" t="str">
        <f>_xll.BDP("9128275A Govt","CRNCY")</f>
        <v>USD</v>
      </c>
      <c r="H1463" t="str">
        <f>_xll.BDP("9128275A Govt","COUNTRY_FULL_NAME")</f>
        <v>UNITED STATES</v>
      </c>
      <c r="I1463" t="str">
        <f>_xll.BDP("9128275A Govt","FIRST_CPN_DT")</f>
        <v>8/15/1999</v>
      </c>
      <c r="J1463" t="str">
        <f>_xll.BDP("9128275A Govt","COUPON_FREQUENCY_DESCRIPTION")</f>
        <v>S/A</v>
      </c>
      <c r="K1463" t="str">
        <f>_xll.BDP("9128275A Govt","CPN_TYP")</f>
        <v>FIXED</v>
      </c>
      <c r="L1463" t="str">
        <f>_xll.BDP("9128275A Govt","ID_ISIN")</f>
        <v>US9128275A61</v>
      </c>
      <c r="M1463">
        <v>17823000000</v>
      </c>
      <c r="N1463">
        <v>0</v>
      </c>
      <c r="O1463" t="str">
        <f>_xll.BDP("9128275A Govt","ISSUE_DT")</f>
        <v>2/16/1999</v>
      </c>
      <c r="P1463" t="str">
        <f>_xll.BDP("9128275A Govt","SECURITY_NAME")</f>
        <v>T 4 3/4 02/15/04</v>
      </c>
      <c r="Q1463" t="str">
        <f>_xll.BDP("9128275A Govt","DAY_CNT_DES")</f>
        <v>ACT/ACT</v>
      </c>
      <c r="R1463">
        <v>100</v>
      </c>
      <c r="S1463" t="str">
        <f>_xll.BDP("9128275A Govt","ID_CUSIP")</f>
        <v>9128275A6</v>
      </c>
      <c r="T1463" t="str">
        <f>_xll.BDP("9128275A Govt","IDX_RATIO")</f>
        <v>#N/A Field Not Applicable</v>
      </c>
    </row>
    <row r="1464" spans="1:20" x14ac:dyDescent="0.25">
      <c r="A1464" t="s">
        <v>14</v>
      </c>
      <c r="B1464" t="str">
        <f>_xll.BDP("9128275L Govt","TICKER")</f>
        <v>T</v>
      </c>
      <c r="C1464">
        <f>_xll.BDP("9128275L Govt","CPN")</f>
        <v>5.5</v>
      </c>
      <c r="D1464" t="str">
        <f>_xll.BDP("9128275L Govt","YLD_YTM_BID")</f>
        <v>#N/A N/A</v>
      </c>
      <c r="E1464" t="str">
        <f>_xll.BDP("9128275L Govt","MATURITY")</f>
        <v>7/31/2001</v>
      </c>
      <c r="F1464" t="str">
        <f>_xll.BDP("9128275L Govt","MTY_TYP")</f>
        <v>NORMAL</v>
      </c>
      <c r="G1464" t="str">
        <f>_xll.BDP("9128275L Govt","CRNCY")</f>
        <v>USD</v>
      </c>
      <c r="H1464" t="str">
        <f>_xll.BDP("9128275L Govt","COUNTRY_FULL_NAME")</f>
        <v>UNITED STATES</v>
      </c>
      <c r="I1464" t="str">
        <f>_xll.BDP("9128275L Govt","FIRST_CPN_DT")</f>
        <v>1/31/2000</v>
      </c>
      <c r="J1464" t="str">
        <f>_xll.BDP("9128275L Govt","COUPON_FREQUENCY_DESCRIPTION")</f>
        <v>S/A</v>
      </c>
      <c r="K1464" t="str">
        <f>_xll.BDP("9128275L Govt","CPN_TYP")</f>
        <v>FIXED</v>
      </c>
      <c r="L1464" t="str">
        <f>_xll.BDP("9128275L Govt","ID_ISIN")</f>
        <v>US9128275L27</v>
      </c>
      <c r="M1464">
        <v>20541000000</v>
      </c>
      <c r="N1464">
        <v>0</v>
      </c>
      <c r="O1464" t="str">
        <f>_xll.BDP("9128275L Govt","ISSUE_DT")</f>
        <v>8/2/1999</v>
      </c>
      <c r="P1464" t="str">
        <f>_xll.BDP("9128275L Govt","SECURITY_NAME")</f>
        <v>T 5 1/2 07/31/01</v>
      </c>
      <c r="Q1464" t="str">
        <f>_xll.BDP("9128275L Govt","DAY_CNT_DES")</f>
        <v>ACT/ACT</v>
      </c>
      <c r="R1464">
        <v>100</v>
      </c>
      <c r="S1464" t="str">
        <f>_xll.BDP("9128275L Govt","ID_CUSIP")</f>
        <v>9128275L2</v>
      </c>
      <c r="T1464" t="str">
        <f>_xll.BDP("9128275L Govt","IDX_RATIO")</f>
        <v>#N/A Field Not Applicable</v>
      </c>
    </row>
    <row r="1465" spans="1:20" x14ac:dyDescent="0.25">
      <c r="A1465" t="s">
        <v>14</v>
      </c>
      <c r="B1465" t="str">
        <f>_xll.BDP("9128276D Govt","TICKER")</f>
        <v>T</v>
      </c>
      <c r="C1465">
        <f>_xll.BDP("9128276D Govt","CPN")</f>
        <v>6.75</v>
      </c>
      <c r="D1465" t="str">
        <f>_xll.BDP("9128276D Govt","YLD_YTM_BID")</f>
        <v>#N/A N/A</v>
      </c>
      <c r="E1465" t="str">
        <f>_xll.BDP("9128276D Govt","MATURITY")</f>
        <v>5/15/2005</v>
      </c>
      <c r="F1465" t="str">
        <f>_xll.BDP("9128276D Govt","MTY_TYP")</f>
        <v>NORMAL</v>
      </c>
      <c r="G1465" t="str">
        <f>_xll.BDP("9128276D Govt","CRNCY")</f>
        <v>USD</v>
      </c>
      <c r="H1465" t="str">
        <f>_xll.BDP("9128276D Govt","COUNTRY_FULL_NAME")</f>
        <v>UNITED STATES</v>
      </c>
      <c r="I1465" t="str">
        <f>_xll.BDP("9128276D Govt","FIRST_CPN_DT")</f>
        <v>11/15/2000</v>
      </c>
      <c r="J1465" t="str">
        <f>_xll.BDP("9128276D Govt","COUPON_FREQUENCY_DESCRIPTION")</f>
        <v>S/A</v>
      </c>
      <c r="K1465" t="str">
        <f>_xll.BDP("9128276D Govt","CPN_TYP")</f>
        <v>FIXED</v>
      </c>
      <c r="L1465" t="str">
        <f>_xll.BDP("9128276D Govt","ID_ISIN")</f>
        <v>US9128276D91</v>
      </c>
      <c r="M1465">
        <v>28562000000</v>
      </c>
      <c r="N1465">
        <v>0</v>
      </c>
      <c r="O1465" t="str">
        <f>_xll.BDP("9128276D Govt","ISSUE_DT")</f>
        <v>5/15/2000</v>
      </c>
      <c r="P1465" t="str">
        <f>_xll.BDP("9128276D Govt","SECURITY_NAME")</f>
        <v>T 6 3/4 05/15/05</v>
      </c>
      <c r="Q1465" t="str">
        <f>_xll.BDP("9128276D Govt","DAY_CNT_DES")</f>
        <v>ACT/ACT</v>
      </c>
      <c r="R1465">
        <v>100</v>
      </c>
      <c r="S1465" t="str">
        <f>_xll.BDP("9128276D Govt","ID_CUSIP")</f>
        <v>9128276D9</v>
      </c>
      <c r="T1465" t="str">
        <f>_xll.BDP("9128276D Govt","IDX_RATIO")</f>
        <v>#N/A Field Not Applicable</v>
      </c>
    </row>
    <row r="1466" spans="1:20" x14ac:dyDescent="0.25">
      <c r="A1466" t="s">
        <v>14</v>
      </c>
      <c r="B1466" t="str">
        <f>_xll.BDP("9128276F Govt","TICKER")</f>
        <v>T</v>
      </c>
      <c r="C1466">
        <f>_xll.BDP("9128276F Govt","CPN")</f>
        <v>6.375</v>
      </c>
      <c r="D1466" t="str">
        <f>_xll.BDP("9128276F Govt","YLD_YTM_BID")</f>
        <v>#N/A N/A</v>
      </c>
      <c r="E1466" t="str">
        <f>_xll.BDP("9128276F Govt","MATURITY")</f>
        <v>6/30/2002</v>
      </c>
      <c r="F1466" t="str">
        <f>_xll.BDP("9128276F Govt","MTY_TYP")</f>
        <v>NORMAL</v>
      </c>
      <c r="G1466" t="str">
        <f>_xll.BDP("9128276F Govt","CRNCY")</f>
        <v>USD</v>
      </c>
      <c r="H1466" t="str">
        <f>_xll.BDP("9128276F Govt","COUNTRY_FULL_NAME")</f>
        <v>UNITED STATES</v>
      </c>
      <c r="I1466" t="str">
        <f>_xll.BDP("9128276F Govt","FIRST_CPN_DT")</f>
        <v>12/31/2000</v>
      </c>
      <c r="J1466" t="str">
        <f>_xll.BDP("9128276F Govt","COUPON_FREQUENCY_DESCRIPTION")</f>
        <v>S/A</v>
      </c>
      <c r="K1466" t="str">
        <f>_xll.BDP("9128276F Govt","CPN_TYP")</f>
        <v>FIXED</v>
      </c>
      <c r="L1466" t="str">
        <f>_xll.BDP("9128276F Govt","ID_ISIN")</f>
        <v>US9128276F40</v>
      </c>
      <c r="M1466">
        <v>14321000000</v>
      </c>
      <c r="N1466">
        <v>0</v>
      </c>
      <c r="O1466" t="str">
        <f>_xll.BDP("9128276F Govt","ISSUE_DT")</f>
        <v>6/30/2000</v>
      </c>
      <c r="P1466" t="str">
        <f>_xll.BDP("9128276F Govt","SECURITY_NAME")</f>
        <v>T 6 3/8 06/30/02</v>
      </c>
      <c r="Q1466" t="str">
        <f>_xll.BDP("9128276F Govt","DAY_CNT_DES")</f>
        <v>ACT/ACT</v>
      </c>
      <c r="R1466">
        <v>100</v>
      </c>
      <c r="S1466" t="str">
        <f>_xll.BDP("9128276F Govt","ID_CUSIP")</f>
        <v>9128276F4</v>
      </c>
      <c r="T1466" t="str">
        <f>_xll.BDP("9128276F Govt","IDX_RATIO")</f>
        <v>#N/A Field Not Applicable</v>
      </c>
    </row>
    <row r="1467" spans="1:20" x14ac:dyDescent="0.25">
      <c r="A1467" t="s">
        <v>14</v>
      </c>
      <c r="B1467" t="str">
        <f>_xll.BDP("9128276U Govt","TICKER")</f>
        <v>T</v>
      </c>
      <c r="C1467">
        <f>_xll.BDP("9128276U Govt","CPN")</f>
        <v>4.625</v>
      </c>
      <c r="D1467" t="str">
        <f>_xll.BDP("9128276U Govt","YLD_YTM_BID")</f>
        <v>#N/A N/A</v>
      </c>
      <c r="E1467" t="str">
        <f>_xll.BDP("9128276U Govt","MATURITY")</f>
        <v>2/28/2003</v>
      </c>
      <c r="F1467" t="str">
        <f>_xll.BDP("9128276U Govt","MTY_TYP")</f>
        <v>NORMAL</v>
      </c>
      <c r="G1467" t="str">
        <f>_xll.BDP("9128276U Govt","CRNCY")</f>
        <v>USD</v>
      </c>
      <c r="H1467" t="str">
        <f>_xll.BDP("9128276U Govt","COUNTRY_FULL_NAME")</f>
        <v>UNITED STATES</v>
      </c>
      <c r="I1467" t="str">
        <f>_xll.BDP("9128276U Govt","FIRST_CPN_DT")</f>
        <v>8/31/2001</v>
      </c>
      <c r="J1467" t="str">
        <f>_xll.BDP("9128276U Govt","COUPON_FREQUENCY_DESCRIPTION")</f>
        <v>S/A</v>
      </c>
      <c r="K1467" t="str">
        <f>_xll.BDP("9128276U Govt","CPN_TYP")</f>
        <v>FIXED</v>
      </c>
      <c r="L1467" t="str">
        <f>_xll.BDP("9128276U Govt","ID_ISIN")</f>
        <v>US9128276U17</v>
      </c>
      <c r="M1467">
        <v>14685000000</v>
      </c>
      <c r="N1467">
        <v>0</v>
      </c>
      <c r="O1467" t="str">
        <f>_xll.BDP("9128276U Govt","ISSUE_DT")</f>
        <v>2/28/2001</v>
      </c>
      <c r="P1467" t="str">
        <f>_xll.BDP("9128276U Govt","SECURITY_NAME")</f>
        <v>T 4 5/8 02/28/03</v>
      </c>
      <c r="Q1467" t="str">
        <f>_xll.BDP("9128276U Govt","DAY_CNT_DES")</f>
        <v>ACT/ACT</v>
      </c>
      <c r="R1467">
        <v>100</v>
      </c>
      <c r="S1467" t="str">
        <f>_xll.BDP("9128276U Govt","ID_CUSIP")</f>
        <v>9128276U1</v>
      </c>
      <c r="T1467" t="str">
        <f>_xll.BDP("9128276U Govt","IDX_RATIO")</f>
        <v>#N/A Field Not Applicable</v>
      </c>
    </row>
    <row r="1468" spans="1:20" x14ac:dyDescent="0.25">
      <c r="A1468" t="s">
        <v>14</v>
      </c>
      <c r="B1468" t="str">
        <f>_xll.BDP("9128276V Govt","TICKER")</f>
        <v>T</v>
      </c>
      <c r="C1468">
        <f>_xll.BDP("9128276V Govt","CPN")</f>
        <v>4.25</v>
      </c>
      <c r="D1468" t="str">
        <f>_xll.BDP("9128276V Govt","YLD_YTM_BID")</f>
        <v>#N/A N/A</v>
      </c>
      <c r="E1468" t="str">
        <f>_xll.BDP("9128276V Govt","MATURITY")</f>
        <v>3/31/2003</v>
      </c>
      <c r="F1468" t="str">
        <f>_xll.BDP("9128276V Govt","MTY_TYP")</f>
        <v>NORMAL</v>
      </c>
      <c r="G1468" t="str">
        <f>_xll.BDP("9128276V Govt","CRNCY")</f>
        <v>USD</v>
      </c>
      <c r="H1468" t="str">
        <f>_xll.BDP("9128276V Govt","COUNTRY_FULL_NAME")</f>
        <v>UNITED STATES</v>
      </c>
      <c r="I1468" t="str">
        <f>_xll.BDP("9128276V Govt","FIRST_CPN_DT")</f>
        <v>9/30/2001</v>
      </c>
      <c r="J1468" t="str">
        <f>_xll.BDP("9128276V Govt","COUPON_FREQUENCY_DESCRIPTION")</f>
        <v>S/A</v>
      </c>
      <c r="K1468" t="str">
        <f>_xll.BDP("9128276V Govt","CPN_TYP")</f>
        <v>FIXED</v>
      </c>
      <c r="L1468" t="str">
        <f>_xll.BDP("9128276V Govt","ID_ISIN")</f>
        <v>US9128276V99</v>
      </c>
      <c r="M1468">
        <v>14675000000</v>
      </c>
      <c r="N1468">
        <v>0</v>
      </c>
      <c r="O1468" t="str">
        <f>_xll.BDP("9128276V Govt","ISSUE_DT")</f>
        <v>4/2/2001</v>
      </c>
      <c r="P1468" t="str">
        <f>_xll.BDP("9128276V Govt","SECURITY_NAME")</f>
        <v>T 4 1/4 03/31/03</v>
      </c>
      <c r="Q1468" t="str">
        <f>_xll.BDP("9128276V Govt","DAY_CNT_DES")</f>
        <v>ACT/ACT</v>
      </c>
      <c r="R1468">
        <v>100</v>
      </c>
      <c r="S1468" t="str">
        <f>_xll.BDP("9128276V Govt","ID_CUSIP")</f>
        <v>9128276V9</v>
      </c>
      <c r="T1468" t="str">
        <f>_xll.BDP("9128276V Govt","IDX_RATIO")</f>
        <v>#N/A Field Not Applicable</v>
      </c>
    </row>
    <row r="1469" spans="1:20" x14ac:dyDescent="0.25">
      <c r="A1469" t="s">
        <v>14</v>
      </c>
      <c r="B1469" t="str">
        <f>_xll.BDP("9128276X Govt","TICKER")</f>
        <v>T</v>
      </c>
      <c r="C1469">
        <f>_xll.BDP("9128276X Govt","CPN")</f>
        <v>4.625</v>
      </c>
      <c r="D1469" t="str">
        <f>_xll.BDP("9128276X Govt","YLD_YTM_BID")</f>
        <v>#N/A N/A</v>
      </c>
      <c r="E1469" t="str">
        <f>_xll.BDP("9128276X Govt","MATURITY")</f>
        <v>5/15/2006</v>
      </c>
      <c r="F1469" t="str">
        <f>_xll.BDP("9128276X Govt","MTY_TYP")</f>
        <v>NORMAL</v>
      </c>
      <c r="G1469" t="str">
        <f>_xll.BDP("9128276X Govt","CRNCY")</f>
        <v>USD</v>
      </c>
      <c r="H1469" t="str">
        <f>_xll.BDP("9128276X Govt","COUNTRY_FULL_NAME")</f>
        <v>UNITED STATES</v>
      </c>
      <c r="I1469" t="str">
        <f>_xll.BDP("9128276X Govt","FIRST_CPN_DT")</f>
        <v>11/15/2001</v>
      </c>
      <c r="J1469" t="str">
        <f>_xll.BDP("9128276X Govt","COUPON_FREQUENCY_DESCRIPTION")</f>
        <v>S/A</v>
      </c>
      <c r="K1469" t="str">
        <f>_xll.BDP("9128276X Govt","CPN_TYP")</f>
        <v>FIXED</v>
      </c>
      <c r="L1469" t="str">
        <f>_xll.BDP("9128276X Govt","ID_ISIN")</f>
        <v>US9128276X55</v>
      </c>
      <c r="M1469">
        <v>27798000000</v>
      </c>
      <c r="N1469">
        <v>0</v>
      </c>
      <c r="O1469" t="str">
        <f>_xll.BDP("9128276X Govt","ISSUE_DT")</f>
        <v>5/15/2001</v>
      </c>
      <c r="P1469" t="str">
        <f>_xll.BDP("9128276X Govt","SECURITY_NAME")</f>
        <v>T 4 5/8 05/15/06</v>
      </c>
      <c r="Q1469" t="str">
        <f>_xll.BDP("9128276X Govt","DAY_CNT_DES")</f>
        <v>ACT/ACT</v>
      </c>
      <c r="R1469">
        <v>100</v>
      </c>
      <c r="S1469" t="str">
        <f>_xll.BDP("9128276X Govt","ID_CUSIP")</f>
        <v>9128276X5</v>
      </c>
      <c r="T1469" t="str">
        <f>_xll.BDP("9128276X Govt","IDX_RATIO")</f>
        <v>#N/A Field Not Applicable</v>
      </c>
    </row>
    <row r="1470" spans="1:20" x14ac:dyDescent="0.25">
      <c r="A1470" t="s">
        <v>14</v>
      </c>
      <c r="B1470" t="str">
        <f>_xll.BDP("9128277D Govt","TICKER")</f>
        <v>T</v>
      </c>
      <c r="C1470">
        <f>_xll.BDP("9128277D Govt","CPN")</f>
        <v>2.75</v>
      </c>
      <c r="D1470" t="str">
        <f>_xll.BDP("9128277D Govt","YLD_YTM_BID")</f>
        <v>#N/A N/A</v>
      </c>
      <c r="E1470" t="str">
        <f>_xll.BDP("9128277D Govt","MATURITY")</f>
        <v>9/30/2003</v>
      </c>
      <c r="F1470" t="str">
        <f>_xll.BDP("9128277D Govt","MTY_TYP")</f>
        <v>NORMAL</v>
      </c>
      <c r="G1470" t="str">
        <f>_xll.BDP("9128277D Govt","CRNCY")</f>
        <v>USD</v>
      </c>
      <c r="H1470" t="str">
        <f>_xll.BDP("9128277D Govt","COUNTRY_FULL_NAME")</f>
        <v>UNITED STATES</v>
      </c>
      <c r="I1470" t="str">
        <f>_xll.BDP("9128277D Govt","FIRST_CPN_DT")</f>
        <v>3/31/2002</v>
      </c>
      <c r="J1470" t="str">
        <f>_xll.BDP("9128277D Govt","COUPON_FREQUENCY_DESCRIPTION")</f>
        <v>S/A</v>
      </c>
      <c r="K1470" t="str">
        <f>_xll.BDP("9128277D Govt","CPN_TYP")</f>
        <v>FIXED</v>
      </c>
      <c r="L1470" t="str">
        <f>_xll.BDP("9128277D Govt","ID_ISIN")</f>
        <v>US9128277D82</v>
      </c>
      <c r="M1470">
        <v>22675000000</v>
      </c>
      <c r="N1470">
        <v>0</v>
      </c>
      <c r="O1470" t="str">
        <f>_xll.BDP("9128277D Govt","ISSUE_DT")</f>
        <v>10/1/2001</v>
      </c>
      <c r="P1470" t="str">
        <f>_xll.BDP("9128277D Govt","SECURITY_NAME")</f>
        <v>T 2 3/4 09/30/03</v>
      </c>
      <c r="Q1470" t="str">
        <f>_xll.BDP("9128277D Govt","DAY_CNT_DES")</f>
        <v>ACT/ACT</v>
      </c>
      <c r="R1470">
        <v>100</v>
      </c>
      <c r="S1470" t="str">
        <f>_xll.BDP("9128277D Govt","ID_CUSIP")</f>
        <v>9128277D8</v>
      </c>
      <c r="T1470" t="str">
        <f>_xll.BDP("9128277D Govt","IDX_RATIO")</f>
        <v>#N/A Field Not Applicable</v>
      </c>
    </row>
    <row r="1471" spans="1:20" x14ac:dyDescent="0.25">
      <c r="A1471" t="s">
        <v>14</v>
      </c>
      <c r="B1471" t="str">
        <f>_xll.BDP("9128277G Govt","TICKER")</f>
        <v>T</v>
      </c>
      <c r="C1471">
        <f>_xll.BDP("9128277G Govt","CPN")</f>
        <v>3</v>
      </c>
      <c r="D1471" t="str">
        <f>_xll.BDP("9128277G Govt","YLD_YTM_BID")</f>
        <v>#N/A N/A</v>
      </c>
      <c r="E1471" t="str">
        <f>_xll.BDP("9128277G Govt","MATURITY")</f>
        <v>11/30/2003</v>
      </c>
      <c r="F1471" t="str">
        <f>_xll.BDP("9128277G Govt","MTY_TYP")</f>
        <v>NORMAL</v>
      </c>
      <c r="G1471" t="str">
        <f>_xll.BDP("9128277G Govt","CRNCY")</f>
        <v>USD</v>
      </c>
      <c r="H1471" t="str">
        <f>_xll.BDP("9128277G Govt","COUNTRY_FULL_NAME")</f>
        <v>UNITED STATES</v>
      </c>
      <c r="I1471" t="str">
        <f>_xll.BDP("9128277G Govt","FIRST_CPN_DT")</f>
        <v>5/31/2002</v>
      </c>
      <c r="J1471" t="str">
        <f>_xll.BDP("9128277G Govt","COUPON_FREQUENCY_DESCRIPTION")</f>
        <v>S/A</v>
      </c>
      <c r="K1471" t="str">
        <f>_xll.BDP("9128277G Govt","CPN_TYP")</f>
        <v>FIXED</v>
      </c>
      <c r="L1471" t="str">
        <f>_xll.BDP("9128277G Govt","ID_ISIN")</f>
        <v>US9128277G14</v>
      </c>
      <c r="M1471">
        <v>26171000000</v>
      </c>
      <c r="N1471">
        <v>0</v>
      </c>
      <c r="O1471" t="str">
        <f>_xll.BDP("9128277G Govt","ISSUE_DT")</f>
        <v>11/30/2001</v>
      </c>
      <c r="P1471" t="str">
        <f>_xll.BDP("9128277G Govt","SECURITY_NAME")</f>
        <v>T 3 11/30/03</v>
      </c>
      <c r="Q1471" t="str">
        <f>_xll.BDP("9128277G Govt","DAY_CNT_DES")</f>
        <v>ACT/ACT</v>
      </c>
      <c r="R1471">
        <v>100</v>
      </c>
      <c r="S1471" t="str">
        <f>_xll.BDP("9128277G Govt","ID_CUSIP")</f>
        <v>9128277G1</v>
      </c>
      <c r="T1471" t="str">
        <f>_xll.BDP("9128277G Govt","IDX_RATIO")</f>
        <v>#N/A Field Not Applicable</v>
      </c>
    </row>
    <row r="1472" spans="1:20" x14ac:dyDescent="0.25">
      <c r="A1472" t="s">
        <v>14</v>
      </c>
      <c r="B1472" t="str">
        <f>_xll.BDP("9128277M Govt","TICKER")</f>
        <v>T</v>
      </c>
      <c r="C1472">
        <f>_xll.BDP("9128277M Govt","CPN")</f>
        <v>3</v>
      </c>
      <c r="D1472" t="str">
        <f>_xll.BDP("9128277M Govt","YLD_YTM_BID")</f>
        <v>#N/A N/A</v>
      </c>
      <c r="E1472" t="str">
        <f>_xll.BDP("9128277M Govt","MATURITY")</f>
        <v>2/29/2004</v>
      </c>
      <c r="F1472" t="str">
        <f>_xll.BDP("9128277M Govt","MTY_TYP")</f>
        <v>NORMAL</v>
      </c>
      <c r="G1472" t="str">
        <f>_xll.BDP("9128277M Govt","CRNCY")</f>
        <v>USD</v>
      </c>
      <c r="H1472" t="str">
        <f>_xll.BDP("9128277M Govt","COUNTRY_FULL_NAME")</f>
        <v>UNITED STATES</v>
      </c>
      <c r="I1472" t="str">
        <f>_xll.BDP("9128277M Govt","FIRST_CPN_DT")</f>
        <v>8/31/2002</v>
      </c>
      <c r="J1472" t="str">
        <f>_xll.BDP("9128277M Govt","COUPON_FREQUENCY_DESCRIPTION")</f>
        <v>S/A</v>
      </c>
      <c r="K1472" t="str">
        <f>_xll.BDP("9128277M Govt","CPN_TYP")</f>
        <v>FIXED</v>
      </c>
      <c r="L1472" t="str">
        <f>_xll.BDP("9128277M Govt","ID_ISIN")</f>
        <v>US9128277M81</v>
      </c>
      <c r="M1472">
        <v>31746000000</v>
      </c>
      <c r="N1472">
        <v>0</v>
      </c>
      <c r="O1472" t="str">
        <f>_xll.BDP("9128277M Govt","ISSUE_DT")</f>
        <v>2/28/2002</v>
      </c>
      <c r="P1472" t="str">
        <f>_xll.BDP("9128277M Govt","SECURITY_NAME")</f>
        <v>T 3 02/29/04</v>
      </c>
      <c r="Q1472" t="str">
        <f>_xll.BDP("9128277M Govt","DAY_CNT_DES")</f>
        <v>ACT/ACT</v>
      </c>
      <c r="R1472">
        <v>100</v>
      </c>
      <c r="S1472" t="str">
        <f>_xll.BDP("9128277M Govt","ID_CUSIP")</f>
        <v>9128277M8</v>
      </c>
      <c r="T1472" t="str">
        <f>_xll.BDP("9128277M Govt","IDX_RATIO")</f>
        <v>#N/A Field Not Applicable</v>
      </c>
    </row>
    <row r="1473" spans="1:20" x14ac:dyDescent="0.25">
      <c r="A1473" t="s">
        <v>14</v>
      </c>
      <c r="B1473" t="str">
        <f>_xll.BDP("912827A5 Govt","TICKER")</f>
        <v>T</v>
      </c>
      <c r="C1473">
        <f>_xll.BDP("912827A5 Govt","CPN")</f>
        <v>7</v>
      </c>
      <c r="D1473" t="str">
        <f>_xll.BDP("912827A5 Govt","YLD_YTM_BID")</f>
        <v>#N/A N/A</v>
      </c>
      <c r="E1473" t="str">
        <f>_xll.BDP("912827A5 Govt","MATURITY")</f>
        <v>4/30/1993</v>
      </c>
      <c r="F1473" t="str">
        <f>_xll.BDP("912827A5 Govt","MTY_TYP")</f>
        <v>NORMAL</v>
      </c>
      <c r="G1473" t="str">
        <f>_xll.BDP("912827A5 Govt","CRNCY")</f>
        <v>USD</v>
      </c>
      <c r="H1473" t="str">
        <f>_xll.BDP("912827A5 Govt","COUNTRY_FULL_NAME")</f>
        <v>UNITED STATES</v>
      </c>
      <c r="I1473" t="str">
        <f>_xll.BDP("912827A5 Govt","FIRST_CPN_DT")</f>
        <v>10/31/1991</v>
      </c>
      <c r="J1473" t="str">
        <f>_xll.BDP("912827A5 Govt","COUPON_FREQUENCY_DESCRIPTION")</f>
        <v>S/A</v>
      </c>
      <c r="K1473" t="str">
        <f>_xll.BDP("912827A5 Govt","CPN_TYP")</f>
        <v>FIXED</v>
      </c>
      <c r="L1473" t="str">
        <f>_xll.BDP("912827A5 Govt","ID_ISIN")</f>
        <v>US912827A513</v>
      </c>
      <c r="N1473">
        <v>0</v>
      </c>
      <c r="O1473" t="str">
        <f>_xll.BDP("912827A5 Govt","ISSUE_DT")</f>
        <v>4/30/1991</v>
      </c>
      <c r="P1473" t="str">
        <f>_xll.BDP("912827A5 Govt","SECURITY_NAME")</f>
        <v>T 7 04/30/93</v>
      </c>
      <c r="Q1473" t="str">
        <f>_xll.BDP("912827A5 Govt","DAY_CNT_DES")</f>
        <v>ACT/ACT</v>
      </c>
      <c r="R1473">
        <v>100</v>
      </c>
      <c r="S1473" t="str">
        <f>_xll.BDP("912827A5 Govt","ID_CUSIP")</f>
        <v>912827A51</v>
      </c>
      <c r="T1473" t="str">
        <f>_xll.BDP("912827A5 Govt","IDX_RATIO")</f>
        <v>#N/A Field Not Applicable</v>
      </c>
    </row>
    <row r="1474" spans="1:20" x14ac:dyDescent="0.25">
      <c r="A1474" t="s">
        <v>14</v>
      </c>
      <c r="B1474" t="str">
        <f>_xll.BDP("912827A6 Govt","TICKER")</f>
        <v>T</v>
      </c>
      <c r="C1474">
        <f>_xll.BDP("912827A6 Govt","CPN")</f>
        <v>7.625</v>
      </c>
      <c r="D1474" t="str">
        <f>_xll.BDP("912827A6 Govt","YLD_YTM_BID")</f>
        <v>#N/A N/A</v>
      </c>
      <c r="E1474" t="str">
        <f>_xll.BDP("912827A6 Govt","MATURITY")</f>
        <v>4/30/1996</v>
      </c>
      <c r="F1474" t="str">
        <f>_xll.BDP("912827A6 Govt","MTY_TYP")</f>
        <v>NORMAL</v>
      </c>
      <c r="G1474" t="str">
        <f>_xll.BDP("912827A6 Govt","CRNCY")</f>
        <v>USD</v>
      </c>
      <c r="H1474" t="str">
        <f>_xll.BDP("912827A6 Govt","COUNTRY_FULL_NAME")</f>
        <v>UNITED STATES</v>
      </c>
      <c r="I1474" t="str">
        <f>_xll.BDP("912827A6 Govt","FIRST_CPN_DT")</f>
        <v>10/31/1991</v>
      </c>
      <c r="J1474" t="str">
        <f>_xll.BDP("912827A6 Govt","COUPON_FREQUENCY_DESCRIPTION")</f>
        <v>S/A</v>
      </c>
      <c r="K1474" t="str">
        <f>_xll.BDP("912827A6 Govt","CPN_TYP")</f>
        <v>FIXED</v>
      </c>
      <c r="L1474" t="str">
        <f>_xll.BDP("912827A6 Govt","ID_ISIN")</f>
        <v>US912827A695</v>
      </c>
      <c r="N1474">
        <v>0</v>
      </c>
      <c r="O1474" t="str">
        <f>_xll.BDP("912827A6 Govt","ISSUE_DT")</f>
        <v>4/30/1991</v>
      </c>
      <c r="P1474" t="str">
        <f>_xll.BDP("912827A6 Govt","SECURITY_NAME")</f>
        <v>T 7 5/8 04/30/96</v>
      </c>
      <c r="Q1474" t="str">
        <f>_xll.BDP("912827A6 Govt","DAY_CNT_DES")</f>
        <v>ACT/ACT</v>
      </c>
      <c r="R1474">
        <v>100</v>
      </c>
      <c r="S1474" t="str">
        <f>_xll.BDP("912827A6 Govt","ID_CUSIP")</f>
        <v>912827A69</v>
      </c>
      <c r="T1474" t="str">
        <f>_xll.BDP("912827A6 Govt","IDX_RATIO")</f>
        <v>#N/A Field Not Applicable</v>
      </c>
    </row>
    <row r="1475" spans="1:20" x14ac:dyDescent="0.25">
      <c r="A1475" t="s">
        <v>14</v>
      </c>
      <c r="B1475" t="str">
        <f>_xll.BDP("912827B2 Govt","TICKER")</f>
        <v>T</v>
      </c>
      <c r="C1475">
        <f>_xll.BDP("912827B2 Govt","CPN")</f>
        <v>7.625</v>
      </c>
      <c r="D1475" t="str">
        <f>_xll.BDP("912827B2 Govt","YLD_YTM_BID")</f>
        <v>#N/A N/A</v>
      </c>
      <c r="E1475" t="str">
        <f>_xll.BDP("912827B2 Govt","MATURITY")</f>
        <v>5/31/1996</v>
      </c>
      <c r="F1475" t="str">
        <f>_xll.BDP("912827B2 Govt","MTY_TYP")</f>
        <v>NORMAL</v>
      </c>
      <c r="G1475" t="str">
        <f>_xll.BDP("912827B2 Govt","CRNCY")</f>
        <v>USD</v>
      </c>
      <c r="H1475" t="str">
        <f>_xll.BDP("912827B2 Govt","COUNTRY_FULL_NAME")</f>
        <v>UNITED STATES</v>
      </c>
      <c r="I1475" t="str">
        <f>_xll.BDP("912827B2 Govt","FIRST_CPN_DT")</f>
        <v>11/30/1991</v>
      </c>
      <c r="J1475" t="str">
        <f>_xll.BDP("912827B2 Govt","COUPON_FREQUENCY_DESCRIPTION")</f>
        <v>S/A</v>
      </c>
      <c r="K1475" t="str">
        <f>_xll.BDP("912827B2 Govt","CPN_TYP")</f>
        <v>FIXED</v>
      </c>
      <c r="L1475" t="str">
        <f>_xll.BDP("912827B2 Govt","ID_ISIN")</f>
        <v>US912827B271</v>
      </c>
      <c r="N1475">
        <v>0</v>
      </c>
      <c r="O1475" t="str">
        <f>_xll.BDP("912827B2 Govt","ISSUE_DT")</f>
        <v>5/31/1991</v>
      </c>
      <c r="P1475" t="str">
        <f>_xll.BDP("912827B2 Govt","SECURITY_NAME")</f>
        <v>T 7 5/8 05/31/96</v>
      </c>
      <c r="Q1475" t="str">
        <f>_xll.BDP("912827B2 Govt","DAY_CNT_DES")</f>
        <v>ACT/ACT</v>
      </c>
      <c r="R1475">
        <v>100</v>
      </c>
      <c r="S1475" t="str">
        <f>_xll.BDP("912827B2 Govt","ID_CUSIP")</f>
        <v>912827B27</v>
      </c>
      <c r="T1475" t="str">
        <f>_xll.BDP("912827B2 Govt","IDX_RATIO")</f>
        <v>#N/A Field Not Applicable</v>
      </c>
    </row>
    <row r="1476" spans="1:20" x14ac:dyDescent="0.25">
      <c r="A1476" t="s">
        <v>14</v>
      </c>
      <c r="B1476" t="str">
        <f>_xll.BDP("912827B4 Govt","TICKER")</f>
        <v>T</v>
      </c>
      <c r="C1476">
        <f>_xll.BDP("912827B4 Govt","CPN")</f>
        <v>7.875</v>
      </c>
      <c r="D1476" t="str">
        <f>_xll.BDP("912827B4 Govt","YLD_YTM_BID")</f>
        <v>#N/A N/A</v>
      </c>
      <c r="E1476" t="str">
        <f>_xll.BDP("912827B4 Govt","MATURITY")</f>
        <v>6/30/1996</v>
      </c>
      <c r="F1476" t="str">
        <f>_xll.BDP("912827B4 Govt","MTY_TYP")</f>
        <v>NORMAL</v>
      </c>
      <c r="G1476" t="str">
        <f>_xll.BDP("912827B4 Govt","CRNCY")</f>
        <v>USD</v>
      </c>
      <c r="H1476" t="str">
        <f>_xll.BDP("912827B4 Govt","COUNTRY_FULL_NAME")</f>
        <v>UNITED STATES</v>
      </c>
      <c r="I1476" t="str">
        <f>_xll.BDP("912827B4 Govt","FIRST_CPN_DT")</f>
        <v>12/31/1991</v>
      </c>
      <c r="J1476" t="str">
        <f>_xll.BDP("912827B4 Govt","COUPON_FREQUENCY_DESCRIPTION")</f>
        <v>S/A</v>
      </c>
      <c r="K1476" t="str">
        <f>_xll.BDP("912827B4 Govt","CPN_TYP")</f>
        <v>FIXED</v>
      </c>
      <c r="L1476" t="str">
        <f>_xll.BDP("912827B4 Govt","ID_ISIN")</f>
        <v>US912827B438</v>
      </c>
      <c r="N1476">
        <v>0</v>
      </c>
      <c r="O1476" t="str">
        <f>_xll.BDP("912827B4 Govt","ISSUE_DT")</f>
        <v>7/1/1991</v>
      </c>
      <c r="P1476" t="str">
        <f>_xll.BDP("912827B4 Govt","SECURITY_NAME")</f>
        <v>T 7 7/8 06/30/96</v>
      </c>
      <c r="Q1476" t="str">
        <f>_xll.BDP("912827B4 Govt","DAY_CNT_DES")</f>
        <v>ACT/ACT</v>
      </c>
      <c r="R1476">
        <v>100</v>
      </c>
      <c r="S1476" t="str">
        <f>_xll.BDP("912827B4 Govt","ID_CUSIP")</f>
        <v>912827B43</v>
      </c>
      <c r="T1476" t="str">
        <f>_xll.BDP("912827B4 Govt","IDX_RATIO")</f>
        <v>#N/A Field Not Applicable</v>
      </c>
    </row>
    <row r="1477" spans="1:20" x14ac:dyDescent="0.25">
      <c r="A1477" t="s">
        <v>14</v>
      </c>
      <c r="B1477" t="str">
        <f>_xll.BDP("912827B5 Govt","TICKER")</f>
        <v>T</v>
      </c>
      <c r="C1477">
        <f>_xll.BDP("912827B5 Govt","CPN")</f>
        <v>8.25</v>
      </c>
      <c r="D1477" t="str">
        <f>_xll.BDP("912827B5 Govt","YLD_YTM_BID")</f>
        <v>#N/A N/A</v>
      </c>
      <c r="E1477" t="str">
        <f>_xll.BDP("912827B5 Govt","MATURITY")</f>
        <v>7/15/1998</v>
      </c>
      <c r="F1477" t="str">
        <f>_xll.BDP("912827B5 Govt","MTY_TYP")</f>
        <v>NORMAL</v>
      </c>
      <c r="G1477" t="str">
        <f>_xll.BDP("912827B5 Govt","CRNCY")</f>
        <v>USD</v>
      </c>
      <c r="H1477" t="str">
        <f>_xll.BDP("912827B5 Govt","COUNTRY_FULL_NAME")</f>
        <v>UNITED STATES</v>
      </c>
      <c r="I1477" t="str">
        <f>_xll.BDP("912827B5 Govt","FIRST_CPN_DT")</f>
        <v>1/15/1992</v>
      </c>
      <c r="J1477" t="str">
        <f>_xll.BDP("912827B5 Govt","COUPON_FREQUENCY_DESCRIPTION")</f>
        <v>S/A</v>
      </c>
      <c r="K1477" t="str">
        <f>_xll.BDP("912827B5 Govt","CPN_TYP")</f>
        <v>FIXED</v>
      </c>
      <c r="L1477" t="str">
        <f>_xll.BDP("912827B5 Govt","ID_ISIN")</f>
        <v>US912827B503</v>
      </c>
      <c r="M1477">
        <v>9694000000</v>
      </c>
      <c r="N1477">
        <v>0</v>
      </c>
      <c r="O1477" t="str">
        <f>_xll.BDP("912827B5 Govt","ISSUE_DT")</f>
        <v>7/15/1991</v>
      </c>
      <c r="P1477" t="str">
        <f>_xll.BDP("912827B5 Govt","SECURITY_NAME")</f>
        <v>T 8 1/4 07/15/98</v>
      </c>
      <c r="Q1477" t="str">
        <f>_xll.BDP("912827B5 Govt","DAY_CNT_DES")</f>
        <v>ACT/ACT</v>
      </c>
      <c r="R1477">
        <v>100</v>
      </c>
      <c r="S1477" t="str">
        <f>_xll.BDP("912827B5 Govt","ID_CUSIP")</f>
        <v>912827B50</v>
      </c>
      <c r="T1477" t="str">
        <f>_xll.BDP("912827B5 Govt","IDX_RATIO")</f>
        <v>#N/A Field Not Applicable</v>
      </c>
    </row>
    <row r="1478" spans="1:20" x14ac:dyDescent="0.25">
      <c r="A1478" t="s">
        <v>14</v>
      </c>
      <c r="B1478" t="str">
        <f>_xll.BDP("912827B8 Govt","TICKER")</f>
        <v>T</v>
      </c>
      <c r="C1478">
        <f>_xll.BDP("912827B8 Govt","CPN")</f>
        <v>6.875</v>
      </c>
      <c r="D1478" t="str">
        <f>_xll.BDP("912827B8 Govt","YLD_YTM_BID")</f>
        <v>#N/A N/A</v>
      </c>
      <c r="E1478" t="str">
        <f>_xll.BDP("912827B8 Govt","MATURITY")</f>
        <v>8/15/1994</v>
      </c>
      <c r="F1478" t="str">
        <f>_xll.BDP("912827B8 Govt","MTY_TYP")</f>
        <v>NORMAL</v>
      </c>
      <c r="G1478" t="str">
        <f>_xll.BDP("912827B8 Govt","CRNCY")</f>
        <v>USD</v>
      </c>
      <c r="H1478" t="str">
        <f>_xll.BDP("912827B8 Govt","COUNTRY_FULL_NAME")</f>
        <v>UNITED STATES</v>
      </c>
      <c r="I1478" t="str">
        <f>_xll.BDP("912827B8 Govt","FIRST_CPN_DT")</f>
        <v>2/15/1992</v>
      </c>
      <c r="J1478" t="str">
        <f>_xll.BDP("912827B8 Govt","COUPON_FREQUENCY_DESCRIPTION")</f>
        <v>S/A</v>
      </c>
      <c r="K1478" t="str">
        <f>_xll.BDP("912827B8 Govt","CPN_TYP")</f>
        <v>FIXED</v>
      </c>
      <c r="L1478" t="str">
        <f>_xll.BDP("912827B8 Govt","ID_ISIN")</f>
        <v>US912827B842</v>
      </c>
      <c r="N1478">
        <v>0</v>
      </c>
      <c r="O1478" t="str">
        <f>_xll.BDP("912827B8 Govt","ISSUE_DT")</f>
        <v>8/15/1991</v>
      </c>
      <c r="P1478" t="str">
        <f>_xll.BDP("912827B8 Govt","SECURITY_NAME")</f>
        <v>T 6 7/8 08/15/94</v>
      </c>
      <c r="Q1478" t="str">
        <f>_xll.BDP("912827B8 Govt","DAY_CNT_DES")</f>
        <v>ACT/ACT</v>
      </c>
      <c r="R1478">
        <v>100</v>
      </c>
      <c r="S1478" t="str">
        <f>_xll.BDP("912827B8 Govt","ID_CUSIP")</f>
        <v>912827B84</v>
      </c>
      <c r="T1478" t="str">
        <f>_xll.BDP("912827B8 Govt","IDX_RATIO")</f>
        <v>#N/A Field Not Applicable</v>
      </c>
    </row>
    <row r="1479" spans="1:20" x14ac:dyDescent="0.25">
      <c r="A1479" t="s">
        <v>14</v>
      </c>
      <c r="B1479" t="str">
        <f>_xll.BDP("912827C2 Govt","TICKER")</f>
        <v>T</v>
      </c>
      <c r="C1479">
        <f>_xll.BDP("912827C2 Govt","CPN")</f>
        <v>6.375</v>
      </c>
      <c r="D1479" t="str">
        <f>_xll.BDP("912827C2 Govt","YLD_YTM_BID")</f>
        <v>#N/A N/A</v>
      </c>
      <c r="E1479" t="str">
        <f>_xll.BDP("912827C2 Govt","MATURITY")</f>
        <v>8/31/1993</v>
      </c>
      <c r="F1479" t="str">
        <f>_xll.BDP("912827C2 Govt","MTY_TYP")</f>
        <v>NORMAL</v>
      </c>
      <c r="G1479" t="str">
        <f>_xll.BDP("912827C2 Govt","CRNCY")</f>
        <v>USD</v>
      </c>
      <c r="H1479" t="str">
        <f>_xll.BDP("912827C2 Govt","COUNTRY_FULL_NAME")</f>
        <v>UNITED STATES</v>
      </c>
      <c r="I1479" t="str">
        <f>_xll.BDP("912827C2 Govt","FIRST_CPN_DT")</f>
        <v>2/29/1992</v>
      </c>
      <c r="J1479" t="str">
        <f>_xll.BDP("912827C2 Govt","COUPON_FREQUENCY_DESCRIPTION")</f>
        <v>S/A</v>
      </c>
      <c r="K1479" t="str">
        <f>_xll.BDP("912827C2 Govt","CPN_TYP")</f>
        <v>FIXED</v>
      </c>
      <c r="L1479" t="str">
        <f>_xll.BDP("912827C2 Govt","ID_ISIN")</f>
        <v>US912827C261</v>
      </c>
      <c r="N1479">
        <v>0</v>
      </c>
      <c r="O1479" t="str">
        <f>_xll.BDP("912827C2 Govt","ISSUE_DT")</f>
        <v>9/3/1991</v>
      </c>
      <c r="P1479" t="str">
        <f>_xll.BDP("912827C2 Govt","SECURITY_NAME")</f>
        <v>T 6 3/8 08/31/93</v>
      </c>
      <c r="Q1479" t="str">
        <f>_xll.BDP("912827C2 Govt","DAY_CNT_DES")</f>
        <v>ACT/ACT</v>
      </c>
      <c r="R1479">
        <v>100</v>
      </c>
      <c r="S1479" t="str">
        <f>_xll.BDP("912827C2 Govt","ID_CUSIP")</f>
        <v>912827C26</v>
      </c>
      <c r="T1479" t="str">
        <f>_xll.BDP("912827C2 Govt","IDX_RATIO")</f>
        <v>#N/A Field Not Applicable</v>
      </c>
    </row>
    <row r="1480" spans="1:20" x14ac:dyDescent="0.25">
      <c r="A1480" t="s">
        <v>14</v>
      </c>
      <c r="B1480" t="str">
        <f>_xll.BDP("912827C3 Govt","TICKER")</f>
        <v>T</v>
      </c>
      <c r="C1480">
        <f>_xll.BDP("912827C3 Govt","CPN")</f>
        <v>7.25</v>
      </c>
      <c r="D1480" t="str">
        <f>_xll.BDP("912827C3 Govt","YLD_YTM_BID")</f>
        <v>#N/A N/A</v>
      </c>
      <c r="E1480" t="str">
        <f>_xll.BDP("912827C3 Govt","MATURITY")</f>
        <v>8/31/1996</v>
      </c>
      <c r="F1480" t="str">
        <f>_xll.BDP("912827C3 Govt","MTY_TYP")</f>
        <v>NORMAL</v>
      </c>
      <c r="G1480" t="str">
        <f>_xll.BDP("912827C3 Govt","CRNCY")</f>
        <v>USD</v>
      </c>
      <c r="H1480" t="str">
        <f>_xll.BDP("912827C3 Govt","COUNTRY_FULL_NAME")</f>
        <v>UNITED STATES</v>
      </c>
      <c r="I1480" t="str">
        <f>_xll.BDP("912827C3 Govt","FIRST_CPN_DT")</f>
        <v>2/29/1992</v>
      </c>
      <c r="J1480" t="str">
        <f>_xll.BDP("912827C3 Govt","COUPON_FREQUENCY_DESCRIPTION")</f>
        <v>S/A</v>
      </c>
      <c r="K1480" t="str">
        <f>_xll.BDP("912827C3 Govt","CPN_TYP")</f>
        <v>FIXED</v>
      </c>
      <c r="L1480" t="str">
        <f>_xll.BDP("912827C3 Govt","ID_ISIN")</f>
        <v>US912827C345</v>
      </c>
      <c r="N1480">
        <v>0</v>
      </c>
      <c r="O1480" t="str">
        <f>_xll.BDP("912827C3 Govt","ISSUE_DT")</f>
        <v>9/3/1991</v>
      </c>
      <c r="P1480" t="str">
        <f>_xll.BDP("912827C3 Govt","SECURITY_NAME")</f>
        <v>T 7 1/4 08/31/96</v>
      </c>
      <c r="Q1480" t="str">
        <f>_xll.BDP("912827C3 Govt","DAY_CNT_DES")</f>
        <v>ACT/ACT</v>
      </c>
      <c r="R1480">
        <v>100</v>
      </c>
      <c r="S1480" t="str">
        <f>_xll.BDP("912827C3 Govt","ID_CUSIP")</f>
        <v>912827C34</v>
      </c>
      <c r="T1480" t="str">
        <f>_xll.BDP("912827C3 Govt","IDX_RATIO")</f>
        <v>#N/A Field Not Applicable</v>
      </c>
    </row>
    <row r="1481" spans="1:20" x14ac:dyDescent="0.25">
      <c r="A1481" t="s">
        <v>14</v>
      </c>
      <c r="B1481" t="str">
        <f>_xll.BDP("912827C5 Govt","TICKER")</f>
        <v>T</v>
      </c>
      <c r="C1481">
        <f>_xll.BDP("912827C5 Govt","CPN")</f>
        <v>7</v>
      </c>
      <c r="D1481" t="str">
        <f>_xll.BDP("912827C5 Govt","YLD_YTM_BID")</f>
        <v>#N/A N/A</v>
      </c>
      <c r="E1481" t="str">
        <f>_xll.BDP("912827C5 Govt","MATURITY")</f>
        <v>9/30/1996</v>
      </c>
      <c r="F1481" t="str">
        <f>_xll.BDP("912827C5 Govt","MTY_TYP")</f>
        <v>NORMAL</v>
      </c>
      <c r="G1481" t="str">
        <f>_xll.BDP("912827C5 Govt","CRNCY")</f>
        <v>USD</v>
      </c>
      <c r="H1481" t="str">
        <f>_xll.BDP("912827C5 Govt","COUNTRY_FULL_NAME")</f>
        <v>UNITED STATES</v>
      </c>
      <c r="I1481" t="str">
        <f>_xll.BDP("912827C5 Govt","FIRST_CPN_DT")</f>
        <v>3/31/1992</v>
      </c>
      <c r="J1481" t="str">
        <f>_xll.BDP("912827C5 Govt","COUPON_FREQUENCY_DESCRIPTION")</f>
        <v>S/A</v>
      </c>
      <c r="K1481" t="str">
        <f>_xll.BDP("912827C5 Govt","CPN_TYP")</f>
        <v>FIXED</v>
      </c>
      <c r="L1481" t="str">
        <f>_xll.BDP("912827C5 Govt","ID_ISIN")</f>
        <v>US912827C592</v>
      </c>
      <c r="N1481">
        <v>0</v>
      </c>
      <c r="O1481" t="str">
        <f>_xll.BDP("912827C5 Govt","ISSUE_DT")</f>
        <v>9/30/1991</v>
      </c>
      <c r="P1481" t="str">
        <f>_xll.BDP("912827C5 Govt","SECURITY_NAME")</f>
        <v>T 7 09/30/96</v>
      </c>
      <c r="Q1481" t="str">
        <f>_xll.BDP("912827C5 Govt","DAY_CNT_DES")</f>
        <v>ACT/ACT</v>
      </c>
      <c r="R1481">
        <v>100</v>
      </c>
      <c r="S1481" t="str">
        <f>_xll.BDP("912827C5 Govt","ID_CUSIP")</f>
        <v>912827C59</v>
      </c>
      <c r="T1481" t="str">
        <f>_xll.BDP("912827C5 Govt","IDX_RATIO")</f>
        <v>#N/A Field Not Applicable</v>
      </c>
    </row>
    <row r="1482" spans="1:20" x14ac:dyDescent="0.25">
      <c r="A1482" t="s">
        <v>14</v>
      </c>
      <c r="B1482" t="str">
        <f>_xll.BDP("912827C8 Govt","TICKER")</f>
        <v>T</v>
      </c>
      <c r="C1482">
        <f>_xll.BDP("912827C8 Govt","CPN")</f>
        <v>6.875</v>
      </c>
      <c r="D1482" t="str">
        <f>_xll.BDP("912827C8 Govt","YLD_YTM_BID")</f>
        <v>#N/A N/A</v>
      </c>
      <c r="E1482" t="str">
        <f>_xll.BDP("912827C8 Govt","MATURITY")</f>
        <v>10/31/1996</v>
      </c>
      <c r="F1482" t="str">
        <f>_xll.BDP("912827C8 Govt","MTY_TYP")</f>
        <v>NORMAL</v>
      </c>
      <c r="G1482" t="str">
        <f>_xll.BDP("912827C8 Govt","CRNCY")</f>
        <v>USD</v>
      </c>
      <c r="H1482" t="str">
        <f>_xll.BDP("912827C8 Govt","COUNTRY_FULL_NAME")</f>
        <v>UNITED STATES</v>
      </c>
      <c r="I1482" t="str">
        <f>_xll.BDP("912827C8 Govt","FIRST_CPN_DT")</f>
        <v>4/30/1992</v>
      </c>
      <c r="J1482" t="str">
        <f>_xll.BDP("912827C8 Govt","COUPON_FREQUENCY_DESCRIPTION")</f>
        <v>S/A</v>
      </c>
      <c r="K1482" t="str">
        <f>_xll.BDP("912827C8 Govt","CPN_TYP")</f>
        <v>FIXED</v>
      </c>
      <c r="L1482" t="str">
        <f>_xll.BDP("912827C8 Govt","ID_ISIN")</f>
        <v>US912827C832</v>
      </c>
      <c r="N1482">
        <v>0</v>
      </c>
      <c r="O1482" t="str">
        <f>_xll.BDP("912827C8 Govt","ISSUE_DT")</f>
        <v>10/31/1991</v>
      </c>
      <c r="P1482" t="str">
        <f>_xll.BDP("912827C8 Govt","SECURITY_NAME")</f>
        <v>T 6 7/8 10/31/96</v>
      </c>
      <c r="Q1482" t="str">
        <f>_xll.BDP("912827C8 Govt","DAY_CNT_DES")</f>
        <v>ACT/ACT</v>
      </c>
      <c r="R1482">
        <v>100</v>
      </c>
      <c r="S1482" t="str">
        <f>_xll.BDP("912827C8 Govt","ID_CUSIP")</f>
        <v>912827C83</v>
      </c>
      <c r="T1482" t="str">
        <f>_xll.BDP("912827C8 Govt","IDX_RATIO")</f>
        <v>#N/A Field Not Applicable</v>
      </c>
    </row>
    <row r="1483" spans="1:20" x14ac:dyDescent="0.25">
      <c r="A1483" t="s">
        <v>14</v>
      </c>
      <c r="B1483" t="str">
        <f>_xll.BDP("912827D3 Govt","TICKER")</f>
        <v>T</v>
      </c>
      <c r="C1483">
        <f>_xll.BDP("912827D3 Govt","CPN")</f>
        <v>5.5</v>
      </c>
      <c r="D1483" t="str">
        <f>_xll.BDP("912827D3 Govt","YLD_YTM_BID")</f>
        <v>#N/A N/A</v>
      </c>
      <c r="E1483" t="str">
        <f>_xll.BDP("912827D3 Govt","MATURITY")</f>
        <v>11/30/1993</v>
      </c>
      <c r="F1483" t="str">
        <f>_xll.BDP("912827D3 Govt","MTY_TYP")</f>
        <v>NORMAL</v>
      </c>
      <c r="G1483" t="str">
        <f>_xll.BDP("912827D3 Govt","CRNCY")</f>
        <v>USD</v>
      </c>
      <c r="H1483" t="str">
        <f>_xll.BDP("912827D3 Govt","COUNTRY_FULL_NAME")</f>
        <v>UNITED STATES</v>
      </c>
      <c r="I1483" t="str">
        <f>_xll.BDP("912827D3 Govt","FIRST_CPN_DT")</f>
        <v>5/31/1992</v>
      </c>
      <c r="J1483" t="str">
        <f>_xll.BDP("912827D3 Govt","COUPON_FREQUENCY_DESCRIPTION")</f>
        <v>S/A</v>
      </c>
      <c r="K1483" t="str">
        <f>_xll.BDP("912827D3 Govt","CPN_TYP")</f>
        <v>FIXED</v>
      </c>
      <c r="L1483" t="str">
        <f>_xll.BDP("912827D3 Govt","ID_ISIN")</f>
        <v>US912827D335</v>
      </c>
      <c r="N1483">
        <v>0</v>
      </c>
      <c r="O1483" t="str">
        <f>_xll.BDP("912827D3 Govt","ISSUE_DT")</f>
        <v>12/2/1991</v>
      </c>
      <c r="P1483" t="str">
        <f>_xll.BDP("912827D3 Govt","SECURITY_NAME")</f>
        <v>T 5 1/2 11/30/93</v>
      </c>
      <c r="Q1483" t="str">
        <f>_xll.BDP("912827D3 Govt","DAY_CNT_DES")</f>
        <v>ACT/ACT</v>
      </c>
      <c r="R1483">
        <v>100</v>
      </c>
      <c r="S1483" t="str">
        <f>_xll.BDP("912827D3 Govt","ID_CUSIP")</f>
        <v>912827D33</v>
      </c>
      <c r="T1483" t="str">
        <f>_xll.BDP("912827D3 Govt","IDX_RATIO")</f>
        <v>#N/A Field Not Applicable</v>
      </c>
    </row>
    <row r="1484" spans="1:20" x14ac:dyDescent="0.25">
      <c r="A1484" t="s">
        <v>14</v>
      </c>
      <c r="B1484" t="str">
        <f>_xll.BDP("912827D5 Govt","TICKER")</f>
        <v>T</v>
      </c>
      <c r="C1484">
        <f>_xll.BDP("912827D5 Govt","CPN")</f>
        <v>5</v>
      </c>
      <c r="D1484" t="str">
        <f>_xll.BDP("912827D5 Govt","YLD_YTM_BID")</f>
        <v>#N/A N/A</v>
      </c>
      <c r="E1484" t="str">
        <f>_xll.BDP("912827D5 Govt","MATURITY")</f>
        <v>12/31/1993</v>
      </c>
      <c r="F1484" t="str">
        <f>_xll.BDP("912827D5 Govt","MTY_TYP")</f>
        <v>NORMAL</v>
      </c>
      <c r="G1484" t="str">
        <f>_xll.BDP("912827D5 Govt","CRNCY")</f>
        <v>USD</v>
      </c>
      <c r="H1484" t="str">
        <f>_xll.BDP("912827D5 Govt","COUNTRY_FULL_NAME")</f>
        <v>UNITED STATES</v>
      </c>
      <c r="I1484" t="str">
        <f>_xll.BDP("912827D5 Govt","FIRST_CPN_DT")</f>
        <v>6/30/1992</v>
      </c>
      <c r="J1484" t="str">
        <f>_xll.BDP("912827D5 Govt","COUPON_FREQUENCY_DESCRIPTION")</f>
        <v>S/A</v>
      </c>
      <c r="K1484" t="str">
        <f>_xll.BDP("912827D5 Govt","CPN_TYP")</f>
        <v>FIXED</v>
      </c>
      <c r="L1484" t="str">
        <f>_xll.BDP("912827D5 Govt","ID_ISIN")</f>
        <v>US912827D582</v>
      </c>
      <c r="N1484">
        <v>0</v>
      </c>
      <c r="O1484" t="str">
        <f>_xll.BDP("912827D5 Govt","ISSUE_DT")</f>
        <v>12/31/1991</v>
      </c>
      <c r="P1484" t="str">
        <f>_xll.BDP("912827D5 Govt","SECURITY_NAME")</f>
        <v>T 5 12/31/93</v>
      </c>
      <c r="Q1484" t="str">
        <f>_xll.BDP("912827D5 Govt","DAY_CNT_DES")</f>
        <v>ACT/ACT</v>
      </c>
      <c r="R1484">
        <v>100</v>
      </c>
      <c r="S1484" t="str">
        <f>_xll.BDP("912827D5 Govt","ID_CUSIP")</f>
        <v>912827D58</v>
      </c>
      <c r="T1484" t="str">
        <f>_xll.BDP("912827D5 Govt","IDX_RATIO")</f>
        <v>#N/A Field Not Applicable</v>
      </c>
    </row>
    <row r="1485" spans="1:20" x14ac:dyDescent="0.25">
      <c r="A1485" t="s">
        <v>14</v>
      </c>
      <c r="B1485" t="str">
        <f>_xll.BDP("912827D8 Govt","TICKER")</f>
        <v>T</v>
      </c>
      <c r="C1485">
        <f>_xll.BDP("912827D8 Govt","CPN")</f>
        <v>4.875</v>
      </c>
      <c r="D1485" t="str">
        <f>_xll.BDP("912827D8 Govt","YLD_YTM_BID")</f>
        <v>#N/A N/A</v>
      </c>
      <c r="E1485" t="str">
        <f>_xll.BDP("912827D8 Govt","MATURITY")</f>
        <v>1/31/1994</v>
      </c>
      <c r="F1485" t="str">
        <f>_xll.BDP("912827D8 Govt","MTY_TYP")</f>
        <v>NORMAL</v>
      </c>
      <c r="G1485" t="str">
        <f>_xll.BDP("912827D8 Govt","CRNCY")</f>
        <v>USD</v>
      </c>
      <c r="H1485" t="str">
        <f>_xll.BDP("912827D8 Govt","COUNTRY_FULL_NAME")</f>
        <v>UNITED STATES</v>
      </c>
      <c r="I1485" t="str">
        <f>_xll.BDP("912827D8 Govt","FIRST_CPN_DT")</f>
        <v>7/31/1992</v>
      </c>
      <c r="J1485" t="str">
        <f>_xll.BDP("912827D8 Govt","COUPON_FREQUENCY_DESCRIPTION")</f>
        <v>S/A</v>
      </c>
      <c r="K1485" t="str">
        <f>_xll.BDP("912827D8 Govt","CPN_TYP")</f>
        <v>FIXED</v>
      </c>
      <c r="L1485" t="str">
        <f>_xll.BDP("912827D8 Govt","ID_ISIN")</f>
        <v>US912827D822</v>
      </c>
      <c r="N1485">
        <v>0</v>
      </c>
      <c r="O1485" t="str">
        <f>_xll.BDP("912827D8 Govt","ISSUE_DT")</f>
        <v>1/31/1992</v>
      </c>
      <c r="P1485" t="str">
        <f>_xll.BDP("912827D8 Govt","SECURITY_NAME")</f>
        <v>T 4 7/8 01/31/94</v>
      </c>
      <c r="Q1485" t="str">
        <f>_xll.BDP("912827D8 Govt","DAY_CNT_DES")</f>
        <v>ACT/ACT</v>
      </c>
      <c r="R1485">
        <v>100</v>
      </c>
      <c r="S1485" t="str">
        <f>_xll.BDP("912827D8 Govt","ID_CUSIP")</f>
        <v>912827D82</v>
      </c>
      <c r="T1485" t="str">
        <f>_xll.BDP("912827D8 Govt","IDX_RATIO")</f>
        <v>#N/A Field Not Applicable</v>
      </c>
    </row>
    <row r="1486" spans="1:20" x14ac:dyDescent="0.25">
      <c r="A1486" t="s">
        <v>14</v>
      </c>
      <c r="B1486" t="str">
        <f>_xll.BDP("912827G9 Govt","TICKER")</f>
        <v>T</v>
      </c>
      <c r="C1486">
        <f>_xll.BDP("912827G9 Govt","CPN")</f>
        <v>5.5</v>
      </c>
      <c r="D1486" t="str">
        <f>_xll.BDP("912827G9 Govt","YLD_YTM_BID")</f>
        <v>#N/A N/A</v>
      </c>
      <c r="E1486" t="str">
        <f>_xll.BDP("912827G9 Govt","MATURITY")</f>
        <v>9/30/1997</v>
      </c>
      <c r="F1486" t="str">
        <f>_xll.BDP("912827G9 Govt","MTY_TYP")</f>
        <v>NORMAL</v>
      </c>
      <c r="G1486" t="str">
        <f>_xll.BDP("912827G9 Govt","CRNCY")</f>
        <v>USD</v>
      </c>
      <c r="H1486" t="str">
        <f>_xll.BDP("912827G9 Govt","COUNTRY_FULL_NAME")</f>
        <v>UNITED STATES</v>
      </c>
      <c r="I1486" t="str">
        <f>_xll.BDP("912827G9 Govt","FIRST_CPN_DT")</f>
        <v>3/31/1993</v>
      </c>
      <c r="J1486" t="str">
        <f>_xll.BDP("912827G9 Govt","COUPON_FREQUENCY_DESCRIPTION")</f>
        <v>S/A</v>
      </c>
      <c r="K1486" t="str">
        <f>_xll.BDP("912827G9 Govt","CPN_TYP")</f>
        <v>FIXED</v>
      </c>
      <c r="L1486" t="str">
        <f>_xll.BDP("912827G9 Govt","ID_ISIN")</f>
        <v>US912827G973</v>
      </c>
      <c r="M1486">
        <v>12139000000</v>
      </c>
      <c r="N1486">
        <v>0</v>
      </c>
      <c r="O1486" t="str">
        <f>_xll.BDP("912827G9 Govt","ISSUE_DT")</f>
        <v>9/30/1992</v>
      </c>
      <c r="P1486" t="str">
        <f>_xll.BDP("912827G9 Govt","SECURITY_NAME")</f>
        <v>T 5 1/2 09/30/97</v>
      </c>
      <c r="Q1486" t="str">
        <f>_xll.BDP("912827G9 Govt","DAY_CNT_DES")</f>
        <v>ACT/ACT</v>
      </c>
      <c r="R1486">
        <v>100</v>
      </c>
      <c r="S1486" t="str">
        <f>_xll.BDP("912827G9 Govt","ID_CUSIP")</f>
        <v>912827G97</v>
      </c>
      <c r="T1486" t="str">
        <f>_xll.BDP("912827G9 Govt","IDX_RATIO")</f>
        <v>#N/A Field Not Applicable</v>
      </c>
    </row>
    <row r="1487" spans="1:20" x14ac:dyDescent="0.25">
      <c r="A1487" t="s">
        <v>14</v>
      </c>
      <c r="B1487" t="str">
        <f>_xll.BDP("912827H8 Govt","TICKER")</f>
        <v>T</v>
      </c>
      <c r="C1487">
        <f>_xll.BDP("912827H8 Govt","CPN")</f>
        <v>6</v>
      </c>
      <c r="D1487" t="str">
        <f>_xll.BDP("912827H8 Govt","YLD_YTM_BID")</f>
        <v>#N/A N/A</v>
      </c>
      <c r="E1487" t="str">
        <f>_xll.BDP("912827H8 Govt","MATURITY")</f>
        <v>11/30/1997</v>
      </c>
      <c r="F1487" t="str">
        <f>_xll.BDP("912827H8 Govt","MTY_TYP")</f>
        <v>NORMAL</v>
      </c>
      <c r="G1487" t="str">
        <f>_xll.BDP("912827H8 Govt","CRNCY")</f>
        <v>USD</v>
      </c>
      <c r="H1487" t="str">
        <f>_xll.BDP("912827H8 Govt","COUNTRY_FULL_NAME")</f>
        <v>UNITED STATES</v>
      </c>
      <c r="I1487" t="str">
        <f>_xll.BDP("912827H8 Govt","FIRST_CPN_DT")</f>
        <v>5/31/1993</v>
      </c>
      <c r="J1487" t="str">
        <f>_xll.BDP("912827H8 Govt","COUPON_FREQUENCY_DESCRIPTION")</f>
        <v>S/A</v>
      </c>
      <c r="K1487" t="str">
        <f>_xll.BDP("912827H8 Govt","CPN_TYP")</f>
        <v>FIXED</v>
      </c>
      <c r="L1487" t="str">
        <f>_xll.BDP("912827H8 Govt","ID_ISIN")</f>
        <v>US912827H880</v>
      </c>
      <c r="M1487">
        <v>11526000000</v>
      </c>
      <c r="N1487">
        <v>0</v>
      </c>
      <c r="O1487" t="str">
        <f>_xll.BDP("912827H8 Govt","ISSUE_DT")</f>
        <v>11/30/1992</v>
      </c>
      <c r="P1487" t="str">
        <f>_xll.BDP("912827H8 Govt","SECURITY_NAME")</f>
        <v>T 6 11/30/97</v>
      </c>
      <c r="Q1487" t="str">
        <f>_xll.BDP("912827H8 Govt","DAY_CNT_DES")</f>
        <v>ACT/ACT</v>
      </c>
      <c r="R1487">
        <v>100</v>
      </c>
      <c r="S1487" t="str">
        <f>_xll.BDP("912827H8 Govt","ID_CUSIP")</f>
        <v>912827H88</v>
      </c>
      <c r="T1487" t="str">
        <f>_xll.BDP("912827H8 Govt","IDX_RATIO")</f>
        <v>#N/A Field Not Applicable</v>
      </c>
    </row>
    <row r="1488" spans="1:20" x14ac:dyDescent="0.25">
      <c r="A1488" t="s">
        <v>14</v>
      </c>
      <c r="B1488" t="str">
        <f>_xll.BDP("912827J5 Govt","TICKER")</f>
        <v>T</v>
      </c>
      <c r="C1488">
        <f>_xll.BDP("912827J5 Govt","CPN")</f>
        <v>4.25</v>
      </c>
      <c r="D1488" t="str">
        <f>_xll.BDP("912827J5 Govt","YLD_YTM_BID")</f>
        <v>#N/A N/A</v>
      </c>
      <c r="E1488" t="str">
        <f>_xll.BDP("912827J5 Govt","MATURITY")</f>
        <v>1/31/1995</v>
      </c>
      <c r="F1488" t="str">
        <f>_xll.BDP("912827J5 Govt","MTY_TYP")</f>
        <v>NORMAL</v>
      </c>
      <c r="G1488" t="str">
        <f>_xll.BDP("912827J5 Govt","CRNCY")</f>
        <v>USD</v>
      </c>
      <c r="H1488" t="str">
        <f>_xll.BDP("912827J5 Govt","COUNTRY_FULL_NAME")</f>
        <v>UNITED STATES</v>
      </c>
      <c r="I1488" t="str">
        <f>_xll.BDP("912827J5 Govt","FIRST_CPN_DT")</f>
        <v>7/31/1993</v>
      </c>
      <c r="J1488" t="str">
        <f>_xll.BDP("912827J5 Govt","COUPON_FREQUENCY_DESCRIPTION")</f>
        <v>S/A</v>
      </c>
      <c r="K1488" t="str">
        <f>_xll.BDP("912827J5 Govt","CPN_TYP")</f>
        <v>FIXED</v>
      </c>
      <c r="L1488" t="str">
        <f>_xll.BDP("912827J5 Govt","ID_ISIN")</f>
        <v>US912827J522</v>
      </c>
      <c r="N1488">
        <v>0</v>
      </c>
      <c r="O1488" t="str">
        <f>_xll.BDP("912827J5 Govt","ISSUE_DT")</f>
        <v>2/1/1993</v>
      </c>
      <c r="P1488" t="str">
        <f>_xll.BDP("912827J5 Govt","SECURITY_NAME")</f>
        <v>T 4 1/4 01/31/95</v>
      </c>
      <c r="Q1488" t="str">
        <f>_xll.BDP("912827J5 Govt","DAY_CNT_DES")</f>
        <v>ACT/ACT</v>
      </c>
      <c r="R1488">
        <v>100</v>
      </c>
      <c r="S1488" t="str">
        <f>_xll.BDP("912827J5 Govt","ID_CUSIP")</f>
        <v>912827J52</v>
      </c>
      <c r="T1488" t="str">
        <f>_xll.BDP("912827J5 Govt","IDX_RATIO")</f>
        <v>#N/A Field Not Applicable</v>
      </c>
    </row>
    <row r="1489" spans="1:20" x14ac:dyDescent="0.25">
      <c r="A1489" t="s">
        <v>14</v>
      </c>
      <c r="B1489" t="str">
        <f>_xll.BDP("912827K2 Govt","TICKER")</f>
        <v>T</v>
      </c>
      <c r="C1489">
        <f>_xll.BDP("912827K2 Govt","CPN")</f>
        <v>3.875</v>
      </c>
      <c r="D1489" t="str">
        <f>_xll.BDP("912827K2 Govt","YLD_YTM_BID")</f>
        <v>#N/A N/A</v>
      </c>
      <c r="E1489" t="str">
        <f>_xll.BDP("912827K2 Govt","MATURITY")</f>
        <v>3/31/1995</v>
      </c>
      <c r="F1489" t="str">
        <f>_xll.BDP("912827K2 Govt","MTY_TYP")</f>
        <v>NORMAL</v>
      </c>
      <c r="G1489" t="str">
        <f>_xll.BDP("912827K2 Govt","CRNCY")</f>
        <v>USD</v>
      </c>
      <c r="H1489" t="str">
        <f>_xll.BDP("912827K2 Govt","COUNTRY_FULL_NAME")</f>
        <v>UNITED STATES</v>
      </c>
      <c r="I1489" t="str">
        <f>_xll.BDP("912827K2 Govt","FIRST_CPN_DT")</f>
        <v>9/30/1993</v>
      </c>
      <c r="J1489" t="str">
        <f>_xll.BDP("912827K2 Govt","COUPON_FREQUENCY_DESCRIPTION")</f>
        <v>S/A</v>
      </c>
      <c r="K1489" t="str">
        <f>_xll.BDP("912827K2 Govt","CPN_TYP")</f>
        <v>FIXED</v>
      </c>
      <c r="L1489" t="str">
        <f>_xll.BDP("912827K2 Govt","ID_ISIN")</f>
        <v>US912827K272</v>
      </c>
      <c r="N1489">
        <v>0</v>
      </c>
      <c r="O1489" t="str">
        <f>_xll.BDP("912827K2 Govt","ISSUE_DT")</f>
        <v>3/31/1993</v>
      </c>
      <c r="P1489" t="str">
        <f>_xll.BDP("912827K2 Govt","SECURITY_NAME")</f>
        <v>T 3 7/8 03/31/95</v>
      </c>
      <c r="Q1489" t="str">
        <f>_xll.BDP("912827K2 Govt","DAY_CNT_DES")</f>
        <v>ACT/ACT</v>
      </c>
      <c r="R1489">
        <v>100</v>
      </c>
      <c r="S1489" t="str">
        <f>_xll.BDP("912827K2 Govt","ID_CUSIP")</f>
        <v>912827K27</v>
      </c>
      <c r="T1489" t="str">
        <f>_xll.BDP("912827K2 Govt","IDX_RATIO")</f>
        <v>#N/A Field Not Applicable</v>
      </c>
    </row>
    <row r="1490" spans="1:20" x14ac:dyDescent="0.25">
      <c r="A1490" t="s">
        <v>14</v>
      </c>
      <c r="B1490" t="str">
        <f>_xll.BDP("912827K6 Govt","TICKER")</f>
        <v>T</v>
      </c>
      <c r="C1490">
        <f>_xll.BDP("912827K6 Govt","CPN")</f>
        <v>5.125</v>
      </c>
      <c r="D1490" t="str">
        <f>_xll.BDP("912827K6 Govt","YLD_YTM_BID")</f>
        <v>#N/A N/A</v>
      </c>
      <c r="E1490" t="str">
        <f>_xll.BDP("912827K6 Govt","MATURITY")</f>
        <v>4/30/1998</v>
      </c>
      <c r="F1490" t="str">
        <f>_xll.BDP("912827K6 Govt","MTY_TYP")</f>
        <v>NORMAL</v>
      </c>
      <c r="G1490" t="str">
        <f>_xll.BDP("912827K6 Govt","CRNCY")</f>
        <v>USD</v>
      </c>
      <c r="H1490" t="str">
        <f>_xll.BDP("912827K6 Govt","COUNTRY_FULL_NAME")</f>
        <v>UNITED STATES</v>
      </c>
      <c r="I1490" t="str">
        <f>_xll.BDP("912827K6 Govt","FIRST_CPN_DT")</f>
        <v>10/31/1993</v>
      </c>
      <c r="J1490" t="str">
        <f>_xll.BDP("912827K6 Govt","COUPON_FREQUENCY_DESCRIPTION")</f>
        <v>S/A</v>
      </c>
      <c r="K1490" t="str">
        <f>_xll.BDP("912827K6 Govt","CPN_TYP")</f>
        <v>FIXED</v>
      </c>
      <c r="L1490" t="str">
        <f>_xll.BDP("912827K6 Govt","ID_ISIN")</f>
        <v>US912827K686</v>
      </c>
      <c r="M1490">
        <v>12225000000</v>
      </c>
      <c r="N1490">
        <v>0</v>
      </c>
      <c r="O1490" t="str">
        <f>_xll.BDP("912827K6 Govt","ISSUE_DT")</f>
        <v>4/30/1993</v>
      </c>
      <c r="P1490" t="str">
        <f>_xll.BDP("912827K6 Govt","SECURITY_NAME")</f>
        <v>T 5 1/8 04/30/98</v>
      </c>
      <c r="Q1490" t="str">
        <f>_xll.BDP("912827K6 Govt","DAY_CNT_DES")</f>
        <v>ACT/ACT</v>
      </c>
      <c r="R1490">
        <v>100</v>
      </c>
      <c r="S1490" t="str">
        <f>_xll.BDP("912827K6 Govt","ID_CUSIP")</f>
        <v>912827K68</v>
      </c>
      <c r="T1490" t="str">
        <f>_xll.BDP("912827K6 Govt","IDX_RATIO")</f>
        <v>#N/A Field Not Applicable</v>
      </c>
    </row>
    <row r="1491" spans="1:20" x14ac:dyDescent="0.25">
      <c r="A1491" t="s">
        <v>14</v>
      </c>
      <c r="B1491" t="str">
        <f>_xll.BDP("912827LP Govt","TICKER")</f>
        <v>T</v>
      </c>
      <c r="C1491">
        <f>_xll.BDP("912827LP Govt","CPN")</f>
        <v>13.875</v>
      </c>
      <c r="D1491" t="str">
        <f>_xll.BDP("912827LP Govt","YLD_YTM_BID")</f>
        <v>#N/A N/A</v>
      </c>
      <c r="E1491" t="str">
        <f>_xll.BDP("912827LP Govt","MATURITY")</f>
        <v>2/28/1983</v>
      </c>
      <c r="F1491" t="str">
        <f>_xll.BDP("912827LP Govt","MTY_TYP")</f>
        <v>NORMAL</v>
      </c>
      <c r="G1491" t="str">
        <f>_xll.BDP("912827LP Govt","CRNCY")</f>
        <v>USD</v>
      </c>
      <c r="H1491" t="str">
        <f>_xll.BDP("912827LP Govt","COUNTRY_FULL_NAME")</f>
        <v>UNITED STATES</v>
      </c>
      <c r="I1491" t="str">
        <f>_xll.BDP("912827LP Govt","FIRST_CPN_DT")</f>
        <v>8/31/1981</v>
      </c>
      <c r="J1491" t="str">
        <f>_xll.BDP("912827LP Govt","COUPON_FREQUENCY_DESCRIPTION")</f>
        <v>S/A</v>
      </c>
      <c r="K1491" t="str">
        <f>_xll.BDP("912827LP Govt","CPN_TYP")</f>
        <v>FIXED</v>
      </c>
      <c r="L1491" t="str">
        <f>_xll.BDP("912827LP Govt","ID_ISIN")</f>
        <v>US912827LP54</v>
      </c>
      <c r="N1491">
        <v>0</v>
      </c>
      <c r="O1491" t="str">
        <f>_xll.BDP("912827LP Govt","ISSUE_DT")</f>
        <v>3/2/1981</v>
      </c>
      <c r="P1491" t="str">
        <f>_xll.BDP("912827LP Govt","SECURITY_NAME")</f>
        <v>T 13 7/8 02/28/83</v>
      </c>
      <c r="Q1491" t="str">
        <f>_xll.BDP("912827LP Govt","DAY_CNT_DES")</f>
        <v>ACT/ACT</v>
      </c>
      <c r="R1491">
        <v>100</v>
      </c>
      <c r="S1491" t="str">
        <f>_xll.BDP("912827LP Govt","ID_CUSIP")</f>
        <v>912827LP5</v>
      </c>
      <c r="T1491" t="str">
        <f>_xll.BDP("912827LP Govt","IDX_RATIO")</f>
        <v>#N/A Field Not Applicable</v>
      </c>
    </row>
    <row r="1492" spans="1:20" x14ac:dyDescent="0.25">
      <c r="A1492" t="s">
        <v>14</v>
      </c>
      <c r="B1492" t="str">
        <f>_xll.BDP("912827P8 Govt","TICKER")</f>
        <v>T</v>
      </c>
      <c r="C1492">
        <f>_xll.BDP("912827P8 Govt","CPN")</f>
        <v>7.25</v>
      </c>
      <c r="D1492" t="str">
        <f>_xll.BDP("912827P8 Govt","YLD_YTM_BID")</f>
        <v>#N/A N/A</v>
      </c>
      <c r="E1492" t="str">
        <f>_xll.BDP("912827P8 Govt","MATURITY")</f>
        <v>5/15/2004</v>
      </c>
      <c r="F1492" t="str">
        <f>_xll.BDP("912827P8 Govt","MTY_TYP")</f>
        <v>NORMAL</v>
      </c>
      <c r="G1492" t="str">
        <f>_xll.BDP("912827P8 Govt","CRNCY")</f>
        <v>USD</v>
      </c>
      <c r="H1492" t="str">
        <f>_xll.BDP("912827P8 Govt","COUNTRY_FULL_NAME")</f>
        <v>UNITED STATES</v>
      </c>
      <c r="I1492" t="str">
        <f>_xll.BDP("912827P8 Govt","FIRST_CPN_DT")</f>
        <v>11/15/1994</v>
      </c>
      <c r="J1492" t="str">
        <f>_xll.BDP("912827P8 Govt","COUPON_FREQUENCY_DESCRIPTION")</f>
        <v>S/A</v>
      </c>
      <c r="K1492" t="str">
        <f>_xll.BDP("912827P8 Govt","CPN_TYP")</f>
        <v>FIXED</v>
      </c>
      <c r="L1492" t="str">
        <f>_xll.BDP("912827P8 Govt","ID_ISIN")</f>
        <v>US912827P891</v>
      </c>
      <c r="M1492">
        <v>14440000000</v>
      </c>
      <c r="N1492">
        <v>0</v>
      </c>
      <c r="O1492" t="str">
        <f>_xll.BDP("912827P8 Govt","ISSUE_DT")</f>
        <v>5/16/1994</v>
      </c>
      <c r="P1492" t="str">
        <f>_xll.BDP("912827P8 Govt","SECURITY_NAME")</f>
        <v>T 7 1/4 05/15/04</v>
      </c>
      <c r="Q1492" t="str">
        <f>_xll.BDP("912827P8 Govt","DAY_CNT_DES")</f>
        <v>ACT/ACT</v>
      </c>
      <c r="R1492">
        <v>100</v>
      </c>
      <c r="S1492" t="str">
        <f>_xll.BDP("912827P8 Govt","ID_CUSIP")</f>
        <v>912827P89</v>
      </c>
      <c r="T1492" t="str">
        <f>_xll.BDP("912827P8 Govt","IDX_RATIO")</f>
        <v>#N/A Field Not Applicable</v>
      </c>
    </row>
    <row r="1493" spans="1:20" x14ac:dyDescent="0.25">
      <c r="A1493" t="s">
        <v>14</v>
      </c>
      <c r="B1493" t="str">
        <f>_xll.BDP("912827PY Govt","TICKER")</f>
        <v>T</v>
      </c>
      <c r="C1493">
        <f>_xll.BDP("912827PY Govt","CPN")</f>
        <v>10.875</v>
      </c>
      <c r="D1493" t="str">
        <f>_xll.BDP("912827PY Govt","YLD_YTM_BID")</f>
        <v>#N/A N/A</v>
      </c>
      <c r="E1493" t="str">
        <f>_xll.BDP("912827PY Govt","MATURITY")</f>
        <v>9/30/1985</v>
      </c>
      <c r="F1493" t="str">
        <f>_xll.BDP("912827PY Govt","MTY_TYP")</f>
        <v>NORMAL</v>
      </c>
      <c r="G1493" t="str">
        <f>_xll.BDP("912827PY Govt","CRNCY")</f>
        <v>USD</v>
      </c>
      <c r="H1493" t="str">
        <f>_xll.BDP("912827PY Govt","COUNTRY_FULL_NAME")</f>
        <v>UNITED STATES</v>
      </c>
      <c r="I1493" t="str">
        <f>_xll.BDP("912827PY Govt","FIRST_CPN_DT")</f>
        <v>3/31/1984</v>
      </c>
      <c r="J1493" t="str">
        <f>_xll.BDP("912827PY Govt","COUPON_FREQUENCY_DESCRIPTION")</f>
        <v>S/A</v>
      </c>
      <c r="K1493" t="str">
        <f>_xll.BDP("912827PY Govt","CPN_TYP")</f>
        <v>FIXED</v>
      </c>
      <c r="L1493" t="str">
        <f>_xll.BDP("912827PY Govt","ID_ISIN")</f>
        <v>US912827PY26</v>
      </c>
      <c r="N1493">
        <v>0</v>
      </c>
      <c r="O1493" t="str">
        <f>_xll.BDP("912827PY Govt","ISSUE_DT")</f>
        <v>9/30/1983</v>
      </c>
      <c r="P1493" t="str">
        <f>_xll.BDP("912827PY Govt","SECURITY_NAME")</f>
        <v>T 10 7/8 09/30/85</v>
      </c>
      <c r="Q1493" t="str">
        <f>_xll.BDP("912827PY Govt","DAY_CNT_DES")</f>
        <v>ACT/ACT</v>
      </c>
      <c r="R1493">
        <v>100</v>
      </c>
      <c r="S1493" t="str">
        <f>_xll.BDP("912827PY Govt","ID_CUSIP")</f>
        <v>912827PY2</v>
      </c>
      <c r="T1493" t="str">
        <f>_xll.BDP("912827PY Govt","IDX_RATIO")</f>
        <v>#N/A Field Not Applicable</v>
      </c>
    </row>
    <row r="1494" spans="1:20" x14ac:dyDescent="0.25">
      <c r="A1494" t="s">
        <v>14</v>
      </c>
      <c r="B1494" t="str">
        <f>_xll.BDP("912827Q3 Govt","TICKER")</f>
        <v>T</v>
      </c>
      <c r="C1494">
        <f>_xll.BDP("912827Q3 Govt","CPN")</f>
        <v>6</v>
      </c>
      <c r="D1494" t="str">
        <f>_xll.BDP("912827Q3 Govt","YLD_YTM_BID")</f>
        <v>#N/A N/A</v>
      </c>
      <c r="E1494" t="str">
        <f>_xll.BDP("912827Q3 Govt","MATURITY")</f>
        <v>6/30/1996</v>
      </c>
      <c r="F1494" t="str">
        <f>_xll.BDP("912827Q3 Govt","MTY_TYP")</f>
        <v>NORMAL</v>
      </c>
      <c r="G1494" t="str">
        <f>_xll.BDP("912827Q3 Govt","CRNCY")</f>
        <v>USD</v>
      </c>
      <c r="H1494" t="str">
        <f>_xll.BDP("912827Q3 Govt","COUNTRY_FULL_NAME")</f>
        <v>UNITED STATES</v>
      </c>
      <c r="I1494" t="str">
        <f>_xll.BDP("912827Q3 Govt","FIRST_CPN_DT")</f>
        <v>12/31/1994</v>
      </c>
      <c r="J1494" t="str">
        <f>_xll.BDP("912827Q3 Govt","COUPON_FREQUENCY_DESCRIPTION")</f>
        <v>S/A</v>
      </c>
      <c r="K1494" t="str">
        <f>_xll.BDP("912827Q3 Govt","CPN_TYP")</f>
        <v>FIXED</v>
      </c>
      <c r="L1494" t="str">
        <f>_xll.BDP("912827Q3 Govt","ID_ISIN")</f>
        <v>US912827Q394</v>
      </c>
      <c r="N1494">
        <v>0</v>
      </c>
      <c r="O1494" t="str">
        <f>_xll.BDP("912827Q3 Govt","ISSUE_DT")</f>
        <v>6/30/1994</v>
      </c>
      <c r="P1494" t="str">
        <f>_xll.BDP("912827Q3 Govt","SECURITY_NAME")</f>
        <v>T 6 06/30/96</v>
      </c>
      <c r="Q1494" t="str">
        <f>_xll.BDP("912827Q3 Govt","DAY_CNT_DES")</f>
        <v>ACT/ACT</v>
      </c>
      <c r="R1494">
        <v>100</v>
      </c>
      <c r="S1494" t="str">
        <f>_xll.BDP("912827Q3 Govt","ID_CUSIP")</f>
        <v>912827Q39</v>
      </c>
      <c r="T1494" t="str">
        <f>_xll.BDP("912827Q3 Govt","IDX_RATIO")</f>
        <v>#N/A Field Not Applicable</v>
      </c>
    </row>
    <row r="1495" spans="1:20" x14ac:dyDescent="0.25">
      <c r="A1495" t="s">
        <v>14</v>
      </c>
      <c r="B1495" t="str">
        <f>_xll.BDP("912827QF Govt","TICKER")</f>
        <v>T</v>
      </c>
      <c r="C1495">
        <f>_xll.BDP("912827QF Govt","CPN")</f>
        <v>11.375</v>
      </c>
      <c r="D1495" t="str">
        <f>_xll.BDP("912827QF Govt","YLD_YTM_BID")</f>
        <v>#N/A N/A</v>
      </c>
      <c r="E1495" t="str">
        <f>_xll.BDP("912827QF Govt","MATURITY")</f>
        <v>2/15/1989</v>
      </c>
      <c r="F1495" t="str">
        <f>_xll.BDP("912827QF Govt","MTY_TYP")</f>
        <v>NORMAL</v>
      </c>
      <c r="G1495" t="str">
        <f>_xll.BDP("912827QF Govt","CRNCY")</f>
        <v>USD</v>
      </c>
      <c r="H1495" t="str">
        <f>_xll.BDP("912827QF Govt","COUNTRY_FULL_NAME")</f>
        <v>UNITED STATES</v>
      </c>
      <c r="I1495" t="str">
        <f>_xll.BDP("912827QF Govt","FIRST_CPN_DT")</f>
        <v>8/15/1984</v>
      </c>
      <c r="J1495" t="str">
        <f>_xll.BDP("912827QF Govt","COUPON_FREQUENCY_DESCRIPTION")</f>
        <v>S/A</v>
      </c>
      <c r="K1495" t="str">
        <f>_xll.BDP("912827QF Govt","CPN_TYP")</f>
        <v>FIXED</v>
      </c>
      <c r="L1495" t="str">
        <f>_xll.BDP("912827QF Govt","ID_ISIN")</f>
        <v>US912827QF28</v>
      </c>
      <c r="N1495">
        <v>0</v>
      </c>
      <c r="O1495" t="str">
        <f>_xll.BDP("912827QF Govt","ISSUE_DT")</f>
        <v>12/1/1983</v>
      </c>
      <c r="P1495" t="str">
        <f>_xll.BDP("912827QF Govt","SECURITY_NAME")</f>
        <v>T 11 3/8 02/15/89</v>
      </c>
      <c r="Q1495" t="str">
        <f>_xll.BDP("912827QF Govt","DAY_CNT_DES")</f>
        <v>ACT/ACT</v>
      </c>
      <c r="R1495">
        <v>100</v>
      </c>
      <c r="S1495" t="str">
        <f>_xll.BDP("912827QF Govt","ID_CUSIP")</f>
        <v>912827QF2</v>
      </c>
      <c r="T1495" t="str">
        <f>_xll.BDP("912827QF Govt","IDX_RATIO")</f>
        <v>#N/A Field Not Applicable</v>
      </c>
    </row>
    <row r="1496" spans="1:20" x14ac:dyDescent="0.25">
      <c r="A1496" t="s">
        <v>14</v>
      </c>
      <c r="B1496" t="str">
        <f>_xll.BDP("912827QK Govt","TICKER")</f>
        <v>T</v>
      </c>
      <c r="C1496">
        <f>_xll.BDP("912827QK Govt","CPN")</f>
        <v>10.625</v>
      </c>
      <c r="D1496" t="str">
        <f>_xll.BDP("912827QK Govt","YLD_YTM_BID")</f>
        <v>#N/A N/A</v>
      </c>
      <c r="E1496" t="str">
        <f>_xll.BDP("912827QK Govt","MATURITY")</f>
        <v>1/31/1986</v>
      </c>
      <c r="F1496" t="str">
        <f>_xll.BDP("912827QK Govt","MTY_TYP")</f>
        <v>NORMAL</v>
      </c>
      <c r="G1496" t="str">
        <f>_xll.BDP("912827QK Govt","CRNCY")</f>
        <v>USD</v>
      </c>
      <c r="H1496" t="str">
        <f>_xll.BDP("912827QK Govt","COUNTRY_FULL_NAME")</f>
        <v>UNITED STATES</v>
      </c>
      <c r="I1496" t="str">
        <f>_xll.BDP("912827QK Govt","FIRST_CPN_DT")</f>
        <v>7/31/1984</v>
      </c>
      <c r="J1496" t="str">
        <f>_xll.BDP("912827QK Govt","COUPON_FREQUENCY_DESCRIPTION")</f>
        <v>S/A</v>
      </c>
      <c r="K1496" t="str">
        <f>_xll.BDP("912827QK Govt","CPN_TYP")</f>
        <v>FIXED</v>
      </c>
      <c r="L1496" t="str">
        <f>_xll.BDP("912827QK Govt","ID_ISIN")</f>
        <v>US912827QK13</v>
      </c>
      <c r="N1496">
        <v>0</v>
      </c>
      <c r="O1496" t="str">
        <f>_xll.BDP("912827QK Govt","ISSUE_DT")</f>
        <v>1/31/1984</v>
      </c>
      <c r="P1496" t="str">
        <f>_xll.BDP("912827QK Govt","SECURITY_NAME")</f>
        <v>T 10 5/8 01/31/86</v>
      </c>
      <c r="Q1496" t="str">
        <f>_xll.BDP("912827QK Govt","DAY_CNT_DES")</f>
        <v>ACT/ACT</v>
      </c>
      <c r="R1496">
        <v>100</v>
      </c>
      <c r="S1496" t="str">
        <f>_xll.BDP("912827QK Govt","ID_CUSIP")</f>
        <v>912827QK1</v>
      </c>
      <c r="T1496" t="str">
        <f>_xll.BDP("912827QK Govt","IDX_RATIO")</f>
        <v>#N/A Field Not Applicable</v>
      </c>
    </row>
    <row r="1497" spans="1:20" x14ac:dyDescent="0.25">
      <c r="A1497" t="s">
        <v>14</v>
      </c>
      <c r="B1497" t="str">
        <f>_xll.BDP("912827QU Govt","TICKER")</f>
        <v>T</v>
      </c>
      <c r="C1497">
        <f>_xll.BDP("912827QU Govt","CPN")</f>
        <v>13.125</v>
      </c>
      <c r="D1497" t="str">
        <f>_xll.BDP("912827QU Govt","YLD_YTM_BID")</f>
        <v>#N/A N/A</v>
      </c>
      <c r="E1497" t="str">
        <f>_xll.BDP("912827QU Govt","MATURITY")</f>
        <v>5/15/1994</v>
      </c>
      <c r="F1497" t="str">
        <f>_xll.BDP("912827QU Govt","MTY_TYP")</f>
        <v>NORMAL</v>
      </c>
      <c r="G1497" t="str">
        <f>_xll.BDP("912827QU Govt","CRNCY")</f>
        <v>USD</v>
      </c>
      <c r="H1497" t="str">
        <f>_xll.BDP("912827QU Govt","COUNTRY_FULL_NAME")</f>
        <v>UNITED STATES</v>
      </c>
      <c r="I1497" t="str">
        <f>_xll.BDP("912827QU Govt","FIRST_CPN_DT")</f>
        <v>11/15/1984</v>
      </c>
      <c r="J1497" t="str">
        <f>_xll.BDP("912827QU Govt","COUPON_FREQUENCY_DESCRIPTION")</f>
        <v>S/A</v>
      </c>
      <c r="K1497" t="str">
        <f>_xll.BDP("912827QU Govt","CPN_TYP")</f>
        <v>FIXED</v>
      </c>
      <c r="L1497" t="str">
        <f>_xll.BDP("912827QU Govt","ID_ISIN")</f>
        <v>US912827QU94</v>
      </c>
      <c r="N1497">
        <v>0</v>
      </c>
      <c r="O1497" t="str">
        <f>_xll.BDP("912827QU Govt","ISSUE_DT")</f>
        <v>5/15/1984</v>
      </c>
      <c r="P1497" t="str">
        <f>_xll.BDP("912827QU Govt","SECURITY_NAME")</f>
        <v>T 13 1/8 05/15/94</v>
      </c>
      <c r="Q1497" t="str">
        <f>_xll.BDP("912827QU Govt","DAY_CNT_DES")</f>
        <v>ACT/ACT</v>
      </c>
      <c r="R1497">
        <v>100</v>
      </c>
      <c r="S1497" t="str">
        <f>_xll.BDP("912827QU Govt","ID_CUSIP")</f>
        <v>912827QU9</v>
      </c>
      <c r="T1497" t="str">
        <f>_xll.BDP("912827QU Govt","IDX_RATIO")</f>
        <v>#N/A Field Not Applicable</v>
      </c>
    </row>
    <row r="1498" spans="1:20" x14ac:dyDescent="0.25">
      <c r="A1498" t="s">
        <v>14</v>
      </c>
      <c r="B1498" t="str">
        <f>_xll.BDP("912827QV Govt","TICKER")</f>
        <v>T</v>
      </c>
      <c r="C1498">
        <f>_xll.BDP("912827QV Govt","CPN")</f>
        <v>12.625</v>
      </c>
      <c r="D1498" t="str">
        <f>_xll.BDP("912827QV Govt","YLD_YTM_BID")</f>
        <v>#N/A N/A</v>
      </c>
      <c r="E1498" t="str">
        <f>_xll.BDP("912827QV Govt","MATURITY")</f>
        <v>5/31/1986</v>
      </c>
      <c r="F1498" t="str">
        <f>_xll.BDP("912827QV Govt","MTY_TYP")</f>
        <v>NORMAL</v>
      </c>
      <c r="G1498" t="str">
        <f>_xll.BDP("912827QV Govt","CRNCY")</f>
        <v>USD</v>
      </c>
      <c r="H1498" t="str">
        <f>_xll.BDP("912827QV Govt","COUNTRY_FULL_NAME")</f>
        <v>UNITED STATES</v>
      </c>
      <c r="I1498" t="str">
        <f>_xll.BDP("912827QV Govt","FIRST_CPN_DT")</f>
        <v>11/30/1984</v>
      </c>
      <c r="J1498" t="str">
        <f>_xll.BDP("912827QV Govt","COUPON_FREQUENCY_DESCRIPTION")</f>
        <v>S/A</v>
      </c>
      <c r="K1498" t="str">
        <f>_xll.BDP("912827QV Govt","CPN_TYP")</f>
        <v>FIXED</v>
      </c>
      <c r="L1498" t="str">
        <f>_xll.BDP("912827QV Govt","ID_ISIN")</f>
        <v>US912827QV77</v>
      </c>
      <c r="N1498">
        <v>0</v>
      </c>
      <c r="O1498" t="str">
        <f>_xll.BDP("912827QV Govt","ISSUE_DT")</f>
        <v>5/31/1984</v>
      </c>
      <c r="P1498" t="str">
        <f>_xll.BDP("912827QV Govt","SECURITY_NAME")</f>
        <v>T 12 5/8 05/31/86</v>
      </c>
      <c r="Q1498" t="str">
        <f>_xll.BDP("912827QV Govt","DAY_CNT_DES")</f>
        <v>ACT/ACT</v>
      </c>
      <c r="R1498">
        <v>100</v>
      </c>
      <c r="S1498" t="str">
        <f>_xll.BDP("912827QV Govt","ID_CUSIP")</f>
        <v>912827QV7</v>
      </c>
      <c r="T1498" t="str">
        <f>_xll.BDP("912827QV Govt","IDX_RATIO")</f>
        <v>#N/A Field Not Applicable</v>
      </c>
    </row>
    <row r="1499" spans="1:20" x14ac:dyDescent="0.25">
      <c r="A1499" t="s">
        <v>14</v>
      </c>
      <c r="B1499" t="str">
        <f>_xll.BDP("912827R4 Govt","TICKER")</f>
        <v>T</v>
      </c>
      <c r="C1499">
        <f>_xll.BDP("912827R4 Govt","CPN")</f>
        <v>7.125</v>
      </c>
      <c r="D1499" t="str">
        <f>_xll.BDP("912827R4 Govt","YLD_YTM_BID")</f>
        <v>#N/A N/A</v>
      </c>
      <c r="E1499" t="str">
        <f>_xll.BDP("912827R4 Govt","MATURITY")</f>
        <v>9/30/1999</v>
      </c>
      <c r="F1499" t="str">
        <f>_xll.BDP("912827R4 Govt","MTY_TYP")</f>
        <v>NORMAL</v>
      </c>
      <c r="G1499" t="str">
        <f>_xll.BDP("912827R4 Govt","CRNCY")</f>
        <v>USD</v>
      </c>
      <c r="H1499" t="str">
        <f>_xll.BDP("912827R4 Govt","COUNTRY_FULL_NAME")</f>
        <v>UNITED STATES</v>
      </c>
      <c r="I1499" t="str">
        <f>_xll.BDP("912827R4 Govt","FIRST_CPN_DT")</f>
        <v>3/31/1995</v>
      </c>
      <c r="J1499" t="str">
        <f>_xll.BDP("912827R4 Govt","COUPON_FREQUENCY_DESCRIPTION")</f>
        <v>S/A</v>
      </c>
      <c r="K1499" t="str">
        <f>_xll.BDP("912827R4 Govt","CPN_TYP")</f>
        <v>FIXED</v>
      </c>
      <c r="L1499" t="str">
        <f>_xll.BDP("912827R4 Govt","ID_ISIN")</f>
        <v>US912827R467</v>
      </c>
      <c r="M1499">
        <v>12836000000</v>
      </c>
      <c r="N1499">
        <v>0</v>
      </c>
      <c r="O1499" t="str">
        <f>_xll.BDP("912827R4 Govt","ISSUE_DT")</f>
        <v>9/30/1994</v>
      </c>
      <c r="P1499" t="str">
        <f>_xll.BDP("912827R4 Govt","SECURITY_NAME")</f>
        <v>T 7 1/8 09/30/99</v>
      </c>
      <c r="Q1499" t="str">
        <f>_xll.BDP("912827R4 Govt","DAY_CNT_DES")</f>
        <v>ACT/ACT</v>
      </c>
      <c r="R1499">
        <v>100</v>
      </c>
      <c r="S1499" t="str">
        <f>_xll.BDP("912827R4 Govt","ID_CUSIP")</f>
        <v>912827R46</v>
      </c>
      <c r="T1499" t="str">
        <f>_xll.BDP("912827R4 Govt","IDX_RATIO")</f>
        <v>#N/A Field Not Applicable</v>
      </c>
    </row>
    <row r="1500" spans="1:20" x14ac:dyDescent="0.25">
      <c r="A1500" t="s">
        <v>14</v>
      </c>
      <c r="B1500" t="str">
        <f>_xll.BDP("912827R6 Govt","TICKER")</f>
        <v>T</v>
      </c>
      <c r="C1500">
        <f>_xll.BDP("912827R6 Govt","CPN")</f>
        <v>7.5</v>
      </c>
      <c r="D1500" t="str">
        <f>_xll.BDP("912827R6 Govt","YLD_YTM_BID")</f>
        <v>#N/A N/A</v>
      </c>
      <c r="E1500" t="str">
        <f>_xll.BDP("912827R6 Govt","MATURITY")</f>
        <v>10/31/1999</v>
      </c>
      <c r="F1500" t="str">
        <f>_xll.BDP("912827R6 Govt","MTY_TYP")</f>
        <v>NORMAL</v>
      </c>
      <c r="G1500" t="str">
        <f>_xll.BDP("912827R6 Govt","CRNCY")</f>
        <v>USD</v>
      </c>
      <c r="H1500" t="str">
        <f>_xll.BDP("912827R6 Govt","COUNTRY_FULL_NAME")</f>
        <v>UNITED STATES</v>
      </c>
      <c r="I1500" t="str">
        <f>_xll.BDP("912827R6 Govt","FIRST_CPN_DT")</f>
        <v>4/30/1995</v>
      </c>
      <c r="J1500" t="str">
        <f>_xll.BDP("912827R6 Govt","COUPON_FREQUENCY_DESCRIPTION")</f>
        <v>S/A</v>
      </c>
      <c r="K1500" t="str">
        <f>_xll.BDP("912827R6 Govt","CPN_TYP")</f>
        <v>FIXED</v>
      </c>
      <c r="L1500" t="str">
        <f>_xll.BDP("912827R6 Govt","ID_ISIN")</f>
        <v>US912827R616</v>
      </c>
      <c r="M1500">
        <v>12152000000</v>
      </c>
      <c r="N1500">
        <v>0</v>
      </c>
      <c r="O1500" t="str">
        <f>_xll.BDP("912827R6 Govt","ISSUE_DT")</f>
        <v>10/31/1994</v>
      </c>
      <c r="P1500" t="str">
        <f>_xll.BDP("912827R6 Govt","SECURITY_NAME")</f>
        <v>T 7 1/2 10/31/99</v>
      </c>
      <c r="Q1500" t="str">
        <f>_xll.BDP("912827R6 Govt","DAY_CNT_DES")</f>
        <v>ACT/ACT</v>
      </c>
      <c r="R1500">
        <v>100</v>
      </c>
      <c r="S1500" t="str">
        <f>_xll.BDP("912827R6 Govt","ID_CUSIP")</f>
        <v>912827R61</v>
      </c>
      <c r="T1500" t="str">
        <f>_xll.BDP("912827R6 Govt","IDX_RATIO")</f>
        <v>#N/A Field Not Applicable</v>
      </c>
    </row>
    <row r="1501" spans="1:20" x14ac:dyDescent="0.25">
      <c r="A1501" t="s">
        <v>14</v>
      </c>
      <c r="B1501" t="str">
        <f>_xll.BDP("912827RG Govt","TICKER")</f>
        <v>T</v>
      </c>
      <c r="C1501">
        <f>_xll.BDP("912827RG Govt","CPN")</f>
        <v>12.25</v>
      </c>
      <c r="D1501" t="str">
        <f>_xll.BDP("912827RG Govt","YLD_YTM_BID")</f>
        <v>#N/A N/A</v>
      </c>
      <c r="E1501" t="str">
        <f>_xll.BDP("912827RG Govt","MATURITY")</f>
        <v>10/15/1991</v>
      </c>
      <c r="F1501" t="str">
        <f>_xll.BDP("912827RG Govt","MTY_TYP")</f>
        <v>NORMAL</v>
      </c>
      <c r="G1501" t="str">
        <f>_xll.BDP("912827RG Govt","CRNCY")</f>
        <v>USD</v>
      </c>
      <c r="H1501" t="str">
        <f>_xll.BDP("912827RG Govt","COUNTRY_FULL_NAME")</f>
        <v>UNITED STATES</v>
      </c>
      <c r="I1501" t="str">
        <f>_xll.BDP("912827RG Govt","FIRST_CPN_DT")</f>
        <v>4/15/1985</v>
      </c>
      <c r="J1501" t="str">
        <f>_xll.BDP("912827RG Govt","COUPON_FREQUENCY_DESCRIPTION")</f>
        <v>S/A</v>
      </c>
      <c r="K1501" t="str">
        <f>_xll.BDP("912827RG Govt","CPN_TYP")</f>
        <v>FIXED</v>
      </c>
      <c r="L1501" t="str">
        <f>_xll.BDP("912827RG Govt","ID_ISIN")</f>
        <v>US912827RG91</v>
      </c>
      <c r="N1501">
        <v>0</v>
      </c>
      <c r="O1501" t="str">
        <f>_xll.BDP("912827RG Govt","ISSUE_DT")</f>
        <v>10/23/1984</v>
      </c>
      <c r="P1501" t="str">
        <f>_xll.BDP("912827RG Govt","SECURITY_NAME")</f>
        <v>T 12 1/4 10/15/91</v>
      </c>
      <c r="Q1501" t="str">
        <f>_xll.BDP("912827RG Govt","DAY_CNT_DES")</f>
        <v>ACT/ACT</v>
      </c>
      <c r="R1501">
        <v>100</v>
      </c>
      <c r="S1501" t="str">
        <f>_xll.BDP("912827RG Govt","ID_CUSIP")</f>
        <v>912827RG9</v>
      </c>
      <c r="T1501" t="str">
        <f>_xll.BDP("912827RG Govt","IDX_RATIO")</f>
        <v>#N/A Field Not Applicable</v>
      </c>
    </row>
    <row r="1502" spans="1:20" x14ac:dyDescent="0.25">
      <c r="A1502" t="s">
        <v>14</v>
      </c>
      <c r="B1502" t="str">
        <f>_xll.BDP("912827RH Govt","TICKER")</f>
        <v>T</v>
      </c>
      <c r="C1502">
        <f>_xll.BDP("912827RH Govt","CPN")</f>
        <v>11.375</v>
      </c>
      <c r="D1502" t="str">
        <f>_xll.BDP("912827RH Govt","YLD_YTM_BID")</f>
        <v>#N/A N/A</v>
      </c>
      <c r="E1502" t="str">
        <f>_xll.BDP("912827RH Govt","MATURITY")</f>
        <v>9/30/1988</v>
      </c>
      <c r="F1502" t="str">
        <f>_xll.BDP("912827RH Govt","MTY_TYP")</f>
        <v>NORMAL</v>
      </c>
      <c r="G1502" t="str">
        <f>_xll.BDP("912827RH Govt","CRNCY")</f>
        <v>USD</v>
      </c>
      <c r="H1502" t="str">
        <f>_xll.BDP("912827RH Govt","COUNTRY_FULL_NAME")</f>
        <v>UNITED STATES</v>
      </c>
      <c r="I1502" t="str">
        <f>_xll.BDP("912827RH Govt","FIRST_CPN_DT")</f>
        <v>3/31/1985</v>
      </c>
      <c r="J1502" t="str">
        <f>_xll.BDP("912827RH Govt","COUPON_FREQUENCY_DESCRIPTION")</f>
        <v>S/A</v>
      </c>
      <c r="K1502" t="str">
        <f>_xll.BDP("912827RH Govt","CPN_TYP")</f>
        <v>FIXED</v>
      </c>
      <c r="L1502" t="str">
        <f>_xll.BDP("912827RH Govt","ID_ISIN")</f>
        <v>US912827RH74</v>
      </c>
      <c r="N1502">
        <v>0</v>
      </c>
      <c r="O1502" t="str">
        <f>_xll.BDP("912827RH Govt","ISSUE_DT")</f>
        <v>10/31/1984</v>
      </c>
      <c r="P1502" t="str">
        <f>_xll.BDP("912827RH Govt","SECURITY_NAME")</f>
        <v>T 11 3/8 09/30/88</v>
      </c>
      <c r="Q1502" t="str">
        <f>_xll.BDP("912827RH Govt","DAY_CNT_DES")</f>
        <v>ACT/ACT</v>
      </c>
      <c r="R1502">
        <v>100</v>
      </c>
      <c r="S1502" t="str">
        <f>_xll.BDP("912827RH Govt","ID_CUSIP")</f>
        <v>912827RH7</v>
      </c>
      <c r="T1502" t="str">
        <f>_xll.BDP("912827RH Govt","IDX_RATIO")</f>
        <v>#N/A Field Not Applicable</v>
      </c>
    </row>
    <row r="1503" spans="1:20" x14ac:dyDescent="0.25">
      <c r="A1503" t="s">
        <v>14</v>
      </c>
      <c r="B1503" t="str">
        <f>_xll.BDP("912827RL Govt","TICKER")</f>
        <v>T</v>
      </c>
      <c r="C1503">
        <f>_xll.BDP("912827RL Govt","CPN")</f>
        <v>11</v>
      </c>
      <c r="D1503" t="str">
        <f>_xll.BDP("912827RL Govt","YLD_YTM_BID")</f>
        <v>#N/A N/A</v>
      </c>
      <c r="E1503" t="str">
        <f>_xll.BDP("912827RL Govt","MATURITY")</f>
        <v>11/15/1987</v>
      </c>
      <c r="F1503" t="str">
        <f>_xll.BDP("912827RL Govt","MTY_TYP")</f>
        <v>NORMAL</v>
      </c>
      <c r="G1503" t="str">
        <f>_xll.BDP("912827RL Govt","CRNCY")</f>
        <v>USD</v>
      </c>
      <c r="H1503" t="str">
        <f>_xll.BDP("912827RL Govt","COUNTRY_FULL_NAME")</f>
        <v>UNITED STATES</v>
      </c>
      <c r="I1503" t="str">
        <f>_xll.BDP("912827RL Govt","FIRST_CPN_DT")</f>
        <v>5/15/1985</v>
      </c>
      <c r="J1503" t="str">
        <f>_xll.BDP("912827RL Govt","COUPON_FREQUENCY_DESCRIPTION")</f>
        <v>S/A</v>
      </c>
      <c r="K1503" t="str">
        <f>_xll.BDP("912827RL Govt","CPN_TYP")</f>
        <v>FIXED</v>
      </c>
      <c r="L1503" t="str">
        <f>_xll.BDP("912827RL Govt","ID_ISIN")</f>
        <v>US912827RL86</v>
      </c>
      <c r="N1503">
        <v>0</v>
      </c>
      <c r="O1503" t="str">
        <f>_xll.BDP("912827RL Govt","ISSUE_DT")</f>
        <v>11/15/1984</v>
      </c>
      <c r="P1503" t="str">
        <f>_xll.BDP("912827RL Govt","SECURITY_NAME")</f>
        <v>T 11 11/15/87</v>
      </c>
      <c r="Q1503" t="str">
        <f>_xll.BDP("912827RL Govt","DAY_CNT_DES")</f>
        <v>ACT/ACT</v>
      </c>
      <c r="R1503">
        <v>100</v>
      </c>
      <c r="S1503" t="str">
        <f>_xll.BDP("912827RL Govt","ID_CUSIP")</f>
        <v>912827RL8</v>
      </c>
      <c r="T1503" t="str">
        <f>_xll.BDP("912827RL Govt","IDX_RATIO")</f>
        <v>#N/A Field Not Applicable</v>
      </c>
    </row>
    <row r="1504" spans="1:20" x14ac:dyDescent="0.25">
      <c r="A1504" t="s">
        <v>14</v>
      </c>
      <c r="B1504" t="str">
        <f>_xll.BDP("912827S7 Govt","TICKER")</f>
        <v>T</v>
      </c>
      <c r="C1504">
        <f>_xll.BDP("912827S7 Govt","CPN")</f>
        <v>7.25</v>
      </c>
      <c r="D1504" t="str">
        <f>_xll.BDP("912827S7 Govt","YLD_YTM_BID")</f>
        <v>#N/A N/A</v>
      </c>
      <c r="E1504" t="str">
        <f>_xll.BDP("912827S7 Govt","MATURITY")</f>
        <v>2/15/1998</v>
      </c>
      <c r="F1504" t="str">
        <f>_xll.BDP("912827S7 Govt","MTY_TYP")</f>
        <v>NORMAL</v>
      </c>
      <c r="G1504" t="str">
        <f>_xll.BDP("912827S7 Govt","CRNCY")</f>
        <v>USD</v>
      </c>
      <c r="H1504" t="str">
        <f>_xll.BDP("912827S7 Govt","COUNTRY_FULL_NAME")</f>
        <v>UNITED STATES</v>
      </c>
      <c r="I1504" t="str">
        <f>_xll.BDP("912827S7 Govt","FIRST_CPN_DT")</f>
        <v>8/15/1995</v>
      </c>
      <c r="J1504" t="str">
        <f>_xll.BDP("912827S7 Govt","COUPON_FREQUENCY_DESCRIPTION")</f>
        <v>S/A</v>
      </c>
      <c r="K1504" t="str">
        <f>_xll.BDP("912827S7 Govt","CPN_TYP")</f>
        <v>FIXED</v>
      </c>
      <c r="L1504" t="str">
        <f>_xll.BDP("912827S7 Govt","ID_ISIN")</f>
        <v>US912827S788</v>
      </c>
      <c r="M1504">
        <v>21080000000</v>
      </c>
      <c r="N1504">
        <v>0</v>
      </c>
      <c r="O1504" t="str">
        <f>_xll.BDP("912827S7 Govt","ISSUE_DT")</f>
        <v>2/15/1995</v>
      </c>
      <c r="P1504" t="str">
        <f>_xll.BDP("912827S7 Govt","SECURITY_NAME")</f>
        <v>T 7 1/4 02/15/98</v>
      </c>
      <c r="Q1504" t="str">
        <f>_xll.BDP("912827S7 Govt","DAY_CNT_DES")</f>
        <v>ACT/ACT</v>
      </c>
      <c r="R1504">
        <v>100</v>
      </c>
      <c r="S1504" t="str">
        <f>_xll.BDP("912827S7 Govt","ID_CUSIP")</f>
        <v>912827S78</v>
      </c>
      <c r="T1504" t="str">
        <f>_xll.BDP("912827S7 Govt","IDX_RATIO")</f>
        <v>#N/A Field Not Applicable</v>
      </c>
    </row>
    <row r="1505" spans="1:20" x14ac:dyDescent="0.25">
      <c r="A1505" t="s">
        <v>14</v>
      </c>
      <c r="B1505" t="str">
        <f>_xll.BDP("912827T9 Govt","TICKER")</f>
        <v>T</v>
      </c>
      <c r="C1505">
        <f>_xll.BDP("912827T9 Govt","CPN")</f>
        <v>6.125</v>
      </c>
      <c r="D1505" t="str">
        <f>_xll.BDP("912827T9 Govt","YLD_YTM_BID")</f>
        <v>#N/A N/A</v>
      </c>
      <c r="E1505" t="str">
        <f>_xll.BDP("912827T9 Govt","MATURITY")</f>
        <v>5/31/1997</v>
      </c>
      <c r="F1505" t="str">
        <f>_xll.BDP("912827T9 Govt","MTY_TYP")</f>
        <v>NORMAL</v>
      </c>
      <c r="G1505" t="str">
        <f>_xll.BDP("912827T9 Govt","CRNCY")</f>
        <v>USD</v>
      </c>
      <c r="H1505" t="str">
        <f>_xll.BDP("912827T9 Govt","COUNTRY_FULL_NAME")</f>
        <v>UNITED STATES</v>
      </c>
      <c r="I1505" t="str">
        <f>_xll.BDP("912827T9 Govt","FIRST_CPN_DT")</f>
        <v>11/30/1995</v>
      </c>
      <c r="J1505" t="str">
        <f>_xll.BDP("912827T9 Govt","COUPON_FREQUENCY_DESCRIPTION")</f>
        <v>S/A</v>
      </c>
      <c r="K1505" t="str">
        <f>_xll.BDP("912827T9 Govt","CPN_TYP")</f>
        <v>FIXED</v>
      </c>
      <c r="L1505" t="str">
        <f>_xll.BDP("912827T9 Govt","ID_ISIN")</f>
        <v>US912827T935</v>
      </c>
      <c r="N1505">
        <v>0</v>
      </c>
      <c r="O1505" t="str">
        <f>_xll.BDP("912827T9 Govt","ISSUE_DT")</f>
        <v>5/31/1995</v>
      </c>
      <c r="P1505" t="str">
        <f>_xll.BDP("912827T9 Govt","SECURITY_NAME")</f>
        <v>T 6 1/8 05/31/97</v>
      </c>
      <c r="Q1505" t="str">
        <f>_xll.BDP("912827T9 Govt","DAY_CNT_DES")</f>
        <v>ACT/ACT</v>
      </c>
      <c r="R1505">
        <v>100</v>
      </c>
      <c r="S1505" t="str">
        <f>_xll.BDP("912827T9 Govt","ID_CUSIP")</f>
        <v>912827T93</v>
      </c>
      <c r="T1505" t="str">
        <f>_xll.BDP("912827T9 Govt","IDX_RATIO")</f>
        <v>#N/A Field Not Applicable</v>
      </c>
    </row>
    <row r="1506" spans="1:20" x14ac:dyDescent="0.25">
      <c r="A1506" t="s">
        <v>14</v>
      </c>
      <c r="B1506" t="str">
        <f>_xll.BDP("912827TC Govt","TICKER")</f>
        <v>T</v>
      </c>
      <c r="C1506">
        <f>_xll.BDP("912827TC Govt","CPN")</f>
        <v>8.75</v>
      </c>
      <c r="D1506" t="str">
        <f>_xll.BDP("912827TC Govt","YLD_YTM_BID")</f>
        <v>#N/A N/A</v>
      </c>
      <c r="E1506" t="str">
        <f>_xll.BDP("912827TC Govt","MATURITY")</f>
        <v>1/15/1993</v>
      </c>
      <c r="F1506" t="str">
        <f>_xll.BDP("912827TC Govt","MTY_TYP")</f>
        <v>NORMAL</v>
      </c>
      <c r="G1506" t="str">
        <f>_xll.BDP("912827TC Govt","CRNCY")</f>
        <v>USD</v>
      </c>
      <c r="H1506" t="str">
        <f>_xll.BDP("912827TC Govt","COUNTRY_FULL_NAME")</f>
        <v>UNITED STATES</v>
      </c>
      <c r="I1506" t="str">
        <f>_xll.BDP("912827TC Govt","FIRST_CPN_DT")</f>
        <v>7/15/1986</v>
      </c>
      <c r="J1506" t="str">
        <f>_xll.BDP("912827TC Govt","COUPON_FREQUENCY_DESCRIPTION")</f>
        <v>S/A</v>
      </c>
      <c r="K1506" t="str">
        <f>_xll.BDP("912827TC Govt","CPN_TYP")</f>
        <v>FIXED</v>
      </c>
      <c r="L1506" t="str">
        <f>_xll.BDP("912827TC Govt","ID_ISIN")</f>
        <v>US912827TC69</v>
      </c>
      <c r="N1506">
        <v>0</v>
      </c>
      <c r="O1506" t="str">
        <f>_xll.BDP("912827TC Govt","ISSUE_DT")</f>
        <v>1/15/1986</v>
      </c>
      <c r="P1506" t="str">
        <f>_xll.BDP("912827TC Govt","SECURITY_NAME")</f>
        <v>T 8 3/4 01/15/93</v>
      </c>
      <c r="Q1506" t="str">
        <f>_xll.BDP("912827TC Govt","DAY_CNT_DES")</f>
        <v>ACT/ACT</v>
      </c>
      <c r="R1506">
        <v>100</v>
      </c>
      <c r="S1506" t="str">
        <f>_xll.BDP("912827TC Govt","ID_CUSIP")</f>
        <v>912827TC6</v>
      </c>
      <c r="T1506" t="str">
        <f>_xll.BDP("912827TC Govt","IDX_RATIO")</f>
        <v>#N/A Field Not Applicable</v>
      </c>
    </row>
    <row r="1507" spans="1:20" x14ac:dyDescent="0.25">
      <c r="A1507" t="s">
        <v>14</v>
      </c>
      <c r="B1507" t="str">
        <f>_xll.BDP("912827TE Govt","TICKER")</f>
        <v>T</v>
      </c>
      <c r="C1507">
        <f>_xll.BDP("912827TE Govt","CPN")</f>
        <v>8</v>
      </c>
      <c r="D1507" t="str">
        <f>_xll.BDP("912827TE Govt","YLD_YTM_BID")</f>
        <v>#N/A N/A</v>
      </c>
      <c r="E1507" t="str">
        <f>_xll.BDP("912827TE Govt","MATURITY")</f>
        <v>2/15/1989</v>
      </c>
      <c r="F1507" t="str">
        <f>_xll.BDP("912827TE Govt","MTY_TYP")</f>
        <v>NORMAL</v>
      </c>
      <c r="G1507" t="str">
        <f>_xll.BDP("912827TE Govt","CRNCY")</f>
        <v>USD</v>
      </c>
      <c r="H1507" t="str">
        <f>_xll.BDP("912827TE Govt","COUNTRY_FULL_NAME")</f>
        <v>UNITED STATES</v>
      </c>
      <c r="I1507" t="str">
        <f>_xll.BDP("912827TE Govt","FIRST_CPN_DT")</f>
        <v>8/15/1986</v>
      </c>
      <c r="J1507" t="str">
        <f>_xll.BDP("912827TE Govt","COUPON_FREQUENCY_DESCRIPTION")</f>
        <v>S/A</v>
      </c>
      <c r="K1507" t="str">
        <f>_xll.BDP("912827TE Govt","CPN_TYP")</f>
        <v>FIXED</v>
      </c>
      <c r="L1507" t="str">
        <f>_xll.BDP("912827TE Govt","ID_ISIN")</f>
        <v>US912827TE26</v>
      </c>
      <c r="N1507">
        <v>0</v>
      </c>
      <c r="O1507" t="str">
        <f>_xll.BDP("912827TE Govt","ISSUE_DT")</f>
        <v>2/18/1986</v>
      </c>
      <c r="P1507" t="str">
        <f>_xll.BDP("912827TE Govt","SECURITY_NAME")</f>
        <v>T 8 02/15/89</v>
      </c>
      <c r="Q1507" t="str">
        <f>_xll.BDP("912827TE Govt","DAY_CNT_DES")</f>
        <v>ACT/ACT</v>
      </c>
      <c r="R1507">
        <v>100</v>
      </c>
      <c r="S1507" t="str">
        <f>_xll.BDP("912827TE Govt","ID_CUSIP")</f>
        <v>912827TE2</v>
      </c>
      <c r="T1507" t="str">
        <f>_xll.BDP("912827TE Govt","IDX_RATIO")</f>
        <v>#N/A Field Not Applicable</v>
      </c>
    </row>
    <row r="1508" spans="1:20" x14ac:dyDescent="0.25">
      <c r="A1508" t="s">
        <v>14</v>
      </c>
      <c r="B1508" t="str">
        <f>_xll.BDP("912827TK Govt","TICKER")</f>
        <v>T</v>
      </c>
      <c r="C1508">
        <f>_xll.BDP("912827TK Govt","CPN")</f>
        <v>7.125</v>
      </c>
      <c r="D1508" t="str">
        <f>_xll.BDP("912827TK Govt","YLD_YTM_BID")</f>
        <v>#N/A N/A</v>
      </c>
      <c r="E1508" t="str">
        <f>_xll.BDP("912827TK Govt","MATURITY")</f>
        <v>3/31/1988</v>
      </c>
      <c r="F1508" t="str">
        <f>_xll.BDP("912827TK Govt","MTY_TYP")</f>
        <v>NORMAL</v>
      </c>
      <c r="G1508" t="str">
        <f>_xll.BDP("912827TK Govt","CRNCY")</f>
        <v>USD</v>
      </c>
      <c r="H1508" t="str">
        <f>_xll.BDP("912827TK Govt","COUNTRY_FULL_NAME")</f>
        <v>UNITED STATES</v>
      </c>
      <c r="I1508" t="str">
        <f>_xll.BDP("912827TK Govt","FIRST_CPN_DT")</f>
        <v>9/30/1986</v>
      </c>
      <c r="J1508" t="str">
        <f>_xll.BDP("912827TK Govt","COUPON_FREQUENCY_DESCRIPTION")</f>
        <v>S/A</v>
      </c>
      <c r="K1508" t="str">
        <f>_xll.BDP("912827TK Govt","CPN_TYP")</f>
        <v>FIXED</v>
      </c>
      <c r="L1508" t="str">
        <f>_xll.BDP("912827TK Govt","ID_ISIN")</f>
        <v>US912827TK85</v>
      </c>
      <c r="N1508">
        <v>0</v>
      </c>
      <c r="O1508" t="str">
        <f>_xll.BDP("912827TK Govt","ISSUE_DT")</f>
        <v>3/31/1986</v>
      </c>
      <c r="P1508" t="str">
        <f>_xll.BDP("912827TK Govt","SECURITY_NAME")</f>
        <v>T 7 1/8 03/31/88</v>
      </c>
      <c r="Q1508" t="str">
        <f>_xll.BDP("912827TK Govt","DAY_CNT_DES")</f>
        <v>ACT/ACT</v>
      </c>
      <c r="R1508">
        <v>100</v>
      </c>
      <c r="S1508" t="str">
        <f>_xll.BDP("912827TK Govt","ID_CUSIP")</f>
        <v>912827TK8</v>
      </c>
      <c r="T1508" t="str">
        <f>_xll.BDP("912827TK Govt","IDX_RATIO")</f>
        <v>#N/A Field Not Applicable</v>
      </c>
    </row>
    <row r="1509" spans="1:20" x14ac:dyDescent="0.25">
      <c r="A1509" t="s">
        <v>14</v>
      </c>
      <c r="B1509" t="str">
        <f>_xll.BDP("912827TL Govt","TICKER")</f>
        <v>T</v>
      </c>
      <c r="C1509">
        <f>_xll.BDP("912827TL Govt","CPN")</f>
        <v>7.25</v>
      </c>
      <c r="D1509" t="str">
        <f>_xll.BDP("912827TL Govt","YLD_YTM_BID")</f>
        <v>#N/A N/A</v>
      </c>
      <c r="E1509" t="str">
        <f>_xll.BDP("912827TL Govt","MATURITY")</f>
        <v>3/31/1990</v>
      </c>
      <c r="F1509" t="str">
        <f>_xll.BDP("912827TL Govt","MTY_TYP")</f>
        <v>NORMAL</v>
      </c>
      <c r="G1509" t="str">
        <f>_xll.BDP("912827TL Govt","CRNCY")</f>
        <v>USD</v>
      </c>
      <c r="H1509" t="str">
        <f>_xll.BDP("912827TL Govt","COUNTRY_FULL_NAME")</f>
        <v>UNITED STATES</v>
      </c>
      <c r="I1509" t="str">
        <f>_xll.BDP("912827TL Govt","FIRST_CPN_DT")</f>
        <v>9/30/1986</v>
      </c>
      <c r="J1509" t="str">
        <f>_xll.BDP("912827TL Govt","COUPON_FREQUENCY_DESCRIPTION")</f>
        <v>S/A</v>
      </c>
      <c r="K1509" t="str">
        <f>_xll.BDP("912827TL Govt","CPN_TYP")</f>
        <v>FIXED</v>
      </c>
      <c r="L1509" t="str">
        <f>_xll.BDP("912827TL Govt","ID_ISIN")</f>
        <v>US912827TL68</v>
      </c>
      <c r="N1509">
        <v>0</v>
      </c>
      <c r="O1509" t="str">
        <f>_xll.BDP("912827TL Govt","ISSUE_DT")</f>
        <v>3/31/1986</v>
      </c>
      <c r="P1509" t="str">
        <f>_xll.BDP("912827TL Govt","SECURITY_NAME")</f>
        <v>T 7 1/4 03/31/90</v>
      </c>
      <c r="Q1509" t="str">
        <f>_xll.BDP("912827TL Govt","DAY_CNT_DES")</f>
        <v>ACT/ACT</v>
      </c>
      <c r="R1509">
        <v>100</v>
      </c>
      <c r="S1509" t="str">
        <f>_xll.BDP("912827TL Govt","ID_CUSIP")</f>
        <v>912827TL6</v>
      </c>
      <c r="T1509" t="str">
        <f>_xll.BDP("912827TL Govt","IDX_RATIO")</f>
        <v>#N/A Field Not Applicable</v>
      </c>
    </row>
    <row r="1510" spans="1:20" x14ac:dyDescent="0.25">
      <c r="A1510" t="s">
        <v>14</v>
      </c>
      <c r="B1510" t="str">
        <f>_xll.BDP("912827TV Govt","TICKER")</f>
        <v>T</v>
      </c>
      <c r="C1510">
        <f>_xll.BDP("912827TV Govt","CPN")</f>
        <v>7.25</v>
      </c>
      <c r="D1510" t="str">
        <f>_xll.BDP("912827TV Govt","YLD_YTM_BID")</f>
        <v>#N/A N/A</v>
      </c>
      <c r="E1510" t="str">
        <f>_xll.BDP("912827TV Govt","MATURITY")</f>
        <v>7/15/1993</v>
      </c>
      <c r="F1510" t="str">
        <f>_xll.BDP("912827TV Govt","MTY_TYP")</f>
        <v>NORMAL</v>
      </c>
      <c r="G1510" t="str">
        <f>_xll.BDP("912827TV Govt","CRNCY")</f>
        <v>USD</v>
      </c>
      <c r="H1510" t="str">
        <f>_xll.BDP("912827TV Govt","COUNTRY_FULL_NAME")</f>
        <v>UNITED STATES</v>
      </c>
      <c r="I1510" t="str">
        <f>_xll.BDP("912827TV Govt","FIRST_CPN_DT")</f>
        <v>1/15/1987</v>
      </c>
      <c r="J1510" t="str">
        <f>_xll.BDP("912827TV Govt","COUPON_FREQUENCY_DESCRIPTION")</f>
        <v>S/A</v>
      </c>
      <c r="K1510" t="str">
        <f>_xll.BDP("912827TV Govt","CPN_TYP")</f>
        <v>FIXED</v>
      </c>
      <c r="L1510" t="str">
        <f>_xll.BDP("912827TV Govt","ID_ISIN")</f>
        <v>US912827TV41</v>
      </c>
      <c r="N1510">
        <v>0</v>
      </c>
      <c r="O1510" t="str">
        <f>_xll.BDP("912827TV Govt","ISSUE_DT")</f>
        <v>7/7/1986</v>
      </c>
      <c r="P1510" t="str">
        <f>_xll.BDP("912827TV Govt","SECURITY_NAME")</f>
        <v>T 7 1/4 07/15/93</v>
      </c>
      <c r="Q1510" t="str">
        <f>_xll.BDP("912827TV Govt","DAY_CNT_DES")</f>
        <v>ACT/ACT</v>
      </c>
      <c r="R1510">
        <v>100</v>
      </c>
      <c r="S1510" t="str">
        <f>_xll.BDP("912827TV Govt","ID_CUSIP")</f>
        <v>912827TV4</v>
      </c>
      <c r="T1510" t="str">
        <f>_xll.BDP("912827TV Govt","IDX_RATIO")</f>
        <v>#N/A Field Not Applicable</v>
      </c>
    </row>
    <row r="1511" spans="1:20" x14ac:dyDescent="0.25">
      <c r="A1511" t="s">
        <v>14</v>
      </c>
      <c r="B1511" t="str">
        <f>_xll.BDP("912827U7 Govt","TICKER")</f>
        <v>T</v>
      </c>
      <c r="C1511">
        <f>_xll.BDP("912827U7 Govt","CPN")</f>
        <v>5.875</v>
      </c>
      <c r="D1511" t="str">
        <f>_xll.BDP("912827U7 Govt","YLD_YTM_BID")</f>
        <v>#N/A N/A</v>
      </c>
      <c r="E1511" t="str">
        <f>_xll.BDP("912827U7 Govt","MATURITY")</f>
        <v>8/15/1998</v>
      </c>
      <c r="F1511" t="str">
        <f>_xll.BDP("912827U7 Govt","MTY_TYP")</f>
        <v>NORMAL</v>
      </c>
      <c r="G1511" t="str">
        <f>_xll.BDP("912827U7 Govt","CRNCY")</f>
        <v>USD</v>
      </c>
      <c r="H1511" t="str">
        <f>_xll.BDP("912827U7 Govt","COUNTRY_FULL_NAME")</f>
        <v>UNITED STATES</v>
      </c>
      <c r="I1511" t="str">
        <f>_xll.BDP("912827U7 Govt","FIRST_CPN_DT")</f>
        <v>2/15/1996</v>
      </c>
      <c r="J1511" t="str">
        <f>_xll.BDP("912827U7 Govt","COUPON_FREQUENCY_DESCRIPTION")</f>
        <v>S/A</v>
      </c>
      <c r="K1511" t="str">
        <f>_xll.BDP("912827U7 Govt","CPN_TYP")</f>
        <v>FIXED</v>
      </c>
      <c r="L1511" t="str">
        <f>_xll.BDP("912827U7 Govt","ID_ISIN")</f>
        <v>US912827U750</v>
      </c>
      <c r="M1511">
        <v>22418000000</v>
      </c>
      <c r="N1511">
        <v>0</v>
      </c>
      <c r="O1511" t="str">
        <f>_xll.BDP("912827U7 Govt","ISSUE_DT")</f>
        <v>8/15/1995</v>
      </c>
      <c r="P1511" t="str">
        <f>_xll.BDP("912827U7 Govt","SECURITY_NAME")</f>
        <v>T 5 7/8 08/15/98</v>
      </c>
      <c r="Q1511" t="str">
        <f>_xll.BDP("912827U7 Govt","DAY_CNT_DES")</f>
        <v>ACT/ACT</v>
      </c>
      <c r="R1511">
        <v>100</v>
      </c>
      <c r="S1511" t="str">
        <f>_xll.BDP("912827U7 Govt","ID_CUSIP")</f>
        <v>912827U75</v>
      </c>
      <c r="T1511" t="str">
        <f>_xll.BDP("912827U7 Govt","IDX_RATIO")</f>
        <v>#N/A Field Not Applicable</v>
      </c>
    </row>
    <row r="1512" spans="1:20" x14ac:dyDescent="0.25">
      <c r="A1512" t="s">
        <v>14</v>
      </c>
      <c r="B1512" t="str">
        <f>_xll.BDP("912827UD Govt","TICKER")</f>
        <v>T</v>
      </c>
      <c r="C1512">
        <f>_xll.BDP("912827UD Govt","CPN")</f>
        <v>7.125</v>
      </c>
      <c r="D1512" t="str">
        <f>_xll.BDP("912827UD Govt","YLD_YTM_BID")</f>
        <v>#N/A N/A</v>
      </c>
      <c r="E1512" t="str">
        <f>_xll.BDP("912827UD Govt","MATURITY")</f>
        <v>10/15/1993</v>
      </c>
      <c r="F1512" t="str">
        <f>_xll.BDP("912827UD Govt","MTY_TYP")</f>
        <v>NORMAL</v>
      </c>
      <c r="G1512" t="str">
        <f>_xll.BDP("912827UD Govt","CRNCY")</f>
        <v>USD</v>
      </c>
      <c r="H1512" t="str">
        <f>_xll.BDP("912827UD Govt","COUNTRY_FULL_NAME")</f>
        <v>UNITED STATES</v>
      </c>
      <c r="I1512" t="str">
        <f>_xll.BDP("912827UD Govt","FIRST_CPN_DT")</f>
        <v>4/15/1987</v>
      </c>
      <c r="J1512" t="str">
        <f>_xll.BDP("912827UD Govt","COUPON_FREQUENCY_DESCRIPTION")</f>
        <v>S/A</v>
      </c>
      <c r="K1512" t="str">
        <f>_xll.BDP("912827UD Govt","CPN_TYP")</f>
        <v>FIXED</v>
      </c>
      <c r="L1512" t="str">
        <f>_xll.BDP("912827UD Govt","ID_ISIN")</f>
        <v>US912827UD24</v>
      </c>
      <c r="N1512">
        <v>0</v>
      </c>
      <c r="O1512" t="str">
        <f>_xll.BDP("912827UD Govt","ISSUE_DT")</f>
        <v>11/3/1986</v>
      </c>
      <c r="P1512" t="str">
        <f>_xll.BDP("912827UD Govt","SECURITY_NAME")</f>
        <v>T 7 1/8 10/15/93</v>
      </c>
      <c r="Q1512" t="str">
        <f>_xll.BDP("912827UD Govt","DAY_CNT_DES")</f>
        <v>ACT/ACT</v>
      </c>
      <c r="R1512">
        <v>100</v>
      </c>
      <c r="S1512" t="str">
        <f>_xll.BDP("912827UD Govt","ID_CUSIP")</f>
        <v>912827UD2</v>
      </c>
      <c r="T1512" t="str">
        <f>_xll.BDP("912827UD Govt","IDX_RATIO")</f>
        <v>#N/A Field Not Applicable</v>
      </c>
    </row>
    <row r="1513" spans="1:20" x14ac:dyDescent="0.25">
      <c r="A1513" t="s">
        <v>14</v>
      </c>
      <c r="B1513" t="str">
        <f>_xll.BDP("912810BG Govt","TICKER")</f>
        <v>T</v>
      </c>
      <c r="C1513">
        <f>_xll.BDP("912810BG Govt","CPN")</f>
        <v>3.5</v>
      </c>
      <c r="D1513" t="str">
        <f>_xll.BDP("912810BG Govt","YLD_YTM_BID")</f>
        <v>#N/A N/A</v>
      </c>
      <c r="E1513" t="str">
        <f>_xll.BDP("912810BG Govt","MATURITY")</f>
        <v>11/15/1998</v>
      </c>
      <c r="F1513" t="str">
        <f>_xll.BDP("912810BG Govt","MTY_TYP")</f>
        <v>NORMAL</v>
      </c>
      <c r="G1513" t="str">
        <f>_xll.BDP("912810BG Govt","CRNCY")</f>
        <v>USD</v>
      </c>
      <c r="H1513" t="str">
        <f>_xll.BDP("912810BG Govt","COUNTRY_FULL_NAME")</f>
        <v>UNITED STATES</v>
      </c>
      <c r="I1513" t="str">
        <f>_xll.BDP("912810BG Govt","FIRST_CPN_DT")</f>
        <v>11/15/1961</v>
      </c>
      <c r="J1513" t="str">
        <f>_xll.BDP("912810BG Govt","COUPON_FREQUENCY_DESCRIPTION")</f>
        <v>S/A</v>
      </c>
      <c r="K1513" t="str">
        <f>_xll.BDP("912810BG Govt","CPN_TYP")</f>
        <v>FIXED</v>
      </c>
      <c r="L1513" t="str">
        <f>_xll.BDP("912810BG Govt","ID_ISIN")</f>
        <v>US912810BG23</v>
      </c>
      <c r="M1513">
        <v>4463000000</v>
      </c>
      <c r="N1513">
        <v>0</v>
      </c>
      <c r="O1513" t="str">
        <f>_xll.BDP("912810BG Govt","ISSUE_DT")</f>
        <v>10/3/1960</v>
      </c>
      <c r="P1513" t="str">
        <f>_xll.BDP("912810BG Govt","SECURITY_NAME")</f>
        <v>T 3 1/2 11/15/98</v>
      </c>
      <c r="Q1513" t="str">
        <f>_xll.BDP("912810BG Govt","DAY_CNT_DES")</f>
        <v>ACT/ACT</v>
      </c>
      <c r="R1513">
        <v>100</v>
      </c>
      <c r="S1513" t="str">
        <f>_xll.BDP("912810BG Govt","ID_CUSIP")</f>
        <v>912810BG2</v>
      </c>
      <c r="T1513" t="str">
        <f>_xll.BDP("912810BG Govt","IDX_RATIO")</f>
        <v>#N/A Field Not Applicable</v>
      </c>
    </row>
    <row r="1514" spans="1:20" x14ac:dyDescent="0.25">
      <c r="A1514" t="s">
        <v>14</v>
      </c>
      <c r="B1514" t="str">
        <f>_xll.BDP("912810BZ Govt","TICKER")</f>
        <v>T</v>
      </c>
      <c r="C1514">
        <f>_xll.BDP("912810BZ Govt","CPN")</f>
        <v>7.875</v>
      </c>
      <c r="D1514" t="str">
        <f>_xll.BDP("912810BZ Govt","YLD_YTM_BID")</f>
        <v>#N/A N/A</v>
      </c>
      <c r="E1514" t="str">
        <f>_xll.BDP("912810BZ Govt","MATURITY")</f>
        <v>11/15/2007</v>
      </c>
      <c r="F1514" t="str">
        <f>_xll.BDP("912810BZ Govt","MTY_TYP")</f>
        <v>CALLABLE</v>
      </c>
      <c r="G1514" t="str">
        <f>_xll.BDP("912810BZ Govt","CRNCY")</f>
        <v>USD</v>
      </c>
      <c r="H1514" t="str">
        <f>_xll.BDP("912810BZ Govt","COUNTRY_FULL_NAME")</f>
        <v>UNITED STATES</v>
      </c>
      <c r="I1514" t="str">
        <f>_xll.BDP("912810BZ Govt","FIRST_CPN_DT")</f>
        <v>5/15/1978</v>
      </c>
      <c r="J1514" t="str">
        <f>_xll.BDP("912810BZ Govt","COUPON_FREQUENCY_DESCRIPTION")</f>
        <v>S/A</v>
      </c>
      <c r="K1514" t="str">
        <f>_xll.BDP("912810BZ Govt","CPN_TYP")</f>
        <v>FIXED</v>
      </c>
      <c r="L1514" t="str">
        <f>_xll.BDP("912810BZ Govt","ID_ISIN")</f>
        <v>US912810BZ04</v>
      </c>
      <c r="M1514">
        <v>1495000000</v>
      </c>
      <c r="N1514">
        <v>0</v>
      </c>
      <c r="O1514" t="str">
        <f>_xll.BDP("912810BZ Govt","ISSUE_DT")</f>
        <v>11/15/1977</v>
      </c>
      <c r="P1514" t="str">
        <f>_xll.BDP("912810BZ Govt","SECURITY_NAME")</f>
        <v>T 7 7/8 11/15/07</v>
      </c>
      <c r="Q1514" t="str">
        <f>_xll.BDP("912810BZ Govt","DAY_CNT_DES")</f>
        <v>ACT/ACT</v>
      </c>
      <c r="R1514">
        <v>100</v>
      </c>
      <c r="S1514" t="str">
        <f>_xll.BDP("912810BZ Govt","ID_CUSIP")</f>
        <v>912810BZ0</v>
      </c>
      <c r="T1514" t="str">
        <f>_xll.BDP("912810BZ Govt","IDX_RATIO")</f>
        <v>#N/A Field Not Applicable</v>
      </c>
    </row>
    <row r="1515" spans="1:20" x14ac:dyDescent="0.25">
      <c r="A1515" t="s">
        <v>14</v>
      </c>
      <c r="B1515" t="str">
        <f>_xll.BDP("912810CM Govt","TICKER")</f>
        <v>T</v>
      </c>
      <c r="C1515">
        <f>_xll.BDP("912810CM Govt","CPN")</f>
        <v>11.75</v>
      </c>
      <c r="D1515" t="str">
        <f>_xll.BDP("912810CM Govt","YLD_YTM_BID")</f>
        <v>#N/A N/A</v>
      </c>
      <c r="E1515" t="str">
        <f>_xll.BDP("912810CM Govt","MATURITY")</f>
        <v>2/15/2010</v>
      </c>
      <c r="F1515" t="str">
        <f>_xll.BDP("912810CM Govt","MTY_TYP")</f>
        <v>CALLABLE</v>
      </c>
      <c r="G1515" t="str">
        <f>_xll.BDP("912810CM Govt","CRNCY")</f>
        <v>USD</v>
      </c>
      <c r="H1515" t="str">
        <f>_xll.BDP("912810CM Govt","COUNTRY_FULL_NAME")</f>
        <v>UNITED STATES</v>
      </c>
      <c r="I1515" t="str">
        <f>_xll.BDP("912810CM Govt","FIRST_CPN_DT")</f>
        <v>8/15/1980</v>
      </c>
      <c r="J1515" t="str">
        <f>_xll.BDP("912810CM Govt","COUPON_FREQUENCY_DESCRIPTION")</f>
        <v>S/A</v>
      </c>
      <c r="K1515" t="str">
        <f>_xll.BDP("912810CM Govt","CPN_TYP")</f>
        <v>FIXED</v>
      </c>
      <c r="L1515" t="str">
        <f>_xll.BDP("912810CM Govt","ID_ISIN")</f>
        <v>US912810CM81</v>
      </c>
      <c r="M1515">
        <v>2647000000</v>
      </c>
      <c r="N1515">
        <v>0</v>
      </c>
      <c r="O1515" t="str">
        <f>_xll.BDP("912810CM Govt","ISSUE_DT")</f>
        <v>2/15/1980</v>
      </c>
      <c r="P1515" t="str">
        <f>_xll.BDP("912810CM Govt","SECURITY_NAME")</f>
        <v>T 11 3/4 02/15/10</v>
      </c>
      <c r="Q1515" t="str">
        <f>_xll.BDP("912810CM Govt","DAY_CNT_DES")</f>
        <v>ACT/ACT</v>
      </c>
      <c r="R1515">
        <v>100</v>
      </c>
      <c r="S1515" t="str">
        <f>_xll.BDP("912810CM Govt","ID_CUSIP")</f>
        <v>912810CM8</v>
      </c>
      <c r="T1515" t="str">
        <f>_xll.BDP("912810CM Govt","IDX_RATIO")</f>
        <v>#N/A Field Not Applicable</v>
      </c>
    </row>
    <row r="1516" spans="1:20" x14ac:dyDescent="0.25">
      <c r="A1516" t="s">
        <v>14</v>
      </c>
      <c r="B1516" t="str">
        <f>_xll.BDP("912810DG Govt","TICKER")</f>
        <v>T</v>
      </c>
      <c r="C1516">
        <f>_xll.BDP("912810DG Govt","CPN")</f>
        <v>11.875</v>
      </c>
      <c r="D1516" t="str">
        <f>_xll.BDP("912810DG Govt","YLD_YTM_BID")</f>
        <v>#N/A N/A</v>
      </c>
      <c r="E1516" t="str">
        <f>_xll.BDP("912810DG Govt","MATURITY")</f>
        <v>11/15/2003</v>
      </c>
      <c r="F1516" t="str">
        <f>_xll.BDP("912810DG Govt","MTY_TYP")</f>
        <v>NORMAL</v>
      </c>
      <c r="G1516" t="str">
        <f>_xll.BDP("912810DG Govt","CRNCY")</f>
        <v>USD</v>
      </c>
      <c r="H1516" t="str">
        <f>_xll.BDP("912810DG Govt","COUNTRY_FULL_NAME")</f>
        <v>UNITED STATES</v>
      </c>
      <c r="I1516" t="str">
        <f>_xll.BDP("912810DG Govt","FIRST_CPN_DT")</f>
        <v>5/15/1984</v>
      </c>
      <c r="J1516" t="str">
        <f>_xll.BDP("912810DG Govt","COUPON_FREQUENCY_DESCRIPTION")</f>
        <v>S/A</v>
      </c>
      <c r="K1516" t="str">
        <f>_xll.BDP("912810DG Govt","CPN_TYP")</f>
        <v>FIXED</v>
      </c>
      <c r="L1516" t="str">
        <f>_xll.BDP("912810DG Govt","ID_ISIN")</f>
        <v>US912810DG05</v>
      </c>
      <c r="M1516">
        <v>7260000000</v>
      </c>
      <c r="N1516">
        <v>0</v>
      </c>
      <c r="O1516" t="str">
        <f>_xll.BDP("912810DG Govt","ISSUE_DT")</f>
        <v>10/5/1983</v>
      </c>
      <c r="P1516" t="str">
        <f>_xll.BDP("912810DG Govt","SECURITY_NAME")</f>
        <v>T 11 7/8 11/15/03</v>
      </c>
      <c r="Q1516" t="str">
        <f>_xll.BDP("912810DG Govt","DAY_CNT_DES")</f>
        <v>ACT/ACT</v>
      </c>
      <c r="R1516">
        <v>100</v>
      </c>
      <c r="S1516" t="str">
        <f>_xll.BDP("912810DG Govt","ID_CUSIP")</f>
        <v>912810DG0</v>
      </c>
      <c r="T1516" t="str">
        <f>_xll.BDP("912810DG Govt","IDX_RATIO")</f>
        <v>#N/A Field Not Applicable</v>
      </c>
    </row>
    <row r="1517" spans="1:20" x14ac:dyDescent="0.25">
      <c r="A1517" t="s">
        <v>14</v>
      </c>
      <c r="B1517" t="str">
        <f>_xll.BDP("9128272G Govt","TICKER")</f>
        <v>T</v>
      </c>
      <c r="C1517">
        <f>_xll.BDP("9128272G Govt","CPN")</f>
        <v>6.25</v>
      </c>
      <c r="D1517" t="str">
        <f>_xll.BDP("9128272G Govt","YLD_YTM_BID")</f>
        <v>#N/A N/A</v>
      </c>
      <c r="E1517" t="str">
        <f>_xll.BDP("9128272G Govt","MATURITY")</f>
        <v>1/31/2002</v>
      </c>
      <c r="F1517" t="str">
        <f>_xll.BDP("9128272G Govt","MTY_TYP")</f>
        <v>NORMAL</v>
      </c>
      <c r="G1517" t="str">
        <f>_xll.BDP("9128272G Govt","CRNCY")</f>
        <v>USD</v>
      </c>
      <c r="H1517" t="str">
        <f>_xll.BDP("9128272G Govt","COUNTRY_FULL_NAME")</f>
        <v>UNITED STATES</v>
      </c>
      <c r="I1517" t="str">
        <f>_xll.BDP("9128272G Govt","FIRST_CPN_DT")</f>
        <v>7/31/1997</v>
      </c>
      <c r="J1517" t="str">
        <f>_xll.BDP("9128272G Govt","COUPON_FREQUENCY_DESCRIPTION")</f>
        <v>S/A</v>
      </c>
      <c r="K1517" t="str">
        <f>_xll.BDP("9128272G Govt","CPN_TYP")</f>
        <v>FIXED</v>
      </c>
      <c r="L1517" t="str">
        <f>_xll.BDP("9128272G Govt","ID_ISIN")</f>
        <v>US9128272G68</v>
      </c>
      <c r="M1517">
        <v>13453000000</v>
      </c>
      <c r="N1517">
        <v>0</v>
      </c>
      <c r="O1517" t="str">
        <f>_xll.BDP("9128272G Govt","ISSUE_DT")</f>
        <v>1/31/1997</v>
      </c>
      <c r="P1517" t="str">
        <f>_xll.BDP("9128272G Govt","SECURITY_NAME")</f>
        <v>T 6 1/4 01/31/02</v>
      </c>
      <c r="Q1517" t="str">
        <f>_xll.BDP("9128272G Govt","DAY_CNT_DES")</f>
        <v>ACT/ACT</v>
      </c>
      <c r="R1517">
        <v>100</v>
      </c>
      <c r="S1517" t="str">
        <f>_xll.BDP("9128272G Govt","ID_CUSIP")</f>
        <v>9128272G6</v>
      </c>
      <c r="T1517" t="str">
        <f>_xll.BDP("9128272G Govt","IDX_RATIO")</f>
        <v>#N/A Field Not Applicable</v>
      </c>
    </row>
    <row r="1518" spans="1:20" x14ac:dyDescent="0.25">
      <c r="A1518" t="s">
        <v>14</v>
      </c>
      <c r="B1518" t="str">
        <f>_xll.BDP("9128272K Govt","TICKER")</f>
        <v>T</v>
      </c>
      <c r="C1518">
        <f>_xll.BDP("9128272K Govt","CPN")</f>
        <v>5.875</v>
      </c>
      <c r="D1518" t="str">
        <f>_xll.BDP("9128272K Govt","YLD_YTM_BID")</f>
        <v>#N/A N/A</v>
      </c>
      <c r="E1518" t="str">
        <f>_xll.BDP("9128272K Govt","MATURITY")</f>
        <v>2/28/1999</v>
      </c>
      <c r="F1518" t="str">
        <f>_xll.BDP("9128272K Govt","MTY_TYP")</f>
        <v>NORMAL</v>
      </c>
      <c r="G1518" t="str">
        <f>_xll.BDP("9128272K Govt","CRNCY")</f>
        <v>USD</v>
      </c>
      <c r="H1518" t="str">
        <f>_xll.BDP("9128272K Govt","COUNTRY_FULL_NAME")</f>
        <v>UNITED STATES</v>
      </c>
      <c r="I1518" t="str">
        <f>_xll.BDP("9128272K Govt","FIRST_CPN_DT")</f>
        <v>8/31/1997</v>
      </c>
      <c r="J1518" t="str">
        <f>_xll.BDP("9128272K Govt","COUPON_FREQUENCY_DESCRIPTION")</f>
        <v>S/A</v>
      </c>
      <c r="K1518" t="str">
        <f>_xll.BDP("9128272K Govt","CPN_TYP")</f>
        <v>FIXED</v>
      </c>
      <c r="L1518" t="str">
        <f>_xll.BDP("9128272K Govt","ID_ISIN")</f>
        <v>US9128272K70</v>
      </c>
      <c r="M1518">
        <v>19916000000</v>
      </c>
      <c r="N1518">
        <v>0</v>
      </c>
      <c r="O1518" t="str">
        <f>_xll.BDP("9128272K Govt","ISSUE_DT")</f>
        <v>2/28/1997</v>
      </c>
      <c r="P1518" t="str">
        <f>_xll.BDP("9128272K Govt","SECURITY_NAME")</f>
        <v>T 5 7/8 02/28/99</v>
      </c>
      <c r="Q1518" t="str">
        <f>_xll.BDP("9128272K Govt","DAY_CNT_DES")</f>
        <v>ACT/ACT</v>
      </c>
      <c r="R1518">
        <v>100</v>
      </c>
      <c r="S1518" t="str">
        <f>_xll.BDP("9128272K Govt","ID_CUSIP")</f>
        <v>9128272K7</v>
      </c>
      <c r="T1518" t="str">
        <f>_xll.BDP("9128272K Govt","IDX_RATIO")</f>
        <v>#N/A Field Not Applicable</v>
      </c>
    </row>
    <row r="1519" spans="1:20" x14ac:dyDescent="0.25">
      <c r="A1519" t="s">
        <v>14</v>
      </c>
      <c r="B1519" t="str">
        <f>_xll.BDP("9128272P Govt","TICKER")</f>
        <v>T</v>
      </c>
      <c r="C1519">
        <f>_xll.BDP("9128272P Govt","CPN")</f>
        <v>6.625</v>
      </c>
      <c r="D1519" t="str">
        <f>_xll.BDP("9128272P Govt","YLD_YTM_BID")</f>
        <v>#N/A N/A</v>
      </c>
      <c r="E1519" t="str">
        <f>_xll.BDP("9128272P Govt","MATURITY")</f>
        <v>3/31/2002</v>
      </c>
      <c r="F1519" t="str">
        <f>_xll.BDP("9128272P Govt","MTY_TYP")</f>
        <v>NORMAL</v>
      </c>
      <c r="G1519" t="str">
        <f>_xll.BDP("9128272P Govt","CRNCY")</f>
        <v>USD</v>
      </c>
      <c r="H1519" t="str">
        <f>_xll.BDP("9128272P Govt","COUNTRY_FULL_NAME")</f>
        <v>UNITED STATES</v>
      </c>
      <c r="I1519" t="str">
        <f>_xll.BDP("9128272P Govt","FIRST_CPN_DT")</f>
        <v>9/30/1997</v>
      </c>
      <c r="J1519" t="str">
        <f>_xll.BDP("9128272P Govt","COUPON_FREQUENCY_DESCRIPTION")</f>
        <v>S/A</v>
      </c>
      <c r="K1519" t="str">
        <f>_xll.BDP("9128272P Govt","CPN_TYP")</f>
        <v>FIXED</v>
      </c>
      <c r="L1519" t="str">
        <f>_xll.BDP("9128272P Govt","ID_ISIN")</f>
        <v>US9128272P67</v>
      </c>
      <c r="M1519">
        <v>14301000000</v>
      </c>
      <c r="N1519">
        <v>0</v>
      </c>
      <c r="O1519" t="str">
        <f>_xll.BDP("9128272P Govt","ISSUE_DT")</f>
        <v>3/31/1997</v>
      </c>
      <c r="P1519" t="str">
        <f>_xll.BDP("9128272P Govt","SECURITY_NAME")</f>
        <v>T 6 5/8 03/31/02</v>
      </c>
      <c r="Q1519" t="str">
        <f>_xll.BDP("9128272P Govt","DAY_CNT_DES")</f>
        <v>ACT/ACT</v>
      </c>
      <c r="R1519">
        <v>100</v>
      </c>
      <c r="S1519" t="str">
        <f>_xll.BDP("9128272P Govt","ID_CUSIP")</f>
        <v>9128272P6</v>
      </c>
      <c r="T1519" t="str">
        <f>_xll.BDP("9128272P Govt","IDX_RATIO")</f>
        <v>#N/A Field Not Applicable</v>
      </c>
    </row>
    <row r="1520" spans="1:20" x14ac:dyDescent="0.25">
      <c r="A1520" t="s">
        <v>14</v>
      </c>
      <c r="B1520" t="str">
        <f>_xll.BDP("9128272S Govt","TICKER")</f>
        <v>T</v>
      </c>
      <c r="C1520">
        <f>_xll.BDP("9128272S Govt","CPN")</f>
        <v>6.625</v>
      </c>
      <c r="D1520" t="str">
        <f>_xll.BDP("9128272S Govt","YLD_YTM_BID")</f>
        <v>#N/A N/A</v>
      </c>
      <c r="E1520" t="str">
        <f>_xll.BDP("9128272S Govt","MATURITY")</f>
        <v>4/30/2002</v>
      </c>
      <c r="F1520" t="str">
        <f>_xll.BDP("9128272S Govt","MTY_TYP")</f>
        <v>NORMAL</v>
      </c>
      <c r="G1520" t="str">
        <f>_xll.BDP("9128272S Govt","CRNCY")</f>
        <v>USD</v>
      </c>
      <c r="H1520" t="str">
        <f>_xll.BDP("9128272S Govt","COUNTRY_FULL_NAME")</f>
        <v>UNITED STATES</v>
      </c>
      <c r="I1520" t="str">
        <f>_xll.BDP("9128272S Govt","FIRST_CPN_DT")</f>
        <v>10/31/1997</v>
      </c>
      <c r="J1520" t="str">
        <f>_xll.BDP("9128272S Govt","COUPON_FREQUENCY_DESCRIPTION")</f>
        <v>S/A</v>
      </c>
      <c r="K1520" t="str">
        <f>_xll.BDP("9128272S Govt","CPN_TYP")</f>
        <v>FIXED</v>
      </c>
      <c r="L1520" t="str">
        <f>_xll.BDP("9128272S Govt","ID_ISIN")</f>
        <v>US9128272S07</v>
      </c>
      <c r="M1520">
        <v>14475000000</v>
      </c>
      <c r="N1520">
        <v>0</v>
      </c>
      <c r="O1520" t="str">
        <f>_xll.BDP("9128272S Govt","ISSUE_DT")</f>
        <v>4/30/1997</v>
      </c>
      <c r="P1520" t="str">
        <f>_xll.BDP("9128272S Govt","SECURITY_NAME")</f>
        <v>T 6 5/8 04/30/02</v>
      </c>
      <c r="Q1520" t="str">
        <f>_xll.BDP("9128272S Govt","DAY_CNT_DES")</f>
        <v>ACT/ACT</v>
      </c>
      <c r="R1520">
        <v>100</v>
      </c>
      <c r="S1520" t="str">
        <f>_xll.BDP("9128272S Govt","ID_CUSIP")</f>
        <v>9128272S0</v>
      </c>
      <c r="T1520" t="str">
        <f>_xll.BDP("9128272S Govt","IDX_RATIO")</f>
        <v>#N/A Field Not Applicable</v>
      </c>
    </row>
    <row r="1521" spans="1:20" x14ac:dyDescent="0.25">
      <c r="A1521" t="s">
        <v>14</v>
      </c>
      <c r="B1521" t="str">
        <f>_xll.BDP("9128272T Govt","TICKER")</f>
        <v>T</v>
      </c>
      <c r="C1521">
        <f>_xll.BDP("9128272T Govt","CPN")</f>
        <v>6.375</v>
      </c>
      <c r="D1521" t="str">
        <f>_xll.BDP("9128272T Govt","YLD_YTM_BID")</f>
        <v>#N/A N/A</v>
      </c>
      <c r="E1521" t="str">
        <f>_xll.BDP("9128272T Govt","MATURITY")</f>
        <v>5/15/2000</v>
      </c>
      <c r="F1521" t="str">
        <f>_xll.BDP("9128272T Govt","MTY_TYP")</f>
        <v>NORMAL</v>
      </c>
      <c r="G1521" t="str">
        <f>_xll.BDP("9128272T Govt","CRNCY")</f>
        <v>USD</v>
      </c>
      <c r="H1521" t="str">
        <f>_xll.BDP("9128272T Govt","COUNTRY_FULL_NAME")</f>
        <v>UNITED STATES</v>
      </c>
      <c r="I1521" t="str">
        <f>_xll.BDP("9128272T Govt","FIRST_CPN_DT")</f>
        <v>11/15/1997</v>
      </c>
      <c r="J1521" t="str">
        <f>_xll.BDP("9128272T Govt","COUPON_FREQUENCY_DESCRIPTION")</f>
        <v>S/A</v>
      </c>
      <c r="K1521" t="str">
        <f>_xll.BDP("9128272T Govt","CPN_TYP")</f>
        <v>FIXED</v>
      </c>
      <c r="L1521" t="str">
        <f>_xll.BDP("9128272T Govt","ID_ISIN")</f>
        <v>US9128272T89</v>
      </c>
      <c r="M1521">
        <v>20763000000</v>
      </c>
      <c r="N1521">
        <v>0</v>
      </c>
      <c r="O1521" t="str">
        <f>_xll.BDP("9128272T Govt","ISSUE_DT")</f>
        <v>5/15/1997</v>
      </c>
      <c r="P1521" t="str">
        <f>_xll.BDP("9128272T Govt","SECURITY_NAME")</f>
        <v>T 6 3/8 05/15/00</v>
      </c>
      <c r="Q1521" t="str">
        <f>_xll.BDP("9128272T Govt","DAY_CNT_DES")</f>
        <v>ACT/ACT</v>
      </c>
      <c r="R1521">
        <v>100</v>
      </c>
      <c r="S1521" t="str">
        <f>_xll.BDP("9128272T Govt","ID_CUSIP")</f>
        <v>9128272T8</v>
      </c>
      <c r="T1521" t="str">
        <f>_xll.BDP("9128272T Govt","IDX_RATIO")</f>
        <v>#N/A Field Not Applicable</v>
      </c>
    </row>
    <row r="1522" spans="1:20" x14ac:dyDescent="0.25">
      <c r="A1522" t="s">
        <v>14</v>
      </c>
      <c r="B1522" t="str">
        <f>_xll.BDP("9128272V Govt","TICKER")</f>
        <v>T</v>
      </c>
      <c r="C1522">
        <f>_xll.BDP("9128272V Govt","CPN")</f>
        <v>6.25</v>
      </c>
      <c r="D1522" t="str">
        <f>_xll.BDP("9128272V Govt","YLD_YTM_BID")</f>
        <v>#N/A N/A</v>
      </c>
      <c r="E1522" t="str">
        <f>_xll.BDP("9128272V Govt","MATURITY")</f>
        <v>5/31/1999</v>
      </c>
      <c r="F1522" t="str">
        <f>_xll.BDP("9128272V Govt","MTY_TYP")</f>
        <v>NORMAL</v>
      </c>
      <c r="G1522" t="str">
        <f>_xll.BDP("9128272V Govt","CRNCY")</f>
        <v>USD</v>
      </c>
      <c r="H1522" t="str">
        <f>_xll.BDP("9128272V Govt","COUNTRY_FULL_NAME")</f>
        <v>UNITED STATES</v>
      </c>
      <c r="I1522" t="str">
        <f>_xll.BDP("9128272V Govt","FIRST_CPN_DT")</f>
        <v>11/30/1997</v>
      </c>
      <c r="J1522" t="str">
        <f>_xll.BDP("9128272V Govt","COUPON_FREQUENCY_DESCRIPTION")</f>
        <v>S/A</v>
      </c>
      <c r="K1522" t="str">
        <f>_xll.BDP("9128272V Govt","CPN_TYP")</f>
        <v>FIXED</v>
      </c>
      <c r="L1522" t="str">
        <f>_xll.BDP("9128272V Govt","ID_ISIN")</f>
        <v>US9128272V36</v>
      </c>
      <c r="M1522">
        <v>18575000000</v>
      </c>
      <c r="N1522">
        <v>0</v>
      </c>
      <c r="O1522" t="str">
        <f>_xll.BDP("9128272V Govt","ISSUE_DT")</f>
        <v>6/2/1997</v>
      </c>
      <c r="P1522" t="str">
        <f>_xll.BDP("9128272V Govt","SECURITY_NAME")</f>
        <v>T 6 1/4 05/31/99</v>
      </c>
      <c r="Q1522" t="str">
        <f>_xll.BDP("9128272V Govt","DAY_CNT_DES")</f>
        <v>ACT/ACT</v>
      </c>
      <c r="R1522">
        <v>100</v>
      </c>
      <c r="S1522" t="str">
        <f>_xll.BDP("9128272V Govt","ID_CUSIP")</f>
        <v>9128272V3</v>
      </c>
      <c r="T1522" t="str">
        <f>_xll.BDP("9128272V Govt","IDX_RATIO")</f>
        <v>#N/A Field Not Applicable</v>
      </c>
    </row>
    <row r="1523" spans="1:20" x14ac:dyDescent="0.25">
      <c r="A1523" t="s">
        <v>14</v>
      </c>
      <c r="B1523" t="str">
        <f>_xll.BDP("9128272W Govt","TICKER")</f>
        <v>T</v>
      </c>
      <c r="C1523">
        <f>_xll.BDP("9128272W Govt","CPN")</f>
        <v>6.5</v>
      </c>
      <c r="D1523" t="str">
        <f>_xll.BDP("9128272W Govt","YLD_YTM_BID")</f>
        <v>#N/A N/A</v>
      </c>
      <c r="E1523" t="str">
        <f>_xll.BDP("9128272W Govt","MATURITY")</f>
        <v>5/31/2002</v>
      </c>
      <c r="F1523" t="str">
        <f>_xll.BDP("9128272W Govt","MTY_TYP")</f>
        <v>NORMAL</v>
      </c>
      <c r="G1523" t="str">
        <f>_xll.BDP("9128272W Govt","CRNCY")</f>
        <v>USD</v>
      </c>
      <c r="H1523" t="str">
        <f>_xll.BDP("9128272W Govt","COUNTRY_FULL_NAME")</f>
        <v>UNITED STATES</v>
      </c>
      <c r="I1523" t="str">
        <f>_xll.BDP("9128272W Govt","FIRST_CPN_DT")</f>
        <v>11/30/1997</v>
      </c>
      <c r="J1523" t="str">
        <f>_xll.BDP("9128272W Govt","COUPON_FREQUENCY_DESCRIPTION")</f>
        <v>S/A</v>
      </c>
      <c r="K1523" t="str">
        <f>_xll.BDP("9128272W Govt","CPN_TYP")</f>
        <v>FIXED</v>
      </c>
      <c r="L1523" t="str">
        <f>_xll.BDP("9128272W Govt","ID_ISIN")</f>
        <v>US9128272W19</v>
      </c>
      <c r="M1523">
        <v>13504000000</v>
      </c>
      <c r="N1523">
        <v>0</v>
      </c>
      <c r="O1523" t="str">
        <f>_xll.BDP("9128272W Govt","ISSUE_DT")</f>
        <v>6/2/1997</v>
      </c>
      <c r="P1523" t="str">
        <f>_xll.BDP("9128272W Govt","SECURITY_NAME")</f>
        <v>T 6 1/2 05/31/02</v>
      </c>
      <c r="Q1523" t="str">
        <f>_xll.BDP("9128272W Govt","DAY_CNT_DES")</f>
        <v>ACT/ACT</v>
      </c>
      <c r="R1523">
        <v>100</v>
      </c>
      <c r="S1523" t="str">
        <f>_xll.BDP("9128272W Govt","ID_CUSIP")</f>
        <v>9128272W1</v>
      </c>
      <c r="T1523" t="str">
        <f>_xll.BDP("9128272W Govt","IDX_RATIO")</f>
        <v>#N/A Field Not Applicable</v>
      </c>
    </row>
    <row r="1524" spans="1:20" x14ac:dyDescent="0.25">
      <c r="A1524" t="s">
        <v>14</v>
      </c>
      <c r="B1524" t="str">
        <f>_xll.BDP("9128272X Govt","TICKER")</f>
        <v>T</v>
      </c>
      <c r="C1524">
        <f>_xll.BDP("9128272X Govt","CPN")</f>
        <v>6</v>
      </c>
      <c r="D1524" t="str">
        <f>_xll.BDP("9128272X Govt","YLD_YTM_BID")</f>
        <v>#N/A N/A</v>
      </c>
      <c r="E1524" t="str">
        <f>_xll.BDP("9128272X Govt","MATURITY")</f>
        <v>6/30/1999</v>
      </c>
      <c r="F1524" t="str">
        <f>_xll.BDP("9128272X Govt","MTY_TYP")</f>
        <v>NORMAL</v>
      </c>
      <c r="G1524" t="str">
        <f>_xll.BDP("9128272X Govt","CRNCY")</f>
        <v>USD</v>
      </c>
      <c r="H1524" t="str">
        <f>_xll.BDP("9128272X Govt","COUNTRY_FULL_NAME")</f>
        <v>UNITED STATES</v>
      </c>
      <c r="I1524" t="str">
        <f>_xll.BDP("9128272X Govt","FIRST_CPN_DT")</f>
        <v>12/31/1997</v>
      </c>
      <c r="J1524" t="str">
        <f>_xll.BDP("9128272X Govt","COUPON_FREQUENCY_DESCRIPTION")</f>
        <v>S/A</v>
      </c>
      <c r="K1524" t="str">
        <f>_xll.BDP("9128272X Govt","CPN_TYP")</f>
        <v>FIXED</v>
      </c>
      <c r="L1524" t="str">
        <f>_xll.BDP("9128272X Govt","ID_ISIN")</f>
        <v>US9128272X91</v>
      </c>
      <c r="M1524">
        <v>17862000000</v>
      </c>
      <c r="N1524">
        <v>0</v>
      </c>
      <c r="O1524" t="str">
        <f>_xll.BDP("9128272X Govt","ISSUE_DT")</f>
        <v>6/30/1997</v>
      </c>
      <c r="P1524" t="str">
        <f>_xll.BDP("9128272X Govt","SECURITY_NAME")</f>
        <v>T 6 06/30/99</v>
      </c>
      <c r="Q1524" t="str">
        <f>_xll.BDP("9128272X Govt","DAY_CNT_DES")</f>
        <v>ACT/ACT</v>
      </c>
      <c r="R1524">
        <v>100</v>
      </c>
      <c r="S1524" t="str">
        <f>_xll.BDP("9128272X Govt","ID_CUSIP")</f>
        <v>9128272X9</v>
      </c>
      <c r="T1524" t="str">
        <f>_xll.BDP("9128272X Govt","IDX_RATIO")</f>
        <v>#N/A Field Not Applicable</v>
      </c>
    </row>
    <row r="1525" spans="1:20" x14ac:dyDescent="0.25">
      <c r="A1525" t="s">
        <v>14</v>
      </c>
      <c r="B1525" t="str">
        <f>_xll.BDP("9128272Y Govt","TICKER")</f>
        <v>T</v>
      </c>
      <c r="C1525">
        <f>_xll.BDP("9128272Y Govt","CPN")</f>
        <v>6.25</v>
      </c>
      <c r="D1525" t="str">
        <f>_xll.BDP("9128272Y Govt","YLD_YTM_BID")</f>
        <v>#N/A N/A</v>
      </c>
      <c r="E1525" t="str">
        <f>_xll.BDP("9128272Y Govt","MATURITY")</f>
        <v>6/30/2002</v>
      </c>
      <c r="F1525" t="str">
        <f>_xll.BDP("9128272Y Govt","MTY_TYP")</f>
        <v>NORMAL</v>
      </c>
      <c r="G1525" t="str">
        <f>_xll.BDP("9128272Y Govt","CRNCY")</f>
        <v>USD</v>
      </c>
      <c r="H1525" t="str">
        <f>_xll.BDP("9128272Y Govt","COUNTRY_FULL_NAME")</f>
        <v>UNITED STATES</v>
      </c>
      <c r="I1525" t="str">
        <f>_xll.BDP("9128272Y Govt","FIRST_CPN_DT")</f>
        <v>12/31/1997</v>
      </c>
      <c r="J1525" t="str">
        <f>_xll.BDP("9128272Y Govt","COUPON_FREQUENCY_DESCRIPTION")</f>
        <v>S/A</v>
      </c>
      <c r="K1525" t="str">
        <f>_xll.BDP("9128272Y Govt","CPN_TYP")</f>
        <v>FIXED</v>
      </c>
      <c r="L1525" t="str">
        <f>_xll.BDP("9128272Y Govt","ID_ISIN")</f>
        <v>US9128272Y74</v>
      </c>
      <c r="M1525">
        <v>13059000000</v>
      </c>
      <c r="N1525">
        <v>0</v>
      </c>
      <c r="O1525" t="str">
        <f>_xll.BDP("9128272Y Govt","ISSUE_DT")</f>
        <v>6/30/1997</v>
      </c>
      <c r="P1525" t="str">
        <f>_xll.BDP("9128272Y Govt","SECURITY_NAME")</f>
        <v>T 6 1/4 06/30/02</v>
      </c>
      <c r="Q1525" t="str">
        <f>_xll.BDP("9128272Y Govt","DAY_CNT_DES")</f>
        <v>ACT/ACT</v>
      </c>
      <c r="R1525">
        <v>100</v>
      </c>
      <c r="S1525" t="str">
        <f>_xll.BDP("9128272Y Govt","ID_CUSIP")</f>
        <v>9128272Y7</v>
      </c>
      <c r="T1525" t="str">
        <f>_xll.BDP("9128272Y Govt","IDX_RATIO")</f>
        <v>#N/A Field Not Applicable</v>
      </c>
    </row>
    <row r="1526" spans="1:20" x14ac:dyDescent="0.25">
      <c r="A1526" t="s">
        <v>14</v>
      </c>
      <c r="B1526" t="str">
        <f>_xll.BDP("9128273E Govt","TICKER")</f>
        <v>T</v>
      </c>
      <c r="C1526">
        <f>_xll.BDP("9128273E Govt","CPN")</f>
        <v>6.125</v>
      </c>
      <c r="D1526" t="str">
        <f>_xll.BDP("9128273E Govt","YLD_YTM_BID")</f>
        <v>#N/A N/A</v>
      </c>
      <c r="E1526" t="str">
        <f>_xll.BDP("9128273E Govt","MATURITY")</f>
        <v>8/15/2007</v>
      </c>
      <c r="F1526" t="str">
        <f>_xll.BDP("9128273E Govt","MTY_TYP")</f>
        <v>NORMAL</v>
      </c>
      <c r="G1526" t="str">
        <f>_xll.BDP("9128273E Govt","CRNCY")</f>
        <v>USD</v>
      </c>
      <c r="H1526" t="str">
        <f>_xll.BDP("9128273E Govt","COUNTRY_FULL_NAME")</f>
        <v>UNITED STATES</v>
      </c>
      <c r="I1526" t="str">
        <f>_xll.BDP("9128273E Govt","FIRST_CPN_DT")</f>
        <v>2/15/1998</v>
      </c>
      <c r="J1526" t="str">
        <f>_xll.BDP("9128273E Govt","COUPON_FREQUENCY_DESCRIPTION")</f>
        <v>S/A</v>
      </c>
      <c r="K1526" t="str">
        <f>_xll.BDP("9128273E Govt","CPN_TYP")</f>
        <v>FIXED</v>
      </c>
      <c r="L1526" t="str">
        <f>_xll.BDP("9128273E Govt","ID_ISIN")</f>
        <v>US9128273E02</v>
      </c>
      <c r="M1526">
        <v>25637000000</v>
      </c>
      <c r="N1526">
        <v>0</v>
      </c>
      <c r="O1526" t="str">
        <f>_xll.BDP("9128273E Govt","ISSUE_DT")</f>
        <v>8/15/1997</v>
      </c>
      <c r="P1526" t="str">
        <f>_xll.BDP("9128273E Govt","SECURITY_NAME")</f>
        <v>T 6 1/8 08/15/07</v>
      </c>
      <c r="Q1526" t="str">
        <f>_xll.BDP("9128273E Govt","DAY_CNT_DES")</f>
        <v>ACT/ACT</v>
      </c>
      <c r="R1526">
        <v>100</v>
      </c>
      <c r="S1526" t="str">
        <f>_xll.BDP("9128273E Govt","ID_CUSIP")</f>
        <v>9128273E0</v>
      </c>
      <c r="T1526" t="str">
        <f>_xll.BDP("9128273E Govt","IDX_RATIO")</f>
        <v>#N/A Field Not Applicable</v>
      </c>
    </row>
    <row r="1527" spans="1:20" x14ac:dyDescent="0.25">
      <c r="A1527" t="s">
        <v>14</v>
      </c>
      <c r="B1527" t="str">
        <f>_xll.BDP("9128273H Govt","TICKER")</f>
        <v>T</v>
      </c>
      <c r="C1527">
        <f>_xll.BDP("9128273H Govt","CPN")</f>
        <v>5.75</v>
      </c>
      <c r="D1527" t="str">
        <f>_xll.BDP("9128273H Govt","YLD_YTM_BID")</f>
        <v>#N/A N/A</v>
      </c>
      <c r="E1527" t="str">
        <f>_xll.BDP("9128273H Govt","MATURITY")</f>
        <v>9/30/1999</v>
      </c>
      <c r="F1527" t="str">
        <f>_xll.BDP("9128273H Govt","MTY_TYP")</f>
        <v>NORMAL</v>
      </c>
      <c r="G1527" t="str">
        <f>_xll.BDP("9128273H Govt","CRNCY")</f>
        <v>USD</v>
      </c>
      <c r="H1527" t="str">
        <f>_xll.BDP("9128273H Govt","COUNTRY_FULL_NAME")</f>
        <v>UNITED STATES</v>
      </c>
      <c r="I1527" t="str">
        <f>_xll.BDP("9128273H Govt","FIRST_CPN_DT")</f>
        <v>3/31/1998</v>
      </c>
      <c r="J1527" t="str">
        <f>_xll.BDP("9128273H Govt","COUPON_FREQUENCY_DESCRIPTION")</f>
        <v>S/A</v>
      </c>
      <c r="K1527" t="str">
        <f>_xll.BDP("9128273H Govt","CPN_TYP")</f>
        <v>FIXED</v>
      </c>
      <c r="L1527" t="str">
        <f>_xll.BDP("9128273H Govt","ID_ISIN")</f>
        <v>US9128273H33</v>
      </c>
      <c r="M1527">
        <v>17487000000</v>
      </c>
      <c r="N1527">
        <v>0</v>
      </c>
      <c r="O1527" t="str">
        <f>_xll.BDP("9128273H Govt","ISSUE_DT")</f>
        <v>9/30/1997</v>
      </c>
      <c r="P1527" t="str">
        <f>_xll.BDP("9128273H Govt","SECURITY_NAME")</f>
        <v>T 5 3/4 09/30/99</v>
      </c>
      <c r="Q1527" t="str">
        <f>_xll.BDP("9128273H Govt","DAY_CNT_DES")</f>
        <v>ACT/ACT</v>
      </c>
      <c r="R1527">
        <v>100</v>
      </c>
      <c r="S1527" t="str">
        <f>_xll.BDP("9128273H Govt","ID_CUSIP")</f>
        <v>9128273H3</v>
      </c>
      <c r="T1527" t="str">
        <f>_xll.BDP("9128273H Govt","IDX_RATIO")</f>
        <v>#N/A Field Not Applicable</v>
      </c>
    </row>
    <row r="1528" spans="1:20" x14ac:dyDescent="0.25">
      <c r="A1528" t="s">
        <v>14</v>
      </c>
      <c r="B1528" t="str">
        <f>_xll.BDP("9128273J Govt","TICKER")</f>
        <v>T</v>
      </c>
      <c r="C1528">
        <f>_xll.BDP("9128273J Govt","CPN")</f>
        <v>5.875</v>
      </c>
      <c r="D1528" t="str">
        <f>_xll.BDP("9128273J Govt","YLD_YTM_BID")</f>
        <v>#N/A N/A</v>
      </c>
      <c r="E1528" t="str">
        <f>_xll.BDP("9128273J Govt","MATURITY")</f>
        <v>9/30/2002</v>
      </c>
      <c r="F1528" t="str">
        <f>_xll.BDP("9128273J Govt","MTY_TYP")</f>
        <v>NORMAL</v>
      </c>
      <c r="G1528" t="str">
        <f>_xll.BDP("9128273J Govt","CRNCY")</f>
        <v>USD</v>
      </c>
      <c r="H1528" t="str">
        <f>_xll.BDP("9128273J Govt","COUNTRY_FULL_NAME")</f>
        <v>UNITED STATES</v>
      </c>
      <c r="I1528" t="str">
        <f>_xll.BDP("9128273J Govt","FIRST_CPN_DT")</f>
        <v>3/31/1998</v>
      </c>
      <c r="J1528" t="str">
        <f>_xll.BDP("9128273J Govt","COUPON_FREQUENCY_DESCRIPTION")</f>
        <v>S/A</v>
      </c>
      <c r="K1528" t="str">
        <f>_xll.BDP("9128273J Govt","CPN_TYP")</f>
        <v>FIXED</v>
      </c>
      <c r="L1528" t="str">
        <f>_xll.BDP("9128273J Govt","ID_ISIN")</f>
        <v>US9128273J98</v>
      </c>
      <c r="M1528">
        <v>12807000000</v>
      </c>
      <c r="N1528">
        <v>0</v>
      </c>
      <c r="O1528" t="str">
        <f>_xll.BDP("9128273J Govt","ISSUE_DT")</f>
        <v>9/30/1997</v>
      </c>
      <c r="P1528" t="str">
        <f>_xll.BDP("9128273J Govt","SECURITY_NAME")</f>
        <v>T 5 7/8 09/30/02</v>
      </c>
      <c r="Q1528" t="str">
        <f>_xll.BDP("9128273J Govt","DAY_CNT_DES")</f>
        <v>ACT/ACT</v>
      </c>
      <c r="R1528">
        <v>100</v>
      </c>
      <c r="S1528" t="str">
        <f>_xll.BDP("9128273J Govt","ID_CUSIP")</f>
        <v>9128273J9</v>
      </c>
      <c r="T1528" t="str">
        <f>_xll.BDP("9128273J Govt","IDX_RATIO")</f>
        <v>#N/A Field Not Applicable</v>
      </c>
    </row>
    <row r="1529" spans="1:20" x14ac:dyDescent="0.25">
      <c r="A1529" t="s">
        <v>14</v>
      </c>
      <c r="B1529" t="str">
        <f>_xll.BDP("9128273L Govt","TICKER")</f>
        <v>T</v>
      </c>
      <c r="C1529">
        <f>_xll.BDP("9128273L Govt","CPN")</f>
        <v>5.75</v>
      </c>
      <c r="D1529" t="str">
        <f>_xll.BDP("9128273L Govt","YLD_YTM_BID")</f>
        <v>#N/A N/A</v>
      </c>
      <c r="E1529" t="str">
        <f>_xll.BDP("9128273L Govt","MATURITY")</f>
        <v>10/31/2002</v>
      </c>
      <c r="F1529" t="str">
        <f>_xll.BDP("9128273L Govt","MTY_TYP")</f>
        <v>NORMAL</v>
      </c>
      <c r="G1529" t="str">
        <f>_xll.BDP("9128273L Govt","CRNCY")</f>
        <v>USD</v>
      </c>
      <c r="H1529" t="str">
        <f>_xll.BDP("9128273L Govt","COUNTRY_FULL_NAME")</f>
        <v>UNITED STATES</v>
      </c>
      <c r="I1529" t="str">
        <f>_xll.BDP("9128273L Govt","FIRST_CPN_DT")</f>
        <v>4/30/1998</v>
      </c>
      <c r="J1529" t="str">
        <f>_xll.BDP("9128273L Govt","COUPON_FREQUENCY_DESCRIPTION")</f>
        <v>S/A</v>
      </c>
      <c r="K1529" t="str">
        <f>_xll.BDP("9128273L Govt","CPN_TYP")</f>
        <v>FIXED</v>
      </c>
      <c r="L1529" t="str">
        <f>_xll.BDP("9128273L Govt","ID_ISIN")</f>
        <v>US9128273L45</v>
      </c>
      <c r="M1529">
        <v>26594000000</v>
      </c>
      <c r="N1529">
        <v>0</v>
      </c>
      <c r="O1529" t="str">
        <f>_xll.BDP("9128273L Govt","ISSUE_DT")</f>
        <v>10/31/1997</v>
      </c>
      <c r="P1529" t="str">
        <f>_xll.BDP("9128273L Govt","SECURITY_NAME")</f>
        <v>T 5 3/4 10/31/02</v>
      </c>
      <c r="Q1529" t="str">
        <f>_xll.BDP("9128273L Govt","DAY_CNT_DES")</f>
        <v>ACT/ACT</v>
      </c>
      <c r="R1529">
        <v>100</v>
      </c>
      <c r="S1529" t="str">
        <f>_xll.BDP("9128273L Govt","ID_CUSIP")</f>
        <v>9128273L4</v>
      </c>
      <c r="T1529" t="str">
        <f>_xll.BDP("9128273L Govt","IDX_RATIO")</f>
        <v>#N/A Field Not Applicable</v>
      </c>
    </row>
    <row r="1530" spans="1:20" x14ac:dyDescent="0.25">
      <c r="A1530" t="s">
        <v>14</v>
      </c>
      <c r="B1530" t="str">
        <f>_xll.BDP("9128273P Govt","TICKER")</f>
        <v>T</v>
      </c>
      <c r="C1530">
        <f>_xll.BDP("9128273P Govt","CPN")</f>
        <v>5.625</v>
      </c>
      <c r="D1530" t="str">
        <f>_xll.BDP("9128273P Govt","YLD_YTM_BID")</f>
        <v>#N/A N/A</v>
      </c>
      <c r="E1530" t="str">
        <f>_xll.BDP("9128273P Govt","MATURITY")</f>
        <v>11/30/1999</v>
      </c>
      <c r="F1530" t="str">
        <f>_xll.BDP("9128273P Govt","MTY_TYP")</f>
        <v>NORMAL</v>
      </c>
      <c r="G1530" t="str">
        <f>_xll.BDP("9128273P Govt","CRNCY")</f>
        <v>USD</v>
      </c>
      <c r="H1530" t="str">
        <f>_xll.BDP("9128273P Govt","COUNTRY_FULL_NAME")</f>
        <v>UNITED STATES</v>
      </c>
      <c r="I1530" t="str">
        <f>_xll.BDP("9128273P Govt","FIRST_CPN_DT")</f>
        <v>5/31/1998</v>
      </c>
      <c r="J1530" t="str">
        <f>_xll.BDP("9128273P Govt","COUPON_FREQUENCY_DESCRIPTION")</f>
        <v>S/A</v>
      </c>
      <c r="K1530" t="str">
        <f>_xll.BDP("9128273P Govt","CPN_TYP")</f>
        <v>FIXED</v>
      </c>
      <c r="L1530" t="str">
        <f>_xll.BDP("9128273P Govt","ID_ISIN")</f>
        <v>US9128273P58</v>
      </c>
      <c r="M1530">
        <v>17051000000</v>
      </c>
      <c r="N1530">
        <v>0</v>
      </c>
      <c r="O1530" t="str">
        <f>_xll.BDP("9128273P Govt","ISSUE_DT")</f>
        <v>12/1/1997</v>
      </c>
      <c r="P1530" t="str">
        <f>_xll.BDP("9128273P Govt","SECURITY_NAME")</f>
        <v>T 5 5/8 11/30/99</v>
      </c>
      <c r="Q1530" t="str">
        <f>_xll.BDP("9128273P Govt","DAY_CNT_DES")</f>
        <v>ACT/ACT</v>
      </c>
      <c r="R1530">
        <v>100</v>
      </c>
      <c r="S1530" t="str">
        <f>_xll.BDP("9128273P Govt","ID_CUSIP")</f>
        <v>9128273P5</v>
      </c>
      <c r="T1530" t="str">
        <f>_xll.BDP("9128273P Govt","IDX_RATIO")</f>
        <v>#N/A Field Not Applicable</v>
      </c>
    </row>
    <row r="1531" spans="1:20" x14ac:dyDescent="0.25">
      <c r="A1531" t="s">
        <v>14</v>
      </c>
      <c r="B1531" t="str">
        <f>_xll.BDP("9128273S Govt","TICKER")</f>
        <v>T</v>
      </c>
      <c r="C1531">
        <f>_xll.BDP("9128273S Govt","CPN")</f>
        <v>5.625</v>
      </c>
      <c r="D1531" t="str">
        <f>_xll.BDP("9128273S Govt","YLD_YTM_BID")</f>
        <v>#N/A N/A</v>
      </c>
      <c r="E1531" t="str">
        <f>_xll.BDP("9128273S Govt","MATURITY")</f>
        <v>12/31/2002</v>
      </c>
      <c r="F1531" t="str">
        <f>_xll.BDP("9128273S Govt","MTY_TYP")</f>
        <v>NORMAL</v>
      </c>
      <c r="G1531" t="str">
        <f>_xll.BDP("9128273S Govt","CRNCY")</f>
        <v>USD</v>
      </c>
      <c r="H1531" t="str">
        <f>_xll.BDP("9128273S Govt","COUNTRY_FULL_NAME")</f>
        <v>UNITED STATES</v>
      </c>
      <c r="I1531" t="str">
        <f>_xll.BDP("9128273S Govt","FIRST_CPN_DT")</f>
        <v>6/30/1998</v>
      </c>
      <c r="J1531" t="str">
        <f>_xll.BDP("9128273S Govt","COUPON_FREQUENCY_DESCRIPTION")</f>
        <v>S/A</v>
      </c>
      <c r="K1531" t="str">
        <f>_xll.BDP("9128273S Govt","CPN_TYP")</f>
        <v>FIXED</v>
      </c>
      <c r="L1531" t="str">
        <f>_xll.BDP("9128273S Govt","ID_ISIN")</f>
        <v>US9128273S97</v>
      </c>
      <c r="M1531">
        <v>12052000000</v>
      </c>
      <c r="N1531">
        <v>0</v>
      </c>
      <c r="O1531" t="str">
        <f>_xll.BDP("9128273S Govt","ISSUE_DT")</f>
        <v>12/31/1997</v>
      </c>
      <c r="P1531" t="str">
        <f>_xll.BDP("9128273S Govt","SECURITY_NAME")</f>
        <v>T 5 5/8 12/31/02</v>
      </c>
      <c r="Q1531" t="str">
        <f>_xll.BDP("9128273S Govt","DAY_CNT_DES")</f>
        <v>ACT/ACT</v>
      </c>
      <c r="R1531">
        <v>100</v>
      </c>
      <c r="S1531" t="str">
        <f>_xll.BDP("9128273S Govt","ID_CUSIP")</f>
        <v>9128273S9</v>
      </c>
      <c r="T1531" t="str">
        <f>_xll.BDP("9128273S Govt","IDX_RATIO")</f>
        <v>#N/A Field Not Applicable</v>
      </c>
    </row>
    <row r="1532" spans="1:20" x14ac:dyDescent="0.25">
      <c r="A1532" t="s">
        <v>14</v>
      </c>
      <c r="B1532" t="str">
        <f>_xll.BDP("9128274R Govt","TICKER")</f>
        <v>T</v>
      </c>
      <c r="C1532">
        <f>_xll.BDP("9128274R Govt","CPN")</f>
        <v>4.5</v>
      </c>
      <c r="D1532" t="str">
        <f>_xll.BDP("9128274R Govt","YLD_YTM_BID")</f>
        <v>#N/A N/A</v>
      </c>
      <c r="E1532" t="str">
        <f>_xll.BDP("9128274R Govt","MATURITY")</f>
        <v>9/30/2000</v>
      </c>
      <c r="F1532" t="str">
        <f>_xll.BDP("9128274R Govt","MTY_TYP")</f>
        <v>NORMAL</v>
      </c>
      <c r="G1532" t="str">
        <f>_xll.BDP("9128274R Govt","CRNCY")</f>
        <v>USD</v>
      </c>
      <c r="H1532" t="str">
        <f>_xll.BDP("9128274R Govt","COUNTRY_FULL_NAME")</f>
        <v>UNITED STATES</v>
      </c>
      <c r="I1532" t="str">
        <f>_xll.BDP("9128274R Govt","FIRST_CPN_DT")</f>
        <v>3/31/1999</v>
      </c>
      <c r="J1532" t="str">
        <f>_xll.BDP("9128274R Govt","COUPON_FREQUENCY_DESCRIPTION")</f>
        <v>S/A</v>
      </c>
      <c r="K1532" t="str">
        <f>_xll.BDP("9128274R Govt","CPN_TYP")</f>
        <v>FIXED</v>
      </c>
      <c r="L1532" t="str">
        <f>_xll.BDP("9128274R Govt","ID_ISIN")</f>
        <v>US9128274R06</v>
      </c>
      <c r="M1532">
        <v>19269000000</v>
      </c>
      <c r="N1532">
        <v>0</v>
      </c>
      <c r="O1532" t="str">
        <f>_xll.BDP("9128274R Govt","ISSUE_DT")</f>
        <v>9/30/1998</v>
      </c>
      <c r="P1532" t="str">
        <f>_xll.BDP("9128274R Govt","SECURITY_NAME")</f>
        <v>T 4 1/2 09/30/00</v>
      </c>
      <c r="Q1532" t="str">
        <f>_xll.BDP("9128274R Govt","DAY_CNT_DES")</f>
        <v>ACT/ACT</v>
      </c>
      <c r="R1532">
        <v>100</v>
      </c>
      <c r="S1532" t="str">
        <f>_xll.BDP("9128274R Govt","ID_CUSIP")</f>
        <v>9128274R0</v>
      </c>
      <c r="T1532" t="str">
        <f>_xll.BDP("9128274R Govt","IDX_RATIO")</f>
        <v>#N/A Field Not Applicable</v>
      </c>
    </row>
    <row r="1533" spans="1:20" x14ac:dyDescent="0.25">
      <c r="A1533" t="s">
        <v>14</v>
      </c>
      <c r="B1533" t="str">
        <f>_xll.BDP("9128274V Govt","TICKER")</f>
        <v>T</v>
      </c>
      <c r="C1533">
        <f>_xll.BDP("9128274V Govt","CPN")</f>
        <v>4.75</v>
      </c>
      <c r="D1533" t="str">
        <f>_xll.BDP("9128274V Govt","YLD_YTM_BID")</f>
        <v>#N/A N/A</v>
      </c>
      <c r="E1533" t="str">
        <f>_xll.BDP("9128274V Govt","MATURITY")</f>
        <v>11/15/2008</v>
      </c>
      <c r="F1533" t="str">
        <f>_xll.BDP("9128274V Govt","MTY_TYP")</f>
        <v>NORMAL</v>
      </c>
      <c r="G1533" t="str">
        <f>_xll.BDP("9128274V Govt","CRNCY")</f>
        <v>USD</v>
      </c>
      <c r="H1533" t="str">
        <f>_xll.BDP("9128274V Govt","COUNTRY_FULL_NAME")</f>
        <v>UNITED STATES</v>
      </c>
      <c r="I1533" t="str">
        <f>_xll.BDP("9128274V Govt","FIRST_CPN_DT")</f>
        <v>5/15/1999</v>
      </c>
      <c r="J1533" t="str">
        <f>_xll.BDP("9128274V Govt","COUPON_FREQUENCY_DESCRIPTION")</f>
        <v>S/A</v>
      </c>
      <c r="K1533" t="str">
        <f>_xll.BDP("9128274V Govt","CPN_TYP")</f>
        <v>FIXED</v>
      </c>
      <c r="L1533" t="str">
        <f>_xll.BDP("9128274V Govt","ID_ISIN")</f>
        <v>US9128274V18</v>
      </c>
      <c r="M1533">
        <v>25083000000</v>
      </c>
      <c r="N1533">
        <v>0</v>
      </c>
      <c r="O1533" t="str">
        <f>_xll.BDP("9128274V Govt","ISSUE_DT")</f>
        <v>11/16/1998</v>
      </c>
      <c r="P1533" t="str">
        <f>_xll.BDP("9128274V Govt","SECURITY_NAME")</f>
        <v>T 4 3/4 11/15/08</v>
      </c>
      <c r="Q1533" t="str">
        <f>_xll.BDP("9128274V Govt","DAY_CNT_DES")</f>
        <v>ACT/ACT</v>
      </c>
      <c r="R1533">
        <v>100</v>
      </c>
      <c r="S1533" t="str">
        <f>_xll.BDP("9128274V Govt","ID_CUSIP")</f>
        <v>9128274V1</v>
      </c>
      <c r="T1533" t="str">
        <f>_xll.BDP("9128274V Govt","IDX_RATIO")</f>
        <v>#N/A Field Not Applicable</v>
      </c>
    </row>
    <row r="1534" spans="1:20" x14ac:dyDescent="0.25">
      <c r="A1534" t="s">
        <v>14</v>
      </c>
      <c r="B1534" t="str">
        <f>_xll.BDP("9128274Z Govt","TICKER")</f>
        <v>T</v>
      </c>
      <c r="C1534">
        <f>_xll.BDP("9128274Z Govt","CPN")</f>
        <v>4.5</v>
      </c>
      <c r="D1534" t="str">
        <f>_xll.BDP("9128274Z Govt","YLD_YTM_BID")</f>
        <v>#N/A N/A</v>
      </c>
      <c r="E1534" t="str">
        <f>_xll.BDP("9128274Z Govt","MATURITY")</f>
        <v>1/31/2001</v>
      </c>
      <c r="F1534" t="str">
        <f>_xll.BDP("9128274Z Govt","MTY_TYP")</f>
        <v>NORMAL</v>
      </c>
      <c r="G1534" t="str">
        <f>_xll.BDP("9128274Z Govt","CRNCY")</f>
        <v>USD</v>
      </c>
      <c r="H1534" t="str">
        <f>_xll.BDP("9128274Z Govt","COUNTRY_FULL_NAME")</f>
        <v>UNITED STATES</v>
      </c>
      <c r="I1534" t="str">
        <f>_xll.BDP("9128274Z Govt","FIRST_CPN_DT")</f>
        <v>7/31/1999</v>
      </c>
      <c r="J1534" t="str">
        <f>_xll.BDP("9128274Z Govt","COUPON_FREQUENCY_DESCRIPTION")</f>
        <v>S/A</v>
      </c>
      <c r="K1534" t="str">
        <f>_xll.BDP("9128274Z Govt","CPN_TYP")</f>
        <v>FIXED</v>
      </c>
      <c r="L1534" t="str">
        <f>_xll.BDP("9128274Z Govt","ID_ISIN")</f>
        <v>US9128274Z22</v>
      </c>
      <c r="M1534">
        <v>19777000000</v>
      </c>
      <c r="N1534">
        <v>0</v>
      </c>
      <c r="O1534" t="str">
        <f>_xll.BDP("9128274Z Govt","ISSUE_DT")</f>
        <v>2/1/1999</v>
      </c>
      <c r="P1534" t="str">
        <f>_xll.BDP("9128274Z Govt","SECURITY_NAME")</f>
        <v>T 4 1/2 01/31/01</v>
      </c>
      <c r="Q1534" t="str">
        <f>_xll.BDP("9128274Z Govt","DAY_CNT_DES")</f>
        <v>ACT/ACT</v>
      </c>
      <c r="R1534">
        <v>100</v>
      </c>
      <c r="S1534" t="str">
        <f>_xll.BDP("9128274Z Govt","ID_CUSIP")</f>
        <v>9128274Z2</v>
      </c>
      <c r="T1534" t="str">
        <f>_xll.BDP("9128274Z Govt","IDX_RATIO")</f>
        <v>#N/A Field Not Applicable</v>
      </c>
    </row>
    <row r="1535" spans="1:20" x14ac:dyDescent="0.25">
      <c r="A1535" t="s">
        <v>14</v>
      </c>
      <c r="B1535" t="str">
        <f>_xll.BDP("9128275C Govt","TICKER")</f>
        <v>T</v>
      </c>
      <c r="C1535">
        <f>_xll.BDP("9128275C Govt","CPN")</f>
        <v>5</v>
      </c>
      <c r="D1535" t="str">
        <f>_xll.BDP("9128275C Govt","YLD_YTM_BID")</f>
        <v>#N/A N/A</v>
      </c>
      <c r="E1535" t="str">
        <f>_xll.BDP("9128275C Govt","MATURITY")</f>
        <v>2/28/2001</v>
      </c>
      <c r="F1535" t="str">
        <f>_xll.BDP("9128275C Govt","MTY_TYP")</f>
        <v>NORMAL</v>
      </c>
      <c r="G1535" t="str">
        <f>_xll.BDP("9128275C Govt","CRNCY")</f>
        <v>USD</v>
      </c>
      <c r="H1535" t="str">
        <f>_xll.BDP("9128275C Govt","COUNTRY_FULL_NAME")</f>
        <v>UNITED STATES</v>
      </c>
      <c r="I1535" t="str">
        <f>_xll.BDP("9128275C Govt","FIRST_CPN_DT")</f>
        <v>8/31/1999</v>
      </c>
      <c r="J1535" t="str">
        <f>_xll.BDP("9128275C Govt","COUPON_FREQUENCY_DESCRIPTION")</f>
        <v>S/A</v>
      </c>
      <c r="K1535" t="str">
        <f>_xll.BDP("9128275C Govt","CPN_TYP")</f>
        <v>FIXED</v>
      </c>
      <c r="L1535" t="str">
        <f>_xll.BDP("9128275C Govt","ID_ISIN")</f>
        <v>US9128275C28</v>
      </c>
      <c r="M1535">
        <v>19587000000</v>
      </c>
      <c r="N1535">
        <v>0</v>
      </c>
      <c r="O1535" t="str">
        <f>_xll.BDP("9128275C Govt","ISSUE_DT")</f>
        <v>3/1/1999</v>
      </c>
      <c r="P1535" t="str">
        <f>_xll.BDP("9128275C Govt","SECURITY_NAME")</f>
        <v>T 5 02/28/01</v>
      </c>
      <c r="Q1535" t="str">
        <f>_xll.BDP("9128275C Govt","DAY_CNT_DES")</f>
        <v>ACT/ACT</v>
      </c>
      <c r="R1535">
        <v>100</v>
      </c>
      <c r="S1535" t="str">
        <f>_xll.BDP("9128275C Govt","ID_CUSIP")</f>
        <v>9128275C2</v>
      </c>
      <c r="T1535" t="str">
        <f>_xll.BDP("9128275C Govt","IDX_RATIO")</f>
        <v>#N/A Field Not Applicable</v>
      </c>
    </row>
    <row r="1536" spans="1:20" x14ac:dyDescent="0.25">
      <c r="A1536" t="s">
        <v>14</v>
      </c>
      <c r="B1536" t="str">
        <f>_xll.BDP("9128276E Govt","TICKER")</f>
        <v>T</v>
      </c>
      <c r="C1536">
        <f>_xll.BDP("9128276E Govt","CPN")</f>
        <v>6.625</v>
      </c>
      <c r="D1536" t="str">
        <f>_xll.BDP("9128276E Govt","YLD_YTM_BID")</f>
        <v>#N/A N/A</v>
      </c>
      <c r="E1536" t="str">
        <f>_xll.BDP("9128276E Govt","MATURITY")</f>
        <v>5/31/2002</v>
      </c>
      <c r="F1536" t="str">
        <f>_xll.BDP("9128276E Govt","MTY_TYP")</f>
        <v>NORMAL</v>
      </c>
      <c r="G1536" t="str">
        <f>_xll.BDP("9128276E Govt","CRNCY")</f>
        <v>USD</v>
      </c>
      <c r="H1536" t="str">
        <f>_xll.BDP("9128276E Govt","COUNTRY_FULL_NAME")</f>
        <v>UNITED STATES</v>
      </c>
      <c r="I1536" t="str">
        <f>_xll.BDP("9128276E Govt","FIRST_CPN_DT")</f>
        <v>11/30/2000</v>
      </c>
      <c r="J1536" t="str">
        <f>_xll.BDP("9128276E Govt","COUPON_FREQUENCY_DESCRIPTION")</f>
        <v>S/A</v>
      </c>
      <c r="K1536" t="str">
        <f>_xll.BDP("9128276E Govt","CPN_TYP")</f>
        <v>FIXED</v>
      </c>
      <c r="L1536" t="str">
        <f>_xll.BDP("9128276E Govt","ID_ISIN")</f>
        <v>US9128276E74</v>
      </c>
      <c r="M1536">
        <v>14872000000</v>
      </c>
      <c r="N1536">
        <v>0</v>
      </c>
      <c r="O1536" t="str">
        <f>_xll.BDP("9128276E Govt","ISSUE_DT")</f>
        <v>5/31/2000</v>
      </c>
      <c r="P1536" t="str">
        <f>_xll.BDP("9128276E Govt","SECURITY_NAME")</f>
        <v>T 6 5/8 05/31/02</v>
      </c>
      <c r="Q1536" t="str">
        <f>_xll.BDP("9128276E Govt","DAY_CNT_DES")</f>
        <v>ACT/ACT</v>
      </c>
      <c r="R1536">
        <v>100</v>
      </c>
      <c r="S1536" t="str">
        <f>_xll.BDP("9128276E Govt","ID_CUSIP")</f>
        <v>9128276E7</v>
      </c>
      <c r="T1536" t="str">
        <f>_xll.BDP("9128276E Govt","IDX_RATIO")</f>
        <v>#N/A Field Not Applicable</v>
      </c>
    </row>
    <row r="1537" spans="1:20" x14ac:dyDescent="0.25">
      <c r="A1537" t="s">
        <v>14</v>
      </c>
      <c r="B1537" t="str">
        <f>_xll.BDP("9128276H Govt","TICKER")</f>
        <v>T</v>
      </c>
      <c r="C1537">
        <f>_xll.BDP("9128276H Govt","CPN")</f>
        <v>6.25</v>
      </c>
      <c r="D1537" t="str">
        <f>_xll.BDP("9128276H Govt","YLD_YTM_BID")</f>
        <v>#N/A N/A</v>
      </c>
      <c r="E1537" t="str">
        <f>_xll.BDP("9128276H Govt","MATURITY")</f>
        <v>7/31/2002</v>
      </c>
      <c r="F1537" t="str">
        <f>_xll.BDP("9128276H Govt","MTY_TYP")</f>
        <v>NORMAL</v>
      </c>
      <c r="G1537" t="str">
        <f>_xll.BDP("9128276H Govt","CRNCY")</f>
        <v>USD</v>
      </c>
      <c r="H1537" t="str">
        <f>_xll.BDP("9128276H Govt","COUNTRY_FULL_NAME")</f>
        <v>UNITED STATES</v>
      </c>
      <c r="I1537" t="str">
        <f>_xll.BDP("9128276H Govt","FIRST_CPN_DT")</f>
        <v>1/31/2001</v>
      </c>
      <c r="J1537" t="str">
        <f>_xll.BDP("9128276H Govt","COUPON_FREQUENCY_DESCRIPTION")</f>
        <v>S/A</v>
      </c>
      <c r="K1537" t="str">
        <f>_xll.BDP("9128276H Govt","CPN_TYP")</f>
        <v>FIXED</v>
      </c>
      <c r="L1537" t="str">
        <f>_xll.BDP("9128276H Govt","ID_ISIN")</f>
        <v>US9128276H06</v>
      </c>
      <c r="M1537">
        <v>15058000000</v>
      </c>
      <c r="N1537">
        <v>0</v>
      </c>
      <c r="O1537" t="str">
        <f>_xll.BDP("9128276H Govt","ISSUE_DT")</f>
        <v>7/31/2000</v>
      </c>
      <c r="P1537" t="str">
        <f>_xll.BDP("9128276H Govt","SECURITY_NAME")</f>
        <v>T 6 1/4 07/31/02</v>
      </c>
      <c r="Q1537" t="str">
        <f>_xll.BDP("9128276H Govt","DAY_CNT_DES")</f>
        <v>ACT/ACT</v>
      </c>
      <c r="R1537">
        <v>100</v>
      </c>
      <c r="S1537" t="str">
        <f>_xll.BDP("9128276H Govt","ID_CUSIP")</f>
        <v>9128276H0</v>
      </c>
      <c r="T1537" t="str">
        <f>_xll.BDP("9128276H Govt","IDX_RATIO")</f>
        <v>#N/A Field Not Applicable</v>
      </c>
    </row>
    <row r="1538" spans="1:20" x14ac:dyDescent="0.25">
      <c r="A1538" t="s">
        <v>14</v>
      </c>
      <c r="B1538" t="str">
        <f>_xll.BDP("9128276L Govt","TICKER")</f>
        <v>T</v>
      </c>
      <c r="C1538">
        <f>_xll.BDP("9128276L Govt","CPN")</f>
        <v>6</v>
      </c>
      <c r="D1538" t="str">
        <f>_xll.BDP("9128276L Govt","YLD_YTM_BID")</f>
        <v>#N/A N/A</v>
      </c>
      <c r="E1538" t="str">
        <f>_xll.BDP("9128276L Govt","MATURITY")</f>
        <v>9/30/2002</v>
      </c>
      <c r="F1538" t="str">
        <f>_xll.BDP("9128276L Govt","MTY_TYP")</f>
        <v>NORMAL</v>
      </c>
      <c r="G1538" t="str">
        <f>_xll.BDP("9128276L Govt","CRNCY")</f>
        <v>USD</v>
      </c>
      <c r="H1538" t="str">
        <f>_xll.BDP("9128276L Govt","COUNTRY_FULL_NAME")</f>
        <v>UNITED STATES</v>
      </c>
      <c r="I1538" t="str">
        <f>_xll.BDP("9128276L Govt","FIRST_CPN_DT")</f>
        <v>3/31/2001</v>
      </c>
      <c r="J1538" t="str">
        <f>_xll.BDP("9128276L Govt","COUPON_FREQUENCY_DESCRIPTION")</f>
        <v>S/A</v>
      </c>
      <c r="K1538" t="str">
        <f>_xll.BDP("9128276L Govt","CPN_TYP")</f>
        <v>FIXED</v>
      </c>
      <c r="L1538" t="str">
        <f>_xll.BDP("9128276L Govt","ID_ISIN")</f>
        <v>US9128276L18</v>
      </c>
      <c r="M1538">
        <v>15144000000</v>
      </c>
      <c r="N1538">
        <v>0</v>
      </c>
      <c r="O1538" t="str">
        <f>_xll.BDP("9128276L Govt","ISSUE_DT")</f>
        <v>10/2/2000</v>
      </c>
      <c r="P1538" t="str">
        <f>_xll.BDP("9128276L Govt","SECURITY_NAME")</f>
        <v>T 6 09/30/02</v>
      </c>
      <c r="Q1538" t="str">
        <f>_xll.BDP("9128276L Govt","DAY_CNT_DES")</f>
        <v>ACT/ACT</v>
      </c>
      <c r="R1538">
        <v>100</v>
      </c>
      <c r="S1538" t="str">
        <f>_xll.BDP("9128276L Govt","ID_CUSIP")</f>
        <v>9128276L1</v>
      </c>
      <c r="T1538" t="str">
        <f>_xll.BDP("9128276L Govt","IDX_RATIO")</f>
        <v>#N/A Field Not Applicable</v>
      </c>
    </row>
    <row r="1539" spans="1:20" x14ac:dyDescent="0.25">
      <c r="A1539" t="s">
        <v>14</v>
      </c>
      <c r="B1539" t="str">
        <f>_xll.BDP("9128276Q Govt","TICKER")</f>
        <v>T</v>
      </c>
      <c r="C1539">
        <f>_xll.BDP("9128276Q Govt","CPN")</f>
        <v>5.125</v>
      </c>
      <c r="D1539" t="str">
        <f>_xll.BDP("9128276Q Govt","YLD_YTM_BID")</f>
        <v>#N/A N/A</v>
      </c>
      <c r="E1539" t="str">
        <f>_xll.BDP("9128276Q Govt","MATURITY")</f>
        <v>12/31/2002</v>
      </c>
      <c r="F1539" t="str">
        <f>_xll.BDP("9128276Q Govt","MTY_TYP")</f>
        <v>NORMAL</v>
      </c>
      <c r="G1539" t="str">
        <f>_xll.BDP("9128276Q Govt","CRNCY")</f>
        <v>USD</v>
      </c>
      <c r="H1539" t="str">
        <f>_xll.BDP("9128276Q Govt","COUNTRY_FULL_NAME")</f>
        <v>UNITED STATES</v>
      </c>
      <c r="I1539" t="str">
        <f>_xll.BDP("9128276Q Govt","FIRST_CPN_DT")</f>
        <v>6/30/2001</v>
      </c>
      <c r="J1539" t="str">
        <f>_xll.BDP("9128276Q Govt","COUPON_FREQUENCY_DESCRIPTION")</f>
        <v>S/A</v>
      </c>
      <c r="K1539" t="str">
        <f>_xll.BDP("9128276Q Govt","CPN_TYP")</f>
        <v>FIXED</v>
      </c>
      <c r="L1539" t="str">
        <f>_xll.BDP("9128276Q Govt","ID_ISIN")</f>
        <v>US9128276Q05</v>
      </c>
      <c r="M1539">
        <v>14822000000</v>
      </c>
      <c r="N1539">
        <v>0</v>
      </c>
      <c r="O1539" t="str">
        <f>_xll.BDP("9128276Q Govt","ISSUE_DT")</f>
        <v>1/2/2001</v>
      </c>
      <c r="P1539" t="str">
        <f>_xll.BDP("9128276Q Govt","SECURITY_NAME")</f>
        <v>T 5 1/8 12/31/02</v>
      </c>
      <c r="Q1539" t="str">
        <f>_xll.BDP("9128276Q Govt","DAY_CNT_DES")</f>
        <v>ACT/ACT</v>
      </c>
      <c r="R1539">
        <v>100</v>
      </c>
      <c r="S1539" t="str">
        <f>_xll.BDP("9128276Q Govt","ID_CUSIP")</f>
        <v>9128276Q0</v>
      </c>
      <c r="T1539" t="str">
        <f>_xll.BDP("9128276Q Govt","IDX_RATIO")</f>
        <v>#N/A Field Not Applicable</v>
      </c>
    </row>
    <row r="1540" spans="1:20" x14ac:dyDescent="0.25">
      <c r="A1540" t="s">
        <v>14</v>
      </c>
      <c r="B1540" t="str">
        <f>_xll.BDP("9128276S Govt","TICKER")</f>
        <v>T</v>
      </c>
      <c r="C1540">
        <f>_xll.BDP("9128276S Govt","CPN")</f>
        <v>4.75</v>
      </c>
      <c r="D1540" t="str">
        <f>_xll.BDP("9128276S Govt","YLD_YTM_BID")</f>
        <v>#N/A N/A</v>
      </c>
      <c r="E1540" t="str">
        <f>_xll.BDP("9128276S Govt","MATURITY")</f>
        <v>1/31/2003</v>
      </c>
      <c r="F1540" t="str">
        <f>_xll.BDP("9128276S Govt","MTY_TYP")</f>
        <v>NORMAL</v>
      </c>
      <c r="G1540" t="str">
        <f>_xll.BDP("9128276S Govt","CRNCY")</f>
        <v>USD</v>
      </c>
      <c r="H1540" t="str">
        <f>_xll.BDP("9128276S Govt","COUNTRY_FULL_NAME")</f>
        <v>UNITED STATES</v>
      </c>
      <c r="I1540" t="str">
        <f>_xll.BDP("9128276S Govt","FIRST_CPN_DT")</f>
        <v>7/31/2001</v>
      </c>
      <c r="J1540" t="str">
        <f>_xll.BDP("9128276S Govt","COUPON_FREQUENCY_DESCRIPTION")</f>
        <v>S/A</v>
      </c>
      <c r="K1540" t="str">
        <f>_xll.BDP("9128276S Govt","CPN_TYP")</f>
        <v>FIXED</v>
      </c>
      <c r="L1540" t="str">
        <f>_xll.BDP("9128276S Govt","ID_ISIN")</f>
        <v>US9128276S60</v>
      </c>
      <c r="M1540">
        <v>15453000000</v>
      </c>
      <c r="N1540">
        <v>0</v>
      </c>
      <c r="O1540" t="str">
        <f>_xll.BDP("9128276S Govt","ISSUE_DT")</f>
        <v>1/31/2001</v>
      </c>
      <c r="P1540" t="str">
        <f>_xll.BDP("9128276S Govt","SECURITY_NAME")</f>
        <v>T 4 3/4 01/31/03</v>
      </c>
      <c r="Q1540" t="str">
        <f>_xll.BDP("9128276S Govt","DAY_CNT_DES")</f>
        <v>ACT/ACT</v>
      </c>
      <c r="R1540">
        <v>100</v>
      </c>
      <c r="S1540" t="str">
        <f>_xll.BDP("9128276S Govt","ID_CUSIP")</f>
        <v>9128276S6</v>
      </c>
      <c r="T1540" t="str">
        <f>_xll.BDP("9128276S Govt","IDX_RATIO")</f>
        <v>#N/A Field Not Applicable</v>
      </c>
    </row>
    <row r="1541" spans="1:20" x14ac:dyDescent="0.25">
      <c r="A1541" t="s">
        <v>14</v>
      </c>
      <c r="B1541" t="str">
        <f>_xll.BDP("9128276W Govt","TICKER")</f>
        <v>T</v>
      </c>
      <c r="C1541">
        <f>_xll.BDP("9128276W Govt","CPN")</f>
        <v>4</v>
      </c>
      <c r="D1541" t="str">
        <f>_xll.BDP("9128276W Govt","YLD_YTM_BID")</f>
        <v>#N/A N/A</v>
      </c>
      <c r="E1541" t="str">
        <f>_xll.BDP("9128276W Govt","MATURITY")</f>
        <v>4/30/2003</v>
      </c>
      <c r="F1541" t="str">
        <f>_xll.BDP("9128276W Govt","MTY_TYP")</f>
        <v>NORMAL</v>
      </c>
      <c r="G1541" t="str">
        <f>_xll.BDP("9128276W Govt","CRNCY")</f>
        <v>USD</v>
      </c>
      <c r="H1541" t="str">
        <f>_xll.BDP("9128276W Govt","COUNTRY_FULL_NAME")</f>
        <v>UNITED STATES</v>
      </c>
      <c r="I1541" t="str">
        <f>_xll.BDP("9128276W Govt","FIRST_CPN_DT")</f>
        <v>10/31/2001</v>
      </c>
      <c r="J1541" t="str">
        <f>_xll.BDP("9128276W Govt","COUPON_FREQUENCY_DESCRIPTION")</f>
        <v>S/A</v>
      </c>
      <c r="K1541" t="str">
        <f>_xll.BDP("9128276W Govt","CPN_TYP")</f>
        <v>FIXED</v>
      </c>
      <c r="L1541" t="str">
        <f>_xll.BDP("9128276W Govt","ID_ISIN")</f>
        <v>US9128276W72</v>
      </c>
      <c r="M1541">
        <v>13339000000</v>
      </c>
      <c r="N1541">
        <v>0</v>
      </c>
      <c r="O1541" t="str">
        <f>_xll.BDP("9128276W Govt","ISSUE_DT")</f>
        <v>4/30/2001</v>
      </c>
      <c r="P1541" t="str">
        <f>_xll.BDP("9128276W Govt","SECURITY_NAME")</f>
        <v>T 4 04/30/03</v>
      </c>
      <c r="Q1541" t="str">
        <f>_xll.BDP("9128276W Govt","DAY_CNT_DES")</f>
        <v>ACT/ACT</v>
      </c>
      <c r="R1541">
        <v>100</v>
      </c>
      <c r="S1541" t="str">
        <f>_xll.BDP("9128276W Govt","ID_CUSIP")</f>
        <v>9128276W7</v>
      </c>
      <c r="T1541" t="str">
        <f>_xll.BDP("9128276W Govt","IDX_RATIO")</f>
        <v>#N/A Field Not Applicable</v>
      </c>
    </row>
    <row r="1542" spans="1:20" x14ac:dyDescent="0.25">
      <c r="A1542" t="s">
        <v>14</v>
      </c>
      <c r="B1542" t="str">
        <f>_xll.BDP("9128276Y Govt","TICKER")</f>
        <v>T</v>
      </c>
      <c r="C1542">
        <f>_xll.BDP("9128276Y Govt","CPN")</f>
        <v>4.25</v>
      </c>
      <c r="D1542" t="str">
        <f>_xll.BDP("9128276Y Govt","YLD_YTM_BID")</f>
        <v>#N/A N/A</v>
      </c>
      <c r="E1542" t="str">
        <f>_xll.BDP("9128276Y Govt","MATURITY")</f>
        <v>5/31/2003</v>
      </c>
      <c r="F1542" t="str">
        <f>_xll.BDP("9128276Y Govt","MTY_TYP")</f>
        <v>NORMAL</v>
      </c>
      <c r="G1542" t="str">
        <f>_xll.BDP("9128276Y Govt","CRNCY")</f>
        <v>USD</v>
      </c>
      <c r="H1542" t="str">
        <f>_xll.BDP("9128276Y Govt","COUNTRY_FULL_NAME")</f>
        <v>UNITED STATES</v>
      </c>
      <c r="I1542" t="str">
        <f>_xll.BDP("9128276Y Govt","FIRST_CPN_DT")</f>
        <v>11/30/2001</v>
      </c>
      <c r="J1542" t="str">
        <f>_xll.BDP("9128276Y Govt","COUPON_FREQUENCY_DESCRIPTION")</f>
        <v>S/A</v>
      </c>
      <c r="K1542" t="str">
        <f>_xll.BDP("9128276Y Govt","CPN_TYP")</f>
        <v>FIXED</v>
      </c>
      <c r="L1542" t="str">
        <f>_xll.BDP("9128276Y Govt","ID_ISIN")</f>
        <v>US9128276Y39</v>
      </c>
      <c r="M1542">
        <v>13332000000</v>
      </c>
      <c r="N1542">
        <v>0</v>
      </c>
      <c r="O1542" t="str">
        <f>_xll.BDP("9128276Y Govt","ISSUE_DT")</f>
        <v>5/31/2001</v>
      </c>
      <c r="P1542" t="str">
        <f>_xll.BDP("9128276Y Govt","SECURITY_NAME")</f>
        <v>T 4 1/4 05/31/03</v>
      </c>
      <c r="Q1542" t="str">
        <f>_xll.BDP("9128276Y Govt","DAY_CNT_DES")</f>
        <v>ACT/ACT</v>
      </c>
      <c r="R1542">
        <v>100</v>
      </c>
      <c r="S1542" t="str">
        <f>_xll.BDP("9128276Y Govt","ID_CUSIP")</f>
        <v>9128276Y3</v>
      </c>
      <c r="T1542" t="str">
        <f>_xll.BDP("9128276Y Govt","IDX_RATIO")</f>
        <v>#N/A Field Not Applicable</v>
      </c>
    </row>
    <row r="1543" spans="1:20" x14ac:dyDescent="0.25">
      <c r="A1543" t="s">
        <v>14</v>
      </c>
      <c r="B1543" t="str">
        <f>_xll.BDP("9128277A Govt","TICKER")</f>
        <v>T</v>
      </c>
      <c r="C1543">
        <f>_xll.BDP("9128277A Govt","CPN")</f>
        <v>3.875</v>
      </c>
      <c r="D1543" t="str">
        <f>_xll.BDP("9128277A Govt","YLD_YTM_BID")</f>
        <v>#N/A N/A</v>
      </c>
      <c r="E1543" t="str">
        <f>_xll.BDP("9128277A Govt","MATURITY")</f>
        <v>7/31/2003</v>
      </c>
      <c r="F1543" t="str">
        <f>_xll.BDP("9128277A Govt","MTY_TYP")</f>
        <v>NORMAL</v>
      </c>
      <c r="G1543" t="str">
        <f>_xll.BDP("9128277A Govt","CRNCY")</f>
        <v>USD</v>
      </c>
      <c r="H1543" t="str">
        <f>_xll.BDP("9128277A Govt","COUNTRY_FULL_NAME")</f>
        <v>UNITED STATES</v>
      </c>
      <c r="I1543" t="str">
        <f>_xll.BDP("9128277A Govt","FIRST_CPN_DT")</f>
        <v>1/31/2002</v>
      </c>
      <c r="J1543" t="str">
        <f>_xll.BDP("9128277A Govt","COUPON_FREQUENCY_DESCRIPTION")</f>
        <v>S/A</v>
      </c>
      <c r="K1543" t="str">
        <f>_xll.BDP("9128277A Govt","CPN_TYP")</f>
        <v>FIXED</v>
      </c>
      <c r="L1543" t="str">
        <f>_xll.BDP("9128277A Govt","ID_ISIN")</f>
        <v>US9128277A44</v>
      </c>
      <c r="M1543">
        <v>16003000000</v>
      </c>
      <c r="N1543">
        <v>0</v>
      </c>
      <c r="O1543" t="str">
        <f>_xll.BDP("9128277A Govt","ISSUE_DT")</f>
        <v>7/31/2001</v>
      </c>
      <c r="P1543" t="str">
        <f>_xll.BDP("9128277A Govt","SECURITY_NAME")</f>
        <v>T 3 7/8 07/31/03</v>
      </c>
      <c r="Q1543" t="str">
        <f>_xll.BDP("9128277A Govt","DAY_CNT_DES")</f>
        <v>ACT/ACT</v>
      </c>
      <c r="R1543">
        <v>100</v>
      </c>
      <c r="S1543" t="str">
        <f>_xll.BDP("9128277A Govt","ID_CUSIP")</f>
        <v>9128277A4</v>
      </c>
      <c r="T1543" t="str">
        <f>_xll.BDP("9128277A Govt","IDX_RATIO")</f>
        <v>#N/A Field Not Applicable</v>
      </c>
    </row>
    <row r="1544" spans="1:20" x14ac:dyDescent="0.25">
      <c r="A1544" t="s">
        <v>14</v>
      </c>
      <c r="B1544" t="str">
        <f>_xll.BDP("9128277C Govt","TICKER")</f>
        <v>T</v>
      </c>
      <c r="C1544">
        <f>_xll.BDP("9128277C Govt","CPN")</f>
        <v>3.625</v>
      </c>
      <c r="D1544" t="str">
        <f>_xll.BDP("9128277C Govt","YLD_YTM_BID")</f>
        <v>#N/A N/A</v>
      </c>
      <c r="E1544" t="str">
        <f>_xll.BDP("9128277C Govt","MATURITY")</f>
        <v>8/31/2003</v>
      </c>
      <c r="F1544" t="str">
        <f>_xll.BDP("9128277C Govt","MTY_TYP")</f>
        <v>NORMAL</v>
      </c>
      <c r="G1544" t="str">
        <f>_xll.BDP("9128277C Govt","CRNCY")</f>
        <v>USD</v>
      </c>
      <c r="H1544" t="str">
        <f>_xll.BDP("9128277C Govt","COUNTRY_FULL_NAME")</f>
        <v>UNITED STATES</v>
      </c>
      <c r="I1544" t="str">
        <f>_xll.BDP("9128277C Govt","FIRST_CPN_DT")</f>
        <v>2/28/2002</v>
      </c>
      <c r="J1544" t="str">
        <f>_xll.BDP("9128277C Govt","COUPON_FREQUENCY_DESCRIPTION")</f>
        <v>S/A</v>
      </c>
      <c r="K1544" t="str">
        <f>_xll.BDP("9128277C Govt","CPN_TYP")</f>
        <v>FIXED</v>
      </c>
      <c r="L1544" t="str">
        <f>_xll.BDP("9128277C Govt","ID_ISIN")</f>
        <v>US9128277C00</v>
      </c>
      <c r="M1544">
        <v>18665000000</v>
      </c>
      <c r="N1544">
        <v>0</v>
      </c>
      <c r="O1544" t="str">
        <f>_xll.BDP("9128277C Govt","ISSUE_DT")</f>
        <v>8/31/2001</v>
      </c>
      <c r="P1544" t="str">
        <f>_xll.BDP("9128277C Govt","SECURITY_NAME")</f>
        <v>T 3 5/8 08/31/03</v>
      </c>
      <c r="Q1544" t="str">
        <f>_xll.BDP("9128277C Govt","DAY_CNT_DES")</f>
        <v>ACT/ACT</v>
      </c>
      <c r="R1544">
        <v>100</v>
      </c>
      <c r="S1544" t="str">
        <f>_xll.BDP("9128277C Govt","ID_CUSIP")</f>
        <v>9128277C0</v>
      </c>
      <c r="T1544" t="str">
        <f>_xll.BDP("9128277C Govt","IDX_RATIO")</f>
        <v>#N/A Field Not Applicable</v>
      </c>
    </row>
    <row r="1545" spans="1:20" x14ac:dyDescent="0.25">
      <c r="A1545" t="s">
        <v>14</v>
      </c>
      <c r="B1545" t="str">
        <f>_xll.BDP("9128277E Govt","TICKER")</f>
        <v>T</v>
      </c>
      <c r="C1545">
        <f>_xll.BDP("9128277E Govt","CPN")</f>
        <v>2.75</v>
      </c>
      <c r="D1545" t="str">
        <f>_xll.BDP("9128277E Govt","YLD_YTM_BID")</f>
        <v>#N/A N/A</v>
      </c>
      <c r="E1545" t="str">
        <f>_xll.BDP("9128277E Govt","MATURITY")</f>
        <v>10/31/2003</v>
      </c>
      <c r="F1545" t="str">
        <f>_xll.BDP("9128277E Govt","MTY_TYP")</f>
        <v>NORMAL</v>
      </c>
      <c r="G1545" t="str">
        <f>_xll.BDP("9128277E Govt","CRNCY")</f>
        <v>USD</v>
      </c>
      <c r="H1545" t="str">
        <f>_xll.BDP("9128277E Govt","COUNTRY_FULL_NAME")</f>
        <v>UNITED STATES</v>
      </c>
      <c r="I1545" t="str">
        <f>_xll.BDP("9128277E Govt","FIRST_CPN_DT")</f>
        <v>4/30/2002</v>
      </c>
      <c r="J1545" t="str">
        <f>_xll.BDP("9128277E Govt","COUPON_FREQUENCY_DESCRIPTION")</f>
        <v>S/A</v>
      </c>
      <c r="K1545" t="str">
        <f>_xll.BDP("9128277E Govt","CPN_TYP")</f>
        <v>FIXED</v>
      </c>
      <c r="L1545" t="str">
        <f>_xll.BDP("9128277E Govt","ID_ISIN")</f>
        <v>US9128277E65</v>
      </c>
      <c r="M1545">
        <v>25148000000</v>
      </c>
      <c r="N1545">
        <v>0</v>
      </c>
      <c r="O1545" t="str">
        <f>_xll.BDP("9128277E Govt","ISSUE_DT")</f>
        <v>10/31/2001</v>
      </c>
      <c r="P1545" t="str">
        <f>_xll.BDP("9128277E Govt","SECURITY_NAME")</f>
        <v>T 2 3/4 10/31/03</v>
      </c>
      <c r="Q1545" t="str">
        <f>_xll.BDP("9128277E Govt","DAY_CNT_DES")</f>
        <v>ACT/ACT</v>
      </c>
      <c r="R1545">
        <v>100</v>
      </c>
      <c r="S1545" t="str">
        <f>_xll.BDP("9128277E Govt","ID_CUSIP")</f>
        <v>9128277E6</v>
      </c>
      <c r="T1545" t="str">
        <f>_xll.BDP("9128277E Govt","IDX_RATIO")</f>
        <v>#N/A Field Not Applicable</v>
      </c>
    </row>
    <row r="1546" spans="1:20" x14ac:dyDescent="0.25">
      <c r="A1546" t="s">
        <v>14</v>
      </c>
      <c r="B1546" t="str">
        <f>_xll.BDP("9128277L Govt","TICKER")</f>
        <v>T</v>
      </c>
      <c r="C1546">
        <f>_xll.BDP("9128277L Govt","CPN")</f>
        <v>4.875</v>
      </c>
      <c r="D1546" t="str">
        <f>_xll.BDP("9128277L Govt","YLD_YTM_BID")</f>
        <v>#N/A N/A</v>
      </c>
      <c r="E1546" t="str">
        <f>_xll.BDP("9128277L Govt","MATURITY")</f>
        <v>2/15/2012</v>
      </c>
      <c r="F1546" t="str">
        <f>_xll.BDP("9128277L Govt","MTY_TYP")</f>
        <v>NORMAL</v>
      </c>
      <c r="G1546" t="str">
        <f>_xll.BDP("9128277L Govt","CRNCY")</f>
        <v>USD</v>
      </c>
      <c r="H1546" t="str">
        <f>_xll.BDP("9128277L Govt","COUNTRY_FULL_NAME")</f>
        <v>UNITED STATES</v>
      </c>
      <c r="I1546" t="str">
        <f>_xll.BDP("9128277L Govt","FIRST_CPN_DT")</f>
        <v>8/15/2002</v>
      </c>
      <c r="J1546" t="str">
        <f>_xll.BDP("9128277L Govt","COUPON_FREQUENCY_DESCRIPTION")</f>
        <v>S/A</v>
      </c>
      <c r="K1546" t="str">
        <f>_xll.BDP("9128277L Govt","CPN_TYP")</f>
        <v>FIXED</v>
      </c>
      <c r="L1546" t="str">
        <f>_xll.BDP("9128277L Govt","ID_ISIN")</f>
        <v>US9128277L09</v>
      </c>
      <c r="M1546">
        <v>24780000000</v>
      </c>
      <c r="N1546">
        <v>0</v>
      </c>
      <c r="O1546" t="str">
        <f>_xll.BDP("9128277L Govt","ISSUE_DT")</f>
        <v>2/15/2002</v>
      </c>
      <c r="P1546" t="str">
        <f>_xll.BDP("9128277L Govt","SECURITY_NAME")</f>
        <v>T 4 7/8 02/15/12</v>
      </c>
      <c r="Q1546" t="str">
        <f>_xll.BDP("9128277L Govt","DAY_CNT_DES")</f>
        <v>ACT/ACT</v>
      </c>
      <c r="R1546">
        <v>100</v>
      </c>
      <c r="S1546" t="str">
        <f>_xll.BDP("9128277L Govt","ID_CUSIP")</f>
        <v>9128277L0</v>
      </c>
      <c r="T1546" t="str">
        <f>_xll.BDP("9128277L Govt","IDX_RATIO")</f>
        <v>#N/A Field Not Applicable</v>
      </c>
    </row>
    <row r="1547" spans="1:20" x14ac:dyDescent="0.25">
      <c r="A1547" t="s">
        <v>14</v>
      </c>
      <c r="B1547" t="str">
        <f>_xll.BDP("912827A4 Govt","TICKER")</f>
        <v>T</v>
      </c>
      <c r="C1547">
        <f>_xll.BDP("912827A4 Govt","CPN")</f>
        <v>7.875</v>
      </c>
      <c r="D1547" t="str">
        <f>_xll.BDP("912827A4 Govt","YLD_YTM_BID")</f>
        <v>#N/A N/A</v>
      </c>
      <c r="E1547" t="str">
        <f>_xll.BDP("912827A4 Govt","MATURITY")</f>
        <v>4/15/1998</v>
      </c>
      <c r="F1547" t="str">
        <f>_xll.BDP("912827A4 Govt","MTY_TYP")</f>
        <v>NORMAL</v>
      </c>
      <c r="G1547" t="str">
        <f>_xll.BDP("912827A4 Govt","CRNCY")</f>
        <v>USD</v>
      </c>
      <c r="H1547" t="str">
        <f>_xll.BDP("912827A4 Govt","COUNTRY_FULL_NAME")</f>
        <v>UNITED STATES</v>
      </c>
      <c r="I1547" t="str">
        <f>_xll.BDP("912827A4 Govt","FIRST_CPN_DT")</f>
        <v>10/15/1991</v>
      </c>
      <c r="J1547" t="str">
        <f>_xll.BDP("912827A4 Govt","COUPON_FREQUENCY_DESCRIPTION")</f>
        <v>S/A</v>
      </c>
      <c r="K1547" t="str">
        <f>_xll.BDP("912827A4 Govt","CPN_TYP")</f>
        <v>FIXED</v>
      </c>
      <c r="L1547" t="str">
        <f>_xll.BDP("912827A4 Govt","ID_ISIN")</f>
        <v>US912827A448</v>
      </c>
      <c r="M1547">
        <v>8788000000</v>
      </c>
      <c r="N1547">
        <v>0</v>
      </c>
      <c r="O1547" t="str">
        <f>_xll.BDP("912827A4 Govt","ISSUE_DT")</f>
        <v>4/15/1991</v>
      </c>
      <c r="P1547" t="str">
        <f>_xll.BDP("912827A4 Govt","SECURITY_NAME")</f>
        <v>T 7 7/8 04/15/98</v>
      </c>
      <c r="Q1547" t="str">
        <f>_xll.BDP("912827A4 Govt","DAY_CNT_DES")</f>
        <v>ACT/ACT</v>
      </c>
      <c r="R1547">
        <v>100</v>
      </c>
      <c r="S1547" t="str">
        <f>_xll.BDP("912827A4 Govt","ID_CUSIP")</f>
        <v>912827A44</v>
      </c>
      <c r="T1547" t="str">
        <f>_xll.BDP("912827A4 Govt","IDX_RATIO")</f>
        <v>#N/A Field Not Applicable</v>
      </c>
    </row>
    <row r="1548" spans="1:20" x14ac:dyDescent="0.25">
      <c r="A1548" t="s">
        <v>14</v>
      </c>
      <c r="B1548" t="str">
        <f>_xll.BDP("912827A9 Govt","TICKER")</f>
        <v>T</v>
      </c>
      <c r="C1548">
        <f>_xll.BDP("912827A9 Govt","CPN")</f>
        <v>6.75</v>
      </c>
      <c r="D1548" t="str">
        <f>_xll.BDP("912827A9 Govt","YLD_YTM_BID")</f>
        <v>#N/A N/A</v>
      </c>
      <c r="E1548" t="str">
        <f>_xll.BDP("912827A9 Govt","MATURITY")</f>
        <v>5/31/1993</v>
      </c>
      <c r="F1548" t="str">
        <f>_xll.BDP("912827A9 Govt","MTY_TYP")</f>
        <v>NORMAL</v>
      </c>
      <c r="G1548" t="str">
        <f>_xll.BDP("912827A9 Govt","CRNCY")</f>
        <v>USD</v>
      </c>
      <c r="H1548" t="str">
        <f>_xll.BDP("912827A9 Govt","COUNTRY_FULL_NAME")</f>
        <v>UNITED STATES</v>
      </c>
      <c r="I1548" t="str">
        <f>_xll.BDP("912827A9 Govt","FIRST_CPN_DT")</f>
        <v>11/30/1991</v>
      </c>
      <c r="J1548" t="str">
        <f>_xll.BDP("912827A9 Govt","COUPON_FREQUENCY_DESCRIPTION")</f>
        <v>S/A</v>
      </c>
      <c r="K1548" t="str">
        <f>_xll.BDP("912827A9 Govt","CPN_TYP")</f>
        <v>FIXED</v>
      </c>
      <c r="L1548" t="str">
        <f>_xll.BDP("912827A9 Govt","ID_ISIN")</f>
        <v>US912827A935</v>
      </c>
      <c r="N1548">
        <v>0</v>
      </c>
      <c r="O1548" t="str">
        <f>_xll.BDP("912827A9 Govt","ISSUE_DT")</f>
        <v>5/31/1991</v>
      </c>
      <c r="P1548" t="str">
        <f>_xll.BDP("912827A9 Govt","SECURITY_NAME")</f>
        <v>T 6 3/4 05/31/93</v>
      </c>
      <c r="Q1548" t="str">
        <f>_xll.BDP("912827A9 Govt","DAY_CNT_DES")</f>
        <v>ACT/ACT</v>
      </c>
      <c r="R1548">
        <v>100</v>
      </c>
      <c r="S1548" t="str">
        <f>_xll.BDP("912827A9 Govt","ID_CUSIP")</f>
        <v>912827A93</v>
      </c>
      <c r="T1548" t="str">
        <f>_xll.BDP("912827A9 Govt","IDX_RATIO")</f>
        <v>#N/A Field Not Applicable</v>
      </c>
    </row>
    <row r="1549" spans="1:20" x14ac:dyDescent="0.25">
      <c r="A1549" t="s">
        <v>14</v>
      </c>
      <c r="B1549" t="str">
        <f>_xll.BDP("912827B3 Govt","TICKER")</f>
        <v>T</v>
      </c>
      <c r="C1549">
        <f>_xll.BDP("912827B3 Govt","CPN")</f>
        <v>7</v>
      </c>
      <c r="D1549" t="str">
        <f>_xll.BDP("912827B3 Govt","YLD_YTM_BID")</f>
        <v>#N/A N/A</v>
      </c>
      <c r="E1549" t="str">
        <f>_xll.BDP("912827B3 Govt","MATURITY")</f>
        <v>6/30/1993</v>
      </c>
      <c r="F1549" t="str">
        <f>_xll.BDP("912827B3 Govt","MTY_TYP")</f>
        <v>NORMAL</v>
      </c>
      <c r="G1549" t="str">
        <f>_xll.BDP("912827B3 Govt","CRNCY")</f>
        <v>USD</v>
      </c>
      <c r="H1549" t="str">
        <f>_xll.BDP("912827B3 Govt","COUNTRY_FULL_NAME")</f>
        <v>UNITED STATES</v>
      </c>
      <c r="I1549" t="str">
        <f>_xll.BDP("912827B3 Govt","FIRST_CPN_DT")</f>
        <v>12/31/1991</v>
      </c>
      <c r="J1549" t="str">
        <f>_xll.BDP("912827B3 Govt","COUPON_FREQUENCY_DESCRIPTION")</f>
        <v>S/A</v>
      </c>
      <c r="K1549" t="str">
        <f>_xll.BDP("912827B3 Govt","CPN_TYP")</f>
        <v>FIXED</v>
      </c>
      <c r="L1549" t="str">
        <f>_xll.BDP("912827B3 Govt","ID_ISIN")</f>
        <v>US912827B354</v>
      </c>
      <c r="N1549">
        <v>0</v>
      </c>
      <c r="O1549" t="str">
        <f>_xll.BDP("912827B3 Govt","ISSUE_DT")</f>
        <v>7/1/1991</v>
      </c>
      <c r="P1549" t="str">
        <f>_xll.BDP("912827B3 Govt","SECURITY_NAME")</f>
        <v>T 7 06/30/93</v>
      </c>
      <c r="Q1549" t="str">
        <f>_xll.BDP("912827B3 Govt","DAY_CNT_DES")</f>
        <v>ACT/ACT</v>
      </c>
      <c r="R1549">
        <v>100</v>
      </c>
      <c r="S1549" t="str">
        <f>_xll.BDP("912827B3 Govt","ID_CUSIP")</f>
        <v>912827B35</v>
      </c>
      <c r="T1549" t="str">
        <f>_xll.BDP("912827B3 Govt","IDX_RATIO")</f>
        <v>#N/A Field Not Applicable</v>
      </c>
    </row>
    <row r="1550" spans="1:20" x14ac:dyDescent="0.25">
      <c r="A1550" t="s">
        <v>14</v>
      </c>
      <c r="B1550" t="str">
        <f>_xll.BDP("912827B6 Govt","TICKER")</f>
        <v>T</v>
      </c>
      <c r="C1550">
        <f>_xll.BDP("912827B6 Govt","CPN")</f>
        <v>6.875</v>
      </c>
      <c r="D1550" t="str">
        <f>_xll.BDP("912827B6 Govt","YLD_YTM_BID")</f>
        <v>#N/A N/A</v>
      </c>
      <c r="E1550" t="str">
        <f>_xll.BDP("912827B6 Govt","MATURITY")</f>
        <v>7/31/1993</v>
      </c>
      <c r="F1550" t="str">
        <f>_xll.BDP("912827B6 Govt","MTY_TYP")</f>
        <v>NORMAL</v>
      </c>
      <c r="G1550" t="str">
        <f>_xll.BDP("912827B6 Govt","CRNCY")</f>
        <v>USD</v>
      </c>
      <c r="H1550" t="str">
        <f>_xll.BDP("912827B6 Govt","COUNTRY_FULL_NAME")</f>
        <v>UNITED STATES</v>
      </c>
      <c r="I1550" t="str">
        <f>_xll.BDP("912827B6 Govt","FIRST_CPN_DT")</f>
        <v>1/31/1992</v>
      </c>
      <c r="J1550" t="str">
        <f>_xll.BDP("912827B6 Govt","COUPON_FREQUENCY_DESCRIPTION")</f>
        <v>S/A</v>
      </c>
      <c r="K1550" t="str">
        <f>_xll.BDP("912827B6 Govt","CPN_TYP")</f>
        <v>FIXED</v>
      </c>
      <c r="L1550" t="str">
        <f>_xll.BDP("912827B6 Govt","ID_ISIN")</f>
        <v>US912827B685</v>
      </c>
      <c r="N1550">
        <v>0</v>
      </c>
      <c r="O1550" t="str">
        <f>_xll.BDP("912827B6 Govt","ISSUE_DT")</f>
        <v>7/31/1991</v>
      </c>
      <c r="P1550" t="str">
        <f>_xll.BDP("912827B6 Govt","SECURITY_NAME")</f>
        <v>T 6 7/8 07/31/93</v>
      </c>
      <c r="Q1550" t="str">
        <f>_xll.BDP("912827B6 Govt","DAY_CNT_DES")</f>
        <v>ACT/ACT</v>
      </c>
      <c r="R1550">
        <v>100</v>
      </c>
      <c r="S1550" t="str">
        <f>_xll.BDP("912827B6 Govt","ID_CUSIP")</f>
        <v>912827B68</v>
      </c>
      <c r="T1550" t="str">
        <f>_xll.BDP("912827B6 Govt","IDX_RATIO")</f>
        <v>#N/A Field Not Applicable</v>
      </c>
    </row>
    <row r="1551" spans="1:20" x14ac:dyDescent="0.25">
      <c r="A1551" t="s">
        <v>14</v>
      </c>
      <c r="B1551" t="str">
        <f>_xll.BDP("912827B7 Govt","TICKER")</f>
        <v>T</v>
      </c>
      <c r="C1551">
        <f>_xll.BDP("912827B7 Govt","CPN")</f>
        <v>7.875</v>
      </c>
      <c r="D1551" t="str">
        <f>_xll.BDP("912827B7 Govt","YLD_YTM_BID")</f>
        <v>#N/A N/A</v>
      </c>
      <c r="E1551" t="str">
        <f>_xll.BDP("912827B7 Govt","MATURITY")</f>
        <v>7/31/1996</v>
      </c>
      <c r="F1551" t="str">
        <f>_xll.BDP("912827B7 Govt","MTY_TYP")</f>
        <v>NORMAL</v>
      </c>
      <c r="G1551" t="str">
        <f>_xll.BDP("912827B7 Govt","CRNCY")</f>
        <v>USD</v>
      </c>
      <c r="H1551" t="str">
        <f>_xll.BDP("912827B7 Govt","COUNTRY_FULL_NAME")</f>
        <v>UNITED STATES</v>
      </c>
      <c r="I1551" t="str">
        <f>_xll.BDP("912827B7 Govt","FIRST_CPN_DT")</f>
        <v>1/31/1992</v>
      </c>
      <c r="J1551" t="str">
        <f>_xll.BDP("912827B7 Govt","COUPON_FREQUENCY_DESCRIPTION")</f>
        <v>S/A</v>
      </c>
      <c r="K1551" t="str">
        <f>_xll.BDP("912827B7 Govt","CPN_TYP")</f>
        <v>FIXED</v>
      </c>
      <c r="L1551" t="str">
        <f>_xll.BDP("912827B7 Govt","ID_ISIN")</f>
        <v>US912827B768</v>
      </c>
      <c r="N1551">
        <v>0</v>
      </c>
      <c r="O1551" t="str">
        <f>_xll.BDP("912827B7 Govt","ISSUE_DT")</f>
        <v>7/31/1991</v>
      </c>
      <c r="P1551" t="str">
        <f>_xll.BDP("912827B7 Govt","SECURITY_NAME")</f>
        <v>T 7 7/8 07/31/96</v>
      </c>
      <c r="Q1551" t="str">
        <f>_xll.BDP("912827B7 Govt","DAY_CNT_DES")</f>
        <v>ACT/ACT</v>
      </c>
      <c r="R1551">
        <v>100</v>
      </c>
      <c r="S1551" t="str">
        <f>_xll.BDP("912827B7 Govt","ID_CUSIP")</f>
        <v>912827B76</v>
      </c>
      <c r="T1551" t="str">
        <f>_xll.BDP("912827B7 Govt","IDX_RATIO")</f>
        <v>#N/A Field Not Applicable</v>
      </c>
    </row>
    <row r="1552" spans="1:20" x14ac:dyDescent="0.25">
      <c r="A1552" t="s">
        <v>14</v>
      </c>
      <c r="B1552" t="str">
        <f>_xll.BDP("912827B9 Govt","TICKER")</f>
        <v>T</v>
      </c>
      <c r="C1552">
        <f>_xll.BDP("912827B9 Govt","CPN")</f>
        <v>7.875</v>
      </c>
      <c r="D1552" t="str">
        <f>_xll.BDP("912827B9 Govt","YLD_YTM_BID")</f>
        <v>#N/A N/A</v>
      </c>
      <c r="E1552" t="str">
        <f>_xll.BDP("912827B9 Govt","MATURITY")</f>
        <v>8/15/2001</v>
      </c>
      <c r="F1552" t="str">
        <f>_xll.BDP("912827B9 Govt","MTY_TYP")</f>
        <v>NORMAL</v>
      </c>
      <c r="G1552" t="str">
        <f>_xll.BDP("912827B9 Govt","CRNCY")</f>
        <v>USD</v>
      </c>
      <c r="H1552" t="str">
        <f>_xll.BDP("912827B9 Govt","COUNTRY_FULL_NAME")</f>
        <v>UNITED STATES</v>
      </c>
      <c r="I1552" t="str">
        <f>_xll.BDP("912827B9 Govt","FIRST_CPN_DT")</f>
        <v>2/15/1992</v>
      </c>
      <c r="J1552" t="str">
        <f>_xll.BDP("912827B9 Govt","COUPON_FREQUENCY_DESCRIPTION")</f>
        <v>S/A</v>
      </c>
      <c r="K1552" t="str">
        <f>_xll.BDP("912827B9 Govt","CPN_TYP")</f>
        <v>FIXED</v>
      </c>
      <c r="L1552" t="str">
        <f>_xll.BDP("912827B9 Govt","ID_ISIN")</f>
        <v>US912827B925</v>
      </c>
      <c r="M1552">
        <v>12339000000</v>
      </c>
      <c r="N1552">
        <v>0</v>
      </c>
      <c r="O1552" t="str">
        <f>_xll.BDP("912827B9 Govt","ISSUE_DT")</f>
        <v>8/15/1991</v>
      </c>
      <c r="P1552" t="str">
        <f>_xll.BDP("912827B9 Govt","SECURITY_NAME")</f>
        <v>T 7 7/8 08/15/01</v>
      </c>
      <c r="Q1552" t="str">
        <f>_xll.BDP("912827B9 Govt","DAY_CNT_DES")</f>
        <v>ACT/ACT</v>
      </c>
      <c r="R1552">
        <v>100</v>
      </c>
      <c r="S1552" t="str">
        <f>_xll.BDP("912827B9 Govt","ID_CUSIP")</f>
        <v>912827B92</v>
      </c>
      <c r="T1552" t="str">
        <f>_xll.BDP("912827B9 Govt","IDX_RATIO")</f>
        <v>#N/A Field Not Applicable</v>
      </c>
    </row>
    <row r="1553" spans="1:20" x14ac:dyDescent="0.25">
      <c r="A1553" t="s">
        <v>14</v>
      </c>
      <c r="B1553" t="str">
        <f>_xll.BDP("912827C4 Govt","TICKER")</f>
        <v>T</v>
      </c>
      <c r="C1553">
        <f>_xll.BDP("912827C4 Govt","CPN")</f>
        <v>6.125</v>
      </c>
      <c r="D1553" t="str">
        <f>_xll.BDP("912827C4 Govt","YLD_YTM_BID")</f>
        <v>#N/A N/A</v>
      </c>
      <c r="E1553" t="str">
        <f>_xll.BDP("912827C4 Govt","MATURITY")</f>
        <v>9/30/1993</v>
      </c>
      <c r="F1553" t="str">
        <f>_xll.BDP("912827C4 Govt","MTY_TYP")</f>
        <v>NORMAL</v>
      </c>
      <c r="G1553" t="str">
        <f>_xll.BDP("912827C4 Govt","CRNCY")</f>
        <v>USD</v>
      </c>
      <c r="H1553" t="str">
        <f>_xll.BDP("912827C4 Govt","COUNTRY_FULL_NAME")</f>
        <v>UNITED STATES</v>
      </c>
      <c r="I1553" t="str">
        <f>_xll.BDP("912827C4 Govt","FIRST_CPN_DT")</f>
        <v>3/31/1992</v>
      </c>
      <c r="J1553" t="str">
        <f>_xll.BDP("912827C4 Govt","COUPON_FREQUENCY_DESCRIPTION")</f>
        <v>S/A</v>
      </c>
      <c r="K1553" t="str">
        <f>_xll.BDP("912827C4 Govt","CPN_TYP")</f>
        <v>FIXED</v>
      </c>
      <c r="L1553" t="str">
        <f>_xll.BDP("912827C4 Govt","ID_ISIN")</f>
        <v>US912827C428</v>
      </c>
      <c r="N1553">
        <v>0</v>
      </c>
      <c r="O1553" t="str">
        <f>_xll.BDP("912827C4 Govt","ISSUE_DT")</f>
        <v>9/30/1991</v>
      </c>
      <c r="P1553" t="str">
        <f>_xll.BDP("912827C4 Govt","SECURITY_NAME")</f>
        <v>T 6 1/8 09/30/93</v>
      </c>
      <c r="Q1553" t="str">
        <f>_xll.BDP("912827C4 Govt","DAY_CNT_DES")</f>
        <v>ACT/ACT</v>
      </c>
      <c r="R1553">
        <v>100</v>
      </c>
      <c r="S1553" t="str">
        <f>_xll.BDP("912827C4 Govt","ID_CUSIP")</f>
        <v>912827C42</v>
      </c>
      <c r="T1553" t="str">
        <f>_xll.BDP("912827C4 Govt","IDX_RATIO")</f>
        <v>#N/A Field Not Applicable</v>
      </c>
    </row>
    <row r="1554" spans="1:20" x14ac:dyDescent="0.25">
      <c r="A1554" t="s">
        <v>14</v>
      </c>
      <c r="B1554" t="str">
        <f>_xll.BDP("912827C6 Govt","TICKER")</f>
        <v>T</v>
      </c>
      <c r="C1554">
        <f>_xll.BDP("912827C6 Govt","CPN")</f>
        <v>7.125</v>
      </c>
      <c r="D1554" t="str">
        <f>_xll.BDP("912827C6 Govt","YLD_YTM_BID")</f>
        <v>#N/A N/A</v>
      </c>
      <c r="E1554" t="str">
        <f>_xll.BDP("912827C6 Govt","MATURITY")</f>
        <v>10/15/1998</v>
      </c>
      <c r="F1554" t="str">
        <f>_xll.BDP("912827C6 Govt","MTY_TYP")</f>
        <v>NORMAL</v>
      </c>
      <c r="G1554" t="str">
        <f>_xll.BDP("912827C6 Govt","CRNCY")</f>
        <v>USD</v>
      </c>
      <c r="H1554" t="str">
        <f>_xll.BDP("912827C6 Govt","COUNTRY_FULL_NAME")</f>
        <v>UNITED STATES</v>
      </c>
      <c r="I1554" t="str">
        <f>_xll.BDP("912827C6 Govt","FIRST_CPN_DT")</f>
        <v>4/15/1992</v>
      </c>
      <c r="J1554" t="str">
        <f>_xll.BDP("912827C6 Govt","COUPON_FREQUENCY_DESCRIPTION")</f>
        <v>S/A</v>
      </c>
      <c r="K1554" t="str">
        <f>_xll.BDP("912827C6 Govt","CPN_TYP")</f>
        <v>FIXED</v>
      </c>
      <c r="L1554" t="str">
        <f>_xll.BDP("912827C6 Govt","ID_ISIN")</f>
        <v>US912827C675</v>
      </c>
      <c r="M1554">
        <v>10268000000</v>
      </c>
      <c r="N1554">
        <v>0</v>
      </c>
      <c r="O1554" t="str">
        <f>_xll.BDP("912827C6 Govt","ISSUE_DT")</f>
        <v>10/15/1991</v>
      </c>
      <c r="P1554" t="str">
        <f>_xll.BDP("912827C6 Govt","SECURITY_NAME")</f>
        <v>T 7 1/8 10/15/98</v>
      </c>
      <c r="Q1554" t="str">
        <f>_xll.BDP("912827C6 Govt","DAY_CNT_DES")</f>
        <v>ACT/ACT</v>
      </c>
      <c r="R1554">
        <v>100</v>
      </c>
      <c r="S1554" t="str">
        <f>_xll.BDP("912827C6 Govt","ID_CUSIP")</f>
        <v>912827C67</v>
      </c>
      <c r="T1554" t="str">
        <f>_xll.BDP("912827C6 Govt","IDX_RATIO")</f>
        <v>#N/A Field Not Applicable</v>
      </c>
    </row>
    <row r="1555" spans="1:20" x14ac:dyDescent="0.25">
      <c r="A1555" t="s">
        <v>14</v>
      </c>
      <c r="B1555" t="str">
        <f>_xll.BDP("912827C7 Govt","TICKER")</f>
        <v>T</v>
      </c>
      <c r="C1555">
        <f>_xll.BDP("912827C7 Govt","CPN")</f>
        <v>6</v>
      </c>
      <c r="D1555" t="str">
        <f>_xll.BDP("912827C7 Govt","YLD_YTM_BID")</f>
        <v>#N/A N/A</v>
      </c>
      <c r="E1555" t="str">
        <f>_xll.BDP("912827C7 Govt","MATURITY")</f>
        <v>10/31/1993</v>
      </c>
      <c r="F1555" t="str">
        <f>_xll.BDP("912827C7 Govt","MTY_TYP")</f>
        <v>NORMAL</v>
      </c>
      <c r="G1555" t="str">
        <f>_xll.BDP("912827C7 Govt","CRNCY")</f>
        <v>USD</v>
      </c>
      <c r="H1555" t="str">
        <f>_xll.BDP("912827C7 Govt","COUNTRY_FULL_NAME")</f>
        <v>UNITED STATES</v>
      </c>
      <c r="I1555" t="str">
        <f>_xll.BDP("912827C7 Govt","FIRST_CPN_DT")</f>
        <v>4/30/1992</v>
      </c>
      <c r="J1555" t="str">
        <f>_xll.BDP("912827C7 Govt","COUPON_FREQUENCY_DESCRIPTION")</f>
        <v>S/A</v>
      </c>
      <c r="K1555" t="str">
        <f>_xll.BDP("912827C7 Govt","CPN_TYP")</f>
        <v>FIXED</v>
      </c>
      <c r="L1555" t="str">
        <f>_xll.BDP("912827C7 Govt","ID_ISIN")</f>
        <v>US912827C758</v>
      </c>
      <c r="N1555">
        <v>0</v>
      </c>
      <c r="O1555" t="str">
        <f>_xll.BDP("912827C7 Govt","ISSUE_DT")</f>
        <v>10/31/1991</v>
      </c>
      <c r="P1555" t="str">
        <f>_xll.BDP("912827C7 Govt","SECURITY_NAME")</f>
        <v>T 6 10/31/93</v>
      </c>
      <c r="Q1555" t="str">
        <f>_xll.BDP("912827C7 Govt","DAY_CNT_DES")</f>
        <v>ACT/ACT</v>
      </c>
      <c r="R1555">
        <v>100</v>
      </c>
      <c r="S1555" t="str">
        <f>_xll.BDP("912827C7 Govt","ID_CUSIP")</f>
        <v>912827C75</v>
      </c>
      <c r="T1555" t="str">
        <f>_xll.BDP("912827C7 Govt","IDX_RATIO")</f>
        <v>#N/A Field Not Applicable</v>
      </c>
    </row>
    <row r="1556" spans="1:20" x14ac:dyDescent="0.25">
      <c r="A1556" t="s">
        <v>14</v>
      </c>
      <c r="B1556" t="str">
        <f>_xll.BDP("912827C9 Govt","TICKER")</f>
        <v>T</v>
      </c>
      <c r="C1556">
        <f>_xll.BDP("912827C9 Govt","CPN")</f>
        <v>6</v>
      </c>
      <c r="D1556" t="str">
        <f>_xll.BDP("912827C9 Govt","YLD_YTM_BID")</f>
        <v>#N/A N/A</v>
      </c>
      <c r="E1556" t="str">
        <f>_xll.BDP("912827C9 Govt","MATURITY")</f>
        <v>11/15/1994</v>
      </c>
      <c r="F1556" t="str">
        <f>_xll.BDP("912827C9 Govt","MTY_TYP")</f>
        <v>NORMAL</v>
      </c>
      <c r="G1556" t="str">
        <f>_xll.BDP("912827C9 Govt","CRNCY")</f>
        <v>USD</v>
      </c>
      <c r="H1556" t="str">
        <f>_xll.BDP("912827C9 Govt","COUNTRY_FULL_NAME")</f>
        <v>UNITED STATES</v>
      </c>
      <c r="I1556" t="str">
        <f>_xll.BDP("912827C9 Govt","FIRST_CPN_DT")</f>
        <v>5/15/1992</v>
      </c>
      <c r="J1556" t="str">
        <f>_xll.BDP("912827C9 Govt","COUPON_FREQUENCY_DESCRIPTION")</f>
        <v>S/A</v>
      </c>
      <c r="K1556" t="str">
        <f>_xll.BDP("912827C9 Govt","CPN_TYP")</f>
        <v>FIXED</v>
      </c>
      <c r="L1556" t="str">
        <f>_xll.BDP("912827C9 Govt","ID_ISIN")</f>
        <v>US912827C915</v>
      </c>
      <c r="N1556">
        <v>0</v>
      </c>
      <c r="O1556" t="str">
        <f>_xll.BDP("912827C9 Govt","ISSUE_DT")</f>
        <v>11/15/1991</v>
      </c>
      <c r="P1556" t="str">
        <f>_xll.BDP("912827C9 Govt","SECURITY_NAME")</f>
        <v>T 6 11/15/94</v>
      </c>
      <c r="Q1556" t="str">
        <f>_xll.BDP("912827C9 Govt","DAY_CNT_DES")</f>
        <v>ACT/ACT</v>
      </c>
      <c r="R1556">
        <v>100</v>
      </c>
      <c r="S1556" t="str">
        <f>_xll.BDP("912827C9 Govt","ID_CUSIP")</f>
        <v>912827C91</v>
      </c>
      <c r="T1556" t="str">
        <f>_xll.BDP("912827C9 Govt","IDX_RATIO")</f>
        <v>#N/A Field Not Applicable</v>
      </c>
    </row>
    <row r="1557" spans="1:20" x14ac:dyDescent="0.25">
      <c r="A1557" t="s">
        <v>14</v>
      </c>
      <c r="B1557" t="str">
        <f>_xll.BDP("912827D4 Govt","TICKER")</f>
        <v>T</v>
      </c>
      <c r="C1557">
        <f>_xll.BDP("912827D4 Govt","CPN")</f>
        <v>6.5</v>
      </c>
      <c r="D1557" t="str">
        <f>_xll.BDP("912827D4 Govt","YLD_YTM_BID")</f>
        <v>#N/A N/A</v>
      </c>
      <c r="E1557" t="str">
        <f>_xll.BDP("912827D4 Govt","MATURITY")</f>
        <v>11/30/1996</v>
      </c>
      <c r="F1557" t="str">
        <f>_xll.BDP("912827D4 Govt","MTY_TYP")</f>
        <v>NORMAL</v>
      </c>
      <c r="G1557" t="str">
        <f>_xll.BDP("912827D4 Govt","CRNCY")</f>
        <v>USD</v>
      </c>
      <c r="H1557" t="str">
        <f>_xll.BDP("912827D4 Govt","COUNTRY_FULL_NAME")</f>
        <v>UNITED STATES</v>
      </c>
      <c r="I1557" t="str">
        <f>_xll.BDP("912827D4 Govt","FIRST_CPN_DT")</f>
        <v>5/31/1992</v>
      </c>
      <c r="J1557" t="str">
        <f>_xll.BDP("912827D4 Govt","COUPON_FREQUENCY_DESCRIPTION")</f>
        <v>S/A</v>
      </c>
      <c r="K1557" t="str">
        <f>_xll.BDP("912827D4 Govt","CPN_TYP")</f>
        <v>FIXED</v>
      </c>
      <c r="L1557" t="str">
        <f>_xll.BDP("912827D4 Govt","ID_ISIN")</f>
        <v>US912827D418</v>
      </c>
      <c r="N1557">
        <v>0</v>
      </c>
      <c r="O1557" t="str">
        <f>_xll.BDP("912827D4 Govt","ISSUE_DT")</f>
        <v>12/2/1991</v>
      </c>
      <c r="P1557" t="str">
        <f>_xll.BDP("912827D4 Govt","SECURITY_NAME")</f>
        <v>T 6 1/2 11/30/96</v>
      </c>
      <c r="Q1557" t="str">
        <f>_xll.BDP("912827D4 Govt","DAY_CNT_DES")</f>
        <v>ACT/ACT</v>
      </c>
      <c r="R1557">
        <v>100</v>
      </c>
      <c r="S1557" t="str">
        <f>_xll.BDP("912827D4 Govt","ID_CUSIP")</f>
        <v>912827D41</v>
      </c>
      <c r="T1557" t="str">
        <f>_xll.BDP("912827D4 Govt","IDX_RATIO")</f>
        <v>#N/A Field Not Applicable</v>
      </c>
    </row>
    <row r="1558" spans="1:20" x14ac:dyDescent="0.25">
      <c r="A1558" t="s">
        <v>14</v>
      </c>
      <c r="B1558" t="str">
        <f>_xll.BDP("912827E8 Govt","TICKER")</f>
        <v>T</v>
      </c>
      <c r="C1558">
        <f>_xll.BDP("912827E8 Govt","CPN")</f>
        <v>7</v>
      </c>
      <c r="D1558" t="str">
        <f>_xll.BDP("912827E8 Govt","YLD_YTM_BID")</f>
        <v>#N/A N/A</v>
      </c>
      <c r="E1558" t="str">
        <f>_xll.BDP("912827E8 Govt","MATURITY")</f>
        <v>4/15/1999</v>
      </c>
      <c r="F1558" t="str">
        <f>_xll.BDP("912827E8 Govt","MTY_TYP")</f>
        <v>NORMAL</v>
      </c>
      <c r="G1558" t="str">
        <f>_xll.BDP("912827E8 Govt","CRNCY")</f>
        <v>USD</v>
      </c>
      <c r="H1558" t="str">
        <f>_xll.BDP("912827E8 Govt","COUNTRY_FULL_NAME")</f>
        <v>UNITED STATES</v>
      </c>
      <c r="I1558" t="str">
        <f>_xll.BDP("912827E8 Govt","FIRST_CPN_DT")</f>
        <v>10/15/1992</v>
      </c>
      <c r="J1558" t="str">
        <f>_xll.BDP("912827E8 Govt","COUPON_FREQUENCY_DESCRIPTION")</f>
        <v>S/A</v>
      </c>
      <c r="K1558" t="str">
        <f>_xll.BDP("912827E8 Govt","CPN_TYP")</f>
        <v>FIXED</v>
      </c>
      <c r="L1558" t="str">
        <f>_xll.BDP("912827E8 Govt","ID_ISIN")</f>
        <v>US912827E812</v>
      </c>
      <c r="M1558">
        <v>10178000000</v>
      </c>
      <c r="N1558">
        <v>0</v>
      </c>
      <c r="O1558" t="str">
        <f>_xll.BDP("912827E8 Govt","ISSUE_DT")</f>
        <v>4/15/1992</v>
      </c>
      <c r="P1558" t="str">
        <f>_xll.BDP("912827E8 Govt","SECURITY_NAME")</f>
        <v>T 7 04/15/99</v>
      </c>
      <c r="Q1558" t="str">
        <f>_xll.BDP("912827E8 Govt","DAY_CNT_DES")</f>
        <v>ACT/ACT</v>
      </c>
      <c r="R1558">
        <v>100</v>
      </c>
      <c r="S1558" t="str">
        <f>_xll.BDP("912827E8 Govt","ID_CUSIP")</f>
        <v>912827E81</v>
      </c>
      <c r="T1558" t="str">
        <f>_xll.BDP("912827E8 Govt","IDX_RATIO")</f>
        <v>#N/A Field Not Applicable</v>
      </c>
    </row>
    <row r="1559" spans="1:20" x14ac:dyDescent="0.25">
      <c r="A1559" t="s">
        <v>14</v>
      </c>
      <c r="B1559" t="str">
        <f>_xll.BDP("912827F4 Govt","TICKER")</f>
        <v>T</v>
      </c>
      <c r="C1559">
        <f>_xll.BDP("912827F4 Govt","CPN")</f>
        <v>7.5</v>
      </c>
      <c r="D1559" t="str">
        <f>_xll.BDP("912827F4 Govt","YLD_YTM_BID")</f>
        <v>#N/A N/A</v>
      </c>
      <c r="E1559" t="str">
        <f>_xll.BDP("912827F4 Govt","MATURITY")</f>
        <v>5/15/2002</v>
      </c>
      <c r="F1559" t="str">
        <f>_xll.BDP("912827F4 Govt","MTY_TYP")</f>
        <v>NORMAL</v>
      </c>
      <c r="G1559" t="str">
        <f>_xll.BDP("912827F4 Govt","CRNCY")</f>
        <v>USD</v>
      </c>
      <c r="H1559" t="str">
        <f>_xll.BDP("912827F4 Govt","COUNTRY_FULL_NAME")</f>
        <v>UNITED STATES</v>
      </c>
      <c r="I1559" t="str">
        <f>_xll.BDP("912827F4 Govt","FIRST_CPN_DT")</f>
        <v>11/15/1992</v>
      </c>
      <c r="J1559" t="str">
        <f>_xll.BDP("912827F4 Govt","COUPON_FREQUENCY_DESCRIPTION")</f>
        <v>S/A</v>
      </c>
      <c r="K1559" t="str">
        <f>_xll.BDP("912827F4 Govt","CPN_TYP")</f>
        <v>FIXED</v>
      </c>
      <c r="L1559" t="str">
        <f>_xll.BDP("912827F4 Govt","ID_ISIN")</f>
        <v>US912827F496</v>
      </c>
      <c r="M1559">
        <v>11714000000</v>
      </c>
      <c r="N1559">
        <v>0</v>
      </c>
      <c r="O1559" t="str">
        <f>_xll.BDP("912827F4 Govt","ISSUE_DT")</f>
        <v>5/15/1992</v>
      </c>
      <c r="P1559" t="str">
        <f>_xll.BDP("912827F4 Govt","SECURITY_NAME")</f>
        <v>T 7 1/2 05/15/02</v>
      </c>
      <c r="Q1559" t="str">
        <f>_xll.BDP("912827F4 Govt","DAY_CNT_DES")</f>
        <v>ACT/ACT</v>
      </c>
      <c r="R1559">
        <v>100</v>
      </c>
      <c r="S1559" t="str">
        <f>_xll.BDP("912827F4 Govt","ID_CUSIP")</f>
        <v>912827F49</v>
      </c>
      <c r="T1559" t="str">
        <f>_xll.BDP("912827F4 Govt","IDX_RATIO")</f>
        <v>#N/A Field Not Applicable</v>
      </c>
    </row>
    <row r="1560" spans="1:20" x14ac:dyDescent="0.25">
      <c r="A1560" t="s">
        <v>14</v>
      </c>
      <c r="B1560" t="str">
        <f>_xll.BDP("912827F5 Govt","TICKER")</f>
        <v>T</v>
      </c>
      <c r="C1560">
        <f>_xll.BDP("912827F5 Govt","CPN")</f>
        <v>5.125</v>
      </c>
      <c r="D1560" t="str">
        <f>_xll.BDP("912827F5 Govt","YLD_YTM_BID")</f>
        <v>#N/A N/A</v>
      </c>
      <c r="E1560" t="str">
        <f>_xll.BDP("912827F5 Govt","MATURITY")</f>
        <v>5/31/1994</v>
      </c>
      <c r="F1560" t="str">
        <f>_xll.BDP("912827F5 Govt","MTY_TYP")</f>
        <v>NORMAL</v>
      </c>
      <c r="G1560" t="str">
        <f>_xll.BDP("912827F5 Govt","CRNCY")</f>
        <v>USD</v>
      </c>
      <c r="H1560" t="str">
        <f>_xll.BDP("912827F5 Govt","COUNTRY_FULL_NAME")</f>
        <v>UNITED STATES</v>
      </c>
      <c r="I1560" t="str">
        <f>_xll.BDP("912827F5 Govt","FIRST_CPN_DT")</f>
        <v>11/30/1992</v>
      </c>
      <c r="J1560" t="str">
        <f>_xll.BDP("912827F5 Govt","COUPON_FREQUENCY_DESCRIPTION")</f>
        <v>S/A</v>
      </c>
      <c r="K1560" t="str">
        <f>_xll.BDP("912827F5 Govt","CPN_TYP")</f>
        <v>FIXED</v>
      </c>
      <c r="L1560" t="str">
        <f>_xll.BDP("912827F5 Govt","ID_ISIN")</f>
        <v>US912827F561</v>
      </c>
      <c r="N1560">
        <v>0</v>
      </c>
      <c r="O1560" t="str">
        <f>_xll.BDP("912827F5 Govt","ISSUE_DT")</f>
        <v>6/1/1992</v>
      </c>
      <c r="P1560" t="str">
        <f>_xll.BDP("912827F5 Govt","SECURITY_NAME")</f>
        <v>T 5 1/8 05/31/94</v>
      </c>
      <c r="Q1560" t="str">
        <f>_xll.BDP("912827F5 Govt","DAY_CNT_DES")</f>
        <v>ACT/ACT</v>
      </c>
      <c r="R1560">
        <v>100</v>
      </c>
      <c r="S1560" t="str">
        <f>_xll.BDP("912827F5 Govt","ID_CUSIP")</f>
        <v>912827F56</v>
      </c>
      <c r="T1560" t="str">
        <f>_xll.BDP("912827F5 Govt","IDX_RATIO")</f>
        <v>#N/A Field Not Applicable</v>
      </c>
    </row>
    <row r="1561" spans="1:20" x14ac:dyDescent="0.25">
      <c r="A1561" t="s">
        <v>14</v>
      </c>
      <c r="B1561" t="str">
        <f>_xll.BDP("912827J4 Govt","TICKER")</f>
        <v>T</v>
      </c>
      <c r="C1561">
        <f>_xll.BDP("912827J4 Govt","CPN")</f>
        <v>5.625</v>
      </c>
      <c r="D1561" t="str">
        <f>_xll.BDP("912827J4 Govt","YLD_YTM_BID")</f>
        <v>#N/A N/A</v>
      </c>
      <c r="E1561" t="str">
        <f>_xll.BDP("912827J4 Govt","MATURITY")</f>
        <v>1/31/1998</v>
      </c>
      <c r="F1561" t="str">
        <f>_xll.BDP("912827J4 Govt","MTY_TYP")</f>
        <v>NORMAL</v>
      </c>
      <c r="G1561" t="str">
        <f>_xll.BDP("912827J4 Govt","CRNCY")</f>
        <v>USD</v>
      </c>
      <c r="H1561" t="str">
        <f>_xll.BDP("912827J4 Govt","COUNTRY_FULL_NAME")</f>
        <v>UNITED STATES</v>
      </c>
      <c r="I1561" t="str">
        <f>_xll.BDP("912827J4 Govt","FIRST_CPN_DT")</f>
        <v>7/31/1993</v>
      </c>
      <c r="J1561" t="str">
        <f>_xll.BDP("912827J4 Govt","COUPON_FREQUENCY_DESCRIPTION")</f>
        <v>S/A</v>
      </c>
      <c r="K1561" t="str">
        <f>_xll.BDP("912827J4 Govt","CPN_TYP")</f>
        <v>FIXED</v>
      </c>
      <c r="L1561" t="str">
        <f>_xll.BDP("912827J4 Govt","ID_ISIN")</f>
        <v>US912827J456</v>
      </c>
      <c r="M1561">
        <v>12339000000</v>
      </c>
      <c r="N1561">
        <v>0</v>
      </c>
      <c r="O1561" t="str">
        <f>_xll.BDP("912827J4 Govt","ISSUE_DT")</f>
        <v>2/1/1993</v>
      </c>
      <c r="P1561" t="str">
        <f>_xll.BDP("912827J4 Govt","SECURITY_NAME")</f>
        <v>T 5 5/8 01/31/98</v>
      </c>
      <c r="Q1561" t="str">
        <f>_xll.BDP("912827J4 Govt","DAY_CNT_DES")</f>
        <v>ACT/ACT</v>
      </c>
      <c r="R1561">
        <v>100</v>
      </c>
      <c r="S1561" t="str">
        <f>_xll.BDP("912827J4 Govt","ID_CUSIP")</f>
        <v>912827J45</v>
      </c>
      <c r="T1561" t="str">
        <f>_xll.BDP("912827J4 Govt","IDX_RATIO")</f>
        <v>#N/A Field Not Applicable</v>
      </c>
    </row>
    <row r="1562" spans="1:20" x14ac:dyDescent="0.25">
      <c r="A1562" t="s">
        <v>14</v>
      </c>
      <c r="B1562" t="str">
        <f>_xll.BDP("912827J7 Govt","TICKER")</f>
        <v>T</v>
      </c>
      <c r="C1562">
        <f>_xll.BDP("912827J7 Govt","CPN")</f>
        <v>6.25</v>
      </c>
      <c r="D1562" t="str">
        <f>_xll.BDP("912827J7 Govt","YLD_YTM_BID")</f>
        <v>#N/A N/A</v>
      </c>
      <c r="E1562" t="str">
        <f>_xll.BDP("912827J7 Govt","MATURITY")</f>
        <v>2/15/2003</v>
      </c>
      <c r="F1562" t="str">
        <f>_xll.BDP("912827J7 Govt","MTY_TYP")</f>
        <v>NORMAL</v>
      </c>
      <c r="G1562" t="str">
        <f>_xll.BDP("912827J7 Govt","CRNCY")</f>
        <v>USD</v>
      </c>
      <c r="H1562" t="str">
        <f>_xll.BDP("912827J7 Govt","COUNTRY_FULL_NAME")</f>
        <v>UNITED STATES</v>
      </c>
      <c r="I1562" t="str">
        <f>_xll.BDP("912827J7 Govt","FIRST_CPN_DT")</f>
        <v>8/15/1993</v>
      </c>
      <c r="J1562" t="str">
        <f>_xll.BDP("912827J7 Govt","COUPON_FREQUENCY_DESCRIPTION")</f>
        <v>S/A</v>
      </c>
      <c r="K1562" t="str">
        <f>_xll.BDP("912827J7 Govt","CPN_TYP")</f>
        <v>FIXED</v>
      </c>
      <c r="L1562" t="str">
        <f>_xll.BDP("912827J7 Govt","ID_ISIN")</f>
        <v>US912827J787</v>
      </c>
      <c r="M1562">
        <v>23563000000</v>
      </c>
      <c r="N1562">
        <v>0</v>
      </c>
      <c r="O1562" t="str">
        <f>_xll.BDP("912827J7 Govt","ISSUE_DT")</f>
        <v>2/16/1993</v>
      </c>
      <c r="P1562" t="str">
        <f>_xll.BDP("912827J7 Govt","SECURITY_NAME")</f>
        <v>T 6 1/4 02/15/03</v>
      </c>
      <c r="Q1562" t="str">
        <f>_xll.BDP("912827J7 Govt","DAY_CNT_DES")</f>
        <v>ACT/ACT</v>
      </c>
      <c r="R1562">
        <v>100</v>
      </c>
      <c r="S1562" t="str">
        <f>_xll.BDP("912827J7 Govt","ID_CUSIP")</f>
        <v>912827J78</v>
      </c>
      <c r="T1562" t="str">
        <f>_xll.BDP("912827J7 Govt","IDX_RATIO")</f>
        <v>#N/A Field Not Applicable</v>
      </c>
    </row>
    <row r="1563" spans="1:20" x14ac:dyDescent="0.25">
      <c r="A1563" t="s">
        <v>14</v>
      </c>
      <c r="B1563" t="str">
        <f>_xll.BDP("912827K7 Govt","TICKER")</f>
        <v>T</v>
      </c>
      <c r="C1563">
        <f>_xll.BDP("912827K7 Govt","CPN")</f>
        <v>4.25</v>
      </c>
      <c r="D1563" t="str">
        <f>_xll.BDP("912827K7 Govt","YLD_YTM_BID")</f>
        <v>#N/A N/A</v>
      </c>
      <c r="E1563" t="str">
        <f>_xll.BDP("912827K7 Govt","MATURITY")</f>
        <v>5/15/1996</v>
      </c>
      <c r="F1563" t="str">
        <f>_xll.BDP("912827K7 Govt","MTY_TYP")</f>
        <v>NORMAL</v>
      </c>
      <c r="G1563" t="str">
        <f>_xll.BDP("912827K7 Govt","CRNCY")</f>
        <v>USD</v>
      </c>
      <c r="H1563" t="str">
        <f>_xll.BDP("912827K7 Govt","COUNTRY_FULL_NAME")</f>
        <v>UNITED STATES</v>
      </c>
      <c r="I1563" t="str">
        <f>_xll.BDP("912827K7 Govt","FIRST_CPN_DT")</f>
        <v>11/15/1993</v>
      </c>
      <c r="J1563" t="str">
        <f>_xll.BDP("912827K7 Govt","COUPON_FREQUENCY_DESCRIPTION")</f>
        <v>S/A</v>
      </c>
      <c r="K1563" t="str">
        <f>_xll.BDP("912827K7 Govt","CPN_TYP")</f>
        <v>FIXED</v>
      </c>
      <c r="L1563" t="str">
        <f>_xll.BDP("912827K7 Govt","ID_ISIN")</f>
        <v>US912827K769</v>
      </c>
      <c r="N1563">
        <v>0</v>
      </c>
      <c r="O1563" t="str">
        <f>_xll.BDP("912827K7 Govt","ISSUE_DT")</f>
        <v>5/17/1993</v>
      </c>
      <c r="P1563" t="str">
        <f>_xll.BDP("912827K7 Govt","SECURITY_NAME")</f>
        <v>T 4 1/4 05/15/96</v>
      </c>
      <c r="Q1563" t="str">
        <f>_xll.BDP("912827K7 Govt","DAY_CNT_DES")</f>
        <v>ACT/ACT</v>
      </c>
      <c r="R1563">
        <v>100</v>
      </c>
      <c r="S1563" t="str">
        <f>_xll.BDP("912827K7 Govt","ID_CUSIP")</f>
        <v>912827K76</v>
      </c>
      <c r="T1563" t="str">
        <f>_xll.BDP("912827K7 Govt","IDX_RATIO")</f>
        <v>#N/A Field Not Applicable</v>
      </c>
    </row>
    <row r="1564" spans="1:20" x14ac:dyDescent="0.25">
      <c r="A1564" t="s">
        <v>14</v>
      </c>
      <c r="B1564" t="str">
        <f>_xll.BDP("912827L3 Govt","TICKER")</f>
        <v>T</v>
      </c>
      <c r="C1564">
        <f>_xll.BDP("912827L3 Govt","CPN")</f>
        <v>4.125</v>
      </c>
      <c r="D1564" t="str">
        <f>_xll.BDP("912827L3 Govt","YLD_YTM_BID")</f>
        <v>#N/A N/A</v>
      </c>
      <c r="E1564" t="str">
        <f>_xll.BDP("912827L3 Govt","MATURITY")</f>
        <v>6/30/1995</v>
      </c>
      <c r="F1564" t="str">
        <f>_xll.BDP("912827L3 Govt","MTY_TYP")</f>
        <v>NORMAL</v>
      </c>
      <c r="G1564" t="str">
        <f>_xll.BDP("912827L3 Govt","CRNCY")</f>
        <v>USD</v>
      </c>
      <c r="H1564" t="str">
        <f>_xll.BDP("912827L3 Govt","COUNTRY_FULL_NAME")</f>
        <v>UNITED STATES</v>
      </c>
      <c r="I1564" t="str">
        <f>_xll.BDP("912827L3 Govt","FIRST_CPN_DT")</f>
        <v>12/31/1993</v>
      </c>
      <c r="J1564" t="str">
        <f>_xll.BDP("912827L3 Govt","COUPON_FREQUENCY_DESCRIPTION")</f>
        <v>S/A</v>
      </c>
      <c r="K1564" t="str">
        <f>_xll.BDP("912827L3 Govt","CPN_TYP")</f>
        <v>FIXED</v>
      </c>
      <c r="L1564" t="str">
        <f>_xll.BDP("912827L3 Govt","ID_ISIN")</f>
        <v>US912827L346</v>
      </c>
      <c r="N1564">
        <v>0</v>
      </c>
      <c r="O1564" t="str">
        <f>_xll.BDP("912827L3 Govt","ISSUE_DT")</f>
        <v>6/30/1993</v>
      </c>
      <c r="P1564" t="str">
        <f>_xll.BDP("912827L3 Govt","SECURITY_NAME")</f>
        <v>T 4 1/8 06/30/95</v>
      </c>
      <c r="Q1564" t="str">
        <f>_xll.BDP("912827L3 Govt","DAY_CNT_DES")</f>
        <v>ACT/ACT</v>
      </c>
      <c r="R1564">
        <v>100</v>
      </c>
      <c r="S1564" t="str">
        <f>_xll.BDP("912827L3 Govt","ID_CUSIP")</f>
        <v>912827L34</v>
      </c>
      <c r="T1564" t="str">
        <f>_xll.BDP("912827L3 Govt","IDX_RATIO")</f>
        <v>#N/A Field Not Applicable</v>
      </c>
    </row>
    <row r="1565" spans="1:20" x14ac:dyDescent="0.25">
      <c r="A1565" t="s">
        <v>14</v>
      </c>
      <c r="B1565" t="str">
        <f>_xll.BDP("912827L7 Govt","TICKER")</f>
        <v>T</v>
      </c>
      <c r="C1565">
        <f>_xll.BDP("912827L7 Govt","CPN")</f>
        <v>4.375</v>
      </c>
      <c r="D1565" t="str">
        <f>_xll.BDP("912827L7 Govt","YLD_YTM_BID")</f>
        <v>#N/A N/A</v>
      </c>
      <c r="E1565" t="str">
        <f>_xll.BDP("912827L7 Govt","MATURITY")</f>
        <v>8/15/1996</v>
      </c>
      <c r="F1565" t="str">
        <f>_xll.BDP("912827L7 Govt","MTY_TYP")</f>
        <v>NORMAL</v>
      </c>
      <c r="G1565" t="str">
        <f>_xll.BDP("912827L7 Govt","CRNCY")</f>
        <v>USD</v>
      </c>
      <c r="H1565" t="str">
        <f>_xll.BDP("912827L7 Govt","COUNTRY_FULL_NAME")</f>
        <v>UNITED STATES</v>
      </c>
      <c r="I1565" t="str">
        <f>_xll.BDP("912827L7 Govt","FIRST_CPN_DT")</f>
        <v>2/15/1994</v>
      </c>
      <c r="J1565" t="str">
        <f>_xll.BDP("912827L7 Govt","COUPON_FREQUENCY_DESCRIPTION")</f>
        <v>S/A</v>
      </c>
      <c r="K1565" t="str">
        <f>_xll.BDP("912827L7 Govt","CPN_TYP")</f>
        <v>FIXED</v>
      </c>
      <c r="L1565" t="str">
        <f>_xll.BDP("912827L7 Govt","ID_ISIN")</f>
        <v>US912827L759</v>
      </c>
      <c r="N1565">
        <v>0</v>
      </c>
      <c r="O1565" t="str">
        <f>_xll.BDP("912827L7 Govt","ISSUE_DT")</f>
        <v>8/16/1993</v>
      </c>
      <c r="P1565" t="str">
        <f>_xll.BDP("912827L7 Govt","SECURITY_NAME")</f>
        <v>T 4 3/8 08/15/96</v>
      </c>
      <c r="Q1565" t="str">
        <f>_xll.BDP("912827L7 Govt","DAY_CNT_DES")</f>
        <v>ACT/ACT</v>
      </c>
      <c r="R1565">
        <v>100</v>
      </c>
      <c r="S1565" t="str">
        <f>_xll.BDP("912827L7 Govt","ID_CUSIP")</f>
        <v>912827L75</v>
      </c>
      <c r="T1565" t="str">
        <f>_xll.BDP("912827L7 Govt","IDX_RATIO")</f>
        <v>#N/A Field Not Applicable</v>
      </c>
    </row>
    <row r="1566" spans="1:20" x14ac:dyDescent="0.25">
      <c r="A1566" t="s">
        <v>14</v>
      </c>
      <c r="B1566" t="str">
        <f>_xll.BDP("912827LH Govt","TICKER")</f>
        <v>T</v>
      </c>
      <c r="C1566">
        <f>_xll.BDP("912827LH Govt","CPN")</f>
        <v>13.5</v>
      </c>
      <c r="D1566" t="str">
        <f>_xll.BDP("912827LH Govt","YLD_YTM_BID")</f>
        <v>#N/A N/A</v>
      </c>
      <c r="E1566" t="str">
        <f>_xll.BDP("912827LH Govt","MATURITY")</f>
        <v>2/15/1986</v>
      </c>
      <c r="F1566" t="str">
        <f>_xll.BDP("912827LH Govt","MTY_TYP")</f>
        <v>NORMAL</v>
      </c>
      <c r="G1566" t="str">
        <f>_xll.BDP("912827LH Govt","CRNCY")</f>
        <v>USD</v>
      </c>
      <c r="H1566" t="str">
        <f>_xll.BDP("912827LH Govt","COUNTRY_FULL_NAME")</f>
        <v>UNITED STATES</v>
      </c>
      <c r="I1566" t="str">
        <f>_xll.BDP("912827LH Govt","FIRST_CPN_DT")</f>
        <v>8/15/1981</v>
      </c>
      <c r="J1566" t="str">
        <f>_xll.BDP("912827LH Govt","COUPON_FREQUENCY_DESCRIPTION")</f>
        <v>S/A</v>
      </c>
      <c r="K1566" t="str">
        <f>_xll.BDP("912827LH Govt","CPN_TYP")</f>
        <v>FIXED</v>
      </c>
      <c r="L1566" t="str">
        <f>_xll.BDP("912827LH Govt","ID_ISIN")</f>
        <v>US912827LH39</v>
      </c>
      <c r="N1566">
        <v>0</v>
      </c>
      <c r="O1566" t="str">
        <f>_xll.BDP("912827LH Govt","ISSUE_DT")</f>
        <v>12/8/1980</v>
      </c>
      <c r="P1566" t="str">
        <f>_xll.BDP("912827LH Govt","SECURITY_NAME")</f>
        <v>T 13 1/2 02/15/86</v>
      </c>
      <c r="Q1566" t="str">
        <f>_xll.BDP("912827LH Govt","DAY_CNT_DES")</f>
        <v>ACT/ACT</v>
      </c>
      <c r="R1566">
        <v>100</v>
      </c>
      <c r="S1566" t="str">
        <f>_xll.BDP("912827LH Govt","ID_CUSIP")</f>
        <v>912827LH3</v>
      </c>
      <c r="T1566" t="str">
        <f>_xll.BDP("912827LH Govt","IDX_RATIO")</f>
        <v>#N/A Field Not Applicable</v>
      </c>
    </row>
    <row r="1567" spans="1:20" x14ac:dyDescent="0.25">
      <c r="A1567" t="s">
        <v>14</v>
      </c>
      <c r="B1567" t="str">
        <f>_xll.BDP("912827LZ Govt","TICKER")</f>
        <v>T</v>
      </c>
      <c r="C1567">
        <f>_xll.BDP("912827LZ Govt","CPN")</f>
        <v>14.625</v>
      </c>
      <c r="D1567" t="str">
        <f>_xll.BDP("912827LZ Govt","YLD_YTM_BID")</f>
        <v>#N/A N/A</v>
      </c>
      <c r="E1567" t="str">
        <f>_xll.BDP("912827LZ Govt","MATURITY")</f>
        <v>6/30/1983</v>
      </c>
      <c r="F1567" t="str">
        <f>_xll.BDP("912827LZ Govt","MTY_TYP")</f>
        <v>NORMAL</v>
      </c>
      <c r="G1567" t="str">
        <f>_xll.BDP("912827LZ Govt","CRNCY")</f>
        <v>USD</v>
      </c>
      <c r="H1567" t="str">
        <f>_xll.BDP("912827LZ Govt","COUNTRY_FULL_NAME")</f>
        <v>UNITED STATES</v>
      </c>
      <c r="I1567" t="str">
        <f>_xll.BDP("912827LZ Govt","FIRST_CPN_DT")</f>
        <v>12/31/1981</v>
      </c>
      <c r="J1567" t="str">
        <f>_xll.BDP("912827LZ Govt","COUPON_FREQUENCY_DESCRIPTION")</f>
        <v>S/A</v>
      </c>
      <c r="K1567" t="str">
        <f>_xll.BDP("912827LZ Govt","CPN_TYP")</f>
        <v>FIXED</v>
      </c>
      <c r="L1567" t="str">
        <f>_xll.BDP("912827LZ Govt","ID_ISIN")</f>
        <v>US912827LZ37</v>
      </c>
      <c r="N1567">
        <v>0</v>
      </c>
      <c r="O1567" t="str">
        <f>_xll.BDP("912827LZ Govt","ISSUE_DT")</f>
        <v>6/30/1981</v>
      </c>
      <c r="P1567" t="str">
        <f>_xll.BDP("912827LZ Govt","SECURITY_NAME")</f>
        <v>T 14 5/8 06/30/83</v>
      </c>
      <c r="Q1567" t="str">
        <f>_xll.BDP("912827LZ Govt","DAY_CNT_DES")</f>
        <v>ACT/ACT</v>
      </c>
      <c r="R1567">
        <v>100</v>
      </c>
      <c r="S1567" t="str">
        <f>_xll.BDP("912827LZ Govt","ID_CUSIP")</f>
        <v>912827LZ3</v>
      </c>
      <c r="T1567" t="str">
        <f>_xll.BDP("912827LZ Govt","IDX_RATIO")</f>
        <v>#N/A Field Not Applicable</v>
      </c>
    </row>
    <row r="1568" spans="1:20" x14ac:dyDescent="0.25">
      <c r="A1568" t="s">
        <v>14</v>
      </c>
      <c r="B1568" t="str">
        <f>_xll.BDP("912827M3 Govt","TICKER")</f>
        <v>T</v>
      </c>
      <c r="C1568">
        <f>_xll.BDP("912827M3 Govt","CPN")</f>
        <v>3.875</v>
      </c>
      <c r="D1568" t="str">
        <f>_xll.BDP("912827M3 Govt","YLD_YTM_BID")</f>
        <v>#N/A N/A</v>
      </c>
      <c r="E1568" t="str">
        <f>_xll.BDP("912827M3 Govt","MATURITY")</f>
        <v>9/30/1995</v>
      </c>
      <c r="F1568" t="str">
        <f>_xll.BDP("912827M3 Govt","MTY_TYP")</f>
        <v>NORMAL</v>
      </c>
      <c r="G1568" t="str">
        <f>_xll.BDP("912827M3 Govt","CRNCY")</f>
        <v>USD</v>
      </c>
      <c r="H1568" t="str">
        <f>_xll.BDP("912827M3 Govt","COUNTRY_FULL_NAME")</f>
        <v>UNITED STATES</v>
      </c>
      <c r="I1568" t="str">
        <f>_xll.BDP("912827M3 Govt","FIRST_CPN_DT")</f>
        <v>3/31/1994</v>
      </c>
      <c r="J1568" t="str">
        <f>_xll.BDP("912827M3 Govt","COUPON_FREQUENCY_DESCRIPTION")</f>
        <v>S/A</v>
      </c>
      <c r="K1568" t="str">
        <f>_xll.BDP("912827M3 Govt","CPN_TYP")</f>
        <v>FIXED</v>
      </c>
      <c r="L1568" t="str">
        <f>_xll.BDP("912827M3 Govt","ID_ISIN")</f>
        <v>US912827M336</v>
      </c>
      <c r="N1568">
        <v>0</v>
      </c>
      <c r="O1568" t="str">
        <f>_xll.BDP("912827M3 Govt","ISSUE_DT")</f>
        <v>9/30/1993</v>
      </c>
      <c r="P1568" t="str">
        <f>_xll.BDP("912827M3 Govt","SECURITY_NAME")</f>
        <v>T 3 7/8 09/30/95</v>
      </c>
      <c r="Q1568" t="str">
        <f>_xll.BDP("912827M3 Govt","DAY_CNT_DES")</f>
        <v>ACT/ACT</v>
      </c>
      <c r="R1568">
        <v>100</v>
      </c>
      <c r="S1568" t="str">
        <f>_xll.BDP("912827M3 Govt","ID_CUSIP")</f>
        <v>912827M33</v>
      </c>
      <c r="T1568" t="str">
        <f>_xll.BDP("912827M3 Govt","IDX_RATIO")</f>
        <v>#N/A Field Not Applicable</v>
      </c>
    </row>
    <row r="1569" spans="1:20" x14ac:dyDescent="0.25">
      <c r="A1569" t="s">
        <v>14</v>
      </c>
      <c r="B1569" t="str">
        <f>_xll.BDP("912827PD Govt","TICKER")</f>
        <v>T</v>
      </c>
      <c r="C1569">
        <f>_xll.BDP("912827PD Govt","CPN")</f>
        <v>10.875</v>
      </c>
      <c r="D1569" t="str">
        <f>_xll.BDP("912827PD Govt","YLD_YTM_BID")</f>
        <v>#N/A N/A</v>
      </c>
      <c r="E1569" t="str">
        <f>_xll.BDP("912827PD Govt","MATURITY")</f>
        <v>2/15/1993</v>
      </c>
      <c r="F1569" t="str">
        <f>_xll.BDP("912827PD Govt","MTY_TYP")</f>
        <v>NORMAL</v>
      </c>
      <c r="G1569" t="str">
        <f>_xll.BDP("912827PD Govt","CRNCY")</f>
        <v>USD</v>
      </c>
      <c r="H1569" t="str">
        <f>_xll.BDP("912827PD Govt","COUNTRY_FULL_NAME")</f>
        <v>UNITED STATES</v>
      </c>
      <c r="I1569" t="str">
        <f>_xll.BDP("912827PD Govt","FIRST_CPN_DT")</f>
        <v>8/15/1983</v>
      </c>
      <c r="J1569" t="str">
        <f>_xll.BDP("912827PD Govt","COUPON_FREQUENCY_DESCRIPTION")</f>
        <v>S/A</v>
      </c>
      <c r="K1569" t="str">
        <f>_xll.BDP("912827PD Govt","CPN_TYP")</f>
        <v>FIXED</v>
      </c>
      <c r="L1569" t="str">
        <f>_xll.BDP("912827PD Govt","ID_ISIN")</f>
        <v>US912827PD88</v>
      </c>
      <c r="N1569">
        <v>0</v>
      </c>
      <c r="O1569" t="str">
        <f>_xll.BDP("912827PD Govt","ISSUE_DT")</f>
        <v>2/15/1983</v>
      </c>
      <c r="P1569" t="str">
        <f>_xll.BDP("912827PD Govt","SECURITY_NAME")</f>
        <v>T 10 7/8 02/15/93</v>
      </c>
      <c r="Q1569" t="str">
        <f>_xll.BDP("912827PD Govt","DAY_CNT_DES")</f>
        <v>ACT/ACT</v>
      </c>
      <c r="R1569">
        <v>100</v>
      </c>
      <c r="S1569" t="str">
        <f>_xll.BDP("912827PD Govt","ID_CUSIP")</f>
        <v>912827PD8</v>
      </c>
      <c r="T1569" t="str">
        <f>_xll.BDP("912827PD Govt","IDX_RATIO")</f>
        <v>#N/A Field Not Applicable</v>
      </c>
    </row>
    <row r="1570" spans="1:20" x14ac:dyDescent="0.25">
      <c r="A1570" t="s">
        <v>14</v>
      </c>
      <c r="B1570" t="str">
        <f>_xll.BDP("912827PX Govt","TICKER")</f>
        <v>T</v>
      </c>
      <c r="C1570">
        <f>_xll.BDP("912827PX Govt","CPN")</f>
        <v>11.75</v>
      </c>
      <c r="D1570" t="str">
        <f>_xll.BDP("912827PX Govt","YLD_YTM_BID")</f>
        <v>#N/A N/A</v>
      </c>
      <c r="E1570" t="str">
        <f>_xll.BDP("912827PX Govt","MATURITY")</f>
        <v>11/15/1988</v>
      </c>
      <c r="F1570" t="str">
        <f>_xll.BDP("912827PX Govt","MTY_TYP")</f>
        <v>NORMAL</v>
      </c>
      <c r="G1570" t="str">
        <f>_xll.BDP("912827PX Govt","CRNCY")</f>
        <v>USD</v>
      </c>
      <c r="H1570" t="str">
        <f>_xll.BDP("912827PX Govt","COUNTRY_FULL_NAME")</f>
        <v>UNITED STATES</v>
      </c>
      <c r="I1570" t="str">
        <f>_xll.BDP("912827PX Govt","FIRST_CPN_DT")</f>
        <v>5/15/1984</v>
      </c>
      <c r="J1570" t="str">
        <f>_xll.BDP("912827PX Govt","COUPON_FREQUENCY_DESCRIPTION")</f>
        <v>S/A</v>
      </c>
      <c r="K1570" t="str">
        <f>_xll.BDP("912827PX Govt","CPN_TYP")</f>
        <v>FIXED</v>
      </c>
      <c r="L1570" t="str">
        <f>_xll.BDP("912827PX Govt","ID_ISIN")</f>
        <v>US912827PX43</v>
      </c>
      <c r="N1570">
        <v>0</v>
      </c>
      <c r="O1570" t="str">
        <f>_xll.BDP("912827PX Govt","ISSUE_DT")</f>
        <v>9/6/1983</v>
      </c>
      <c r="P1570" t="str">
        <f>_xll.BDP("912827PX Govt","SECURITY_NAME")</f>
        <v>T 11 3/4 11/15/88</v>
      </c>
      <c r="Q1570" t="str">
        <f>_xll.BDP("912827PX Govt","DAY_CNT_DES")</f>
        <v>ACT/ACT</v>
      </c>
      <c r="R1570">
        <v>100</v>
      </c>
      <c r="S1570" t="str">
        <f>_xll.BDP("912827PX Govt","ID_CUSIP")</f>
        <v>912827PX4</v>
      </c>
      <c r="T1570" t="str">
        <f>_xll.BDP("912827PX Govt","IDX_RATIO")</f>
        <v>#N/A Field Not Applicable</v>
      </c>
    </row>
    <row r="1571" spans="1:20" x14ac:dyDescent="0.25">
      <c r="A1571" t="s">
        <v>14</v>
      </c>
      <c r="B1571" t="str">
        <f>_xll.BDP("912827PZ Govt","TICKER")</f>
        <v>T</v>
      </c>
      <c r="C1571">
        <f>_xll.BDP("912827PZ Govt","CPN")</f>
        <v>11.125</v>
      </c>
      <c r="D1571" t="str">
        <f>_xll.BDP("912827PZ Govt","YLD_YTM_BID")</f>
        <v>#N/A N/A</v>
      </c>
      <c r="E1571" t="str">
        <f>_xll.BDP("912827PZ Govt","MATURITY")</f>
        <v>9/30/1987</v>
      </c>
      <c r="F1571" t="str">
        <f>_xll.BDP("912827PZ Govt","MTY_TYP")</f>
        <v>NORMAL</v>
      </c>
      <c r="G1571" t="str">
        <f>_xll.BDP("912827PZ Govt","CRNCY")</f>
        <v>USD</v>
      </c>
      <c r="H1571" t="str">
        <f>_xll.BDP("912827PZ Govt","COUNTRY_FULL_NAME")</f>
        <v>UNITED STATES</v>
      </c>
      <c r="I1571" t="str">
        <f>_xll.BDP("912827PZ Govt","FIRST_CPN_DT")</f>
        <v>3/31/1984</v>
      </c>
      <c r="J1571" t="str">
        <f>_xll.BDP("912827PZ Govt","COUPON_FREQUENCY_DESCRIPTION")</f>
        <v>S/A</v>
      </c>
      <c r="K1571" t="str">
        <f>_xll.BDP("912827PZ Govt","CPN_TYP")</f>
        <v>FIXED</v>
      </c>
      <c r="L1571" t="str">
        <f>_xll.BDP("912827PZ Govt","ID_ISIN")</f>
        <v>US912827PZ90</v>
      </c>
      <c r="N1571">
        <v>0</v>
      </c>
      <c r="O1571" t="str">
        <f>_xll.BDP("912827PZ Govt","ISSUE_DT")</f>
        <v>9/30/1983</v>
      </c>
      <c r="P1571" t="str">
        <f>_xll.BDP("912827PZ Govt","SECURITY_NAME")</f>
        <v>T 11 1/8 09/30/87</v>
      </c>
      <c r="Q1571" t="str">
        <f>_xll.BDP("912827PZ Govt","DAY_CNT_DES")</f>
        <v>ACT/ACT</v>
      </c>
      <c r="R1571">
        <v>100</v>
      </c>
      <c r="S1571" t="str">
        <f>_xll.BDP("912827PZ Govt","ID_CUSIP")</f>
        <v>912827PZ9</v>
      </c>
      <c r="T1571" t="str">
        <f>_xll.BDP("912827PZ Govt","IDX_RATIO")</f>
        <v>#N/A Field Not Applicable</v>
      </c>
    </row>
    <row r="1572" spans="1:20" x14ac:dyDescent="0.25">
      <c r="A1572" t="s">
        <v>14</v>
      </c>
      <c r="B1572" t="str">
        <f>_xll.BDP("912827Q8 Govt","TICKER")</f>
        <v>T</v>
      </c>
      <c r="C1572">
        <f>_xll.BDP("912827Q8 Govt","CPN")</f>
        <v>7.25</v>
      </c>
      <c r="D1572" t="str">
        <f>_xll.BDP("912827Q8 Govt","YLD_YTM_BID")</f>
        <v>#N/A N/A</v>
      </c>
      <c r="E1572" t="str">
        <f>_xll.BDP("912827Q8 Govt","MATURITY")</f>
        <v>8/15/2004</v>
      </c>
      <c r="F1572" t="str">
        <f>_xll.BDP("912827Q8 Govt","MTY_TYP")</f>
        <v>NORMAL</v>
      </c>
      <c r="G1572" t="str">
        <f>_xll.BDP("912827Q8 Govt","CRNCY")</f>
        <v>USD</v>
      </c>
      <c r="H1572" t="str">
        <f>_xll.BDP("912827Q8 Govt","COUNTRY_FULL_NAME")</f>
        <v>UNITED STATES</v>
      </c>
      <c r="I1572" t="str">
        <f>_xll.BDP("912827Q8 Govt","FIRST_CPN_DT")</f>
        <v>2/15/1995</v>
      </c>
      <c r="J1572" t="str">
        <f>_xll.BDP("912827Q8 Govt","COUPON_FREQUENCY_DESCRIPTION")</f>
        <v>S/A</v>
      </c>
      <c r="K1572" t="str">
        <f>_xll.BDP("912827Q8 Govt","CPN_TYP")</f>
        <v>FIXED</v>
      </c>
      <c r="L1572" t="str">
        <f>_xll.BDP("912827Q8 Govt","ID_ISIN")</f>
        <v>US912827Q881</v>
      </c>
      <c r="M1572">
        <v>13346000000</v>
      </c>
      <c r="N1572">
        <v>0</v>
      </c>
      <c r="O1572" t="str">
        <f>_xll.BDP("912827Q8 Govt","ISSUE_DT")</f>
        <v>8/15/1994</v>
      </c>
      <c r="P1572" t="str">
        <f>_xll.BDP("912827Q8 Govt","SECURITY_NAME")</f>
        <v>T 7 1/4 08/15/04</v>
      </c>
      <c r="Q1572" t="str">
        <f>_xll.BDP("912827Q8 Govt","DAY_CNT_DES")</f>
        <v>ACT/ACT</v>
      </c>
      <c r="R1572">
        <v>100</v>
      </c>
      <c r="S1572" t="str">
        <f>_xll.BDP("912827Q8 Govt","ID_CUSIP")</f>
        <v>912827Q88</v>
      </c>
      <c r="T1572" t="str">
        <f>_xll.BDP("912827Q8 Govt","IDX_RATIO")</f>
        <v>#N/A Field Not Applicable</v>
      </c>
    </row>
    <row r="1573" spans="1:20" x14ac:dyDescent="0.25">
      <c r="A1573" t="s">
        <v>14</v>
      </c>
      <c r="B1573" t="str">
        <f>_xll.BDP("912827Q9 Govt","TICKER")</f>
        <v>T</v>
      </c>
      <c r="C1573">
        <f>_xll.BDP("912827Q9 Govt","CPN")</f>
        <v>6.25</v>
      </c>
      <c r="D1573" t="str">
        <f>_xll.BDP("912827Q9 Govt","YLD_YTM_BID")</f>
        <v>#N/A N/A</v>
      </c>
      <c r="E1573" t="str">
        <f>_xll.BDP("912827Q9 Govt","MATURITY")</f>
        <v>8/31/1996</v>
      </c>
      <c r="F1573" t="str">
        <f>_xll.BDP("912827Q9 Govt","MTY_TYP")</f>
        <v>NORMAL</v>
      </c>
      <c r="G1573" t="str">
        <f>_xll.BDP("912827Q9 Govt","CRNCY")</f>
        <v>USD</v>
      </c>
      <c r="H1573" t="str">
        <f>_xll.BDP("912827Q9 Govt","COUNTRY_FULL_NAME")</f>
        <v>UNITED STATES</v>
      </c>
      <c r="I1573" t="str">
        <f>_xll.BDP("912827Q9 Govt","FIRST_CPN_DT")</f>
        <v>2/28/1995</v>
      </c>
      <c r="J1573" t="str">
        <f>_xll.BDP("912827Q9 Govt","COUPON_FREQUENCY_DESCRIPTION")</f>
        <v>S/A</v>
      </c>
      <c r="K1573" t="str">
        <f>_xll.BDP("912827Q9 Govt","CPN_TYP")</f>
        <v>FIXED</v>
      </c>
      <c r="L1573" t="str">
        <f>_xll.BDP("912827Q9 Govt","ID_ISIN")</f>
        <v>US912827Q964</v>
      </c>
      <c r="N1573">
        <v>0</v>
      </c>
      <c r="O1573" t="str">
        <f>_xll.BDP("912827Q9 Govt","ISSUE_DT")</f>
        <v>8/31/1994</v>
      </c>
      <c r="P1573" t="str">
        <f>_xll.BDP("912827Q9 Govt","SECURITY_NAME")</f>
        <v>T 6 1/4 08/31/96</v>
      </c>
      <c r="Q1573" t="str">
        <f>_xll.BDP("912827Q9 Govt","DAY_CNT_DES")</f>
        <v>ACT/ACT</v>
      </c>
      <c r="R1573">
        <v>100</v>
      </c>
      <c r="S1573" t="str">
        <f>_xll.BDP("912827Q9 Govt","ID_CUSIP")</f>
        <v>912827Q96</v>
      </c>
      <c r="T1573" t="str">
        <f>_xll.BDP("912827Q9 Govt","IDX_RATIO")</f>
        <v>#N/A Field Not Applicable</v>
      </c>
    </row>
    <row r="1574" spans="1:20" x14ac:dyDescent="0.25">
      <c r="A1574" t="s">
        <v>14</v>
      </c>
      <c r="B1574" t="str">
        <f>_xll.BDP("912827QB Govt","TICKER")</f>
        <v>T</v>
      </c>
      <c r="C1574">
        <f>_xll.BDP("912827QB Govt","CPN")</f>
        <v>10.5</v>
      </c>
      <c r="D1574" t="str">
        <f>_xll.BDP("912827QB Govt","YLD_YTM_BID")</f>
        <v>#N/A N/A</v>
      </c>
      <c r="E1574" t="str">
        <f>_xll.BDP("912827QB Govt","MATURITY")</f>
        <v>10/31/1985</v>
      </c>
      <c r="F1574" t="str">
        <f>_xll.BDP("912827QB Govt","MTY_TYP")</f>
        <v>NORMAL</v>
      </c>
      <c r="G1574" t="str">
        <f>_xll.BDP("912827QB Govt","CRNCY")</f>
        <v>USD</v>
      </c>
      <c r="H1574" t="str">
        <f>_xll.BDP("912827QB Govt","COUNTRY_FULL_NAME")</f>
        <v>UNITED STATES</v>
      </c>
      <c r="I1574" t="str">
        <f>_xll.BDP("912827QB Govt","FIRST_CPN_DT")</f>
        <v>4/30/1984</v>
      </c>
      <c r="J1574" t="str">
        <f>_xll.BDP("912827QB Govt","COUPON_FREQUENCY_DESCRIPTION")</f>
        <v>S/A</v>
      </c>
      <c r="K1574" t="str">
        <f>_xll.BDP("912827QB Govt","CPN_TYP")</f>
        <v>FIXED</v>
      </c>
      <c r="L1574" t="str">
        <f>_xll.BDP("912827QB Govt","ID_ISIN")</f>
        <v>US912827QB14</v>
      </c>
      <c r="N1574">
        <v>0</v>
      </c>
      <c r="O1574" t="str">
        <f>_xll.BDP("912827QB Govt","ISSUE_DT")</f>
        <v>10/31/1983</v>
      </c>
      <c r="P1574" t="str">
        <f>_xll.BDP("912827QB Govt","SECURITY_NAME")</f>
        <v>T 10 1/2 10/31/85</v>
      </c>
      <c r="Q1574" t="str">
        <f>_xll.BDP("912827QB Govt","DAY_CNT_DES")</f>
        <v>ACT/ACT</v>
      </c>
      <c r="R1574">
        <v>100</v>
      </c>
      <c r="S1574" t="str">
        <f>_xll.BDP("912827QB Govt","ID_CUSIP")</f>
        <v>912827QB1</v>
      </c>
      <c r="T1574" t="str">
        <f>_xll.BDP("912827QB Govt","IDX_RATIO")</f>
        <v>#N/A Field Not Applicable</v>
      </c>
    </row>
    <row r="1575" spans="1:20" x14ac:dyDescent="0.25">
      <c r="A1575" t="s">
        <v>14</v>
      </c>
      <c r="B1575" t="str">
        <f>_xll.BDP("912827QX Govt","TICKER")</f>
        <v>T</v>
      </c>
      <c r="C1575">
        <f>_xll.BDP("912827QX Govt","CPN")</f>
        <v>13</v>
      </c>
      <c r="D1575" t="str">
        <f>_xll.BDP("912827QX Govt","YLD_YTM_BID")</f>
        <v>#N/A N/A</v>
      </c>
      <c r="E1575" t="str">
        <f>_xll.BDP("912827QX Govt","MATURITY")</f>
        <v>6/30/1986</v>
      </c>
      <c r="F1575" t="str">
        <f>_xll.BDP("912827QX Govt","MTY_TYP")</f>
        <v>NORMAL</v>
      </c>
      <c r="G1575" t="str">
        <f>_xll.BDP("912827QX Govt","CRNCY")</f>
        <v>USD</v>
      </c>
      <c r="H1575" t="str">
        <f>_xll.BDP("912827QX Govt","COUNTRY_FULL_NAME")</f>
        <v>UNITED STATES</v>
      </c>
      <c r="I1575" t="str">
        <f>_xll.BDP("912827QX Govt","FIRST_CPN_DT")</f>
        <v>12/31/1984</v>
      </c>
      <c r="J1575" t="str">
        <f>_xll.BDP("912827QX Govt","COUPON_FREQUENCY_DESCRIPTION")</f>
        <v>S/A</v>
      </c>
      <c r="K1575" t="str">
        <f>_xll.BDP("912827QX Govt","CPN_TYP")</f>
        <v>FIXED</v>
      </c>
      <c r="L1575" t="str">
        <f>_xll.BDP("912827QX Govt","ID_ISIN")</f>
        <v>US912827QX34</v>
      </c>
      <c r="N1575">
        <v>0</v>
      </c>
      <c r="O1575" t="str">
        <f>_xll.BDP("912827QX Govt","ISSUE_DT")</f>
        <v>7/2/1984</v>
      </c>
      <c r="P1575" t="str">
        <f>_xll.BDP("912827QX Govt","SECURITY_NAME")</f>
        <v>T 13 06/30/86</v>
      </c>
      <c r="Q1575" t="str">
        <f>_xll.BDP("912827QX Govt","DAY_CNT_DES")</f>
        <v>ACT/ACT</v>
      </c>
      <c r="R1575">
        <v>100</v>
      </c>
      <c r="S1575" t="str">
        <f>_xll.BDP("912827QX Govt","ID_CUSIP")</f>
        <v>912827QX3</v>
      </c>
      <c r="T1575" t="str">
        <f>_xll.BDP("912827QX Govt","IDX_RATIO")</f>
        <v>#N/A Field Not Applicable</v>
      </c>
    </row>
    <row r="1576" spans="1:20" x14ac:dyDescent="0.25">
      <c r="A1576" t="s">
        <v>14</v>
      </c>
      <c r="B1576" t="str">
        <f>_xll.BDP("912827QZ Govt","TICKER")</f>
        <v>T</v>
      </c>
      <c r="C1576">
        <f>_xll.BDP("912827QZ Govt","CPN")</f>
        <v>13.75</v>
      </c>
      <c r="D1576" t="str">
        <f>_xll.BDP("912827QZ Govt","YLD_YTM_BID")</f>
        <v>#N/A N/A</v>
      </c>
      <c r="E1576" t="str">
        <f>_xll.BDP("912827QZ Govt","MATURITY")</f>
        <v>7/15/1991</v>
      </c>
      <c r="F1576" t="str">
        <f>_xll.BDP("912827QZ Govt","MTY_TYP")</f>
        <v>NORMAL</v>
      </c>
      <c r="G1576" t="str">
        <f>_xll.BDP("912827QZ Govt","CRNCY")</f>
        <v>USD</v>
      </c>
      <c r="H1576" t="str">
        <f>_xll.BDP("912827QZ Govt","COUNTRY_FULL_NAME")</f>
        <v>UNITED STATES</v>
      </c>
      <c r="I1576" t="str">
        <f>_xll.BDP("912827QZ Govt","FIRST_CPN_DT")</f>
        <v>1/15/1985</v>
      </c>
      <c r="J1576" t="str">
        <f>_xll.BDP("912827QZ Govt","COUPON_FREQUENCY_DESCRIPTION")</f>
        <v>S/A</v>
      </c>
      <c r="K1576" t="str">
        <f>_xll.BDP("912827QZ Govt","CPN_TYP")</f>
        <v>FIXED</v>
      </c>
      <c r="L1576" t="str">
        <f>_xll.BDP("912827QZ Govt","ID_ISIN")</f>
        <v>US912827QZ81</v>
      </c>
      <c r="N1576">
        <v>0</v>
      </c>
      <c r="O1576" t="str">
        <f>_xll.BDP("912827QZ Govt","ISSUE_DT")</f>
        <v>7/9/1984</v>
      </c>
      <c r="P1576" t="str">
        <f>_xll.BDP("912827QZ Govt","SECURITY_NAME")</f>
        <v>T 13 3/4 07/15/91</v>
      </c>
      <c r="Q1576" t="str">
        <f>_xll.BDP("912827QZ Govt","DAY_CNT_DES")</f>
        <v>ACT/ACT</v>
      </c>
      <c r="R1576">
        <v>100</v>
      </c>
      <c r="S1576" t="str">
        <f>_xll.BDP("912827QZ Govt","ID_CUSIP")</f>
        <v>912827QZ8</v>
      </c>
      <c r="T1576" t="str">
        <f>_xll.BDP("912827QZ Govt","IDX_RATIO")</f>
        <v>#N/A Field Not Applicable</v>
      </c>
    </row>
    <row r="1577" spans="1:20" x14ac:dyDescent="0.25">
      <c r="A1577" t="s">
        <v>14</v>
      </c>
      <c r="B1577" t="str">
        <f>_xll.BDP("912827R7 Govt","TICKER")</f>
        <v>T</v>
      </c>
      <c r="C1577">
        <f>_xll.BDP("912827R7 Govt","CPN")</f>
        <v>7.375</v>
      </c>
      <c r="D1577" t="str">
        <f>_xll.BDP("912827R7 Govt","YLD_YTM_BID")</f>
        <v>#N/A N/A</v>
      </c>
      <c r="E1577" t="str">
        <f>_xll.BDP("912827R7 Govt","MATURITY")</f>
        <v>11/15/1997</v>
      </c>
      <c r="F1577" t="str">
        <f>_xll.BDP("912827R7 Govt","MTY_TYP")</f>
        <v>NORMAL</v>
      </c>
      <c r="G1577" t="str">
        <f>_xll.BDP("912827R7 Govt","CRNCY")</f>
        <v>USD</v>
      </c>
      <c r="H1577" t="str">
        <f>_xll.BDP("912827R7 Govt","COUNTRY_FULL_NAME")</f>
        <v>UNITED STATES</v>
      </c>
      <c r="I1577" t="str">
        <f>_xll.BDP("912827R7 Govt","FIRST_CPN_DT")</f>
        <v>5/15/1995</v>
      </c>
      <c r="J1577" t="str">
        <f>_xll.BDP("912827R7 Govt","COUPON_FREQUENCY_DESCRIPTION")</f>
        <v>S/A</v>
      </c>
      <c r="K1577" t="str">
        <f>_xll.BDP("912827R7 Govt","CPN_TYP")</f>
        <v>FIXED</v>
      </c>
      <c r="L1577" t="str">
        <f>_xll.BDP("912827R7 Govt","ID_ISIN")</f>
        <v>US912827R798</v>
      </c>
      <c r="M1577">
        <v>20861000000</v>
      </c>
      <c r="N1577">
        <v>0</v>
      </c>
      <c r="O1577" t="str">
        <f>_xll.BDP("912827R7 Govt","ISSUE_DT")</f>
        <v>11/15/1994</v>
      </c>
      <c r="P1577" t="str">
        <f>_xll.BDP("912827R7 Govt","SECURITY_NAME")</f>
        <v>T 7 3/8 11/15/97</v>
      </c>
      <c r="Q1577" t="str">
        <f>_xll.BDP("912827R7 Govt","DAY_CNT_DES")</f>
        <v>ACT/ACT</v>
      </c>
      <c r="R1577">
        <v>100</v>
      </c>
      <c r="S1577" t="str">
        <f>_xll.BDP("912827R7 Govt","ID_CUSIP")</f>
        <v>912827R79</v>
      </c>
      <c r="T1577" t="str">
        <f>_xll.BDP("912827R7 Govt","IDX_RATIO")</f>
        <v>#N/A Field Not Applicable</v>
      </c>
    </row>
    <row r="1578" spans="1:20" x14ac:dyDescent="0.25">
      <c r="A1578" t="s">
        <v>14</v>
      </c>
      <c r="B1578" t="str">
        <f>_xll.BDP("912827R9 Govt","TICKER")</f>
        <v>T</v>
      </c>
      <c r="C1578">
        <f>_xll.BDP("912827R9 Govt","CPN")</f>
        <v>7.25</v>
      </c>
      <c r="D1578" t="str">
        <f>_xll.BDP("912827R9 Govt","YLD_YTM_BID")</f>
        <v>#N/A N/A</v>
      </c>
      <c r="E1578" t="str">
        <f>_xll.BDP("912827R9 Govt","MATURITY")</f>
        <v>11/30/1996</v>
      </c>
      <c r="F1578" t="str">
        <f>_xll.BDP("912827R9 Govt","MTY_TYP")</f>
        <v>NORMAL</v>
      </c>
      <c r="G1578" t="str">
        <f>_xll.BDP("912827R9 Govt","CRNCY")</f>
        <v>USD</v>
      </c>
      <c r="H1578" t="str">
        <f>_xll.BDP("912827R9 Govt","COUNTRY_FULL_NAME")</f>
        <v>UNITED STATES</v>
      </c>
      <c r="I1578" t="str">
        <f>_xll.BDP("912827R9 Govt","FIRST_CPN_DT")</f>
        <v>5/31/1995</v>
      </c>
      <c r="J1578" t="str">
        <f>_xll.BDP("912827R9 Govt","COUPON_FREQUENCY_DESCRIPTION")</f>
        <v>S/A</v>
      </c>
      <c r="K1578" t="str">
        <f>_xll.BDP("912827R9 Govt","CPN_TYP")</f>
        <v>FIXED</v>
      </c>
      <c r="L1578" t="str">
        <f>_xll.BDP("912827R9 Govt","ID_ISIN")</f>
        <v>US912827R954</v>
      </c>
      <c r="N1578">
        <v>0</v>
      </c>
      <c r="O1578" t="str">
        <f>_xll.BDP("912827R9 Govt","ISSUE_DT")</f>
        <v>11/30/1994</v>
      </c>
      <c r="P1578" t="str">
        <f>_xll.BDP("912827R9 Govt","SECURITY_NAME")</f>
        <v>T 7 1/4 11/30/96</v>
      </c>
      <c r="Q1578" t="str">
        <f>_xll.BDP("912827R9 Govt","DAY_CNT_DES")</f>
        <v>ACT/ACT</v>
      </c>
      <c r="R1578">
        <v>100</v>
      </c>
      <c r="S1578" t="str">
        <f>_xll.BDP("912827R9 Govt","ID_CUSIP")</f>
        <v>912827R95</v>
      </c>
      <c r="T1578" t="str">
        <f>_xll.BDP("912827R9 Govt","IDX_RATIO")</f>
        <v>#N/A Field Not Applicable</v>
      </c>
    </row>
    <row r="1579" spans="1:20" x14ac:dyDescent="0.25">
      <c r="A1579" t="s">
        <v>14</v>
      </c>
      <c r="B1579" t="str">
        <f>_xll.BDP("912827RF Govt","TICKER")</f>
        <v>T</v>
      </c>
      <c r="C1579">
        <f>_xll.BDP("912827RF Govt","CPN")</f>
        <v>11.875</v>
      </c>
      <c r="D1579" t="str">
        <f>_xll.BDP("912827RF Govt","YLD_YTM_BID")</f>
        <v>#N/A N/A</v>
      </c>
      <c r="E1579" t="str">
        <f>_xll.BDP("912827RF Govt","MATURITY")</f>
        <v>9/30/1986</v>
      </c>
      <c r="F1579" t="str">
        <f>_xll.BDP("912827RF Govt","MTY_TYP")</f>
        <v>NORMAL</v>
      </c>
      <c r="G1579" t="str">
        <f>_xll.BDP("912827RF Govt","CRNCY")</f>
        <v>USD</v>
      </c>
      <c r="H1579" t="str">
        <f>_xll.BDP("912827RF Govt","COUNTRY_FULL_NAME")</f>
        <v>UNITED STATES</v>
      </c>
      <c r="I1579" t="str">
        <f>_xll.BDP("912827RF Govt","FIRST_CPN_DT")</f>
        <v>3/31/1985</v>
      </c>
      <c r="J1579" t="str">
        <f>_xll.BDP("912827RF Govt","COUPON_FREQUENCY_DESCRIPTION")</f>
        <v>S/A</v>
      </c>
      <c r="K1579" t="str">
        <f>_xll.BDP("912827RF Govt","CPN_TYP")</f>
        <v>FIXED</v>
      </c>
      <c r="L1579" t="str">
        <f>_xll.BDP("912827RF Govt","ID_ISIN")</f>
        <v>US912827RF19</v>
      </c>
      <c r="N1579">
        <v>0</v>
      </c>
      <c r="O1579" t="str">
        <f>_xll.BDP("912827RF Govt","ISSUE_DT")</f>
        <v>10/1/1984</v>
      </c>
      <c r="P1579" t="str">
        <f>_xll.BDP("912827RF Govt","SECURITY_NAME")</f>
        <v>T 11 7/8 09/30/86</v>
      </c>
      <c r="Q1579" t="str">
        <f>_xll.BDP("912827RF Govt","DAY_CNT_DES")</f>
        <v>ACT/ACT</v>
      </c>
      <c r="R1579">
        <v>100</v>
      </c>
      <c r="S1579" t="str">
        <f>_xll.BDP("912827RF Govt","ID_CUSIP")</f>
        <v>912827RF1</v>
      </c>
      <c r="T1579" t="str">
        <f>_xll.BDP("912827RF Govt","IDX_RATIO")</f>
        <v>#N/A Field Not Applicable</v>
      </c>
    </row>
    <row r="1580" spans="1:20" x14ac:dyDescent="0.25">
      <c r="A1580" t="s">
        <v>14</v>
      </c>
      <c r="B1580" t="str">
        <f>_xll.BDP("912827RM Govt","TICKER")</f>
        <v>T</v>
      </c>
      <c r="C1580">
        <f>_xll.BDP("912827RM Govt","CPN")</f>
        <v>11.625</v>
      </c>
      <c r="D1580" t="str">
        <f>_xll.BDP("912827RM Govt","YLD_YTM_BID")</f>
        <v>#N/A N/A</v>
      </c>
      <c r="E1580" t="str">
        <f>_xll.BDP("912827RM Govt","MATURITY")</f>
        <v>11/15/1994</v>
      </c>
      <c r="F1580" t="str">
        <f>_xll.BDP("912827RM Govt","MTY_TYP")</f>
        <v>NORMAL</v>
      </c>
      <c r="G1580" t="str">
        <f>_xll.BDP("912827RM Govt","CRNCY")</f>
        <v>USD</v>
      </c>
      <c r="H1580" t="str">
        <f>_xll.BDP("912827RM Govt","COUNTRY_FULL_NAME")</f>
        <v>UNITED STATES</v>
      </c>
      <c r="I1580" t="str">
        <f>_xll.BDP("912827RM Govt","FIRST_CPN_DT")</f>
        <v>5/15/1985</v>
      </c>
      <c r="J1580" t="str">
        <f>_xll.BDP("912827RM Govt","COUPON_FREQUENCY_DESCRIPTION")</f>
        <v>S/A</v>
      </c>
      <c r="K1580" t="str">
        <f>_xll.BDP("912827RM Govt","CPN_TYP")</f>
        <v>FIXED</v>
      </c>
      <c r="L1580" t="str">
        <f>_xll.BDP("912827RM Govt","ID_ISIN")</f>
        <v>US912827RM69</v>
      </c>
      <c r="N1580">
        <v>0</v>
      </c>
      <c r="O1580" t="str">
        <f>_xll.BDP("912827RM Govt","ISSUE_DT")</f>
        <v>11/15/1984</v>
      </c>
      <c r="P1580" t="str">
        <f>_xll.BDP("912827RM Govt","SECURITY_NAME")</f>
        <v>T 11 5/8 11/15/94</v>
      </c>
      <c r="Q1580" t="str">
        <f>_xll.BDP("912827RM Govt","DAY_CNT_DES")</f>
        <v>ACT/ACT</v>
      </c>
      <c r="R1580">
        <v>100</v>
      </c>
      <c r="S1580" t="str">
        <f>_xll.BDP("912827RM Govt","ID_CUSIP")</f>
        <v>912827RM6</v>
      </c>
      <c r="T1580" t="str">
        <f>_xll.BDP("912827RM Govt","IDX_RATIO")</f>
        <v>#N/A Field Not Applicable</v>
      </c>
    </row>
    <row r="1581" spans="1:20" x14ac:dyDescent="0.25">
      <c r="A1581" t="s">
        <v>14</v>
      </c>
      <c r="B1581" t="str">
        <f>_xll.BDP("912827RT Govt","TICKER")</f>
        <v>T</v>
      </c>
      <c r="C1581">
        <f>_xll.BDP("912827RT Govt","CPN")</f>
        <v>11.625</v>
      </c>
      <c r="D1581" t="str">
        <f>_xll.BDP("912827RT Govt","YLD_YTM_BID")</f>
        <v>#N/A N/A</v>
      </c>
      <c r="E1581" t="str">
        <f>_xll.BDP("912827RT Govt","MATURITY")</f>
        <v>1/15/1992</v>
      </c>
      <c r="F1581" t="str">
        <f>_xll.BDP("912827RT Govt","MTY_TYP")</f>
        <v>NORMAL</v>
      </c>
      <c r="G1581" t="str">
        <f>_xll.BDP("912827RT Govt","CRNCY")</f>
        <v>USD</v>
      </c>
      <c r="H1581" t="str">
        <f>_xll.BDP("912827RT Govt","COUNTRY_FULL_NAME")</f>
        <v>UNITED STATES</v>
      </c>
      <c r="I1581" t="str">
        <f>_xll.BDP("912827RT Govt","FIRST_CPN_DT")</f>
        <v>7/15/1985</v>
      </c>
      <c r="J1581" t="str">
        <f>_xll.BDP("912827RT Govt","COUPON_FREQUENCY_DESCRIPTION")</f>
        <v>S/A</v>
      </c>
      <c r="K1581" t="str">
        <f>_xll.BDP("912827RT Govt","CPN_TYP")</f>
        <v>FIXED</v>
      </c>
      <c r="L1581" t="str">
        <f>_xll.BDP("912827RT Govt","ID_ISIN")</f>
        <v>US912827RT13</v>
      </c>
      <c r="N1581">
        <v>0</v>
      </c>
      <c r="O1581" t="str">
        <f>_xll.BDP("912827RT Govt","ISSUE_DT")</f>
        <v>1/4/1985</v>
      </c>
      <c r="P1581" t="str">
        <f>_xll.BDP("912827RT Govt","SECURITY_NAME")</f>
        <v>T 11 5/8 01/15/92</v>
      </c>
      <c r="Q1581" t="str">
        <f>_xll.BDP("912827RT Govt","DAY_CNT_DES")</f>
        <v>ACT/ACT</v>
      </c>
      <c r="R1581">
        <v>100</v>
      </c>
      <c r="S1581" t="str">
        <f>_xll.BDP("912827RT Govt","ID_CUSIP")</f>
        <v>912827RT1</v>
      </c>
      <c r="T1581" t="str">
        <f>_xll.BDP("912827RT Govt","IDX_RATIO")</f>
        <v>#N/A Field Not Applicable</v>
      </c>
    </row>
    <row r="1582" spans="1:20" x14ac:dyDescent="0.25">
      <c r="A1582" t="s">
        <v>14</v>
      </c>
      <c r="B1582" t="str">
        <f>_xll.BDP("912827RV Govt","TICKER")</f>
        <v>T</v>
      </c>
      <c r="C1582">
        <f>_xll.BDP("912827RV Govt","CPN")</f>
        <v>10.375</v>
      </c>
      <c r="D1582" t="str">
        <f>_xll.BDP("912827RV Govt","YLD_YTM_BID")</f>
        <v>#N/A N/A</v>
      </c>
      <c r="E1582" t="str">
        <f>_xll.BDP("912827RV Govt","MATURITY")</f>
        <v>2/15/1988</v>
      </c>
      <c r="F1582" t="str">
        <f>_xll.BDP("912827RV Govt","MTY_TYP")</f>
        <v>NORMAL</v>
      </c>
      <c r="G1582" t="str">
        <f>_xll.BDP("912827RV Govt","CRNCY")</f>
        <v>USD</v>
      </c>
      <c r="H1582" t="str">
        <f>_xll.BDP("912827RV Govt","COUNTRY_FULL_NAME")</f>
        <v>UNITED STATES</v>
      </c>
      <c r="I1582" t="str">
        <f>_xll.BDP("912827RV Govt","FIRST_CPN_DT")</f>
        <v>8/15/1985</v>
      </c>
      <c r="J1582" t="str">
        <f>_xll.BDP("912827RV Govt","COUPON_FREQUENCY_DESCRIPTION")</f>
        <v>S/A</v>
      </c>
      <c r="K1582" t="str">
        <f>_xll.BDP("912827RV Govt","CPN_TYP")</f>
        <v>FIXED</v>
      </c>
      <c r="L1582" t="str">
        <f>_xll.BDP("912827RV Govt","ID_ISIN")</f>
        <v>US912827RV68</v>
      </c>
      <c r="N1582">
        <v>0</v>
      </c>
      <c r="O1582" t="str">
        <f>_xll.BDP("912827RV Govt","ISSUE_DT")</f>
        <v>2/15/1985</v>
      </c>
      <c r="P1582" t="str">
        <f>_xll.BDP("912827RV Govt","SECURITY_NAME")</f>
        <v>T 10 3/8 02/15/88</v>
      </c>
      <c r="Q1582" t="str">
        <f>_xll.BDP("912827RV Govt","DAY_CNT_DES")</f>
        <v>ACT/ACT</v>
      </c>
      <c r="R1582">
        <v>100</v>
      </c>
      <c r="S1582" t="str">
        <f>_xll.BDP("912827RV Govt","ID_CUSIP")</f>
        <v>912827RV6</v>
      </c>
      <c r="T1582" t="str">
        <f>_xll.BDP("912827RV Govt","IDX_RATIO")</f>
        <v>#N/A Field Not Applicable</v>
      </c>
    </row>
    <row r="1583" spans="1:20" x14ac:dyDescent="0.25">
      <c r="A1583" t="s">
        <v>14</v>
      </c>
      <c r="B1583" t="str">
        <f>_xll.BDP("912827RY Govt","TICKER")</f>
        <v>T</v>
      </c>
      <c r="C1583">
        <f>_xll.BDP("912827RY Govt","CPN")</f>
        <v>11.375</v>
      </c>
      <c r="D1583" t="str">
        <f>_xll.BDP("912827RY Govt","YLD_YTM_BID")</f>
        <v>#N/A N/A</v>
      </c>
      <c r="E1583" t="str">
        <f>_xll.BDP("912827RY Govt","MATURITY")</f>
        <v>5/15/1990</v>
      </c>
      <c r="F1583" t="str">
        <f>_xll.BDP("912827RY Govt","MTY_TYP")</f>
        <v>NORMAL</v>
      </c>
      <c r="G1583" t="str">
        <f>_xll.BDP("912827RY Govt","CRNCY")</f>
        <v>USD</v>
      </c>
      <c r="H1583" t="str">
        <f>_xll.BDP("912827RY Govt","COUNTRY_FULL_NAME")</f>
        <v>UNITED STATES</v>
      </c>
      <c r="I1583" t="str">
        <f>_xll.BDP("912827RY Govt","FIRST_CPN_DT")</f>
        <v>11/15/1985</v>
      </c>
      <c r="J1583" t="str">
        <f>_xll.BDP("912827RY Govt","COUPON_FREQUENCY_DESCRIPTION")</f>
        <v>S/A</v>
      </c>
      <c r="K1583" t="str">
        <f>_xll.BDP("912827RY Govt","CPN_TYP")</f>
        <v>FIXED</v>
      </c>
      <c r="L1583" t="str">
        <f>_xll.BDP("912827RY Govt","ID_ISIN")</f>
        <v>US912827RY08</v>
      </c>
      <c r="N1583">
        <v>0</v>
      </c>
      <c r="O1583" t="str">
        <f>_xll.BDP("912827RY Govt","ISSUE_DT")</f>
        <v>3/1/1985</v>
      </c>
      <c r="P1583" t="str">
        <f>_xll.BDP("912827RY Govt","SECURITY_NAME")</f>
        <v>T 11 3/8 05/15/90</v>
      </c>
      <c r="Q1583" t="str">
        <f>_xll.BDP("912827RY Govt","DAY_CNT_DES")</f>
        <v>ACT/ACT</v>
      </c>
      <c r="R1583">
        <v>100</v>
      </c>
      <c r="S1583" t="str">
        <f>_xll.BDP("912827RY Govt","ID_CUSIP")</f>
        <v>912827RY0</v>
      </c>
      <c r="T1583" t="str">
        <f>_xll.BDP("912827RY Govt","IDX_RATIO")</f>
        <v>#N/A Field Not Applicable</v>
      </c>
    </row>
    <row r="1584" spans="1:20" x14ac:dyDescent="0.25">
      <c r="A1584" t="s">
        <v>14</v>
      </c>
      <c r="B1584" t="str">
        <f>_xll.BDP("912827RZ Govt","TICKER")</f>
        <v>T</v>
      </c>
      <c r="C1584">
        <f>_xll.BDP("912827RZ Govt","CPN")</f>
        <v>10.75</v>
      </c>
      <c r="D1584" t="str">
        <f>_xll.BDP("912827RZ Govt","YLD_YTM_BID")</f>
        <v>#N/A N/A</v>
      </c>
      <c r="E1584" t="str">
        <f>_xll.BDP("912827RZ Govt","MATURITY")</f>
        <v>3/31/1987</v>
      </c>
      <c r="F1584" t="str">
        <f>_xll.BDP("912827RZ Govt","MTY_TYP")</f>
        <v>NORMAL</v>
      </c>
      <c r="G1584" t="str">
        <f>_xll.BDP("912827RZ Govt","CRNCY")</f>
        <v>USD</v>
      </c>
      <c r="H1584" t="str">
        <f>_xll.BDP("912827RZ Govt","COUNTRY_FULL_NAME")</f>
        <v>UNITED STATES</v>
      </c>
      <c r="I1584" t="str">
        <f>_xll.BDP("912827RZ Govt","FIRST_CPN_DT")</f>
        <v>9/30/1985</v>
      </c>
      <c r="J1584" t="str">
        <f>_xll.BDP("912827RZ Govt","COUPON_FREQUENCY_DESCRIPTION")</f>
        <v>S/A</v>
      </c>
      <c r="K1584" t="str">
        <f>_xll.BDP("912827RZ Govt","CPN_TYP")</f>
        <v>FIXED</v>
      </c>
      <c r="L1584" t="str">
        <f>_xll.BDP("912827RZ Govt","ID_ISIN")</f>
        <v>US912827RZ72</v>
      </c>
      <c r="N1584">
        <v>0</v>
      </c>
      <c r="O1584" t="str">
        <f>_xll.BDP("912827RZ Govt","ISSUE_DT")</f>
        <v>4/1/1985</v>
      </c>
      <c r="P1584" t="str">
        <f>_xll.BDP("912827RZ Govt","SECURITY_NAME")</f>
        <v>T 10 3/4 03/31/87</v>
      </c>
      <c r="Q1584" t="str">
        <f>_xll.BDP("912827RZ Govt","DAY_CNT_DES")</f>
        <v>ACT/ACT</v>
      </c>
      <c r="R1584">
        <v>100</v>
      </c>
      <c r="S1584" t="str">
        <f>_xll.BDP("912827RZ Govt","ID_CUSIP")</f>
        <v>912827RZ7</v>
      </c>
      <c r="T1584" t="str">
        <f>_xll.BDP("912827RZ Govt","IDX_RATIO")</f>
        <v>#N/A Field Not Applicable</v>
      </c>
    </row>
    <row r="1585" spans="1:20" x14ac:dyDescent="0.25">
      <c r="A1585" t="s">
        <v>14</v>
      </c>
      <c r="B1585" t="str">
        <f>_xll.BDP("912827S3 Govt","TICKER")</f>
        <v>T</v>
      </c>
      <c r="C1585">
        <f>_xll.BDP("912827S3 Govt","CPN")</f>
        <v>7.5</v>
      </c>
      <c r="D1585" t="str">
        <f>_xll.BDP("912827S3 Govt","YLD_YTM_BID")</f>
        <v>#N/A N/A</v>
      </c>
      <c r="E1585" t="str">
        <f>_xll.BDP("912827S3 Govt","MATURITY")</f>
        <v>12/31/1996</v>
      </c>
      <c r="F1585" t="str">
        <f>_xll.BDP("912827S3 Govt","MTY_TYP")</f>
        <v>NORMAL</v>
      </c>
      <c r="G1585" t="str">
        <f>_xll.BDP("912827S3 Govt","CRNCY")</f>
        <v>USD</v>
      </c>
      <c r="H1585" t="str">
        <f>_xll.BDP("912827S3 Govt","COUNTRY_FULL_NAME")</f>
        <v>UNITED STATES</v>
      </c>
      <c r="I1585" t="str">
        <f>_xll.BDP("912827S3 Govt","FIRST_CPN_DT")</f>
        <v>6/30/1995</v>
      </c>
      <c r="J1585" t="str">
        <f>_xll.BDP("912827S3 Govt","COUPON_FREQUENCY_DESCRIPTION")</f>
        <v>S/A</v>
      </c>
      <c r="K1585" t="str">
        <f>_xll.BDP("912827S3 Govt","CPN_TYP")</f>
        <v>FIXED</v>
      </c>
      <c r="L1585" t="str">
        <f>_xll.BDP("912827S3 Govt","ID_ISIN")</f>
        <v>US912827S374</v>
      </c>
      <c r="N1585">
        <v>0</v>
      </c>
      <c r="O1585" t="str">
        <f>_xll.BDP("912827S3 Govt","ISSUE_DT")</f>
        <v>1/3/1995</v>
      </c>
      <c r="P1585" t="str">
        <f>_xll.BDP("912827S3 Govt","SECURITY_NAME")</f>
        <v>T 7 1/2 12/31/96</v>
      </c>
      <c r="Q1585" t="str">
        <f>_xll.BDP("912827S3 Govt","DAY_CNT_DES")</f>
        <v>ACT/ACT</v>
      </c>
      <c r="R1585">
        <v>100</v>
      </c>
      <c r="S1585" t="str">
        <f>_xll.BDP("912827S3 Govt","ID_CUSIP")</f>
        <v>912827S37</v>
      </c>
      <c r="T1585" t="str">
        <f>_xll.BDP("912827S3 Govt","IDX_RATIO")</f>
        <v>#N/A Field Not Applicable</v>
      </c>
    </row>
    <row r="1586" spans="1:20" x14ac:dyDescent="0.25">
      <c r="A1586" t="s">
        <v>14</v>
      </c>
      <c r="B1586" t="str">
        <f>_xll.BDP("912827S8 Govt","TICKER")</f>
        <v>T</v>
      </c>
      <c r="C1586">
        <f>_xll.BDP("912827S8 Govt","CPN")</f>
        <v>7.5</v>
      </c>
      <c r="D1586" t="str">
        <f>_xll.BDP("912827S8 Govt","YLD_YTM_BID")</f>
        <v>#N/A N/A</v>
      </c>
      <c r="E1586" t="str">
        <f>_xll.BDP("912827S8 Govt","MATURITY")</f>
        <v>2/15/2005</v>
      </c>
      <c r="F1586" t="str">
        <f>_xll.BDP("912827S8 Govt","MTY_TYP")</f>
        <v>NORMAL</v>
      </c>
      <c r="G1586" t="str">
        <f>_xll.BDP("912827S8 Govt","CRNCY")</f>
        <v>USD</v>
      </c>
      <c r="H1586" t="str">
        <f>_xll.BDP("912827S8 Govt","COUNTRY_FULL_NAME")</f>
        <v>UNITED STATES</v>
      </c>
      <c r="I1586" t="str">
        <f>_xll.BDP("912827S8 Govt","FIRST_CPN_DT")</f>
        <v>8/15/1995</v>
      </c>
      <c r="J1586" t="str">
        <f>_xll.BDP("912827S8 Govt","COUPON_FREQUENCY_DESCRIPTION")</f>
        <v>S/A</v>
      </c>
      <c r="K1586" t="str">
        <f>_xll.BDP("912827S8 Govt","CPN_TYP")</f>
        <v>FIXED</v>
      </c>
      <c r="L1586" t="str">
        <f>_xll.BDP("912827S8 Govt","ID_ISIN")</f>
        <v>US912827S861</v>
      </c>
      <c r="M1586">
        <v>13835000000</v>
      </c>
      <c r="N1586">
        <v>0</v>
      </c>
      <c r="O1586" t="str">
        <f>_xll.BDP("912827S8 Govt","ISSUE_DT")</f>
        <v>2/15/1995</v>
      </c>
      <c r="P1586" t="str">
        <f>_xll.BDP("912827S8 Govt","SECURITY_NAME")</f>
        <v>T 7 1/2 02/15/05</v>
      </c>
      <c r="Q1586" t="str">
        <f>_xll.BDP("912827S8 Govt","DAY_CNT_DES")</f>
        <v>ACT/ACT</v>
      </c>
      <c r="R1586">
        <v>100</v>
      </c>
      <c r="S1586" t="str">
        <f>_xll.BDP("912827S8 Govt","ID_CUSIP")</f>
        <v>912827S86</v>
      </c>
      <c r="T1586" t="str">
        <f>_xll.BDP("912827S8 Govt","IDX_RATIO")</f>
        <v>#N/A Field Not Applicable</v>
      </c>
    </row>
    <row r="1587" spans="1:20" x14ac:dyDescent="0.25">
      <c r="A1587" t="s">
        <v>14</v>
      </c>
      <c r="B1587" t="str">
        <f>_xll.BDP("912827SA Govt","TICKER")</f>
        <v>T</v>
      </c>
      <c r="C1587">
        <f>_xll.BDP("912827SA Govt","CPN")</f>
        <v>11.25</v>
      </c>
      <c r="D1587" t="str">
        <f>_xll.BDP("912827SA Govt","YLD_YTM_BID")</f>
        <v>#N/A N/A</v>
      </c>
      <c r="E1587" t="str">
        <f>_xll.BDP("912827SA Govt","MATURITY")</f>
        <v>3/31/1989</v>
      </c>
      <c r="F1587" t="str">
        <f>_xll.BDP("912827SA Govt","MTY_TYP")</f>
        <v>NORMAL</v>
      </c>
      <c r="G1587" t="str">
        <f>_xll.BDP("912827SA Govt","CRNCY")</f>
        <v>USD</v>
      </c>
      <c r="H1587" t="str">
        <f>_xll.BDP("912827SA Govt","COUNTRY_FULL_NAME")</f>
        <v>UNITED STATES</v>
      </c>
      <c r="I1587" t="str">
        <f>_xll.BDP("912827SA Govt","FIRST_CPN_DT")</f>
        <v>9/30/1985</v>
      </c>
      <c r="J1587" t="str">
        <f>_xll.BDP("912827SA Govt","COUPON_FREQUENCY_DESCRIPTION")</f>
        <v>S/A</v>
      </c>
      <c r="K1587" t="str">
        <f>_xll.BDP("912827SA Govt","CPN_TYP")</f>
        <v>FIXED</v>
      </c>
      <c r="L1587" t="str">
        <f>_xll.BDP("912827SA Govt","ID_ISIN")</f>
        <v>US912827SA13</v>
      </c>
      <c r="N1587">
        <v>0</v>
      </c>
      <c r="O1587" t="str">
        <f>_xll.BDP("912827SA Govt","ISSUE_DT")</f>
        <v>4/1/1985</v>
      </c>
      <c r="P1587" t="str">
        <f>_xll.BDP("912827SA Govt","SECURITY_NAME")</f>
        <v>T 11 1/4 03/31/89</v>
      </c>
      <c r="Q1587" t="str">
        <f>_xll.BDP("912827SA Govt","DAY_CNT_DES")</f>
        <v>ACT/ACT</v>
      </c>
      <c r="R1587">
        <v>100</v>
      </c>
      <c r="S1587" t="str">
        <f>_xll.BDP("912827SA Govt","ID_CUSIP")</f>
        <v>912827SA1</v>
      </c>
      <c r="T1587" t="str">
        <f>_xll.BDP("912827SA Govt","IDX_RATIO")</f>
        <v>#N/A Field Not Applicable</v>
      </c>
    </row>
    <row r="1588" spans="1:20" x14ac:dyDescent="0.25">
      <c r="A1588" t="s">
        <v>14</v>
      </c>
      <c r="B1588" t="str">
        <f>_xll.BDP("912827SG Govt","TICKER")</f>
        <v>T</v>
      </c>
      <c r="C1588">
        <f>_xll.BDP("912827SG Govt","CPN")</f>
        <v>9.875</v>
      </c>
      <c r="D1588" t="str">
        <f>_xll.BDP("912827SG Govt","YLD_YTM_BID")</f>
        <v>#N/A N/A</v>
      </c>
      <c r="E1588" t="str">
        <f>_xll.BDP("912827SG Govt","MATURITY")</f>
        <v>8/15/1990</v>
      </c>
      <c r="F1588" t="str">
        <f>_xll.BDP("912827SG Govt","MTY_TYP")</f>
        <v>NORMAL</v>
      </c>
      <c r="G1588" t="str">
        <f>_xll.BDP("912827SG Govt","CRNCY")</f>
        <v>USD</v>
      </c>
      <c r="H1588" t="str">
        <f>_xll.BDP("912827SG Govt","COUNTRY_FULL_NAME")</f>
        <v>UNITED STATES</v>
      </c>
      <c r="I1588" t="str">
        <f>_xll.BDP("912827SG Govt","FIRST_CPN_DT")</f>
        <v>2/15/1986</v>
      </c>
      <c r="J1588" t="str">
        <f>_xll.BDP("912827SG Govt","COUPON_FREQUENCY_DESCRIPTION")</f>
        <v>S/A</v>
      </c>
      <c r="K1588" t="str">
        <f>_xll.BDP("912827SG Govt","CPN_TYP")</f>
        <v>FIXED</v>
      </c>
      <c r="L1588" t="str">
        <f>_xll.BDP("912827SG Govt","ID_ISIN")</f>
        <v>US912827SG82</v>
      </c>
      <c r="N1588">
        <v>0</v>
      </c>
      <c r="O1588" t="str">
        <f>_xll.BDP("912827SG Govt","ISSUE_DT")</f>
        <v>6/4/1985</v>
      </c>
      <c r="P1588" t="str">
        <f>_xll.BDP("912827SG Govt","SECURITY_NAME")</f>
        <v>T 9 7/8 08/15/90</v>
      </c>
      <c r="Q1588" t="str">
        <f>_xll.BDP("912827SG Govt","DAY_CNT_DES")</f>
        <v>ACT/ACT</v>
      </c>
      <c r="R1588">
        <v>100</v>
      </c>
      <c r="S1588" t="str">
        <f>_xll.BDP("912827SG Govt","ID_CUSIP")</f>
        <v>912827SG8</v>
      </c>
      <c r="T1588" t="str">
        <f>_xll.BDP("912827SG Govt","IDX_RATIO")</f>
        <v>#N/A Field Not Applicable</v>
      </c>
    </row>
    <row r="1589" spans="1:20" x14ac:dyDescent="0.25">
      <c r="A1589" t="s">
        <v>14</v>
      </c>
      <c r="B1589" t="str">
        <f>_xll.BDP("912827SK Govt","TICKER")</f>
        <v>T</v>
      </c>
      <c r="C1589">
        <f>_xll.BDP("912827SK Govt","CPN")</f>
        <v>9.625</v>
      </c>
      <c r="D1589" t="str">
        <f>_xll.BDP("912827SK Govt","YLD_YTM_BID")</f>
        <v>#N/A N/A</v>
      </c>
      <c r="E1589" t="str">
        <f>_xll.BDP("912827SK Govt","MATURITY")</f>
        <v>6/30/1989</v>
      </c>
      <c r="F1589" t="str">
        <f>_xll.BDP("912827SK Govt","MTY_TYP")</f>
        <v>NORMAL</v>
      </c>
      <c r="G1589" t="str">
        <f>_xll.BDP("912827SK Govt","CRNCY")</f>
        <v>USD</v>
      </c>
      <c r="H1589" t="str">
        <f>_xll.BDP("912827SK Govt","COUNTRY_FULL_NAME")</f>
        <v>UNITED STATES</v>
      </c>
      <c r="I1589" t="str">
        <f>_xll.BDP("912827SK Govt","FIRST_CPN_DT")</f>
        <v>12/31/1985</v>
      </c>
      <c r="J1589" t="str">
        <f>_xll.BDP("912827SK Govt","COUPON_FREQUENCY_DESCRIPTION")</f>
        <v>S/A</v>
      </c>
      <c r="K1589" t="str">
        <f>_xll.BDP("912827SK Govt","CPN_TYP")</f>
        <v>FIXED</v>
      </c>
      <c r="L1589" t="str">
        <f>_xll.BDP("912827SK Govt","ID_ISIN")</f>
        <v>US912827SK94</v>
      </c>
      <c r="N1589">
        <v>0</v>
      </c>
      <c r="O1589" t="str">
        <f>_xll.BDP("912827SK Govt","ISSUE_DT")</f>
        <v>7/1/1985</v>
      </c>
      <c r="P1589" t="str">
        <f>_xll.BDP("912827SK Govt","SECURITY_NAME")</f>
        <v>T 9 5/8 06/30/89</v>
      </c>
      <c r="Q1589" t="str">
        <f>_xll.BDP("912827SK Govt","DAY_CNT_DES")</f>
        <v>ACT/ACT</v>
      </c>
      <c r="R1589">
        <v>100</v>
      </c>
      <c r="S1589" t="str">
        <f>_xll.BDP("912827SK Govt","ID_CUSIP")</f>
        <v>912827SK9</v>
      </c>
      <c r="T1589" t="str">
        <f>_xll.BDP("912827SK Govt","IDX_RATIO")</f>
        <v>#N/A Field Not Applicable</v>
      </c>
    </row>
    <row r="1590" spans="1:20" x14ac:dyDescent="0.25">
      <c r="A1590" t="s">
        <v>14</v>
      </c>
      <c r="B1590" t="str">
        <f>_xll.BDP("912827UY Govt","TICKER")</f>
        <v>T</v>
      </c>
      <c r="C1590">
        <f>_xll.BDP("912827UY Govt","CPN")</f>
        <v>8.25</v>
      </c>
      <c r="D1590" t="str">
        <f>_xll.BDP("912827UY Govt","YLD_YTM_BID")</f>
        <v>#N/A N/A</v>
      </c>
      <c r="E1590" t="str">
        <f>_xll.BDP("912827UY Govt","MATURITY")</f>
        <v>8/15/1992</v>
      </c>
      <c r="F1590" t="str">
        <f>_xll.BDP("912827UY Govt","MTY_TYP")</f>
        <v>NORMAL</v>
      </c>
      <c r="G1590" t="str">
        <f>_xll.BDP("912827UY Govt","CRNCY")</f>
        <v>USD</v>
      </c>
      <c r="H1590" t="str">
        <f>_xll.BDP("912827UY Govt","COUNTRY_FULL_NAME")</f>
        <v>UNITED STATES</v>
      </c>
      <c r="I1590" t="str">
        <f>_xll.BDP("912827UY Govt","FIRST_CPN_DT")</f>
        <v>2/15/1988</v>
      </c>
      <c r="J1590" t="str">
        <f>_xll.BDP("912827UY Govt","COUPON_FREQUENCY_DESCRIPTION")</f>
        <v>S/A</v>
      </c>
      <c r="K1590" t="str">
        <f>_xll.BDP("912827UY Govt","CPN_TYP")</f>
        <v>FIXED</v>
      </c>
      <c r="L1590" t="str">
        <f>_xll.BDP("912827UY Govt","ID_ISIN")</f>
        <v>US912827UY60</v>
      </c>
      <c r="N1590">
        <v>0</v>
      </c>
      <c r="O1590" t="str">
        <f>_xll.BDP("912827UY Govt","ISSUE_DT")</f>
        <v>6/3/1987</v>
      </c>
      <c r="P1590" t="str">
        <f>_xll.BDP("912827UY Govt","SECURITY_NAME")</f>
        <v>T 8 1/4 08/15/92</v>
      </c>
      <c r="Q1590" t="str">
        <f>_xll.BDP("912827UY Govt","DAY_CNT_DES")</f>
        <v>ACT/ACT</v>
      </c>
      <c r="R1590">
        <v>100</v>
      </c>
      <c r="S1590" t="str">
        <f>_xll.BDP("912827UY Govt","ID_CUSIP")</f>
        <v>912827UY6</v>
      </c>
      <c r="T1590" t="str">
        <f>_xll.BDP("912827UY Govt","IDX_RATIO")</f>
        <v>#N/A Field Not Applicable</v>
      </c>
    </row>
    <row r="1591" spans="1:20" x14ac:dyDescent="0.25">
      <c r="A1591" t="s">
        <v>14</v>
      </c>
      <c r="B1591" t="str">
        <f>_xll.BDP("912827V3 Govt","TICKER")</f>
        <v>T</v>
      </c>
      <c r="C1591">
        <f>_xll.BDP("912827V3 Govt","CPN")</f>
        <v>5.75</v>
      </c>
      <c r="D1591" t="str">
        <f>_xll.BDP("912827V3 Govt","YLD_YTM_BID")</f>
        <v>#N/A N/A</v>
      </c>
      <c r="E1591" t="str">
        <f>_xll.BDP("912827V3 Govt","MATURITY")</f>
        <v>9/30/1997</v>
      </c>
      <c r="F1591" t="str">
        <f>_xll.BDP("912827V3 Govt","MTY_TYP")</f>
        <v>NORMAL</v>
      </c>
      <c r="G1591" t="str">
        <f>_xll.BDP("912827V3 Govt","CRNCY")</f>
        <v>USD</v>
      </c>
      <c r="H1591" t="str">
        <f>_xll.BDP("912827V3 Govt","COUNTRY_FULL_NAME")</f>
        <v>UNITED STATES</v>
      </c>
      <c r="I1591" t="str">
        <f>_xll.BDP("912827V3 Govt","FIRST_CPN_DT")</f>
        <v>3/31/1996</v>
      </c>
      <c r="J1591" t="str">
        <f>_xll.BDP("912827V3 Govt","COUPON_FREQUENCY_DESCRIPTION")</f>
        <v>S/A</v>
      </c>
      <c r="K1591" t="str">
        <f>_xll.BDP("912827V3 Govt","CPN_TYP")</f>
        <v>FIXED</v>
      </c>
      <c r="L1591" t="str">
        <f>_xll.BDP("912827V3 Govt","ID_ISIN")</f>
        <v>US912827V337</v>
      </c>
      <c r="M1591">
        <v>19117000000</v>
      </c>
      <c r="N1591">
        <v>0</v>
      </c>
      <c r="O1591" t="str">
        <f>_xll.BDP("912827V3 Govt","ISSUE_DT")</f>
        <v>10/2/1995</v>
      </c>
      <c r="P1591" t="str">
        <f>_xll.BDP("912827V3 Govt","SECURITY_NAME")</f>
        <v>T 5 3/4 09/30/97</v>
      </c>
      <c r="Q1591" t="str">
        <f>_xll.BDP("912827V3 Govt","DAY_CNT_DES")</f>
        <v>ACT/ACT</v>
      </c>
      <c r="R1591">
        <v>100</v>
      </c>
      <c r="S1591" t="str">
        <f>_xll.BDP("912827V3 Govt","ID_CUSIP")</f>
        <v>912827V33</v>
      </c>
      <c r="T1591" t="str">
        <f>_xll.BDP("912827V3 Govt","IDX_RATIO")</f>
        <v>#N/A Field Not Applicable</v>
      </c>
    </row>
    <row r="1592" spans="1:20" x14ac:dyDescent="0.25">
      <c r="A1592" t="s">
        <v>14</v>
      </c>
      <c r="B1592" t="str">
        <f>_xll.BDP("912827WW Govt","TICKER")</f>
        <v>T</v>
      </c>
      <c r="C1592">
        <f>_xll.BDP("912827WW Govt","CPN")</f>
        <v>8.875</v>
      </c>
      <c r="D1592" t="str">
        <f>_xll.BDP("912827WW Govt","YLD_YTM_BID")</f>
        <v>#N/A N/A</v>
      </c>
      <c r="E1592" t="str">
        <f>_xll.BDP("912827WW Govt","MATURITY")</f>
        <v>11/15/1998</v>
      </c>
      <c r="F1592" t="str">
        <f>_xll.BDP("912827WW Govt","MTY_TYP")</f>
        <v>NORMAL</v>
      </c>
      <c r="G1592" t="str">
        <f>_xll.BDP("912827WW Govt","CRNCY")</f>
        <v>USD</v>
      </c>
      <c r="H1592" t="str">
        <f>_xll.BDP("912827WW Govt","COUNTRY_FULL_NAME")</f>
        <v>UNITED STATES</v>
      </c>
      <c r="I1592" t="str">
        <f>_xll.BDP("912827WW Govt","FIRST_CPN_DT")</f>
        <v>5/15/1989</v>
      </c>
      <c r="J1592" t="str">
        <f>_xll.BDP("912827WW Govt","COUPON_FREQUENCY_DESCRIPTION")</f>
        <v>S/A</v>
      </c>
      <c r="K1592" t="str">
        <f>_xll.BDP("912827WW Govt","CPN_TYP")</f>
        <v>FIXED</v>
      </c>
      <c r="L1592" t="str">
        <f>_xll.BDP("912827WW Govt","ID_ISIN")</f>
        <v>US912827WW86</v>
      </c>
      <c r="M1592">
        <v>9903000000</v>
      </c>
      <c r="N1592">
        <v>0</v>
      </c>
      <c r="O1592" t="str">
        <f>_xll.BDP("912827WW Govt","ISSUE_DT")</f>
        <v>11/15/1988</v>
      </c>
      <c r="P1592" t="str">
        <f>_xll.BDP("912827WW Govt","SECURITY_NAME")</f>
        <v>T 8 7/8 11/15/98</v>
      </c>
      <c r="Q1592" t="str">
        <f>_xll.BDP("912827WW Govt","DAY_CNT_DES")</f>
        <v>ACT/ACT</v>
      </c>
      <c r="R1592">
        <v>100</v>
      </c>
      <c r="S1592" t="str">
        <f>_xll.BDP("912827WW Govt","ID_CUSIP")</f>
        <v>912827WW8</v>
      </c>
      <c r="T1592" t="str">
        <f>_xll.BDP("912827WW Govt","IDX_RATIO")</f>
        <v>#N/A Field Not Applicable</v>
      </c>
    </row>
    <row r="1593" spans="1:20" x14ac:dyDescent="0.25">
      <c r="A1593" t="s">
        <v>14</v>
      </c>
      <c r="B1593" t="str">
        <f>_xll.BDP("912827WX Govt","TICKER")</f>
        <v>T</v>
      </c>
      <c r="C1593">
        <f>_xll.BDP("912827WX Govt","CPN")</f>
        <v>8.875</v>
      </c>
      <c r="D1593" t="str">
        <f>_xll.BDP("912827WX Govt","YLD_YTM_BID")</f>
        <v>#N/A N/A</v>
      </c>
      <c r="E1593" t="str">
        <f>_xll.BDP("912827WX Govt","MATURITY")</f>
        <v>11/30/1990</v>
      </c>
      <c r="F1593" t="str">
        <f>_xll.BDP("912827WX Govt","MTY_TYP")</f>
        <v>NORMAL</v>
      </c>
      <c r="G1593" t="str">
        <f>_xll.BDP("912827WX Govt","CRNCY")</f>
        <v>USD</v>
      </c>
      <c r="H1593" t="str">
        <f>_xll.BDP("912827WX Govt","COUNTRY_FULL_NAME")</f>
        <v>UNITED STATES</v>
      </c>
      <c r="I1593" t="str">
        <f>_xll.BDP("912827WX Govt","FIRST_CPN_DT")</f>
        <v>5/31/1989</v>
      </c>
      <c r="J1593" t="str">
        <f>_xll.BDP("912827WX Govt","COUPON_FREQUENCY_DESCRIPTION")</f>
        <v>S/A</v>
      </c>
      <c r="K1593" t="str">
        <f>_xll.BDP("912827WX Govt","CPN_TYP")</f>
        <v>FIXED</v>
      </c>
      <c r="L1593" t="str">
        <f>_xll.BDP("912827WX Govt","ID_ISIN")</f>
        <v>US912827WX69</v>
      </c>
      <c r="N1593">
        <v>0</v>
      </c>
      <c r="O1593" t="str">
        <f>_xll.BDP("912827WX Govt","ISSUE_DT")</f>
        <v>11/30/1988</v>
      </c>
      <c r="P1593" t="str">
        <f>_xll.BDP("912827WX Govt","SECURITY_NAME")</f>
        <v>T 8 7/8 11/30/90</v>
      </c>
      <c r="Q1593" t="str">
        <f>_xll.BDP("912827WX Govt","DAY_CNT_DES")</f>
        <v>ACT/ACT</v>
      </c>
      <c r="R1593">
        <v>100</v>
      </c>
      <c r="S1593" t="str">
        <f>_xll.BDP("912827WX Govt","ID_CUSIP")</f>
        <v>912827WX6</v>
      </c>
      <c r="T1593" t="str">
        <f>_xll.BDP("912827WX Govt","IDX_RATIO")</f>
        <v>#N/A Field Not Applicable</v>
      </c>
    </row>
    <row r="1594" spans="1:20" x14ac:dyDescent="0.25">
      <c r="A1594" t="s">
        <v>14</v>
      </c>
      <c r="B1594" t="str">
        <f>_xll.BDP("912827XA Govt","TICKER")</f>
        <v>T</v>
      </c>
      <c r="C1594">
        <f>_xll.BDP("912827XA Govt","CPN")</f>
        <v>9.125</v>
      </c>
      <c r="D1594" t="str">
        <f>_xll.BDP("912827XA Govt","YLD_YTM_BID")</f>
        <v>#N/A N/A</v>
      </c>
      <c r="E1594" t="str">
        <f>_xll.BDP("912827XA Govt","MATURITY")</f>
        <v>12/31/1992</v>
      </c>
      <c r="F1594" t="str">
        <f>_xll.BDP("912827XA Govt","MTY_TYP")</f>
        <v>NORMAL</v>
      </c>
      <c r="G1594" t="str">
        <f>_xll.BDP("912827XA Govt","CRNCY")</f>
        <v>USD</v>
      </c>
      <c r="H1594" t="str">
        <f>_xll.BDP("912827XA Govt","COUNTRY_FULL_NAME")</f>
        <v>UNITED STATES</v>
      </c>
      <c r="I1594" t="str">
        <f>_xll.BDP("912827XA Govt","FIRST_CPN_DT")</f>
        <v>6/30/1989</v>
      </c>
      <c r="J1594" t="str">
        <f>_xll.BDP("912827XA Govt","COUPON_FREQUENCY_DESCRIPTION")</f>
        <v>S/A</v>
      </c>
      <c r="K1594" t="str">
        <f>_xll.BDP("912827XA Govt","CPN_TYP")</f>
        <v>FIXED</v>
      </c>
      <c r="L1594" t="str">
        <f>_xll.BDP("912827XA Govt","ID_ISIN")</f>
        <v>US912827XA57</v>
      </c>
      <c r="N1594">
        <v>0</v>
      </c>
      <c r="O1594" t="str">
        <f>_xll.BDP("912827XA Govt","ISSUE_DT")</f>
        <v>1/3/1989</v>
      </c>
      <c r="P1594" t="str">
        <f>_xll.BDP("912827XA Govt","SECURITY_NAME")</f>
        <v>T 9 1/8 12/31/92</v>
      </c>
      <c r="Q1594" t="str">
        <f>_xll.BDP("912827XA Govt","DAY_CNT_DES")</f>
        <v>ACT/ACT</v>
      </c>
      <c r="R1594">
        <v>100</v>
      </c>
      <c r="S1594" t="str">
        <f>_xll.BDP("912827XA Govt","ID_CUSIP")</f>
        <v>912827XA5</v>
      </c>
      <c r="T1594" t="str">
        <f>_xll.BDP("912827XA Govt","IDX_RATIO")</f>
        <v>#N/A Field Not Applicable</v>
      </c>
    </row>
    <row r="1595" spans="1:20" x14ac:dyDescent="0.25">
      <c r="A1595" t="s">
        <v>14</v>
      </c>
      <c r="B1595" t="str">
        <f>_xll.BDP("912827XB Govt","TICKER")</f>
        <v>T</v>
      </c>
      <c r="C1595">
        <f>_xll.BDP("912827XB Govt","CPN")</f>
        <v>9.25</v>
      </c>
      <c r="D1595" t="str">
        <f>_xll.BDP("912827XB Govt","YLD_YTM_BID")</f>
        <v>#N/A N/A</v>
      </c>
      <c r="E1595" t="str">
        <f>_xll.BDP("912827XB Govt","MATURITY")</f>
        <v>1/15/1996</v>
      </c>
      <c r="F1595" t="str">
        <f>_xll.BDP("912827XB Govt","MTY_TYP")</f>
        <v>NORMAL</v>
      </c>
      <c r="G1595" t="str">
        <f>_xll.BDP("912827XB Govt","CRNCY")</f>
        <v>USD</v>
      </c>
      <c r="H1595" t="str">
        <f>_xll.BDP("912827XB Govt","COUNTRY_FULL_NAME")</f>
        <v>UNITED STATES</v>
      </c>
      <c r="I1595" t="str">
        <f>_xll.BDP("912827XB Govt","FIRST_CPN_DT")</f>
        <v>7/15/1989</v>
      </c>
      <c r="J1595" t="str">
        <f>_xll.BDP("912827XB Govt","COUPON_FREQUENCY_DESCRIPTION")</f>
        <v>S/A</v>
      </c>
      <c r="K1595" t="str">
        <f>_xll.BDP("912827XB Govt","CPN_TYP")</f>
        <v>FIXED</v>
      </c>
      <c r="L1595" t="str">
        <f>_xll.BDP("912827XB Govt","ID_ISIN")</f>
        <v>US912827XB31</v>
      </c>
      <c r="N1595">
        <v>0</v>
      </c>
      <c r="O1595" t="str">
        <f>_xll.BDP("912827XB Govt","ISSUE_DT")</f>
        <v>1/17/1989</v>
      </c>
      <c r="P1595" t="str">
        <f>_xll.BDP("912827XB Govt","SECURITY_NAME")</f>
        <v>T 9 1/4 01/15/96</v>
      </c>
      <c r="Q1595" t="str">
        <f>_xll.BDP("912827XB Govt","DAY_CNT_DES")</f>
        <v>ACT/ACT</v>
      </c>
      <c r="R1595">
        <v>100</v>
      </c>
      <c r="S1595" t="str">
        <f>_xll.BDP("912827XB Govt","ID_CUSIP")</f>
        <v>912827XB3</v>
      </c>
      <c r="T1595" t="str">
        <f>_xll.BDP("912827XB Govt","IDX_RATIO")</f>
        <v>#N/A Field Not Applicable</v>
      </c>
    </row>
    <row r="1596" spans="1:20" x14ac:dyDescent="0.25">
      <c r="A1596" t="s">
        <v>14</v>
      </c>
      <c r="B1596" t="str">
        <f>_xll.BDP("912827XF Govt","TICKER")</f>
        <v>T</v>
      </c>
      <c r="C1596">
        <f>_xll.BDP("912827XF Govt","CPN")</f>
        <v>9.375</v>
      </c>
      <c r="D1596" t="str">
        <f>_xll.BDP("912827XF Govt","YLD_YTM_BID")</f>
        <v>#N/A N/A</v>
      </c>
      <c r="E1596" t="str">
        <f>_xll.BDP("912827XF Govt","MATURITY")</f>
        <v>2/28/1991</v>
      </c>
      <c r="F1596" t="str">
        <f>_xll.BDP("912827XF Govt","MTY_TYP")</f>
        <v>NORMAL</v>
      </c>
      <c r="G1596" t="str">
        <f>_xll.BDP("912827XF Govt","CRNCY")</f>
        <v>USD</v>
      </c>
      <c r="H1596" t="str">
        <f>_xll.BDP("912827XF Govt","COUNTRY_FULL_NAME")</f>
        <v>UNITED STATES</v>
      </c>
      <c r="I1596" t="str">
        <f>_xll.BDP("912827XF Govt","FIRST_CPN_DT")</f>
        <v>8/31/1989</v>
      </c>
      <c r="J1596" t="str">
        <f>_xll.BDP("912827XF Govt","COUPON_FREQUENCY_DESCRIPTION")</f>
        <v>S/A</v>
      </c>
      <c r="K1596" t="str">
        <f>_xll.BDP("912827XF Govt","CPN_TYP")</f>
        <v>FIXED</v>
      </c>
      <c r="L1596" t="str">
        <f>_xll.BDP("912827XF Govt","ID_ISIN")</f>
        <v>US912827XF45</v>
      </c>
      <c r="N1596">
        <v>0</v>
      </c>
      <c r="O1596" t="str">
        <f>_xll.BDP("912827XF Govt","ISSUE_DT")</f>
        <v>2/28/1989</v>
      </c>
      <c r="P1596" t="str">
        <f>_xll.BDP("912827XF Govt","SECURITY_NAME")</f>
        <v>T 9 3/8 02/28/91</v>
      </c>
      <c r="Q1596" t="str">
        <f>_xll.BDP("912827XF Govt","DAY_CNT_DES")</f>
        <v>ACT/ACT</v>
      </c>
      <c r="R1596">
        <v>100</v>
      </c>
      <c r="S1596" t="str">
        <f>_xll.BDP("912827XF Govt","ID_CUSIP")</f>
        <v>912827XF4</v>
      </c>
      <c r="T1596" t="str">
        <f>_xll.BDP("912827XF Govt","IDX_RATIO")</f>
        <v>#N/A Field Not Applicable</v>
      </c>
    </row>
    <row r="1597" spans="1:20" x14ac:dyDescent="0.25">
      <c r="A1597" t="s">
        <v>14</v>
      </c>
      <c r="B1597" t="str">
        <f>_xll.BDP("912827XG Govt","TICKER")</f>
        <v>T</v>
      </c>
      <c r="C1597">
        <f>_xll.BDP("912827XG Govt","CPN")</f>
        <v>9.5</v>
      </c>
      <c r="D1597" t="str">
        <f>_xll.BDP("912827XG Govt","YLD_YTM_BID")</f>
        <v>#N/A N/A</v>
      </c>
      <c r="E1597" t="str">
        <f>_xll.BDP("912827XG Govt","MATURITY")</f>
        <v>5/15/1994</v>
      </c>
      <c r="F1597" t="str">
        <f>_xll.BDP("912827XG Govt","MTY_TYP")</f>
        <v>NORMAL</v>
      </c>
      <c r="G1597" t="str">
        <f>_xll.BDP("912827XG Govt","CRNCY")</f>
        <v>USD</v>
      </c>
      <c r="H1597" t="str">
        <f>_xll.BDP("912827XG Govt","COUNTRY_FULL_NAME")</f>
        <v>UNITED STATES</v>
      </c>
      <c r="I1597" t="str">
        <f>_xll.BDP("912827XG Govt","FIRST_CPN_DT")</f>
        <v>11/15/1989</v>
      </c>
      <c r="J1597" t="str">
        <f>_xll.BDP("912827XG Govt","COUPON_FREQUENCY_DESCRIPTION")</f>
        <v>S/A</v>
      </c>
      <c r="K1597" t="str">
        <f>_xll.BDP("912827XG Govt","CPN_TYP")</f>
        <v>FIXED</v>
      </c>
      <c r="L1597" t="str">
        <f>_xll.BDP("912827XG Govt","ID_ISIN")</f>
        <v>US912827XG28</v>
      </c>
      <c r="N1597">
        <v>0</v>
      </c>
      <c r="O1597" t="str">
        <f>_xll.BDP("912827XG Govt","ISSUE_DT")</f>
        <v>3/3/1989</v>
      </c>
      <c r="P1597" t="str">
        <f>_xll.BDP("912827XG Govt","SECURITY_NAME")</f>
        <v>T 9 1/2 05/15/94</v>
      </c>
      <c r="Q1597" t="str">
        <f>_xll.BDP("912827XG Govt","DAY_CNT_DES")</f>
        <v>ACT/ACT</v>
      </c>
      <c r="R1597">
        <v>100</v>
      </c>
      <c r="S1597" t="str">
        <f>_xll.BDP("912827XG Govt","ID_CUSIP")</f>
        <v>912827XG2</v>
      </c>
      <c r="T1597" t="str">
        <f>_xll.BDP("912827XG Govt","IDX_RATIO")</f>
        <v>#N/A Field Not Applicable</v>
      </c>
    </row>
    <row r="1598" spans="1:20" x14ac:dyDescent="0.25">
      <c r="A1598" t="s">
        <v>14</v>
      </c>
      <c r="B1598" t="str">
        <f>_xll.BDP("912827XN Govt","TICKER")</f>
        <v>T</v>
      </c>
      <c r="C1598">
        <f>_xll.BDP("912827XN Govt","CPN")</f>
        <v>9.125</v>
      </c>
      <c r="D1598" t="str">
        <f>_xll.BDP("912827XN Govt","YLD_YTM_BID")</f>
        <v>#N/A N/A</v>
      </c>
      <c r="E1598" t="str">
        <f>_xll.BDP("912827XN Govt","MATURITY")</f>
        <v>5/15/1999</v>
      </c>
      <c r="F1598" t="str">
        <f>_xll.BDP("912827XN Govt","MTY_TYP")</f>
        <v>NORMAL</v>
      </c>
      <c r="G1598" t="str">
        <f>_xll.BDP("912827XN Govt","CRNCY")</f>
        <v>USD</v>
      </c>
      <c r="H1598" t="str">
        <f>_xll.BDP("912827XN Govt","COUNTRY_FULL_NAME")</f>
        <v>UNITED STATES</v>
      </c>
      <c r="I1598" t="str">
        <f>_xll.BDP("912827XN Govt","FIRST_CPN_DT")</f>
        <v>11/15/1989</v>
      </c>
      <c r="J1598" t="str">
        <f>_xll.BDP("912827XN Govt","COUPON_FREQUENCY_DESCRIPTION")</f>
        <v>S/A</v>
      </c>
      <c r="K1598" t="str">
        <f>_xll.BDP("912827XN Govt","CPN_TYP")</f>
        <v>FIXED</v>
      </c>
      <c r="L1598" t="str">
        <f>_xll.BDP("912827XN Govt","ID_ISIN")</f>
        <v>US912827XN78</v>
      </c>
      <c r="M1598">
        <v>10047000000</v>
      </c>
      <c r="N1598">
        <v>0</v>
      </c>
      <c r="O1598" t="str">
        <f>_xll.BDP("912827XN Govt","ISSUE_DT")</f>
        <v>5/15/1989</v>
      </c>
      <c r="P1598" t="str">
        <f>_xll.BDP("912827XN Govt","SECURITY_NAME")</f>
        <v>T 9 1/8 05/15/99</v>
      </c>
      <c r="Q1598" t="str">
        <f>_xll.BDP("912827XN Govt","DAY_CNT_DES")</f>
        <v>ACT/ACT</v>
      </c>
      <c r="R1598">
        <v>100</v>
      </c>
      <c r="S1598" t="str">
        <f>_xll.BDP("912827XN Govt","ID_CUSIP")</f>
        <v>912827XN7</v>
      </c>
      <c r="T1598" t="str">
        <f>_xll.BDP("912827XN Govt","IDX_RATIO")</f>
        <v>#N/A Field Not Applicable</v>
      </c>
    </row>
    <row r="1599" spans="1:20" x14ac:dyDescent="0.25">
      <c r="A1599" t="s">
        <v>14</v>
      </c>
      <c r="B1599" t="str">
        <f>_xll.BDP("912827XV Govt","TICKER")</f>
        <v>T</v>
      </c>
      <c r="C1599">
        <f>_xll.BDP("912827XV Govt","CPN")</f>
        <v>7.875</v>
      </c>
      <c r="D1599" t="str">
        <f>_xll.BDP("912827XV Govt","YLD_YTM_BID")</f>
        <v>#N/A N/A</v>
      </c>
      <c r="E1599" t="str">
        <f>_xll.BDP("912827XV Govt","MATURITY")</f>
        <v>8/15/1992</v>
      </c>
      <c r="F1599" t="str">
        <f>_xll.BDP("912827XV Govt","MTY_TYP")</f>
        <v>NORMAL</v>
      </c>
      <c r="G1599" t="str">
        <f>_xll.BDP("912827XV Govt","CRNCY")</f>
        <v>USD</v>
      </c>
      <c r="H1599" t="str">
        <f>_xll.BDP("912827XV Govt","COUNTRY_FULL_NAME")</f>
        <v>UNITED STATES</v>
      </c>
      <c r="I1599" t="str">
        <f>_xll.BDP("912827XV Govt","FIRST_CPN_DT")</f>
        <v>2/15/1990</v>
      </c>
      <c r="J1599" t="str">
        <f>_xll.BDP("912827XV Govt","COUPON_FREQUENCY_DESCRIPTION")</f>
        <v>S/A</v>
      </c>
      <c r="K1599" t="str">
        <f>_xll.BDP("912827XV Govt","CPN_TYP")</f>
        <v>FIXED</v>
      </c>
      <c r="L1599" t="str">
        <f>_xll.BDP("912827XV Govt","ID_ISIN")</f>
        <v>US912827XV94</v>
      </c>
      <c r="N1599">
        <v>0</v>
      </c>
      <c r="O1599" t="str">
        <f>_xll.BDP("912827XV Govt","ISSUE_DT")</f>
        <v>8/15/1989</v>
      </c>
      <c r="P1599" t="str">
        <f>_xll.BDP("912827XV Govt","SECURITY_NAME")</f>
        <v>T 7 7/8 08/15/92</v>
      </c>
      <c r="Q1599" t="str">
        <f>_xll.BDP("912827XV Govt","DAY_CNT_DES")</f>
        <v>ACT/ACT</v>
      </c>
      <c r="R1599">
        <v>100</v>
      </c>
      <c r="S1599" t="str">
        <f>_xll.BDP("912827XV Govt","ID_CUSIP")</f>
        <v>912827XV9</v>
      </c>
      <c r="T1599" t="str">
        <f>_xll.BDP("912827XV Govt","IDX_RATIO")</f>
        <v>#N/A Field Not Applicable</v>
      </c>
    </row>
    <row r="1600" spans="1:20" x14ac:dyDescent="0.25">
      <c r="A1600" t="s">
        <v>14</v>
      </c>
      <c r="B1600" t="str">
        <f>_xll.BDP("912827XY Govt","TICKER")</f>
        <v>T</v>
      </c>
      <c r="C1600">
        <f>_xll.BDP("912827XY Govt","CPN")</f>
        <v>8.25</v>
      </c>
      <c r="D1600" t="str">
        <f>_xll.BDP("912827XY Govt","YLD_YTM_BID")</f>
        <v>#N/A N/A</v>
      </c>
      <c r="E1600" t="str">
        <f>_xll.BDP("912827XY Govt","MATURITY")</f>
        <v>11/15/1994</v>
      </c>
      <c r="F1600" t="str">
        <f>_xll.BDP("912827XY Govt","MTY_TYP")</f>
        <v>NORMAL</v>
      </c>
      <c r="G1600" t="str">
        <f>_xll.BDP("912827XY Govt","CRNCY")</f>
        <v>USD</v>
      </c>
      <c r="H1600" t="str">
        <f>_xll.BDP("912827XY Govt","COUNTRY_FULL_NAME")</f>
        <v>UNITED STATES</v>
      </c>
      <c r="I1600" t="str">
        <f>_xll.BDP("912827XY Govt","FIRST_CPN_DT")</f>
        <v>5/15/1990</v>
      </c>
      <c r="J1600" t="str">
        <f>_xll.BDP("912827XY Govt","COUPON_FREQUENCY_DESCRIPTION")</f>
        <v>S/A</v>
      </c>
      <c r="K1600" t="str">
        <f>_xll.BDP("912827XY Govt","CPN_TYP")</f>
        <v>FIXED</v>
      </c>
      <c r="L1600" t="str">
        <f>_xll.BDP("912827XY Govt","ID_ISIN")</f>
        <v>US912827XY34</v>
      </c>
      <c r="N1600">
        <v>0</v>
      </c>
      <c r="O1600" t="str">
        <f>_xll.BDP("912827XY Govt","ISSUE_DT")</f>
        <v>9/1/1989</v>
      </c>
      <c r="P1600" t="str">
        <f>_xll.BDP("912827XY Govt","SECURITY_NAME")</f>
        <v>T 8 1/4 11/15/94</v>
      </c>
      <c r="Q1600" t="str">
        <f>_xll.BDP("912827XY Govt","DAY_CNT_DES")</f>
        <v>ACT/ACT</v>
      </c>
      <c r="R1600">
        <v>100</v>
      </c>
      <c r="S1600" t="str">
        <f>_xll.BDP("912827XY Govt","ID_CUSIP")</f>
        <v>912827XY3</v>
      </c>
      <c r="T1600" t="str">
        <f>_xll.BDP("912827XY Govt","IDX_RATIO")</f>
        <v>#N/A Field Not Applicable</v>
      </c>
    </row>
    <row r="1601" spans="1:20" x14ac:dyDescent="0.25">
      <c r="A1601" t="s">
        <v>14</v>
      </c>
      <c r="B1601" t="str">
        <f>_xll.BDP("912827Y3 Govt","TICKER")</f>
        <v>T</v>
      </c>
      <c r="C1601">
        <f>_xll.BDP("912827Y3 Govt","CPN")</f>
        <v>6.25</v>
      </c>
      <c r="D1601" t="str">
        <f>_xll.BDP("912827Y3 Govt","YLD_YTM_BID")</f>
        <v>#N/A N/A</v>
      </c>
      <c r="E1601" t="str">
        <f>_xll.BDP("912827Y3 Govt","MATURITY")</f>
        <v>6/30/1998</v>
      </c>
      <c r="F1601" t="str">
        <f>_xll.BDP("912827Y3 Govt","MTY_TYP")</f>
        <v>NORMAL</v>
      </c>
      <c r="G1601" t="str">
        <f>_xll.BDP("912827Y3 Govt","CRNCY")</f>
        <v>USD</v>
      </c>
      <c r="H1601" t="str">
        <f>_xll.BDP("912827Y3 Govt","COUNTRY_FULL_NAME")</f>
        <v>UNITED STATES</v>
      </c>
      <c r="I1601" t="str">
        <f>_xll.BDP("912827Y3 Govt","FIRST_CPN_DT")</f>
        <v>12/31/1996</v>
      </c>
      <c r="J1601" t="str">
        <f>_xll.BDP("912827Y3 Govt","COUPON_FREQUENCY_DESCRIPTION")</f>
        <v>S/A</v>
      </c>
      <c r="K1601" t="str">
        <f>_xll.BDP("912827Y3 Govt","CPN_TYP")</f>
        <v>FIXED</v>
      </c>
      <c r="L1601" t="str">
        <f>_xll.BDP("912827Y3 Govt","ID_ISIN")</f>
        <v>US912827Y307</v>
      </c>
      <c r="M1601">
        <v>22054000000</v>
      </c>
      <c r="N1601">
        <v>0</v>
      </c>
      <c r="O1601" t="str">
        <f>_xll.BDP("912827Y3 Govt","ISSUE_DT")</f>
        <v>7/1/1996</v>
      </c>
      <c r="P1601" t="str">
        <f>_xll.BDP("912827Y3 Govt","SECURITY_NAME")</f>
        <v>T 6 1/4 06/30/98</v>
      </c>
      <c r="Q1601" t="str">
        <f>_xll.BDP("912827Y3 Govt","DAY_CNT_DES")</f>
        <v>ACT/ACT</v>
      </c>
      <c r="R1601">
        <v>100</v>
      </c>
      <c r="S1601" t="str">
        <f>_xll.BDP("912827Y3 Govt","ID_CUSIP")</f>
        <v>912827Y30</v>
      </c>
      <c r="T1601" t="str">
        <f>_xll.BDP("912827Y3 Govt","IDX_RATIO")</f>
        <v>#N/A Field Not Applicable</v>
      </c>
    </row>
    <row r="1602" spans="1:20" x14ac:dyDescent="0.25">
      <c r="A1602" t="s">
        <v>14</v>
      </c>
      <c r="B1602" t="str">
        <f>_xll.BDP("912827Y4 Govt","TICKER")</f>
        <v>T</v>
      </c>
      <c r="C1602">
        <f>_xll.BDP("912827Y4 Govt","CPN")</f>
        <v>6.625</v>
      </c>
      <c r="D1602" t="str">
        <f>_xll.BDP("912827Y4 Govt","YLD_YTM_BID")</f>
        <v>#N/A N/A</v>
      </c>
      <c r="E1602" t="str">
        <f>_xll.BDP("912827Y4 Govt","MATURITY")</f>
        <v>6/30/2001</v>
      </c>
      <c r="F1602" t="str">
        <f>_xll.BDP("912827Y4 Govt","MTY_TYP")</f>
        <v>NORMAL</v>
      </c>
      <c r="G1602" t="str">
        <f>_xll.BDP("912827Y4 Govt","CRNCY")</f>
        <v>USD</v>
      </c>
      <c r="H1602" t="str">
        <f>_xll.BDP("912827Y4 Govt","COUNTRY_FULL_NAME")</f>
        <v>UNITED STATES</v>
      </c>
      <c r="I1602" t="str">
        <f>_xll.BDP("912827Y4 Govt","FIRST_CPN_DT")</f>
        <v>12/31/1996</v>
      </c>
      <c r="J1602" t="str">
        <f>_xll.BDP("912827Y4 Govt","COUPON_FREQUENCY_DESCRIPTION")</f>
        <v>S/A</v>
      </c>
      <c r="K1602" t="str">
        <f>_xll.BDP("912827Y4 Govt","CPN_TYP")</f>
        <v>FIXED</v>
      </c>
      <c r="L1602" t="str">
        <f>_xll.BDP("912827Y4 Govt","ID_ISIN")</f>
        <v>US912827Y489</v>
      </c>
      <c r="M1602">
        <v>14282000000</v>
      </c>
      <c r="N1602">
        <v>0</v>
      </c>
      <c r="O1602" t="str">
        <f>_xll.BDP("912827Y4 Govt","ISSUE_DT")</f>
        <v>7/1/1996</v>
      </c>
      <c r="P1602" t="str">
        <f>_xll.BDP("912827Y4 Govt","SECURITY_NAME")</f>
        <v>T 6 5/8 06/30/01</v>
      </c>
      <c r="Q1602" t="str">
        <f>_xll.BDP("912827Y4 Govt","DAY_CNT_DES")</f>
        <v>ACT/ACT</v>
      </c>
      <c r="R1602">
        <v>100</v>
      </c>
      <c r="S1602" t="str">
        <f>_xll.BDP("912827Y4 Govt","ID_CUSIP")</f>
        <v>912827Y48</v>
      </c>
      <c r="T1602" t="str">
        <f>_xll.BDP("912827Y4 Govt","IDX_RATIO")</f>
        <v>#N/A Field Not Applicable</v>
      </c>
    </row>
    <row r="1603" spans="1:20" x14ac:dyDescent="0.25">
      <c r="A1603" t="s">
        <v>14</v>
      </c>
      <c r="B1603" t="str">
        <f>_xll.BDP("912827YD Govt","TICKER")</f>
        <v>T</v>
      </c>
      <c r="C1603">
        <f>_xll.BDP("912827YD Govt","CPN")</f>
        <v>7.75</v>
      </c>
      <c r="D1603" t="str">
        <f>_xll.BDP("912827YD Govt","YLD_YTM_BID")</f>
        <v>#N/A N/A</v>
      </c>
      <c r="E1603" t="str">
        <f>_xll.BDP("912827YD Govt","MATURITY")</f>
        <v>11/15/1992</v>
      </c>
      <c r="F1603" t="str">
        <f>_xll.BDP("912827YD Govt","MTY_TYP")</f>
        <v>NORMAL</v>
      </c>
      <c r="G1603" t="str">
        <f>_xll.BDP("912827YD Govt","CRNCY")</f>
        <v>USD</v>
      </c>
      <c r="H1603" t="str">
        <f>_xll.BDP("912827YD Govt","COUNTRY_FULL_NAME")</f>
        <v>UNITED STATES</v>
      </c>
      <c r="I1603" t="str">
        <f>_xll.BDP("912827YD Govt","FIRST_CPN_DT")</f>
        <v>5/15/1990</v>
      </c>
      <c r="J1603" t="str">
        <f>_xll.BDP("912827YD Govt","COUPON_FREQUENCY_DESCRIPTION")</f>
        <v>S/A</v>
      </c>
      <c r="K1603" t="str">
        <f>_xll.BDP("912827YD Govt","CPN_TYP")</f>
        <v>FIXED</v>
      </c>
      <c r="L1603" t="str">
        <f>_xll.BDP("912827YD Govt","ID_ISIN")</f>
        <v>US912827YD87</v>
      </c>
      <c r="N1603">
        <v>0</v>
      </c>
      <c r="O1603" t="str">
        <f>_xll.BDP("912827YD Govt","ISSUE_DT")</f>
        <v>11/15/1989</v>
      </c>
      <c r="P1603" t="str">
        <f>_xll.BDP("912827YD Govt","SECURITY_NAME")</f>
        <v>T 7 3/4 11/15/92</v>
      </c>
      <c r="Q1603" t="str">
        <f>_xll.BDP("912827YD Govt","DAY_CNT_DES")</f>
        <v>ACT/ACT</v>
      </c>
      <c r="R1603">
        <v>100</v>
      </c>
      <c r="S1603" t="str">
        <f>_xll.BDP("912827YD Govt","ID_CUSIP")</f>
        <v>912827YD8</v>
      </c>
      <c r="T1603" t="str">
        <f>_xll.BDP("912827YD Govt","IDX_RATIO")</f>
        <v>#N/A Field Not Applicable</v>
      </c>
    </row>
    <row r="1604" spans="1:20" x14ac:dyDescent="0.25">
      <c r="A1604" t="s">
        <v>14</v>
      </c>
      <c r="B1604" t="str">
        <f>_xll.BDP("912827YF Govt","TICKER")</f>
        <v>T</v>
      </c>
      <c r="C1604">
        <f>_xll.BDP("912827YF Govt","CPN")</f>
        <v>7.75</v>
      </c>
      <c r="D1604" t="str">
        <f>_xll.BDP("912827YF Govt","YLD_YTM_BID")</f>
        <v>#N/A N/A</v>
      </c>
      <c r="E1604" t="str">
        <f>_xll.BDP("912827YF Govt","MATURITY")</f>
        <v>11/30/1991</v>
      </c>
      <c r="F1604" t="str">
        <f>_xll.BDP("912827YF Govt","MTY_TYP")</f>
        <v>NORMAL</v>
      </c>
      <c r="G1604" t="str">
        <f>_xll.BDP("912827YF Govt","CRNCY")</f>
        <v>USD</v>
      </c>
      <c r="H1604" t="str">
        <f>_xll.BDP("912827YF Govt","COUNTRY_FULL_NAME")</f>
        <v>UNITED STATES</v>
      </c>
      <c r="I1604" t="str">
        <f>_xll.BDP("912827YF Govt","FIRST_CPN_DT")</f>
        <v>5/31/1990</v>
      </c>
      <c r="J1604" t="str">
        <f>_xll.BDP("912827YF Govt","COUPON_FREQUENCY_DESCRIPTION")</f>
        <v>S/A</v>
      </c>
      <c r="K1604" t="str">
        <f>_xll.BDP("912827YF Govt","CPN_TYP")</f>
        <v>FIXED</v>
      </c>
      <c r="L1604" t="str">
        <f>_xll.BDP("912827YF Govt","ID_ISIN")</f>
        <v>US912827YF36</v>
      </c>
      <c r="N1604">
        <v>0</v>
      </c>
      <c r="O1604" t="str">
        <f>_xll.BDP("912827YF Govt","ISSUE_DT")</f>
        <v>11/30/1989</v>
      </c>
      <c r="P1604" t="str">
        <f>_xll.BDP("912827YF Govt","SECURITY_NAME")</f>
        <v>T 7 3/4 11/30/91</v>
      </c>
      <c r="Q1604" t="str">
        <f>_xll.BDP("912827YF Govt","DAY_CNT_DES")</f>
        <v>ACT/ACT</v>
      </c>
      <c r="R1604">
        <v>100</v>
      </c>
      <c r="S1604" t="str">
        <f>_xll.BDP("912827YF Govt","ID_CUSIP")</f>
        <v>912827YF3</v>
      </c>
      <c r="T1604" t="str">
        <f>_xll.BDP("912827YF Govt","IDX_RATIO")</f>
        <v>#N/A Field Not Applicable</v>
      </c>
    </row>
    <row r="1605" spans="1:20" x14ac:dyDescent="0.25">
      <c r="A1605" t="s">
        <v>14</v>
      </c>
      <c r="B1605" t="str">
        <f>_xll.BDP("912827YL Govt","TICKER")</f>
        <v>T</v>
      </c>
      <c r="C1605">
        <f>_xll.BDP("912827YL Govt","CPN")</f>
        <v>8.125</v>
      </c>
      <c r="D1605" t="str">
        <f>_xll.BDP("912827YL Govt","YLD_YTM_BID")</f>
        <v>#N/A N/A</v>
      </c>
      <c r="E1605" t="str">
        <f>_xll.BDP("912827YL Govt","MATURITY")</f>
        <v>1/31/1992</v>
      </c>
      <c r="F1605" t="str">
        <f>_xll.BDP("912827YL Govt","MTY_TYP")</f>
        <v>NORMAL</v>
      </c>
      <c r="G1605" t="str">
        <f>_xll.BDP("912827YL Govt","CRNCY")</f>
        <v>USD</v>
      </c>
      <c r="H1605" t="str">
        <f>_xll.BDP("912827YL Govt","COUNTRY_FULL_NAME")</f>
        <v>UNITED STATES</v>
      </c>
      <c r="I1605" t="str">
        <f>_xll.BDP("912827YL Govt","FIRST_CPN_DT")</f>
        <v>7/31/1990</v>
      </c>
      <c r="J1605" t="str">
        <f>_xll.BDP("912827YL Govt","COUPON_FREQUENCY_DESCRIPTION")</f>
        <v>S/A</v>
      </c>
      <c r="K1605" t="str">
        <f>_xll.BDP("912827YL Govt","CPN_TYP")</f>
        <v>FIXED</v>
      </c>
      <c r="L1605" t="str">
        <f>_xll.BDP("912827YL Govt","ID_ISIN")</f>
        <v>US912827YL04</v>
      </c>
      <c r="N1605">
        <v>0</v>
      </c>
      <c r="O1605" t="str">
        <f>_xll.BDP("912827YL Govt","ISSUE_DT")</f>
        <v>1/31/1990</v>
      </c>
      <c r="P1605" t="str">
        <f>_xll.BDP("912827YL Govt","SECURITY_NAME")</f>
        <v>T 8 1/8 01/31/92</v>
      </c>
      <c r="Q1605" t="str">
        <f>_xll.BDP("912827YL Govt","DAY_CNT_DES")</f>
        <v>ACT/ACT</v>
      </c>
      <c r="R1605">
        <v>100</v>
      </c>
      <c r="S1605" t="str">
        <f>_xll.BDP("912827YL Govt","ID_CUSIP")</f>
        <v>912827YL0</v>
      </c>
      <c r="T1605" t="str">
        <f>_xll.BDP("912827YL Govt","IDX_RATIO")</f>
        <v>#N/A Field Not Applicable</v>
      </c>
    </row>
    <row r="1606" spans="1:20" x14ac:dyDescent="0.25">
      <c r="A1606" t="s">
        <v>14</v>
      </c>
      <c r="B1606" t="str">
        <f>_xll.BDP("912827YP Govt","TICKER")</f>
        <v>T</v>
      </c>
      <c r="C1606">
        <f>_xll.BDP("912827YP Govt","CPN")</f>
        <v>8.5</v>
      </c>
      <c r="D1606" t="str">
        <f>_xll.BDP("912827YP Govt","YLD_YTM_BID")</f>
        <v>#N/A N/A</v>
      </c>
      <c r="E1606" t="str">
        <f>_xll.BDP("912827YP Govt","MATURITY")</f>
        <v>2/29/1992</v>
      </c>
      <c r="F1606" t="str">
        <f>_xll.BDP("912827YP Govt","MTY_TYP")</f>
        <v>NORMAL</v>
      </c>
      <c r="G1606" t="str">
        <f>_xll.BDP("912827YP Govt","CRNCY")</f>
        <v>USD</v>
      </c>
      <c r="H1606" t="str">
        <f>_xll.BDP("912827YP Govt","COUNTRY_FULL_NAME")</f>
        <v>UNITED STATES</v>
      </c>
      <c r="I1606" t="str">
        <f>_xll.BDP("912827YP Govt","FIRST_CPN_DT")</f>
        <v>8/31/1990</v>
      </c>
      <c r="J1606" t="str">
        <f>_xll.BDP("912827YP Govt","COUPON_FREQUENCY_DESCRIPTION")</f>
        <v>S/A</v>
      </c>
      <c r="K1606" t="str">
        <f>_xll.BDP("912827YP Govt","CPN_TYP")</f>
        <v>FIXED</v>
      </c>
      <c r="L1606" t="str">
        <f>_xll.BDP("912827YP Govt","ID_ISIN")</f>
        <v>US912827YP18</v>
      </c>
      <c r="N1606">
        <v>0</v>
      </c>
      <c r="O1606" t="str">
        <f>_xll.BDP("912827YP Govt","ISSUE_DT")</f>
        <v>2/28/1990</v>
      </c>
      <c r="P1606" t="str">
        <f>_xll.BDP("912827YP Govt","SECURITY_NAME")</f>
        <v>T 8 1/2 02/29/92</v>
      </c>
      <c r="Q1606" t="str">
        <f>_xll.BDP("912827YP Govt","DAY_CNT_DES")</f>
        <v>ACT/ACT</v>
      </c>
      <c r="R1606">
        <v>100</v>
      </c>
      <c r="S1606" t="str">
        <f>_xll.BDP("912827YP Govt","ID_CUSIP")</f>
        <v>912827YP1</v>
      </c>
      <c r="T1606" t="str">
        <f>_xll.BDP("912827YP Govt","IDX_RATIO")</f>
        <v>#N/A Field Not Applicable</v>
      </c>
    </row>
    <row r="1607" spans="1:20" x14ac:dyDescent="0.25">
      <c r="A1607" t="s">
        <v>14</v>
      </c>
      <c r="B1607" t="str">
        <f>_xll.BDP("912827YW Govt","TICKER")</f>
        <v>T</v>
      </c>
      <c r="C1607">
        <f>_xll.BDP("912827YW Govt","CPN")</f>
        <v>8.875</v>
      </c>
      <c r="D1607" t="str">
        <f>_xll.BDP("912827YW Govt","YLD_YTM_BID")</f>
        <v>#N/A N/A</v>
      </c>
      <c r="E1607" t="str">
        <f>_xll.BDP("912827YW Govt","MATURITY")</f>
        <v>5/15/2000</v>
      </c>
      <c r="F1607" t="str">
        <f>_xll.BDP("912827YW Govt","MTY_TYP")</f>
        <v>NORMAL</v>
      </c>
      <c r="G1607" t="str">
        <f>_xll.BDP("912827YW Govt","CRNCY")</f>
        <v>USD</v>
      </c>
      <c r="H1607" t="str">
        <f>_xll.BDP("912827YW Govt","COUNTRY_FULL_NAME")</f>
        <v>UNITED STATES</v>
      </c>
      <c r="I1607" t="str">
        <f>_xll.BDP("912827YW Govt","FIRST_CPN_DT")</f>
        <v>11/15/1990</v>
      </c>
      <c r="J1607" t="str">
        <f>_xll.BDP("912827YW Govt","COUPON_FREQUENCY_DESCRIPTION")</f>
        <v>S/A</v>
      </c>
      <c r="K1607" t="str">
        <f>_xll.BDP("912827YW Govt","CPN_TYP")</f>
        <v>FIXED</v>
      </c>
      <c r="L1607" t="str">
        <f>_xll.BDP("912827YW Govt","ID_ISIN")</f>
        <v>US912827YW68</v>
      </c>
      <c r="M1607">
        <v>10496000000</v>
      </c>
      <c r="N1607">
        <v>0</v>
      </c>
      <c r="O1607" t="str">
        <f>_xll.BDP("912827YW Govt","ISSUE_DT")</f>
        <v>5/15/1990</v>
      </c>
      <c r="P1607" t="str">
        <f>_xll.BDP("912827YW Govt","SECURITY_NAME")</f>
        <v>T 8 7/8 05/15/00</v>
      </c>
      <c r="Q1607" t="str">
        <f>_xll.BDP("912827YW Govt","DAY_CNT_DES")</f>
        <v>ACT/ACT</v>
      </c>
      <c r="R1607">
        <v>100</v>
      </c>
      <c r="S1607" t="str">
        <f>_xll.BDP("912827YW Govt","ID_CUSIP")</f>
        <v>912827YW6</v>
      </c>
      <c r="T1607" t="str">
        <f>_xll.BDP("912827YW Govt","IDX_RATIO")</f>
        <v>#N/A Field Not Applicable</v>
      </c>
    </row>
    <row r="1608" spans="1:20" x14ac:dyDescent="0.25">
      <c r="A1608" t="s">
        <v>14</v>
      </c>
      <c r="B1608" t="str">
        <f>_xll.BDP("912827Z3 Govt","TICKER")</f>
        <v>T</v>
      </c>
      <c r="C1608">
        <f>_xll.BDP("912827Z3 Govt","CPN")</f>
        <v>6.5</v>
      </c>
      <c r="D1608" t="str">
        <f>_xll.BDP("912827Z3 Govt","YLD_YTM_BID")</f>
        <v>#N/A N/A</v>
      </c>
      <c r="E1608" t="str">
        <f>_xll.BDP("912827Z3 Govt","MATURITY")</f>
        <v>8/31/2001</v>
      </c>
      <c r="F1608" t="str">
        <f>_xll.BDP("912827Z3 Govt","MTY_TYP")</f>
        <v>NORMAL</v>
      </c>
      <c r="G1608" t="str">
        <f>_xll.BDP("912827Z3 Govt","CRNCY")</f>
        <v>USD</v>
      </c>
      <c r="H1608" t="str">
        <f>_xll.BDP("912827Z3 Govt","COUNTRY_FULL_NAME")</f>
        <v>UNITED STATES</v>
      </c>
      <c r="I1608" t="str">
        <f>_xll.BDP("912827Z3 Govt","FIRST_CPN_DT")</f>
        <v>2/28/1997</v>
      </c>
      <c r="J1608" t="str">
        <f>_xll.BDP("912827Z3 Govt","COUPON_FREQUENCY_DESCRIPTION")</f>
        <v>S/A</v>
      </c>
      <c r="K1608" t="str">
        <f>_xll.BDP("912827Z3 Govt","CPN_TYP")</f>
        <v>FIXED</v>
      </c>
      <c r="L1608" t="str">
        <f>_xll.BDP("912827Z3 Govt","ID_ISIN")</f>
        <v>US912827Z395</v>
      </c>
      <c r="M1608">
        <v>14000000000</v>
      </c>
      <c r="N1608">
        <v>0</v>
      </c>
      <c r="O1608" t="str">
        <f>_xll.BDP("912827Z3 Govt","ISSUE_DT")</f>
        <v>9/3/1996</v>
      </c>
      <c r="P1608" t="str">
        <f>_xll.BDP("912827Z3 Govt","SECURITY_NAME")</f>
        <v>T 6 1/2 08/31/01</v>
      </c>
      <c r="Q1608" t="str">
        <f>_xll.BDP("912827Z3 Govt","DAY_CNT_DES")</f>
        <v>ACT/ACT</v>
      </c>
      <c r="R1608">
        <v>100</v>
      </c>
      <c r="S1608" t="str">
        <f>_xll.BDP("912827Z3 Govt","ID_CUSIP")</f>
        <v>912827Z39</v>
      </c>
      <c r="T1608" t="str">
        <f>_xll.BDP("912827Z3 Govt","IDX_RATIO")</f>
        <v>#N/A Field Not Applicable</v>
      </c>
    </row>
    <row r="1609" spans="1:20" x14ac:dyDescent="0.25">
      <c r="A1609" t="s">
        <v>14</v>
      </c>
      <c r="B1609" t="str">
        <f>_xll.BDP("912827Z5 Govt","TICKER")</f>
        <v>T</v>
      </c>
      <c r="C1609">
        <f>_xll.BDP("912827Z5 Govt","CPN")</f>
        <v>6.375</v>
      </c>
      <c r="D1609" t="str">
        <f>_xll.BDP("912827Z5 Govt","YLD_YTM_BID")</f>
        <v>#N/A N/A</v>
      </c>
      <c r="E1609" t="str">
        <f>_xll.BDP("912827Z5 Govt","MATURITY")</f>
        <v>9/30/2001</v>
      </c>
      <c r="F1609" t="str">
        <f>_xll.BDP("912827Z5 Govt","MTY_TYP")</f>
        <v>NORMAL</v>
      </c>
      <c r="G1609" t="str">
        <f>_xll.BDP("912827Z5 Govt","CRNCY")</f>
        <v>USD</v>
      </c>
      <c r="H1609" t="str">
        <f>_xll.BDP("912827Z5 Govt","COUNTRY_FULL_NAME")</f>
        <v>UNITED STATES</v>
      </c>
      <c r="I1609" t="str">
        <f>_xll.BDP("912827Z5 Govt","FIRST_CPN_DT")</f>
        <v>3/31/1997</v>
      </c>
      <c r="J1609" t="str">
        <f>_xll.BDP("912827Z5 Govt","COUPON_FREQUENCY_DESCRIPTION")</f>
        <v>S/A</v>
      </c>
      <c r="K1609" t="str">
        <f>_xll.BDP("912827Z5 Govt","CPN_TYP")</f>
        <v>FIXED</v>
      </c>
      <c r="L1609" t="str">
        <f>_xll.BDP("912827Z5 Govt","ID_ISIN")</f>
        <v>US912827Z544</v>
      </c>
      <c r="M1609">
        <v>14519000000</v>
      </c>
      <c r="N1609">
        <v>0</v>
      </c>
      <c r="O1609" t="str">
        <f>_xll.BDP("912827Z5 Govt","ISSUE_DT")</f>
        <v>9/30/1996</v>
      </c>
      <c r="P1609" t="str">
        <f>_xll.BDP("912827Z5 Govt","SECURITY_NAME")</f>
        <v>T 6 3/8 09/30/01</v>
      </c>
      <c r="Q1609" t="str">
        <f>_xll.BDP("912827Z5 Govt","DAY_CNT_DES")</f>
        <v>ACT/ACT</v>
      </c>
      <c r="R1609">
        <v>100</v>
      </c>
      <c r="S1609" t="str">
        <f>_xll.BDP("912827Z5 Govt","ID_CUSIP")</f>
        <v>912827Z54</v>
      </c>
      <c r="T1609" t="str">
        <f>_xll.BDP("912827Z5 Govt","IDX_RATIO")</f>
        <v>#N/A Field Not Applicable</v>
      </c>
    </row>
    <row r="1610" spans="1:20" x14ac:dyDescent="0.25">
      <c r="A1610" t="s">
        <v>14</v>
      </c>
      <c r="B1610" t="str">
        <f>_xll.BDP("912827ZD Govt","TICKER")</f>
        <v>T</v>
      </c>
      <c r="C1610">
        <f>_xll.BDP("912827ZD Govt","CPN")</f>
        <v>8</v>
      </c>
      <c r="D1610" t="str">
        <f>_xll.BDP("912827ZD Govt","YLD_YTM_BID")</f>
        <v>#N/A N/A</v>
      </c>
      <c r="E1610" t="str">
        <f>_xll.BDP("912827ZD Govt","MATURITY")</f>
        <v>8/15/1993</v>
      </c>
      <c r="F1610" t="str">
        <f>_xll.BDP("912827ZD Govt","MTY_TYP")</f>
        <v>NORMAL</v>
      </c>
      <c r="G1610" t="str">
        <f>_xll.BDP("912827ZD Govt","CRNCY")</f>
        <v>USD</v>
      </c>
      <c r="H1610" t="str">
        <f>_xll.BDP("912827ZD Govt","COUNTRY_FULL_NAME")</f>
        <v>UNITED STATES</v>
      </c>
      <c r="I1610" t="str">
        <f>_xll.BDP("912827ZD Govt","FIRST_CPN_DT")</f>
        <v>2/15/1991</v>
      </c>
      <c r="J1610" t="str">
        <f>_xll.BDP("912827ZD Govt","COUPON_FREQUENCY_DESCRIPTION")</f>
        <v>S/A</v>
      </c>
      <c r="K1610" t="str">
        <f>_xll.BDP("912827ZD Govt","CPN_TYP")</f>
        <v>FIXED</v>
      </c>
      <c r="L1610" t="str">
        <f>_xll.BDP("912827ZD Govt","ID_ISIN")</f>
        <v>US912827ZD78</v>
      </c>
      <c r="N1610">
        <v>0</v>
      </c>
      <c r="O1610" t="str">
        <f>_xll.BDP("912827ZD Govt","ISSUE_DT")</f>
        <v>8/15/1990</v>
      </c>
      <c r="P1610" t="str">
        <f>_xll.BDP("912827ZD Govt","SECURITY_NAME")</f>
        <v>T 8 08/15/93</v>
      </c>
      <c r="Q1610" t="str">
        <f>_xll.BDP("912827ZD Govt","DAY_CNT_DES")</f>
        <v>ACT/ACT</v>
      </c>
      <c r="R1610">
        <v>100</v>
      </c>
      <c r="S1610" t="str">
        <f>_xll.BDP("912827ZD Govt","ID_CUSIP")</f>
        <v>912827ZD7</v>
      </c>
      <c r="T1610" t="str">
        <f>_xll.BDP("912827ZD Govt","IDX_RATIO")</f>
        <v>#N/A Field Not Applicable</v>
      </c>
    </row>
    <row r="1611" spans="1:20" x14ac:dyDescent="0.25">
      <c r="A1611" t="s">
        <v>14</v>
      </c>
      <c r="B1611" t="str">
        <f>_xll.BDP("912827ZQ Govt","TICKER")</f>
        <v>T</v>
      </c>
      <c r="C1611">
        <f>_xll.BDP("912827ZQ Govt","CPN")</f>
        <v>7.875</v>
      </c>
      <c r="D1611" t="str">
        <f>_xll.BDP("912827ZQ Govt","YLD_YTM_BID")</f>
        <v>#N/A N/A</v>
      </c>
      <c r="E1611" t="str">
        <f>_xll.BDP("912827ZQ Govt","MATURITY")</f>
        <v>2/15/1996</v>
      </c>
      <c r="F1611" t="str">
        <f>_xll.BDP("912827ZQ Govt","MTY_TYP")</f>
        <v>NORMAL</v>
      </c>
      <c r="G1611" t="str">
        <f>_xll.BDP("912827ZQ Govt","CRNCY")</f>
        <v>USD</v>
      </c>
      <c r="H1611" t="str">
        <f>_xll.BDP("912827ZQ Govt","COUNTRY_FULL_NAME")</f>
        <v>UNITED STATES</v>
      </c>
      <c r="I1611" t="str">
        <f>_xll.BDP("912827ZQ Govt","FIRST_CPN_DT")</f>
        <v>8/15/1991</v>
      </c>
      <c r="J1611" t="str">
        <f>_xll.BDP("912827ZQ Govt","COUPON_FREQUENCY_DESCRIPTION")</f>
        <v>S/A</v>
      </c>
      <c r="K1611" t="str">
        <f>_xll.BDP("912827ZQ Govt","CPN_TYP")</f>
        <v>FIXED</v>
      </c>
      <c r="L1611" t="str">
        <f>_xll.BDP("912827ZQ Govt","ID_ISIN")</f>
        <v>US912827ZQ81</v>
      </c>
      <c r="N1611">
        <v>0</v>
      </c>
      <c r="O1611" t="str">
        <f>_xll.BDP("912827ZQ Govt","ISSUE_DT")</f>
        <v>12/3/1990</v>
      </c>
      <c r="P1611" t="str">
        <f>_xll.BDP("912827ZQ Govt","SECURITY_NAME")</f>
        <v>T 7 7/8 02/15/96</v>
      </c>
      <c r="Q1611" t="str">
        <f>_xll.BDP("912827ZQ Govt","DAY_CNT_DES")</f>
        <v>ACT/ACT</v>
      </c>
      <c r="R1611">
        <v>100</v>
      </c>
      <c r="S1611" t="str">
        <f>_xll.BDP("912827ZQ Govt","ID_CUSIP")</f>
        <v>912827ZQ8</v>
      </c>
      <c r="T1611" t="str">
        <f>_xll.BDP("912827ZQ Govt","IDX_RATIO")</f>
        <v>#N/A Field Not Applicable</v>
      </c>
    </row>
    <row r="1612" spans="1:20" x14ac:dyDescent="0.25">
      <c r="A1612" t="s">
        <v>14</v>
      </c>
      <c r="B1612" t="str">
        <f>_xll.BDP("912827ZT Govt","TICKER")</f>
        <v>T</v>
      </c>
      <c r="C1612">
        <f>_xll.BDP("912827ZT Govt","CPN")</f>
        <v>7.875</v>
      </c>
      <c r="D1612" t="str">
        <f>_xll.BDP("912827ZT Govt","YLD_YTM_BID")</f>
        <v>#N/A N/A</v>
      </c>
      <c r="E1612" t="str">
        <f>_xll.BDP("912827ZT Govt","MATURITY")</f>
        <v>1/15/1998</v>
      </c>
      <c r="F1612" t="str">
        <f>_xll.BDP("912827ZT Govt","MTY_TYP")</f>
        <v>NORMAL</v>
      </c>
      <c r="G1612" t="str">
        <f>_xll.BDP("912827ZT Govt","CRNCY")</f>
        <v>USD</v>
      </c>
      <c r="H1612" t="str">
        <f>_xll.BDP("912827ZT Govt","COUNTRY_FULL_NAME")</f>
        <v>UNITED STATES</v>
      </c>
      <c r="I1612" t="str">
        <f>_xll.BDP("912827ZT Govt","FIRST_CPN_DT")</f>
        <v>7/15/1991</v>
      </c>
      <c r="J1612" t="str">
        <f>_xll.BDP("912827ZT Govt","COUPON_FREQUENCY_DESCRIPTION")</f>
        <v>S/A</v>
      </c>
      <c r="K1612" t="str">
        <f>_xll.BDP("912827ZT Govt","CPN_TYP")</f>
        <v>FIXED</v>
      </c>
      <c r="L1612" t="str">
        <f>_xll.BDP("912827ZT Govt","ID_ISIN")</f>
        <v>US912827ZT21</v>
      </c>
      <c r="M1612">
        <v>9126000000</v>
      </c>
      <c r="N1612">
        <v>0</v>
      </c>
      <c r="O1612" t="str">
        <f>_xll.BDP("912827ZT Govt","ISSUE_DT")</f>
        <v>1/15/1991</v>
      </c>
      <c r="P1612" t="str">
        <f>_xll.BDP("912827ZT Govt","SECURITY_NAME")</f>
        <v>T 7 7/8 01/15/98</v>
      </c>
      <c r="Q1612" t="str">
        <f>_xll.BDP("912827ZT Govt","DAY_CNT_DES")</f>
        <v>ACT/ACT</v>
      </c>
      <c r="R1612">
        <v>100</v>
      </c>
      <c r="S1612" t="str">
        <f>_xll.BDP("912827ZT Govt","ID_CUSIP")</f>
        <v>912827ZT2</v>
      </c>
      <c r="T1612" t="str">
        <f>_xll.BDP("912827ZT Govt","IDX_RATIO")</f>
        <v>#N/A Field Not Applicable</v>
      </c>
    </row>
    <row r="1613" spans="1:20" x14ac:dyDescent="0.25">
      <c r="A1613" t="s">
        <v>14</v>
      </c>
      <c r="B1613" t="str">
        <f>_xll.BDP("912827ZY Govt","TICKER")</f>
        <v>T</v>
      </c>
      <c r="C1613">
        <f>_xll.BDP("912827ZY Govt","CPN")</f>
        <v>6.75</v>
      </c>
      <c r="D1613" t="str">
        <f>_xll.BDP("912827ZY Govt","YLD_YTM_BID")</f>
        <v>#N/A N/A</v>
      </c>
      <c r="E1613" t="str">
        <f>_xll.BDP("912827ZY Govt","MATURITY")</f>
        <v>2/28/1993</v>
      </c>
      <c r="F1613" t="str">
        <f>_xll.BDP("912827ZY Govt","MTY_TYP")</f>
        <v>NORMAL</v>
      </c>
      <c r="G1613" t="str">
        <f>_xll.BDP("912827ZY Govt","CRNCY")</f>
        <v>USD</v>
      </c>
      <c r="H1613" t="str">
        <f>_xll.BDP("912827ZY Govt","COUNTRY_FULL_NAME")</f>
        <v>UNITED STATES</v>
      </c>
      <c r="I1613" t="str">
        <f>_xll.BDP("912827ZY Govt","FIRST_CPN_DT")</f>
        <v>8/31/1991</v>
      </c>
      <c r="J1613" t="str">
        <f>_xll.BDP("912827ZY Govt","COUPON_FREQUENCY_DESCRIPTION")</f>
        <v>S/A</v>
      </c>
      <c r="K1613" t="str">
        <f>_xll.BDP("912827ZY Govt","CPN_TYP")</f>
        <v>FIXED</v>
      </c>
      <c r="L1613" t="str">
        <f>_xll.BDP("912827ZY Govt","ID_ISIN")</f>
        <v>US912827ZY16</v>
      </c>
      <c r="N1613">
        <v>0</v>
      </c>
      <c r="O1613" t="str">
        <f>_xll.BDP("912827ZY Govt","ISSUE_DT")</f>
        <v>2/28/1991</v>
      </c>
      <c r="P1613" t="str">
        <f>_xll.BDP("912827ZY Govt","SECURITY_NAME")</f>
        <v>T 6 3/4 02/28/93</v>
      </c>
      <c r="Q1613" t="str">
        <f>_xll.BDP("912827ZY Govt","DAY_CNT_DES")</f>
        <v>ACT/ACT</v>
      </c>
      <c r="R1613">
        <v>100</v>
      </c>
      <c r="S1613" t="str">
        <f>_xll.BDP("912827ZY Govt","ID_CUSIP")</f>
        <v>912827ZY1</v>
      </c>
      <c r="T1613" t="str">
        <f>_xll.BDP("912827ZY Govt","IDX_RATIO")</f>
        <v>#N/A Field Not Applicable</v>
      </c>
    </row>
    <row r="1614" spans="1:20" x14ac:dyDescent="0.25">
      <c r="A1614" t="s">
        <v>14</v>
      </c>
      <c r="B1614" t="str">
        <f>_xll.BDP("912827ZZ Govt","TICKER")</f>
        <v>T</v>
      </c>
      <c r="C1614">
        <f>_xll.BDP("912827ZZ Govt","CPN")</f>
        <v>7.5</v>
      </c>
      <c r="D1614" t="str">
        <f>_xll.BDP("912827ZZ Govt","YLD_YTM_BID")</f>
        <v>#N/A N/A</v>
      </c>
      <c r="E1614" t="str">
        <f>_xll.BDP("912827ZZ Govt","MATURITY")</f>
        <v>2/29/1996</v>
      </c>
      <c r="F1614" t="str">
        <f>_xll.BDP("912827ZZ Govt","MTY_TYP")</f>
        <v>NORMAL</v>
      </c>
      <c r="G1614" t="str">
        <f>_xll.BDP("912827ZZ Govt","CRNCY")</f>
        <v>USD</v>
      </c>
      <c r="H1614" t="str">
        <f>_xll.BDP("912827ZZ Govt","COUNTRY_FULL_NAME")</f>
        <v>UNITED STATES</v>
      </c>
      <c r="I1614" t="str">
        <f>_xll.BDP("912827ZZ Govt","FIRST_CPN_DT")</f>
        <v>8/31/1991</v>
      </c>
      <c r="J1614" t="str">
        <f>_xll.BDP("912827ZZ Govt","COUPON_FREQUENCY_DESCRIPTION")</f>
        <v>S/A</v>
      </c>
      <c r="K1614" t="str">
        <f>_xll.BDP("912827ZZ Govt","CPN_TYP")</f>
        <v>FIXED</v>
      </c>
      <c r="L1614" t="str">
        <f>_xll.BDP("912827ZZ Govt","ID_ISIN")</f>
        <v>US912827ZZ80</v>
      </c>
      <c r="N1614">
        <v>0</v>
      </c>
      <c r="O1614" t="str">
        <f>_xll.BDP("912827ZZ Govt","ISSUE_DT")</f>
        <v>2/28/1991</v>
      </c>
      <c r="P1614" t="str">
        <f>_xll.BDP("912827ZZ Govt","SECURITY_NAME")</f>
        <v>T 7 1/2 02/29/96</v>
      </c>
      <c r="Q1614" t="str">
        <f>_xll.BDP("912827ZZ Govt","DAY_CNT_DES")</f>
        <v>ACT/ACT</v>
      </c>
      <c r="R1614">
        <v>100</v>
      </c>
      <c r="S1614" t="str">
        <f>_xll.BDP("912827ZZ Govt","ID_CUSIP")</f>
        <v>912827ZZ8</v>
      </c>
      <c r="T1614" t="str">
        <f>_xll.BDP("912827ZZ Govt","IDX_RATIO")</f>
        <v>#N/A Field Not Applicable</v>
      </c>
    </row>
    <row r="1615" spans="1:20" x14ac:dyDescent="0.25">
      <c r="A1615" t="s">
        <v>14</v>
      </c>
      <c r="B1615" t="str">
        <f>_xll.BDP("9128282Z Govt","TICKER")</f>
        <v>T</v>
      </c>
      <c r="C1615">
        <f>_xll.BDP("9128282Z Govt","CPN")</f>
        <v>1.625</v>
      </c>
      <c r="D1615" t="str">
        <f>_xll.BDP("9128282Z Govt","YLD_YTM_BID")</f>
        <v>#N/A N/A</v>
      </c>
      <c r="E1615" t="str">
        <f>_xll.BDP("9128282Z Govt","MATURITY")</f>
        <v>10/15/2020</v>
      </c>
      <c r="F1615" t="str">
        <f>_xll.BDP("9128282Z Govt","MTY_TYP")</f>
        <v>NORMAL</v>
      </c>
      <c r="G1615" t="str">
        <f>_xll.BDP("9128282Z Govt","CRNCY")</f>
        <v>USD</v>
      </c>
      <c r="H1615" t="str">
        <f>_xll.BDP("9128282Z Govt","COUNTRY_FULL_NAME")</f>
        <v>UNITED STATES</v>
      </c>
      <c r="I1615" t="str">
        <f>_xll.BDP("9128282Z Govt","FIRST_CPN_DT")</f>
        <v>4/15/2018</v>
      </c>
      <c r="J1615" t="str">
        <f>_xll.BDP("9128282Z Govt","COUPON_FREQUENCY_DESCRIPTION")</f>
        <v>S/A</v>
      </c>
      <c r="K1615" t="str">
        <f>_xll.BDP("9128282Z Govt","CPN_TYP")</f>
        <v>FIXED</v>
      </c>
      <c r="L1615" t="str">
        <f>_xll.BDP("9128282Z Govt","ID_ISIN")</f>
        <v>US9128282Z22</v>
      </c>
      <c r="M1615">
        <v>23996000000</v>
      </c>
      <c r="N1615">
        <v>0</v>
      </c>
      <c r="O1615" t="str">
        <f>_xll.BDP("9128282Z Govt","ISSUE_DT")</f>
        <v>10/16/2017</v>
      </c>
      <c r="P1615" t="str">
        <f>_xll.BDP("9128282Z Govt","SECURITY_NAME")</f>
        <v>T 1 5/8 10/15/20</v>
      </c>
      <c r="Q1615" t="str">
        <f>_xll.BDP("9128282Z Govt","DAY_CNT_DES")</f>
        <v>ACT/ACT</v>
      </c>
      <c r="R1615">
        <v>100</v>
      </c>
      <c r="S1615" t="str">
        <f>_xll.BDP("9128282Z Govt","ID_CUSIP")</f>
        <v>9128282Z2</v>
      </c>
      <c r="T1615" t="str">
        <f>_xll.BDP("9128282Z Govt","IDX_RATIO")</f>
        <v>#N/A Field Not Applicable</v>
      </c>
    </row>
    <row r="1616" spans="1:20" x14ac:dyDescent="0.25">
      <c r="A1616" t="s">
        <v>14</v>
      </c>
      <c r="B1616" t="str">
        <f>_xll.BDP("912828AM Govt","TICKER")</f>
        <v>T</v>
      </c>
      <c r="C1616">
        <f>_xll.BDP("912828AM Govt","CPN")</f>
        <v>2.125</v>
      </c>
      <c r="D1616" t="str">
        <f>_xll.BDP("912828AM Govt","YLD_YTM_BID")</f>
        <v>#N/A N/A</v>
      </c>
      <c r="E1616" t="str">
        <f>_xll.BDP("912828AM Govt","MATURITY")</f>
        <v>10/31/2004</v>
      </c>
      <c r="F1616" t="str">
        <f>_xll.BDP("912828AM Govt","MTY_TYP")</f>
        <v>NORMAL</v>
      </c>
      <c r="G1616" t="str">
        <f>_xll.BDP("912828AM Govt","CRNCY")</f>
        <v>USD</v>
      </c>
      <c r="H1616" t="str">
        <f>_xll.BDP("912828AM Govt","COUNTRY_FULL_NAME")</f>
        <v>UNITED STATES</v>
      </c>
      <c r="I1616" t="str">
        <f>_xll.BDP("912828AM Govt","FIRST_CPN_DT")</f>
        <v>4/30/2003</v>
      </c>
      <c r="J1616" t="str">
        <f>_xll.BDP("912828AM Govt","COUPON_FREQUENCY_DESCRIPTION")</f>
        <v>S/A</v>
      </c>
      <c r="K1616" t="str">
        <f>_xll.BDP("912828AM Govt","CPN_TYP")</f>
        <v>FIXED</v>
      </c>
      <c r="L1616" t="str">
        <f>_xll.BDP("912828AM Govt","ID_ISIN")</f>
        <v>US912828AM26</v>
      </c>
      <c r="M1616">
        <v>32440000000</v>
      </c>
      <c r="N1616">
        <v>0</v>
      </c>
      <c r="O1616" t="str">
        <f>_xll.BDP("912828AM Govt","ISSUE_DT")</f>
        <v>10/31/2002</v>
      </c>
      <c r="P1616" t="str">
        <f>_xll.BDP("912828AM Govt","SECURITY_NAME")</f>
        <v>T 2 1/8 10/31/04</v>
      </c>
      <c r="Q1616" t="str">
        <f>_xll.BDP("912828AM Govt","DAY_CNT_DES")</f>
        <v>ACT/ACT</v>
      </c>
      <c r="R1616">
        <v>100</v>
      </c>
      <c r="S1616" t="str">
        <f>_xll.BDP("912828AM Govt","ID_CUSIP")</f>
        <v>912828AM2</v>
      </c>
      <c r="T1616" t="str">
        <f>_xll.BDP("912828AM Govt","IDX_RATIO")</f>
        <v>#N/A Field Not Applicable</v>
      </c>
    </row>
    <row r="1617" spans="1:20" x14ac:dyDescent="0.25">
      <c r="A1617" t="s">
        <v>14</v>
      </c>
      <c r="B1617" t="str">
        <f>_xll.BDP("912810CL Govt","TICKER")</f>
        <v>T</v>
      </c>
      <c r="C1617">
        <f>_xll.BDP("912810CL Govt","CPN")</f>
        <v>10.5</v>
      </c>
      <c r="D1617" t="str">
        <f>_xll.BDP("912810CL Govt","YLD_YTM_BID")</f>
        <v>#N/A N/A</v>
      </c>
      <c r="E1617" t="str">
        <f>_xll.BDP("912810CL Govt","MATURITY")</f>
        <v>2/15/1995</v>
      </c>
      <c r="F1617" t="str">
        <f>_xll.BDP("912810CL Govt","MTY_TYP")</f>
        <v>NORMAL</v>
      </c>
      <c r="G1617" t="str">
        <f>_xll.BDP("912810CL Govt","CRNCY")</f>
        <v>USD</v>
      </c>
      <c r="H1617" t="str">
        <f>_xll.BDP("912810CL Govt","COUNTRY_FULL_NAME")</f>
        <v>UNITED STATES</v>
      </c>
      <c r="I1617" t="str">
        <f>_xll.BDP("912810CL Govt","FIRST_CPN_DT")</f>
        <v>8/15/1980</v>
      </c>
      <c r="J1617" t="str">
        <f>_xll.BDP("912810CL Govt","COUPON_FREQUENCY_DESCRIPTION")</f>
        <v>S/A</v>
      </c>
      <c r="K1617" t="str">
        <f>_xll.BDP("912810CL Govt","CPN_TYP")</f>
        <v>FIXED</v>
      </c>
      <c r="L1617" t="str">
        <f>_xll.BDP("912810CL Govt","ID_ISIN")</f>
        <v>US912810CL09</v>
      </c>
      <c r="N1617">
        <v>0</v>
      </c>
      <c r="O1617" t="str">
        <f>_xll.BDP("912810CL Govt","ISSUE_DT")</f>
        <v>1/10/1980</v>
      </c>
      <c r="P1617" t="str">
        <f>_xll.BDP("912810CL Govt","SECURITY_NAME")</f>
        <v>T 10 1/2 02/15/95</v>
      </c>
      <c r="Q1617" t="str">
        <f>_xll.BDP("912810CL Govt","DAY_CNT_DES")</f>
        <v>ACT/ACT</v>
      </c>
      <c r="R1617">
        <v>100</v>
      </c>
      <c r="S1617" t="str">
        <f>_xll.BDP("912810CL Govt","ID_CUSIP")</f>
        <v>912810CL0</v>
      </c>
      <c r="T1617" t="str">
        <f>_xll.BDP("912810CL Govt","IDX_RATIO")</f>
        <v>#N/A Field Not Applicable</v>
      </c>
    </row>
    <row r="1618" spans="1:20" x14ac:dyDescent="0.25">
      <c r="A1618" t="s">
        <v>14</v>
      </c>
      <c r="B1618" t="str">
        <f>_xll.BDP("912810CW Govt","TICKER")</f>
        <v>T</v>
      </c>
      <c r="C1618">
        <f>_xll.BDP("912810CW Govt","CPN")</f>
        <v>13.375</v>
      </c>
      <c r="D1618" t="str">
        <f>_xll.BDP("912810CW Govt","YLD_YTM_BID")</f>
        <v>#N/A N/A</v>
      </c>
      <c r="E1618" t="str">
        <f>_xll.BDP("912810CW Govt","MATURITY")</f>
        <v>8/15/2001</v>
      </c>
      <c r="F1618" t="str">
        <f>_xll.BDP("912810CW Govt","MTY_TYP")</f>
        <v>NORMAL</v>
      </c>
      <c r="G1618" t="str">
        <f>_xll.BDP("912810CW Govt","CRNCY")</f>
        <v>USD</v>
      </c>
      <c r="H1618" t="str">
        <f>_xll.BDP("912810CW Govt","COUNTRY_FULL_NAME")</f>
        <v>UNITED STATES</v>
      </c>
      <c r="I1618" t="str">
        <f>_xll.BDP("912810CW Govt","FIRST_CPN_DT")</f>
        <v>2/15/1982</v>
      </c>
      <c r="J1618" t="str">
        <f>_xll.BDP("912810CW Govt","COUPON_FREQUENCY_DESCRIPTION")</f>
        <v>S/A</v>
      </c>
      <c r="K1618" t="str">
        <f>_xll.BDP("912810CW Govt","CPN_TYP")</f>
        <v>FIXED</v>
      </c>
      <c r="L1618" t="str">
        <f>_xll.BDP("912810CW Govt","ID_ISIN")</f>
        <v>US912810CW63</v>
      </c>
      <c r="M1618">
        <v>1753000000</v>
      </c>
      <c r="N1618">
        <v>0</v>
      </c>
      <c r="O1618" t="str">
        <f>_xll.BDP("912810CW Govt","ISSUE_DT")</f>
        <v>7/2/1981</v>
      </c>
      <c r="P1618" t="str">
        <f>_xll.BDP("912810CW Govt","SECURITY_NAME")</f>
        <v>T 13 3/8 08/15/01</v>
      </c>
      <c r="Q1618" t="str">
        <f>_xll.BDP("912810CW Govt","DAY_CNT_DES")</f>
        <v>ACT/ACT</v>
      </c>
      <c r="R1618">
        <v>100</v>
      </c>
      <c r="S1618" t="str">
        <f>_xll.BDP("912810CW Govt","ID_CUSIP")</f>
        <v>912810CW6</v>
      </c>
      <c r="T1618" t="str">
        <f>_xll.BDP("912810CW Govt","IDX_RATIO")</f>
        <v>#N/A Field Not Applicable</v>
      </c>
    </row>
    <row r="1619" spans="1:20" x14ac:dyDescent="0.25">
      <c r="A1619" t="s">
        <v>14</v>
      </c>
      <c r="B1619" t="str">
        <f>_xll.BDP("912810DH Govt","TICKER")</f>
        <v>T</v>
      </c>
      <c r="C1619">
        <f>_xll.BDP("912810DH Govt","CPN")</f>
        <v>12.375</v>
      </c>
      <c r="D1619" t="str">
        <f>_xll.BDP("912810DH Govt","YLD_YTM_BID")</f>
        <v>#N/A N/A</v>
      </c>
      <c r="E1619" t="str">
        <f>_xll.BDP("912810DH Govt","MATURITY")</f>
        <v>5/15/2004</v>
      </c>
      <c r="F1619" t="str">
        <f>_xll.BDP("912810DH Govt","MTY_TYP")</f>
        <v>NORMAL</v>
      </c>
      <c r="G1619" t="str">
        <f>_xll.BDP("912810DH Govt","CRNCY")</f>
        <v>USD</v>
      </c>
      <c r="H1619" t="str">
        <f>_xll.BDP("912810DH Govt","COUNTRY_FULL_NAME")</f>
        <v>UNITED STATES</v>
      </c>
      <c r="I1619" t="str">
        <f>_xll.BDP("912810DH Govt","FIRST_CPN_DT")</f>
        <v>11/15/1984</v>
      </c>
      <c r="J1619" t="str">
        <f>_xll.BDP("912810DH Govt","COUPON_FREQUENCY_DESCRIPTION")</f>
        <v>S/A</v>
      </c>
      <c r="K1619" t="str">
        <f>_xll.BDP("912810DH Govt","CPN_TYP")</f>
        <v>FIXED</v>
      </c>
      <c r="L1619" t="str">
        <f>_xll.BDP("912810DH Govt","ID_ISIN")</f>
        <v>US912810DH87</v>
      </c>
      <c r="M1619">
        <v>3755000000</v>
      </c>
      <c r="N1619">
        <v>0</v>
      </c>
      <c r="O1619" t="str">
        <f>_xll.BDP("912810DH Govt","ISSUE_DT")</f>
        <v>4/5/1984</v>
      </c>
      <c r="P1619" t="str">
        <f>_xll.BDP("912810DH Govt","SECURITY_NAME")</f>
        <v>T 12 3/8 05/15/04</v>
      </c>
      <c r="Q1619" t="str">
        <f>_xll.BDP("912810DH Govt","DAY_CNT_DES")</f>
        <v>ACT/ACT</v>
      </c>
      <c r="R1619">
        <v>100</v>
      </c>
      <c r="S1619" t="str">
        <f>_xll.BDP("912810DH Govt","ID_CUSIP")</f>
        <v>912810DH8</v>
      </c>
      <c r="T1619" t="str">
        <f>_xll.BDP("912810DH Govt","IDX_RATIO")</f>
        <v>#N/A Field Not Applicable</v>
      </c>
    </row>
    <row r="1620" spans="1:20" x14ac:dyDescent="0.25">
      <c r="A1620" t="s">
        <v>14</v>
      </c>
      <c r="B1620" t="str">
        <f>_xll.BDP("912810DL Govt","TICKER")</f>
        <v>T</v>
      </c>
      <c r="C1620">
        <f>_xll.BDP("912810DL Govt","CPN")</f>
        <v>12.5</v>
      </c>
      <c r="D1620" t="str">
        <f>_xll.BDP("912810DL Govt","YLD_YTM_BID")</f>
        <v>#N/A N/A</v>
      </c>
      <c r="E1620" t="str">
        <f>_xll.BDP("912810DL Govt","MATURITY")</f>
        <v>8/15/2014</v>
      </c>
      <c r="F1620" t="str">
        <f>_xll.BDP("912810DL Govt","MTY_TYP")</f>
        <v>CALLABLE</v>
      </c>
      <c r="G1620" t="str">
        <f>_xll.BDP("912810DL Govt","CRNCY")</f>
        <v>USD</v>
      </c>
      <c r="H1620" t="str">
        <f>_xll.BDP("912810DL Govt","COUNTRY_FULL_NAME")</f>
        <v>UNITED STATES</v>
      </c>
      <c r="I1620" t="str">
        <f>_xll.BDP("912810DL Govt","FIRST_CPN_DT")</f>
        <v>2/15/1985</v>
      </c>
      <c r="J1620" t="str">
        <f>_xll.BDP("912810DL Govt","COUPON_FREQUENCY_DESCRIPTION")</f>
        <v>S/A</v>
      </c>
      <c r="K1620" t="str">
        <f>_xll.BDP("912810DL Govt","CPN_TYP")</f>
        <v>FIXED</v>
      </c>
      <c r="L1620" t="str">
        <f>_xll.BDP("912810DL Govt","ID_ISIN")</f>
        <v>US912810DL99</v>
      </c>
      <c r="M1620">
        <v>5128000000</v>
      </c>
      <c r="N1620">
        <v>0</v>
      </c>
      <c r="O1620" t="str">
        <f>_xll.BDP("912810DL Govt","ISSUE_DT")</f>
        <v>8/15/1984</v>
      </c>
      <c r="P1620" t="str">
        <f>_xll.BDP("912810DL Govt","SECURITY_NAME")</f>
        <v>T 12 1/2 08/15/14</v>
      </c>
      <c r="Q1620" t="str">
        <f>_xll.BDP("912810DL Govt","DAY_CNT_DES")</f>
        <v>ACT/ACT</v>
      </c>
      <c r="R1620">
        <v>100</v>
      </c>
      <c r="S1620" t="str">
        <f>_xll.BDP("912810DL Govt","ID_CUSIP")</f>
        <v>912810DL9</v>
      </c>
      <c r="T1620" t="str">
        <f>_xll.BDP("912810DL Govt","IDX_RATIO")</f>
        <v>#N/A Field Not Applicable</v>
      </c>
    </row>
    <row r="1621" spans="1:20" x14ac:dyDescent="0.25">
      <c r="A1621" t="s">
        <v>14</v>
      </c>
      <c r="B1621" t="str">
        <f>_xll.BDP("912810DQ Govt","TICKER")</f>
        <v>T</v>
      </c>
      <c r="C1621">
        <f>_xll.BDP("912810DQ Govt","CPN")</f>
        <v>12</v>
      </c>
      <c r="D1621" t="str">
        <f>_xll.BDP("912810DQ Govt","YLD_YTM_BID")</f>
        <v>#N/A N/A</v>
      </c>
      <c r="E1621" t="str">
        <f>_xll.BDP("912810DQ Govt","MATURITY")</f>
        <v>5/15/2005</v>
      </c>
      <c r="F1621" t="str">
        <f>_xll.BDP("912810DQ Govt","MTY_TYP")</f>
        <v>NORMAL</v>
      </c>
      <c r="G1621" t="str">
        <f>_xll.BDP("912810DQ Govt","CRNCY")</f>
        <v>USD</v>
      </c>
      <c r="H1621" t="str">
        <f>_xll.BDP("912810DQ Govt","COUNTRY_FULL_NAME")</f>
        <v>UNITED STATES</v>
      </c>
      <c r="I1621" t="str">
        <f>_xll.BDP("912810DQ Govt","FIRST_CPN_DT")</f>
        <v>11/15/1985</v>
      </c>
      <c r="J1621" t="str">
        <f>_xll.BDP("912810DQ Govt","COUPON_FREQUENCY_DESCRIPTION")</f>
        <v>S/A</v>
      </c>
      <c r="K1621" t="str">
        <f>_xll.BDP("912810DQ Govt","CPN_TYP")</f>
        <v>FIXED</v>
      </c>
      <c r="L1621" t="str">
        <f>_xll.BDP("912810DQ Govt","ID_ISIN")</f>
        <v>US912810DQ86</v>
      </c>
      <c r="M1621">
        <v>4261000000</v>
      </c>
      <c r="N1621">
        <v>0</v>
      </c>
      <c r="O1621" t="str">
        <f>_xll.BDP("912810DQ Govt","ISSUE_DT")</f>
        <v>4/2/1985</v>
      </c>
      <c r="P1621" t="str">
        <f>_xll.BDP("912810DQ Govt","SECURITY_NAME")</f>
        <v>T 12 05/15/05</v>
      </c>
      <c r="Q1621" t="str">
        <f>_xll.BDP("912810DQ Govt","DAY_CNT_DES")</f>
        <v>ACT/ACT</v>
      </c>
      <c r="R1621">
        <v>100</v>
      </c>
      <c r="S1621" t="str">
        <f>_xll.BDP("912810DQ Govt","ID_CUSIP")</f>
        <v>912810DQ8</v>
      </c>
      <c r="T1621" t="str">
        <f>_xll.BDP("912810DQ Govt","IDX_RATIO")</f>
        <v>#N/A Field Not Applicable</v>
      </c>
    </row>
    <row r="1622" spans="1:20" x14ac:dyDescent="0.25">
      <c r="A1622" t="s">
        <v>14</v>
      </c>
      <c r="B1622" t="str">
        <f>_xll.BDP("912810DT Govt","TICKER")</f>
        <v>T</v>
      </c>
      <c r="C1622">
        <f>_xll.BDP("912810DT Govt","CPN")</f>
        <v>9.875</v>
      </c>
      <c r="D1622" t="str">
        <f>_xll.BDP("912810DT Govt","YLD_YTM_BID")</f>
        <v>#N/A N/A</v>
      </c>
      <c r="E1622" t="str">
        <f>_xll.BDP("912810DT Govt","MATURITY")</f>
        <v>11/15/2015</v>
      </c>
      <c r="F1622" t="str">
        <f>_xll.BDP("912810DT Govt","MTY_TYP")</f>
        <v>NORMAL</v>
      </c>
      <c r="G1622" t="str">
        <f>_xll.BDP("912810DT Govt","CRNCY")</f>
        <v>USD</v>
      </c>
      <c r="H1622" t="str">
        <f>_xll.BDP("912810DT Govt","COUNTRY_FULL_NAME")</f>
        <v>UNITED STATES</v>
      </c>
      <c r="I1622" t="str">
        <f>_xll.BDP("912810DT Govt","FIRST_CPN_DT")</f>
        <v>5/15/1986</v>
      </c>
      <c r="J1622" t="str">
        <f>_xll.BDP("912810DT Govt","COUPON_FREQUENCY_DESCRIPTION")</f>
        <v>S/A</v>
      </c>
      <c r="K1622" t="str">
        <f>_xll.BDP("912810DT Govt","CPN_TYP")</f>
        <v>FIXED</v>
      </c>
      <c r="L1622" t="str">
        <f>_xll.BDP("912810DT Govt","ID_ISIN")</f>
        <v>US912810DT26</v>
      </c>
      <c r="M1622">
        <v>6900000000</v>
      </c>
      <c r="N1622">
        <v>0</v>
      </c>
      <c r="O1622" t="str">
        <f>_xll.BDP("912810DT Govt","ISSUE_DT")</f>
        <v>11/29/1985</v>
      </c>
      <c r="P1622" t="str">
        <f>_xll.BDP("912810DT Govt","SECURITY_NAME")</f>
        <v>T 9 7/8 11/15/15</v>
      </c>
      <c r="Q1622" t="str">
        <f>_xll.BDP("912810DT Govt","DAY_CNT_DES")</f>
        <v>ACT/ACT</v>
      </c>
      <c r="R1622">
        <v>100</v>
      </c>
      <c r="S1622" t="str">
        <f>_xll.BDP("912810DT Govt","ID_CUSIP")</f>
        <v>912810DT2</v>
      </c>
      <c r="T1622" t="str">
        <f>_xll.BDP("912810DT Govt","IDX_RATIO")</f>
        <v>#N/A Field Not Applicable</v>
      </c>
    </row>
    <row r="1623" spans="1:20" x14ac:dyDescent="0.25">
      <c r="A1623" t="s">
        <v>14</v>
      </c>
      <c r="B1623" t="str">
        <f>_xll.BDP("912810CQ Govt","TICKER")</f>
        <v>T</v>
      </c>
      <c r="C1623">
        <f>_xll.BDP("912810CQ Govt","CPN")</f>
        <v>10.375</v>
      </c>
      <c r="D1623" t="str">
        <f>_xll.BDP("912810CQ Govt","YLD_YTM_BID")</f>
        <v>#N/A N/A</v>
      </c>
      <c r="E1623" t="str">
        <f>_xll.BDP("912810CQ Govt","MATURITY")</f>
        <v>5/15/1995</v>
      </c>
      <c r="F1623" t="str">
        <f>_xll.BDP("912810CQ Govt","MTY_TYP")</f>
        <v>NORMAL</v>
      </c>
      <c r="G1623" t="str">
        <f>_xll.BDP("912810CQ Govt","CRNCY")</f>
        <v>USD</v>
      </c>
      <c r="H1623" t="str">
        <f>_xll.BDP("912810CQ Govt","COUNTRY_FULL_NAME")</f>
        <v>UNITED STATES</v>
      </c>
      <c r="I1623" t="str">
        <f>_xll.BDP("912810CQ Govt","FIRST_CPN_DT")</f>
        <v>11/15/1980</v>
      </c>
      <c r="J1623" t="str">
        <f>_xll.BDP("912810CQ Govt","COUPON_FREQUENCY_DESCRIPTION")</f>
        <v>S/A</v>
      </c>
      <c r="K1623" t="str">
        <f>_xll.BDP("912810CQ Govt","CPN_TYP")</f>
        <v>FIXED</v>
      </c>
      <c r="L1623" t="str">
        <f>_xll.BDP("912810CQ Govt","ID_ISIN")</f>
        <v>US912810CQ95</v>
      </c>
      <c r="N1623">
        <v>0</v>
      </c>
      <c r="O1623" t="str">
        <f>_xll.BDP("912810CQ Govt","ISSUE_DT")</f>
        <v>7/9/1980</v>
      </c>
      <c r="P1623" t="str">
        <f>_xll.BDP("912810CQ Govt","SECURITY_NAME")</f>
        <v>T 10 3/8 05/15/95</v>
      </c>
      <c r="Q1623" t="str">
        <f>_xll.BDP("912810CQ Govt","DAY_CNT_DES")</f>
        <v>ACT/ACT</v>
      </c>
      <c r="R1623">
        <v>100</v>
      </c>
      <c r="S1623" t="str">
        <f>_xll.BDP("912810CQ Govt","ID_CUSIP")</f>
        <v>912810CQ9</v>
      </c>
      <c r="T1623" t="str">
        <f>_xll.BDP("912810CQ Govt","IDX_RATIO")</f>
        <v>#N/A Field Not Applicable</v>
      </c>
    </row>
    <row r="1624" spans="1:20" x14ac:dyDescent="0.25">
      <c r="A1624" t="s">
        <v>14</v>
      </c>
      <c r="B1624" t="str">
        <f>_xll.BDP("912810EB Govt","TICKER")</f>
        <v>T</v>
      </c>
      <c r="C1624">
        <f>_xll.BDP("912810EB Govt","CPN")</f>
        <v>9</v>
      </c>
      <c r="D1624" t="str">
        <f>_xll.BDP("912810EB Govt","YLD_YTM_BID")</f>
        <v>#N/A N/A</v>
      </c>
      <c r="E1624" t="str">
        <f>_xll.BDP("912810EB Govt","MATURITY")</f>
        <v>11/15/2018</v>
      </c>
      <c r="F1624" t="str">
        <f>_xll.BDP("912810EB Govt","MTY_TYP")</f>
        <v>NORMAL</v>
      </c>
      <c r="G1624" t="str">
        <f>_xll.BDP("912810EB Govt","CRNCY")</f>
        <v>USD</v>
      </c>
      <c r="H1624" t="str">
        <f>_xll.BDP("912810EB Govt","COUNTRY_FULL_NAME")</f>
        <v>UNITED STATES</v>
      </c>
      <c r="I1624" t="str">
        <f>_xll.BDP("912810EB Govt","FIRST_CPN_DT")</f>
        <v>5/15/1989</v>
      </c>
      <c r="J1624" t="str">
        <f>_xll.BDP("912810EB Govt","COUPON_FREQUENCY_DESCRIPTION")</f>
        <v>S/A</v>
      </c>
      <c r="K1624" t="str">
        <f>_xll.BDP("912810EB Govt","CPN_TYP")</f>
        <v>FIXED</v>
      </c>
      <c r="L1624" t="str">
        <f>_xll.BDP("912810EB Govt","ID_ISIN")</f>
        <v>US912810EB09</v>
      </c>
      <c r="M1624">
        <v>9033000000</v>
      </c>
      <c r="N1624">
        <v>0</v>
      </c>
      <c r="O1624" t="str">
        <f>_xll.BDP("912810EB Govt","ISSUE_DT")</f>
        <v>11/22/1988</v>
      </c>
      <c r="P1624" t="str">
        <f>_xll.BDP("912810EB Govt","SECURITY_NAME")</f>
        <v>T 9 11/15/18</v>
      </c>
      <c r="Q1624" t="str">
        <f>_xll.BDP("912810EB Govt","DAY_CNT_DES")</f>
        <v>ACT/ACT</v>
      </c>
      <c r="R1624">
        <v>100</v>
      </c>
      <c r="S1624" t="str">
        <f>_xll.BDP("912810EB Govt","ID_CUSIP")</f>
        <v>912810EB0</v>
      </c>
      <c r="T1624" t="str">
        <f>_xll.BDP("912810EB Govt","IDX_RATIO")</f>
        <v>#N/A Field Not Applicable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2021-03-19T14:14:54Z</dcterms:created>
  <dcterms:modified xsi:type="dcterms:W3CDTF">2021-10-05T18:48:56Z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</Properties>
</file>